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11/relationships/webextensiontaskpanes" Target="xl/webextensions/taskpanes.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nycdoe.sharepoint.com/sites/BAP/Shared Documents/Building Accessibility Profile List/"/>
    </mc:Choice>
  </mc:AlternateContent>
  <xr:revisionPtr revIDLastSave="0" documentId="8_{A73FFAFD-6D2F-4AB6-B58F-8B0B9DAA627B}" xr6:coauthVersionLast="47" xr6:coauthVersionMax="47" xr10:uidLastSave="{00000000-0000-0000-0000-000000000000}"/>
  <workbookProtection workbookAlgorithmName="SHA-512" workbookHashValue="VMPn5B/seem1HDfVMqw1dyR0AFKiyYhQ0oCrm1vidVpxAZjipLM8wPSn7HZCLYfNiug7BbHoUqPSyNDzZJ5cXg==" workbookSaltValue="1Qrgb8dtW1WhHFJu0Y8zfA==" workbookSpinCount="100000" lockStructure="1"/>
  <bookViews>
    <workbookView xWindow="2175" yWindow="795" windowWidth="35340" windowHeight="19140" tabRatio="698" firstSheet="2" activeTab="2" xr2:uid="{2279E318-8450-45A8-98A1-356FF17A2B5D}"/>
  </bookViews>
  <sheets>
    <sheet name="March_2023 (2)" sheetId="15" state="hidden" r:id="rId1"/>
    <sheet name="All Active Schools" sheetId="10" state="hidden" r:id="rId2"/>
    <sheet name="Current Accessible School List" sheetId="16" r:id="rId3"/>
    <sheet name="Mechanics" sheetId="19" state="hidden" r:id="rId4"/>
    <sheet name="RAW Data" sheetId="8" state="hidden" r:id="rId5"/>
    <sheet name="BAPs" sheetId="4" state="hidden" r:id="rId6"/>
    <sheet name="BAP MASTER" sheetId="9" state="hidden" r:id="rId7"/>
    <sheet name="BAP Rating Definitions" sheetId="3" r:id="rId8"/>
    <sheet name="BAPs Under Maintenance" sheetId="17" state="hidden" r:id="rId9"/>
    <sheet name="Filters - HIDE" sheetId="18" state="hidden" r:id="rId10"/>
  </sheets>
  <externalReferences>
    <externalReference r:id="rId11"/>
  </externalReferences>
  <definedNames>
    <definedName name="_xlnm._FilterDatabase" localSheetId="5" hidden="1">BAPs!$P$1:$S$922</definedName>
    <definedName name="_xlnm._FilterDatabase" localSheetId="0" hidden="1">'March_2023 (2)'!$A$1:$L$1343</definedName>
    <definedName name="BAPs">[1]!Table1[#Data]</definedName>
    <definedName name="ExternalData_1" localSheetId="1" hidden="1">'All Active Schools'!#REF!</definedName>
    <definedName name="ExternalData_1" localSheetId="3" hidden="1">Mechanics!$C$4:$C$5</definedName>
    <definedName name="ExternalData_2" localSheetId="2" hidden="1">'Current Accessible School List'!$B$3:$M$1731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731" i="16" l="1"/>
  <c r="L1730" i="16"/>
  <c r="L1729" i="16"/>
  <c r="L1728" i="16"/>
  <c r="L1727" i="16"/>
  <c r="L1726" i="16"/>
  <c r="L1725" i="16"/>
  <c r="L1724" i="16"/>
  <c r="L1723" i="16"/>
  <c r="L1722" i="16"/>
  <c r="L1721" i="16"/>
  <c r="L1720" i="16"/>
  <c r="L1719" i="16"/>
  <c r="L1718" i="16"/>
  <c r="L1717" i="16"/>
  <c r="L1716" i="16"/>
  <c r="L1715" i="16"/>
  <c r="L1714" i="16"/>
  <c r="L1713" i="16"/>
  <c r="L1712" i="16"/>
  <c r="L1711" i="16"/>
  <c r="L1710" i="16"/>
  <c r="L1709" i="16"/>
  <c r="L1708" i="16"/>
  <c r="L1707" i="16"/>
  <c r="L1706" i="16"/>
  <c r="L1705" i="16"/>
  <c r="L1704" i="16"/>
  <c r="L1703" i="16"/>
  <c r="L1702" i="16"/>
  <c r="L1701" i="16"/>
  <c r="L1700" i="16"/>
  <c r="L1699" i="16"/>
  <c r="L1698" i="16"/>
  <c r="L1697" i="16"/>
  <c r="L1696" i="16"/>
  <c r="L1695" i="16"/>
  <c r="L1694" i="16"/>
  <c r="L1693" i="16"/>
  <c r="L1692" i="16"/>
  <c r="L1691" i="16"/>
  <c r="L1690" i="16"/>
  <c r="L1689" i="16"/>
  <c r="L1688" i="16"/>
  <c r="L1687" i="16"/>
  <c r="L1686" i="16"/>
  <c r="L1685" i="16"/>
  <c r="L1684" i="16"/>
  <c r="L1683" i="16"/>
  <c r="L1682" i="16"/>
  <c r="L1681" i="16"/>
  <c r="L1680" i="16"/>
  <c r="L1679" i="16"/>
  <c r="L1678" i="16"/>
  <c r="L1677" i="16"/>
  <c r="L1676" i="16"/>
  <c r="L1675" i="16"/>
  <c r="L1674" i="16"/>
  <c r="L1673" i="16"/>
  <c r="L1672" i="16"/>
  <c r="L1671" i="16"/>
  <c r="L1670" i="16"/>
  <c r="L1669" i="16"/>
  <c r="L1668" i="16"/>
  <c r="L1667" i="16"/>
  <c r="L1666" i="16"/>
  <c r="L1665" i="16"/>
  <c r="L1664" i="16"/>
  <c r="L1663" i="16"/>
  <c r="L1662" i="16"/>
  <c r="L1661" i="16"/>
  <c r="L1660" i="16"/>
  <c r="L1659" i="16"/>
  <c r="L1658" i="16"/>
  <c r="L1657" i="16"/>
  <c r="L1656" i="16"/>
  <c r="L1655" i="16"/>
  <c r="L1654" i="16"/>
  <c r="L1653" i="16"/>
  <c r="L1652" i="16"/>
  <c r="L1651" i="16"/>
  <c r="L1650" i="16"/>
  <c r="L1649" i="16"/>
  <c r="L1648" i="16"/>
  <c r="L1647" i="16"/>
  <c r="L1646" i="16"/>
  <c r="L1645" i="16"/>
  <c r="L1644" i="16"/>
  <c r="L1643" i="16"/>
  <c r="L1642" i="16"/>
  <c r="L1641" i="16"/>
  <c r="L1640" i="16"/>
  <c r="L1639" i="16"/>
  <c r="L1638" i="16"/>
  <c r="L1637" i="16"/>
  <c r="L1636" i="16"/>
  <c r="L1635" i="16"/>
  <c r="L1634" i="16"/>
  <c r="L1633" i="16"/>
  <c r="L1632" i="16"/>
  <c r="L1631" i="16"/>
  <c r="L1630" i="16"/>
  <c r="L1629" i="16"/>
  <c r="L1628" i="16"/>
  <c r="L1627" i="16"/>
  <c r="L1626" i="16"/>
  <c r="L1625" i="16"/>
  <c r="L1624" i="16"/>
  <c r="L1623" i="16"/>
  <c r="L1622" i="16"/>
  <c r="L1621" i="16"/>
  <c r="L1620" i="16"/>
  <c r="L1619" i="16"/>
  <c r="L1618" i="16"/>
  <c r="L1617" i="16"/>
  <c r="L1616" i="16"/>
  <c r="L1615" i="16"/>
  <c r="L1614" i="16"/>
  <c r="L1613" i="16"/>
  <c r="L1612" i="16"/>
  <c r="L1611" i="16"/>
  <c r="L1610" i="16"/>
  <c r="L1609" i="16"/>
  <c r="L1608" i="16"/>
  <c r="L1607" i="16"/>
  <c r="L1606" i="16"/>
  <c r="L1605" i="16"/>
  <c r="L1604" i="16"/>
  <c r="L1603" i="16"/>
  <c r="L1602" i="16"/>
  <c r="L1601" i="16"/>
  <c r="L1600" i="16"/>
  <c r="L1599" i="16"/>
  <c r="L1598" i="16"/>
  <c r="L1597" i="16"/>
  <c r="L1596" i="16"/>
  <c r="L1595" i="16"/>
  <c r="L1594" i="16"/>
  <c r="L1593" i="16"/>
  <c r="L1592" i="16"/>
  <c r="L1591" i="16"/>
  <c r="L1590" i="16"/>
  <c r="L1589" i="16"/>
  <c r="L1588" i="16"/>
  <c r="L1587" i="16"/>
  <c r="L1586" i="16"/>
  <c r="L1585" i="16"/>
  <c r="L1584" i="16"/>
  <c r="L1583" i="16"/>
  <c r="L1582" i="16"/>
  <c r="L1581" i="16"/>
  <c r="L1580" i="16"/>
  <c r="L1579" i="16"/>
  <c r="L1578" i="16"/>
  <c r="L1577" i="16"/>
  <c r="L1576" i="16"/>
  <c r="L1575" i="16"/>
  <c r="L1574" i="16"/>
  <c r="L1573" i="16"/>
  <c r="L1572" i="16"/>
  <c r="L1571" i="16"/>
  <c r="L1570" i="16"/>
  <c r="L1569" i="16"/>
  <c r="L1568" i="16"/>
  <c r="L1567" i="16"/>
  <c r="L1566" i="16"/>
  <c r="L1565" i="16"/>
  <c r="L1564" i="16"/>
  <c r="L1563" i="16"/>
  <c r="L1562" i="16"/>
  <c r="L1561" i="16"/>
  <c r="L1560" i="16"/>
  <c r="L1559" i="16"/>
  <c r="L1558" i="16"/>
  <c r="L1557" i="16"/>
  <c r="L1556" i="16"/>
  <c r="L1555" i="16"/>
  <c r="L1554" i="16"/>
  <c r="L1553" i="16"/>
  <c r="L1552" i="16"/>
  <c r="L1551" i="16"/>
  <c r="L1550" i="16"/>
  <c r="L1549" i="16"/>
  <c r="L1548" i="16"/>
  <c r="L1547" i="16"/>
  <c r="L1546" i="16"/>
  <c r="L1545" i="16"/>
  <c r="L1544" i="16"/>
  <c r="L1543" i="16"/>
  <c r="L1542" i="16"/>
  <c r="L1541" i="16"/>
  <c r="L1540" i="16"/>
  <c r="L1539" i="16"/>
  <c r="L1538" i="16"/>
  <c r="L1537" i="16"/>
  <c r="L1536" i="16"/>
  <c r="L1535" i="16"/>
  <c r="L1534" i="16"/>
  <c r="L1533" i="16"/>
  <c r="L1532" i="16"/>
  <c r="L1531" i="16"/>
  <c r="L1530" i="16"/>
  <c r="L1529" i="16"/>
  <c r="L1528" i="16"/>
  <c r="L1527" i="16"/>
  <c r="L1526" i="16"/>
  <c r="L1525" i="16"/>
  <c r="L1524" i="16"/>
  <c r="L1523" i="16"/>
  <c r="L1522" i="16"/>
  <c r="L1521" i="16"/>
  <c r="L1520" i="16"/>
  <c r="L1519" i="16"/>
  <c r="L1518" i="16"/>
  <c r="L1517" i="16"/>
  <c r="L1516" i="16"/>
  <c r="L1515" i="16"/>
  <c r="L1514" i="16"/>
  <c r="L1513" i="16"/>
  <c r="L1512" i="16"/>
  <c r="L1511" i="16"/>
  <c r="L1510" i="16"/>
  <c r="L1509" i="16"/>
  <c r="L1508" i="16"/>
  <c r="L1507" i="16"/>
  <c r="L1506" i="16"/>
  <c r="L1505" i="16"/>
  <c r="L1504" i="16"/>
  <c r="L1503" i="16"/>
  <c r="L1502" i="16"/>
  <c r="L1501" i="16"/>
  <c r="L1500" i="16"/>
  <c r="L1499" i="16"/>
  <c r="L1498" i="16"/>
  <c r="L1497" i="16"/>
  <c r="L1496" i="16"/>
  <c r="L1495" i="16"/>
  <c r="L1494" i="16"/>
  <c r="L1493" i="16"/>
  <c r="L1492" i="16"/>
  <c r="L1491" i="16"/>
  <c r="L1490" i="16"/>
  <c r="L1489" i="16"/>
  <c r="L1488" i="16"/>
  <c r="L1487" i="16"/>
  <c r="L1486" i="16"/>
  <c r="L1485" i="16"/>
  <c r="L1484" i="16"/>
  <c r="L1483" i="16"/>
  <c r="L1482" i="16"/>
  <c r="L1481" i="16"/>
  <c r="L1480" i="16"/>
  <c r="L1479" i="16"/>
  <c r="L1478" i="16"/>
  <c r="L1477" i="16"/>
  <c r="L1476" i="16"/>
  <c r="L1475" i="16"/>
  <c r="L1474" i="16"/>
  <c r="L1473" i="16"/>
  <c r="L1472" i="16"/>
  <c r="L1471" i="16"/>
  <c r="L1470" i="16"/>
  <c r="L1469" i="16"/>
  <c r="L1468" i="16"/>
  <c r="L1467" i="16"/>
  <c r="L1466" i="16"/>
  <c r="L1465" i="16"/>
  <c r="L1464" i="16"/>
  <c r="L1463" i="16"/>
  <c r="L1462" i="16"/>
  <c r="L1461" i="16"/>
  <c r="L1460" i="16"/>
  <c r="L1459" i="16"/>
  <c r="L1458" i="16"/>
  <c r="L1457" i="16"/>
  <c r="L1456" i="16"/>
  <c r="L1455" i="16"/>
  <c r="L1454" i="16"/>
  <c r="L1453" i="16"/>
  <c r="L1452" i="16"/>
  <c r="L1451" i="16"/>
  <c r="L1450" i="16"/>
  <c r="L1449" i="16"/>
  <c r="L1448" i="16"/>
  <c r="L1447" i="16"/>
  <c r="L1446" i="16"/>
  <c r="L1445" i="16"/>
  <c r="L1444" i="16"/>
  <c r="L1443" i="16"/>
  <c r="L1442" i="16"/>
  <c r="L1441" i="16"/>
  <c r="L1440" i="16"/>
  <c r="L1439" i="16"/>
  <c r="L1438" i="16"/>
  <c r="L1437" i="16"/>
  <c r="L1436" i="16"/>
  <c r="L1435" i="16"/>
  <c r="L1434" i="16"/>
  <c r="L1433" i="16"/>
  <c r="L1432" i="16"/>
  <c r="L1431" i="16"/>
  <c r="L1430" i="16"/>
  <c r="L1429" i="16"/>
  <c r="L1428" i="16"/>
  <c r="L1427" i="16"/>
  <c r="L1426" i="16"/>
  <c r="L1425" i="16"/>
  <c r="L1424" i="16"/>
  <c r="L1423" i="16"/>
  <c r="L1422" i="16"/>
  <c r="L1421" i="16"/>
  <c r="L1420" i="16"/>
  <c r="L1419" i="16"/>
  <c r="L1418" i="16"/>
  <c r="L1417" i="16"/>
  <c r="L1416" i="16"/>
  <c r="L1415" i="16"/>
  <c r="L1414" i="16"/>
  <c r="L1413" i="16"/>
  <c r="L1412" i="16"/>
  <c r="L1411" i="16"/>
  <c r="L1410" i="16"/>
  <c r="L1409" i="16"/>
  <c r="L1408" i="16"/>
  <c r="L1407" i="16"/>
  <c r="L1406" i="16"/>
  <c r="L1405" i="16"/>
  <c r="L1404" i="16"/>
  <c r="L1403" i="16"/>
  <c r="L1402" i="16"/>
  <c r="L1401" i="16"/>
  <c r="L1400" i="16"/>
  <c r="L1399" i="16"/>
  <c r="L1398" i="16"/>
  <c r="L1397" i="16"/>
  <c r="L1396" i="16"/>
  <c r="L1395" i="16"/>
  <c r="L1394" i="16"/>
  <c r="L1393" i="16"/>
  <c r="L1392" i="16"/>
  <c r="L1391" i="16"/>
  <c r="L1390" i="16"/>
  <c r="L1389" i="16"/>
  <c r="L1388" i="16"/>
  <c r="L1387" i="16"/>
  <c r="L1386" i="16"/>
  <c r="L1385" i="16"/>
  <c r="L1384" i="16"/>
  <c r="L1383" i="16"/>
  <c r="L1382" i="16"/>
  <c r="L1381" i="16"/>
  <c r="L1380" i="16"/>
  <c r="L1379" i="16"/>
  <c r="L1378" i="16"/>
  <c r="L1377" i="16"/>
  <c r="L1376" i="16"/>
  <c r="L1375" i="16"/>
  <c r="L1374" i="16"/>
  <c r="L1373" i="16"/>
  <c r="L1372" i="16"/>
  <c r="L1371" i="16"/>
  <c r="L1370" i="16"/>
  <c r="L1369" i="16"/>
  <c r="L1368" i="16"/>
  <c r="L1367" i="16"/>
  <c r="L1366" i="16"/>
  <c r="L1365" i="16"/>
  <c r="L1364" i="16"/>
  <c r="L1363" i="16"/>
  <c r="L1362" i="16"/>
  <c r="L1361" i="16"/>
  <c r="L1360" i="16"/>
  <c r="L1359" i="16"/>
  <c r="L1358" i="16"/>
  <c r="L1357" i="16"/>
  <c r="L1356" i="16"/>
  <c r="L1355" i="16"/>
  <c r="L1354" i="16"/>
  <c r="L1353" i="16"/>
  <c r="L1352" i="16"/>
  <c r="L1351" i="16"/>
  <c r="L1350" i="16"/>
  <c r="L1349" i="16"/>
  <c r="L1348" i="16"/>
  <c r="L1347" i="16"/>
  <c r="L1346" i="16"/>
  <c r="L1345" i="16"/>
  <c r="L1344" i="16"/>
  <c r="L1343" i="16"/>
  <c r="L1342" i="16"/>
  <c r="L1341" i="16"/>
  <c r="L1340" i="16"/>
  <c r="L1339" i="16"/>
  <c r="L1338" i="16"/>
  <c r="L1337" i="16"/>
  <c r="L1336" i="16"/>
  <c r="L1335" i="16"/>
  <c r="L1334" i="16"/>
  <c r="L1333" i="16"/>
  <c r="L1332" i="16"/>
  <c r="L1331" i="16"/>
  <c r="L1330" i="16"/>
  <c r="L1329" i="16"/>
  <c r="L1328" i="16"/>
  <c r="L1327" i="16"/>
  <c r="L1326" i="16"/>
  <c r="L1325" i="16"/>
  <c r="L1324" i="16"/>
  <c r="L1323" i="16"/>
  <c r="L1322" i="16"/>
  <c r="L1321" i="16"/>
  <c r="L1320" i="16"/>
  <c r="L1319" i="16"/>
  <c r="L1318" i="16"/>
  <c r="L1317" i="16"/>
  <c r="L1316" i="16"/>
  <c r="L1315" i="16"/>
  <c r="L1314" i="16"/>
  <c r="L1313" i="16"/>
  <c r="L1312" i="16"/>
  <c r="L1311" i="16"/>
  <c r="L1310" i="16"/>
  <c r="L1309" i="16"/>
  <c r="L1308" i="16"/>
  <c r="L1307" i="16"/>
  <c r="L1306" i="16"/>
  <c r="L1305" i="16"/>
  <c r="L1304" i="16"/>
  <c r="L1303" i="16"/>
  <c r="L1302" i="16"/>
  <c r="L1301" i="16"/>
  <c r="L1300" i="16"/>
  <c r="L1299" i="16"/>
  <c r="L1298" i="16"/>
  <c r="L1297" i="16"/>
  <c r="L1296" i="16"/>
  <c r="L1295" i="16"/>
  <c r="L1294" i="16"/>
  <c r="L1293" i="16"/>
  <c r="L1292" i="16"/>
  <c r="L1291" i="16"/>
  <c r="L1290" i="16"/>
  <c r="L1289" i="16"/>
  <c r="L1288" i="16"/>
  <c r="L1287" i="16"/>
  <c r="L1286" i="16"/>
  <c r="L1285" i="16"/>
  <c r="L1284" i="16"/>
  <c r="L1283" i="16"/>
  <c r="L1282" i="16"/>
  <c r="L1281" i="16"/>
  <c r="L1280" i="16"/>
  <c r="L1279" i="16"/>
  <c r="L1278" i="16"/>
  <c r="L1277" i="16"/>
  <c r="L1276" i="16"/>
  <c r="L1275" i="16"/>
  <c r="L1274" i="16"/>
  <c r="L1273" i="16"/>
  <c r="L1272" i="16"/>
  <c r="L1271" i="16"/>
  <c r="L1270" i="16"/>
  <c r="L1269" i="16"/>
  <c r="L1268" i="16"/>
  <c r="L1267" i="16"/>
  <c r="L1266" i="16"/>
  <c r="L1265" i="16"/>
  <c r="L1264" i="16"/>
  <c r="L1263" i="16"/>
  <c r="L1262" i="16"/>
  <c r="L1261" i="16"/>
  <c r="L1260" i="16"/>
  <c r="L1259" i="16"/>
  <c r="L1258" i="16"/>
  <c r="L1257" i="16"/>
  <c r="L1256" i="16"/>
  <c r="L1255" i="16"/>
  <c r="L1254" i="16"/>
  <c r="L1253" i="16"/>
  <c r="L1252" i="16"/>
  <c r="L1251" i="16"/>
  <c r="L1250" i="16"/>
  <c r="L1249" i="16"/>
  <c r="L1248" i="16"/>
  <c r="L1247" i="16"/>
  <c r="L1246" i="16"/>
  <c r="L1245" i="16"/>
  <c r="L1244" i="16"/>
  <c r="L1243" i="16"/>
  <c r="L1242" i="16"/>
  <c r="L1241" i="16"/>
  <c r="L1240" i="16"/>
  <c r="L1239" i="16"/>
  <c r="L1238" i="16"/>
  <c r="L1237" i="16"/>
  <c r="L1236" i="16"/>
  <c r="L1235" i="16"/>
  <c r="L1234" i="16"/>
  <c r="L1233" i="16"/>
  <c r="L1232" i="16"/>
  <c r="L1231" i="16"/>
  <c r="L1230" i="16"/>
  <c r="L1229" i="16"/>
  <c r="L1228" i="16"/>
  <c r="L1227" i="16"/>
  <c r="L1226" i="16"/>
  <c r="L1225" i="16"/>
  <c r="L1224" i="16"/>
  <c r="L1223" i="16"/>
  <c r="L1222" i="16"/>
  <c r="L1221" i="16"/>
  <c r="L1220" i="16"/>
  <c r="L1219" i="16"/>
  <c r="L1218" i="16"/>
  <c r="L1217" i="16"/>
  <c r="L1216" i="16"/>
  <c r="L1215" i="16"/>
  <c r="L1214" i="16"/>
  <c r="L1213" i="16"/>
  <c r="L1212" i="16"/>
  <c r="L1211" i="16"/>
  <c r="L1210" i="16"/>
  <c r="L1209" i="16"/>
  <c r="L1208" i="16"/>
  <c r="L1207" i="16"/>
  <c r="L1206" i="16"/>
  <c r="L1205" i="16"/>
  <c r="L1204" i="16"/>
  <c r="L1203" i="16"/>
  <c r="L1202" i="16"/>
  <c r="L1201" i="16"/>
  <c r="L1200" i="16"/>
  <c r="L1199" i="16"/>
  <c r="L1198" i="16"/>
  <c r="L1197" i="16"/>
  <c r="L1196" i="16"/>
  <c r="L1195" i="16"/>
  <c r="L1194" i="16"/>
  <c r="L1193" i="16"/>
  <c r="L1192" i="16"/>
  <c r="L1191" i="16"/>
  <c r="L1190" i="16"/>
  <c r="L1189" i="16"/>
  <c r="L1188" i="16"/>
  <c r="L1187" i="16"/>
  <c r="L1186" i="16"/>
  <c r="L1185" i="16"/>
  <c r="L1184" i="16"/>
  <c r="L1183" i="16"/>
  <c r="L1182" i="16"/>
  <c r="L1181" i="16"/>
  <c r="L1180" i="16"/>
  <c r="L1179" i="16"/>
  <c r="L1178" i="16"/>
  <c r="L1177" i="16"/>
  <c r="L1176" i="16"/>
  <c r="L1175" i="16"/>
  <c r="L1174" i="16"/>
  <c r="L1173" i="16"/>
  <c r="L1172" i="16"/>
  <c r="L1171" i="16"/>
  <c r="L1170" i="16"/>
  <c r="L1169" i="16"/>
  <c r="L1168" i="16"/>
  <c r="L1167" i="16"/>
  <c r="L1166" i="16"/>
  <c r="L1165" i="16"/>
  <c r="L1164" i="16"/>
  <c r="L1163" i="16"/>
  <c r="L1162" i="16"/>
  <c r="L1161" i="16"/>
  <c r="L1160" i="16"/>
  <c r="L1159" i="16"/>
  <c r="L1158" i="16"/>
  <c r="L1157" i="16"/>
  <c r="L1156" i="16"/>
  <c r="L1155" i="16"/>
  <c r="L1154" i="16"/>
  <c r="L1153" i="16"/>
  <c r="L1152" i="16"/>
  <c r="L1151" i="16"/>
  <c r="L1150" i="16"/>
  <c r="L1149" i="16"/>
  <c r="L1148" i="16"/>
  <c r="L1147" i="16"/>
  <c r="L1146" i="16"/>
  <c r="L1145" i="16"/>
  <c r="L1144" i="16"/>
  <c r="L1143" i="16"/>
  <c r="L1142" i="16"/>
  <c r="L1141" i="16"/>
  <c r="L1140" i="16"/>
  <c r="L1139" i="16"/>
  <c r="L1138" i="16"/>
  <c r="L1137" i="16"/>
  <c r="L1136" i="16"/>
  <c r="L1135" i="16"/>
  <c r="L1134" i="16"/>
  <c r="L1133" i="16"/>
  <c r="L1132" i="16"/>
  <c r="L1131" i="16"/>
  <c r="L1130" i="16"/>
  <c r="L1129" i="16"/>
  <c r="L1128" i="16"/>
  <c r="L1127" i="16"/>
  <c r="L1126" i="16"/>
  <c r="L1125" i="16"/>
  <c r="L1124" i="16"/>
  <c r="L1123" i="16"/>
  <c r="L1122" i="16"/>
  <c r="L1121" i="16"/>
  <c r="L1120" i="16"/>
  <c r="L1119" i="16"/>
  <c r="L1118" i="16"/>
  <c r="L1117" i="16"/>
  <c r="L1116" i="16"/>
  <c r="L1115" i="16"/>
  <c r="L1114" i="16"/>
  <c r="L1113" i="16"/>
  <c r="L1112" i="16"/>
  <c r="L1111" i="16"/>
  <c r="L1110" i="16"/>
  <c r="L1109" i="16"/>
  <c r="L1108" i="16"/>
  <c r="L1107" i="16"/>
  <c r="L1106" i="16"/>
  <c r="L1105" i="16"/>
  <c r="L1104" i="16"/>
  <c r="L1103" i="16"/>
  <c r="L1102" i="16"/>
  <c r="L1101" i="16"/>
  <c r="L1100" i="16"/>
  <c r="L1099" i="16"/>
  <c r="L1098" i="16"/>
  <c r="L1097" i="16"/>
  <c r="L1096" i="16"/>
  <c r="L1095" i="16"/>
  <c r="L1094" i="16"/>
  <c r="L1093" i="16"/>
  <c r="L1092" i="16"/>
  <c r="L1091" i="16"/>
  <c r="L1090" i="16"/>
  <c r="L1089" i="16"/>
  <c r="L1088" i="16"/>
  <c r="L1087" i="16"/>
  <c r="L1086" i="16"/>
  <c r="L1085" i="16"/>
  <c r="L1084" i="16"/>
  <c r="L1083" i="16"/>
  <c r="L1082" i="16"/>
  <c r="L1081" i="16"/>
  <c r="L1080" i="16"/>
  <c r="L1079" i="16"/>
  <c r="L1078" i="16"/>
  <c r="L1077" i="16"/>
  <c r="L1076" i="16"/>
  <c r="L1075" i="16"/>
  <c r="L1074" i="16"/>
  <c r="L1073" i="16"/>
  <c r="L1072" i="16"/>
  <c r="L1071" i="16"/>
  <c r="L1070" i="16"/>
  <c r="L1069" i="16"/>
  <c r="L1068" i="16"/>
  <c r="L1067" i="16"/>
  <c r="L1066" i="16"/>
  <c r="L1065" i="16"/>
  <c r="L1064" i="16"/>
  <c r="L1063" i="16"/>
  <c r="L1062" i="16"/>
  <c r="L1061" i="16"/>
  <c r="L1060" i="16"/>
  <c r="L1059" i="16"/>
  <c r="L1058" i="16"/>
  <c r="L1057" i="16"/>
  <c r="L1056" i="16"/>
  <c r="L1055" i="16"/>
  <c r="L1054" i="16"/>
  <c r="L1053" i="16"/>
  <c r="L1052" i="16"/>
  <c r="L1051" i="16"/>
  <c r="L1050" i="16"/>
  <c r="L1049" i="16"/>
  <c r="L1048" i="16"/>
  <c r="L1047" i="16"/>
  <c r="L1046" i="16"/>
  <c r="L1045" i="16"/>
  <c r="L1044" i="16"/>
  <c r="L1043" i="16"/>
  <c r="L1042" i="16"/>
  <c r="L1041" i="16"/>
  <c r="L1040" i="16"/>
  <c r="L1039" i="16"/>
  <c r="L1038" i="16"/>
  <c r="L1037" i="16"/>
  <c r="L1036" i="16"/>
  <c r="L1035" i="16"/>
  <c r="L1034" i="16"/>
  <c r="L1033" i="16"/>
  <c r="L1032" i="16"/>
  <c r="L1031" i="16"/>
  <c r="L1030" i="16"/>
  <c r="L1029" i="16"/>
  <c r="L1028" i="16"/>
  <c r="L1027" i="16"/>
  <c r="L1026" i="16"/>
  <c r="L1025" i="16"/>
  <c r="L1024" i="16"/>
  <c r="L1023" i="16"/>
  <c r="L1022" i="16"/>
  <c r="L1021" i="16"/>
  <c r="L1020" i="16"/>
  <c r="L1019" i="16"/>
  <c r="L1018" i="16"/>
  <c r="L1017" i="16"/>
  <c r="L1016" i="16"/>
  <c r="L1015" i="16"/>
  <c r="L1014" i="16"/>
  <c r="L1013" i="16"/>
  <c r="L1012" i="16"/>
  <c r="L1011" i="16"/>
  <c r="L1010" i="16"/>
  <c r="L1009" i="16"/>
  <c r="L1008" i="16"/>
  <c r="L1007" i="16"/>
  <c r="L1006" i="16"/>
  <c r="L1005" i="16"/>
  <c r="L1004" i="16"/>
  <c r="L1003" i="16"/>
  <c r="L1002" i="16"/>
  <c r="L1001" i="16"/>
  <c r="L1000" i="16"/>
  <c r="L999" i="16"/>
  <c r="L998" i="16"/>
  <c r="L997" i="16"/>
  <c r="L996" i="16"/>
  <c r="L995" i="16"/>
  <c r="L994" i="16"/>
  <c r="L993" i="16"/>
  <c r="L992" i="16"/>
  <c r="L991" i="16"/>
  <c r="L990" i="16"/>
  <c r="L989" i="16"/>
  <c r="L988" i="16"/>
  <c r="L987" i="16"/>
  <c r="L986" i="16"/>
  <c r="L985" i="16"/>
  <c r="L984" i="16"/>
  <c r="L983" i="16"/>
  <c r="L982" i="16"/>
  <c r="L981" i="16"/>
  <c r="L980" i="16"/>
  <c r="L979" i="16"/>
  <c r="L978" i="16"/>
  <c r="L977" i="16"/>
  <c r="L976" i="16"/>
  <c r="L975" i="16"/>
  <c r="L974" i="16"/>
  <c r="L973" i="16"/>
  <c r="L972" i="16"/>
  <c r="L971" i="16"/>
  <c r="L970" i="16"/>
  <c r="L969" i="16"/>
  <c r="L968" i="16"/>
  <c r="L967" i="16"/>
  <c r="L966" i="16"/>
  <c r="L965" i="16"/>
  <c r="L964" i="16"/>
  <c r="L963" i="16"/>
  <c r="L962" i="16"/>
  <c r="L961" i="16"/>
  <c r="L960" i="16"/>
  <c r="L959" i="16"/>
  <c r="L958" i="16"/>
  <c r="L957" i="16"/>
  <c r="L956" i="16"/>
  <c r="L955" i="16"/>
  <c r="L954" i="16"/>
  <c r="L953" i="16"/>
  <c r="L952" i="16"/>
  <c r="L951" i="16"/>
  <c r="L950" i="16"/>
  <c r="L949" i="16"/>
  <c r="L948" i="16"/>
  <c r="L947" i="16"/>
  <c r="L946" i="16"/>
  <c r="L945" i="16"/>
  <c r="L944" i="16"/>
  <c r="L943" i="16"/>
  <c r="L942" i="16"/>
  <c r="L941" i="16"/>
  <c r="L940" i="16"/>
  <c r="L939" i="16"/>
  <c r="L938" i="16"/>
  <c r="L937" i="16"/>
  <c r="L936" i="16"/>
  <c r="L935" i="16"/>
  <c r="L934" i="16"/>
  <c r="L933" i="16"/>
  <c r="L932" i="16"/>
  <c r="L931" i="16"/>
  <c r="L930" i="16"/>
  <c r="L929" i="16"/>
  <c r="L928" i="16"/>
  <c r="L927" i="16"/>
  <c r="L926" i="16"/>
  <c r="L925" i="16"/>
  <c r="L924" i="16"/>
  <c r="L923" i="16"/>
  <c r="L922" i="16"/>
  <c r="L921" i="16"/>
  <c r="L920" i="16"/>
  <c r="L919" i="16"/>
  <c r="L918" i="16"/>
  <c r="L917" i="16"/>
  <c r="L916" i="16"/>
  <c r="L915" i="16"/>
  <c r="L914" i="16"/>
  <c r="L913" i="16"/>
  <c r="L912" i="16"/>
  <c r="L911" i="16"/>
  <c r="L910" i="16"/>
  <c r="L909" i="16"/>
  <c r="L908" i="16"/>
  <c r="L907" i="16"/>
  <c r="L906" i="16"/>
  <c r="L905" i="16"/>
  <c r="L904" i="16"/>
  <c r="L903" i="16"/>
  <c r="L902" i="16"/>
  <c r="L901" i="16"/>
  <c r="L900" i="16"/>
  <c r="L899" i="16"/>
  <c r="L898" i="16"/>
  <c r="L897" i="16"/>
  <c r="L896" i="16"/>
  <c r="L895" i="16"/>
  <c r="L894" i="16"/>
  <c r="L893" i="16"/>
  <c r="L892" i="16"/>
  <c r="L891" i="16"/>
  <c r="L890" i="16"/>
  <c r="L889" i="16"/>
  <c r="L888" i="16"/>
  <c r="L887" i="16"/>
  <c r="L886" i="16"/>
  <c r="L885" i="16"/>
  <c r="L884" i="16"/>
  <c r="L883" i="16"/>
  <c r="L882" i="16"/>
  <c r="L881" i="16"/>
  <c r="L880" i="16"/>
  <c r="L879" i="16"/>
  <c r="L878" i="16"/>
  <c r="L877" i="16"/>
  <c r="L876" i="16"/>
  <c r="L875" i="16"/>
  <c r="L874" i="16"/>
  <c r="L873" i="16"/>
  <c r="L872" i="16"/>
  <c r="L871" i="16"/>
  <c r="L870" i="16"/>
  <c r="L869" i="16"/>
  <c r="L868" i="16"/>
  <c r="L867" i="16"/>
  <c r="L866" i="16"/>
  <c r="L865" i="16"/>
  <c r="L864" i="16"/>
  <c r="L863" i="16"/>
  <c r="L862" i="16"/>
  <c r="L861" i="16"/>
  <c r="L860" i="16"/>
  <c r="L859" i="16"/>
  <c r="L858" i="16"/>
  <c r="L857" i="16"/>
  <c r="L856" i="16"/>
  <c r="L855" i="16"/>
  <c r="L854" i="16"/>
  <c r="L853" i="16"/>
  <c r="L852" i="16"/>
  <c r="L851" i="16"/>
  <c r="L850" i="16"/>
  <c r="L849" i="16"/>
  <c r="L848" i="16"/>
  <c r="L847" i="16"/>
  <c r="L846" i="16"/>
  <c r="L845" i="16"/>
  <c r="L844" i="16"/>
  <c r="L843" i="16"/>
  <c r="L842" i="16"/>
  <c r="L841" i="16"/>
  <c r="L840" i="16"/>
  <c r="L839" i="16"/>
  <c r="L838" i="16"/>
  <c r="L837" i="16"/>
  <c r="L836" i="16"/>
  <c r="L835" i="16"/>
  <c r="L834" i="16"/>
  <c r="L833" i="16"/>
  <c r="L832" i="16"/>
  <c r="L831" i="16"/>
  <c r="L830" i="16"/>
  <c r="L829" i="16"/>
  <c r="L828" i="16"/>
  <c r="L827" i="16"/>
  <c r="L826" i="16"/>
  <c r="L825" i="16"/>
  <c r="L824" i="16"/>
  <c r="L823" i="16"/>
  <c r="L822" i="16"/>
  <c r="L821" i="16"/>
  <c r="L820" i="16"/>
  <c r="L819" i="16"/>
  <c r="L818" i="16"/>
  <c r="L817" i="16"/>
  <c r="L816" i="16"/>
  <c r="L815" i="16"/>
  <c r="L814" i="16"/>
  <c r="L813" i="16"/>
  <c r="L812" i="16"/>
  <c r="L811" i="16"/>
  <c r="L810" i="16"/>
  <c r="L809" i="16"/>
  <c r="L808" i="16"/>
  <c r="L807" i="16"/>
  <c r="L806" i="16"/>
  <c r="L805" i="16"/>
  <c r="L804" i="16"/>
  <c r="L803" i="16"/>
  <c r="L802" i="16"/>
  <c r="L801" i="16"/>
  <c r="L800" i="16"/>
  <c r="L799" i="16"/>
  <c r="L798" i="16"/>
  <c r="L797" i="16"/>
  <c r="L796" i="16"/>
  <c r="L795" i="16"/>
  <c r="L794" i="16"/>
  <c r="L793" i="16"/>
  <c r="L792" i="16"/>
  <c r="L791" i="16"/>
  <c r="L790" i="16"/>
  <c r="L789" i="16"/>
  <c r="L788" i="16"/>
  <c r="L787" i="16"/>
  <c r="L786" i="16"/>
  <c r="L785" i="16"/>
  <c r="L784" i="16"/>
  <c r="L783" i="16"/>
  <c r="L782" i="16"/>
  <c r="L781" i="16"/>
  <c r="L780" i="16"/>
  <c r="L779" i="16"/>
  <c r="L778" i="16"/>
  <c r="L777" i="16"/>
  <c r="L776" i="16"/>
  <c r="L775" i="16"/>
  <c r="L774" i="16"/>
  <c r="L773" i="16"/>
  <c r="L772" i="16"/>
  <c r="L771" i="16"/>
  <c r="L770" i="16"/>
  <c r="L769" i="16"/>
  <c r="L768" i="16"/>
  <c r="L767" i="16"/>
  <c r="L766" i="16"/>
  <c r="L765" i="16"/>
  <c r="L764" i="16"/>
  <c r="L763" i="16"/>
  <c r="L762" i="16"/>
  <c r="L761" i="16"/>
  <c r="L760" i="16"/>
  <c r="L759" i="16"/>
  <c r="L758" i="16"/>
  <c r="L757" i="16"/>
  <c r="L756" i="16"/>
  <c r="L755" i="16"/>
  <c r="L754" i="16"/>
  <c r="L753" i="16"/>
  <c r="L752" i="16"/>
  <c r="L751" i="16"/>
  <c r="L750" i="16"/>
  <c r="L749" i="16"/>
  <c r="L748" i="16"/>
  <c r="L747" i="16"/>
  <c r="L746" i="16"/>
  <c r="L745" i="16"/>
  <c r="L744" i="16"/>
  <c r="L743" i="16"/>
  <c r="L742" i="16"/>
  <c r="L741" i="16"/>
  <c r="L740" i="16"/>
  <c r="L739" i="16"/>
  <c r="L738" i="16"/>
  <c r="L737" i="16"/>
  <c r="L736" i="16"/>
  <c r="L735" i="16"/>
  <c r="L734" i="16"/>
  <c r="L733" i="16"/>
  <c r="L732" i="16"/>
  <c r="L731" i="16"/>
  <c r="L730" i="16"/>
  <c r="L729" i="16"/>
  <c r="L728" i="16"/>
  <c r="L727" i="16"/>
  <c r="L726" i="16"/>
  <c r="L725" i="16"/>
  <c r="L724" i="16"/>
  <c r="L723" i="16"/>
  <c r="L722" i="16"/>
  <c r="L721" i="16"/>
  <c r="L720" i="16"/>
  <c r="L719" i="16"/>
  <c r="L718" i="16"/>
  <c r="L717" i="16"/>
  <c r="L716" i="16"/>
  <c r="L715" i="16"/>
  <c r="L714" i="16"/>
  <c r="L713" i="16"/>
  <c r="L712" i="16"/>
  <c r="L711" i="16"/>
  <c r="L710" i="16"/>
  <c r="L709" i="16"/>
  <c r="L708" i="16"/>
  <c r="L707" i="16"/>
  <c r="L706" i="16"/>
  <c r="L705" i="16"/>
  <c r="L704" i="16"/>
  <c r="L703" i="16"/>
  <c r="L702" i="16"/>
  <c r="L701" i="16"/>
  <c r="L700" i="16"/>
  <c r="L699" i="16"/>
  <c r="L698" i="16"/>
  <c r="L697" i="16"/>
  <c r="L696" i="16"/>
  <c r="L695" i="16"/>
  <c r="L694" i="16"/>
  <c r="L693" i="16"/>
  <c r="L692" i="16"/>
  <c r="L691" i="16"/>
  <c r="L690" i="16"/>
  <c r="L689" i="16"/>
  <c r="L688" i="16"/>
  <c r="L687" i="16"/>
  <c r="L686" i="16"/>
  <c r="L685" i="16"/>
  <c r="L684" i="16"/>
  <c r="L683" i="16"/>
  <c r="L682" i="16"/>
  <c r="L681" i="16"/>
  <c r="L680" i="16"/>
  <c r="L679" i="16"/>
  <c r="L678" i="16"/>
  <c r="L677" i="16"/>
  <c r="L676" i="16"/>
  <c r="L675" i="16"/>
  <c r="L674" i="16"/>
  <c r="L673" i="16"/>
  <c r="L672" i="16"/>
  <c r="L671" i="16"/>
  <c r="L670" i="16"/>
  <c r="L669" i="16"/>
  <c r="L668" i="16"/>
  <c r="L667" i="16"/>
  <c r="L666" i="16"/>
  <c r="L665" i="16"/>
  <c r="L664" i="16"/>
  <c r="L663" i="16"/>
  <c r="L662" i="16"/>
  <c r="L661" i="16"/>
  <c r="L660" i="16"/>
  <c r="L659" i="16"/>
  <c r="L658" i="16"/>
  <c r="L657" i="16"/>
  <c r="L656" i="16"/>
  <c r="L655" i="16"/>
  <c r="L654" i="16"/>
  <c r="L653" i="16"/>
  <c r="L652" i="16"/>
  <c r="L651" i="16"/>
  <c r="L650" i="16"/>
  <c r="L649" i="16"/>
  <c r="L648" i="16"/>
  <c r="L647" i="16"/>
  <c r="L646" i="16"/>
  <c r="L645" i="16"/>
  <c r="L644" i="16"/>
  <c r="L643" i="16"/>
  <c r="L642" i="16"/>
  <c r="L641" i="16"/>
  <c r="L640" i="16"/>
  <c r="L639" i="16"/>
  <c r="L638" i="16"/>
  <c r="L637" i="16"/>
  <c r="L636" i="16"/>
  <c r="L635" i="16"/>
  <c r="L634" i="16"/>
  <c r="L633" i="16"/>
  <c r="L632" i="16"/>
  <c r="L631" i="16"/>
  <c r="L630" i="16"/>
  <c r="L629" i="16"/>
  <c r="L628" i="16"/>
  <c r="L627" i="16"/>
  <c r="L626" i="16"/>
  <c r="L625" i="16"/>
  <c r="L624" i="16"/>
  <c r="L623" i="16"/>
  <c r="L622" i="16"/>
  <c r="L621" i="16"/>
  <c r="L620" i="16"/>
  <c r="L619" i="16"/>
  <c r="L618" i="16"/>
  <c r="L617" i="16"/>
  <c r="L616" i="16"/>
  <c r="L615" i="16"/>
  <c r="L614" i="16"/>
  <c r="L613" i="16"/>
  <c r="L612" i="16"/>
  <c r="L611" i="16"/>
  <c r="L610" i="16"/>
  <c r="L609" i="16"/>
  <c r="L608" i="16"/>
  <c r="L607" i="16"/>
  <c r="L606" i="16"/>
  <c r="L605" i="16"/>
  <c r="L604" i="16"/>
  <c r="L603" i="16"/>
  <c r="L602" i="16"/>
  <c r="L601" i="16"/>
  <c r="L600" i="16"/>
  <c r="L599" i="16"/>
  <c r="L598" i="16"/>
  <c r="L597" i="16"/>
  <c r="L596" i="16"/>
  <c r="L595" i="16"/>
  <c r="L594" i="16"/>
  <c r="L593" i="16"/>
  <c r="L592" i="16"/>
  <c r="L591" i="16"/>
  <c r="L590" i="16"/>
  <c r="L589" i="16"/>
  <c r="L588" i="16"/>
  <c r="L587" i="16"/>
  <c r="L586" i="16"/>
  <c r="L585" i="16"/>
  <c r="L584" i="16"/>
  <c r="L583" i="16"/>
  <c r="L582" i="16"/>
  <c r="L581" i="16"/>
  <c r="L580" i="16"/>
  <c r="L579" i="16"/>
  <c r="L578" i="16"/>
  <c r="L577" i="16"/>
  <c r="L576" i="16"/>
  <c r="L575" i="16"/>
  <c r="L574" i="16"/>
  <c r="L573" i="16"/>
  <c r="L572" i="16"/>
  <c r="L571" i="16"/>
  <c r="L570" i="16"/>
  <c r="L569" i="16"/>
  <c r="L568" i="16"/>
  <c r="L567" i="16"/>
  <c r="L566" i="16"/>
  <c r="L565" i="16"/>
  <c r="L564" i="16"/>
  <c r="L563" i="16"/>
  <c r="L562" i="16"/>
  <c r="L561" i="16"/>
  <c r="L560" i="16"/>
  <c r="L559" i="16"/>
  <c r="L558" i="16"/>
  <c r="L557" i="16"/>
  <c r="L556" i="16"/>
  <c r="L555" i="16"/>
  <c r="L554" i="16"/>
  <c r="L553" i="16"/>
  <c r="L552" i="16"/>
  <c r="L551" i="16"/>
  <c r="L550" i="16"/>
  <c r="L549" i="16"/>
  <c r="L548" i="16"/>
  <c r="L547" i="16"/>
  <c r="L546" i="16"/>
  <c r="L545" i="16"/>
  <c r="L544" i="16"/>
  <c r="L543" i="16"/>
  <c r="L542" i="16"/>
  <c r="L541" i="16"/>
  <c r="L540" i="16"/>
  <c r="L539" i="16"/>
  <c r="L538" i="16"/>
  <c r="L537" i="16"/>
  <c r="L536" i="16"/>
  <c r="L535" i="16"/>
  <c r="L534" i="16"/>
  <c r="L533" i="16"/>
  <c r="L532" i="16"/>
  <c r="L531" i="16"/>
  <c r="L530" i="16"/>
  <c r="L529" i="16"/>
  <c r="L528" i="16"/>
  <c r="L527" i="16"/>
  <c r="L526" i="16"/>
  <c r="L525" i="16"/>
  <c r="L524" i="16"/>
  <c r="L523" i="16"/>
  <c r="L522" i="16"/>
  <c r="L521" i="16"/>
  <c r="L520" i="16"/>
  <c r="L519" i="16"/>
  <c r="L518" i="16"/>
  <c r="L517" i="16"/>
  <c r="L516" i="16"/>
  <c r="L515" i="16"/>
  <c r="L514" i="16"/>
  <c r="L513" i="16"/>
  <c r="L512" i="16"/>
  <c r="L511" i="16"/>
  <c r="L510" i="16"/>
  <c r="L509" i="16"/>
  <c r="L508" i="16"/>
  <c r="L507" i="16"/>
  <c r="L506" i="16"/>
  <c r="L505" i="16"/>
  <c r="L504" i="16"/>
  <c r="L503" i="16"/>
  <c r="L502" i="16"/>
  <c r="L501" i="16"/>
  <c r="L500" i="16"/>
  <c r="L499" i="16"/>
  <c r="L498" i="16"/>
  <c r="L497" i="16"/>
  <c r="L496" i="16"/>
  <c r="L495" i="16"/>
  <c r="L494" i="16"/>
  <c r="L493" i="16"/>
  <c r="L492" i="16"/>
  <c r="L491" i="16"/>
  <c r="L490" i="16"/>
  <c r="L489" i="16"/>
  <c r="L488" i="16"/>
  <c r="L487" i="16"/>
  <c r="L486" i="16"/>
  <c r="L485" i="16"/>
  <c r="L484" i="16"/>
  <c r="L483" i="16"/>
  <c r="L482" i="16"/>
  <c r="L481" i="16"/>
  <c r="L480" i="16"/>
  <c r="L479" i="16"/>
  <c r="L478" i="16"/>
  <c r="L477" i="16"/>
  <c r="L476" i="16"/>
  <c r="L475" i="16"/>
  <c r="L474" i="16"/>
  <c r="L473" i="16"/>
  <c r="L472" i="16"/>
  <c r="L471" i="16"/>
  <c r="L470" i="16"/>
  <c r="L469" i="16"/>
  <c r="L468" i="16"/>
  <c r="L467" i="16"/>
  <c r="L466" i="16"/>
  <c r="L465" i="16"/>
  <c r="L464" i="16"/>
  <c r="L463" i="16"/>
  <c r="L462" i="16"/>
  <c r="L461" i="16"/>
  <c r="L460" i="16"/>
  <c r="L459" i="16"/>
  <c r="L458" i="16"/>
  <c r="L457" i="16"/>
  <c r="L456" i="16"/>
  <c r="L455" i="16"/>
  <c r="L454" i="16"/>
  <c r="L453" i="16"/>
  <c r="L452" i="16"/>
  <c r="L451" i="16"/>
  <c r="L450" i="16"/>
  <c r="L449" i="16"/>
  <c r="L448" i="16"/>
  <c r="L447" i="16"/>
  <c r="L446" i="16"/>
  <c r="L445" i="16"/>
  <c r="L444" i="16"/>
  <c r="L443" i="16"/>
  <c r="L442" i="16"/>
  <c r="L441" i="16"/>
  <c r="L440" i="16"/>
  <c r="L439" i="16"/>
  <c r="L438" i="16"/>
  <c r="L437" i="16"/>
  <c r="L436" i="16"/>
  <c r="L435" i="16"/>
  <c r="L434" i="16"/>
  <c r="L433" i="16"/>
  <c r="L432" i="16"/>
  <c r="L431" i="16"/>
  <c r="L430" i="16"/>
  <c r="L429" i="16"/>
  <c r="L428" i="16"/>
  <c r="L427" i="16"/>
  <c r="L426" i="16"/>
  <c r="L425" i="16"/>
  <c r="L424" i="16"/>
  <c r="L423" i="16"/>
  <c r="L422" i="16"/>
  <c r="L421" i="16"/>
  <c r="L420" i="16"/>
  <c r="L419" i="16"/>
  <c r="L418" i="16"/>
  <c r="L417" i="16"/>
  <c r="L416" i="16"/>
  <c r="L415" i="16"/>
  <c r="L414" i="16"/>
  <c r="L413" i="16"/>
  <c r="L412" i="16"/>
  <c r="L411" i="16"/>
  <c r="L410" i="16"/>
  <c r="L409" i="16"/>
  <c r="L408" i="16"/>
  <c r="L407" i="16"/>
  <c r="L406" i="16"/>
  <c r="L405" i="16"/>
  <c r="L404" i="16"/>
  <c r="L403" i="16"/>
  <c r="L402" i="16"/>
  <c r="L401" i="16"/>
  <c r="L400" i="16"/>
  <c r="L399" i="16"/>
  <c r="L398" i="16"/>
  <c r="L397" i="16"/>
  <c r="L396" i="16"/>
  <c r="L395" i="16"/>
  <c r="L394" i="16"/>
  <c r="L393" i="16"/>
  <c r="L392" i="16"/>
  <c r="L391" i="16"/>
  <c r="L390" i="16"/>
  <c r="L389" i="16"/>
  <c r="L388" i="16"/>
  <c r="L387" i="16"/>
  <c r="L386" i="16"/>
  <c r="L385" i="16"/>
  <c r="L384" i="16"/>
  <c r="L383" i="16"/>
  <c r="L382" i="16"/>
  <c r="L381" i="16"/>
  <c r="L380" i="16"/>
  <c r="L379" i="16"/>
  <c r="L378" i="16"/>
  <c r="L377" i="16"/>
  <c r="L376" i="16"/>
  <c r="L375" i="16"/>
  <c r="L374" i="16"/>
  <c r="L373" i="16"/>
  <c r="L372" i="16"/>
  <c r="L371" i="16"/>
  <c r="L370" i="16"/>
  <c r="L369" i="16"/>
  <c r="L368" i="16"/>
  <c r="L367" i="16"/>
  <c r="L366" i="16"/>
  <c r="L365" i="16"/>
  <c r="L364" i="16"/>
  <c r="L363" i="16"/>
  <c r="L362" i="16"/>
  <c r="L361" i="16"/>
  <c r="L360" i="16"/>
  <c r="L359" i="16"/>
  <c r="L358" i="16"/>
  <c r="L357" i="16"/>
  <c r="L356" i="16"/>
  <c r="L355" i="16"/>
  <c r="L354" i="16"/>
  <c r="L353" i="16"/>
  <c r="L352" i="16"/>
  <c r="L351" i="16"/>
  <c r="L350" i="16"/>
  <c r="L349" i="16"/>
  <c r="L348" i="16"/>
  <c r="L347" i="16"/>
  <c r="L346" i="16"/>
  <c r="L345" i="16"/>
  <c r="L344" i="16"/>
  <c r="L343" i="16"/>
  <c r="L342" i="16"/>
  <c r="L341" i="16"/>
  <c r="L340" i="16"/>
  <c r="L339" i="16"/>
  <c r="L338" i="16"/>
  <c r="L337" i="16"/>
  <c r="L336" i="16"/>
  <c r="L335" i="16"/>
  <c r="L334" i="16"/>
  <c r="L333" i="16"/>
  <c r="L332" i="16"/>
  <c r="L331" i="16"/>
  <c r="L330" i="16"/>
  <c r="L329" i="16"/>
  <c r="L328" i="16"/>
  <c r="L327" i="16"/>
  <c r="L326" i="16"/>
  <c r="L325" i="16"/>
  <c r="L324" i="16"/>
  <c r="L323" i="16"/>
  <c r="L322" i="16"/>
  <c r="L321" i="16"/>
  <c r="L320" i="16"/>
  <c r="L319" i="16"/>
  <c r="L318" i="16"/>
  <c r="L317" i="16"/>
  <c r="L316" i="16"/>
  <c r="L315" i="16"/>
  <c r="L314" i="16"/>
  <c r="L313" i="16"/>
  <c r="L312" i="16"/>
  <c r="L311" i="16"/>
  <c r="L310" i="16"/>
  <c r="L309" i="16"/>
  <c r="L308" i="16"/>
  <c r="L307" i="16"/>
  <c r="L306" i="16"/>
  <c r="L305" i="16"/>
  <c r="L304" i="16"/>
  <c r="L303" i="16"/>
  <c r="L302" i="16"/>
  <c r="L301" i="16"/>
  <c r="L300" i="16"/>
  <c r="L299" i="16"/>
  <c r="L298" i="16"/>
  <c r="L297" i="16"/>
  <c r="L296" i="16"/>
  <c r="L295" i="16"/>
  <c r="L294" i="16"/>
  <c r="L293" i="16"/>
  <c r="L292" i="16"/>
  <c r="L291" i="16"/>
  <c r="L290" i="16"/>
  <c r="L289" i="16"/>
  <c r="L288" i="16"/>
  <c r="L287" i="16"/>
  <c r="L286" i="16"/>
  <c r="L285" i="16"/>
  <c r="L284" i="16"/>
  <c r="L283" i="16"/>
  <c r="L282" i="16"/>
  <c r="L281" i="16"/>
  <c r="L280" i="16"/>
  <c r="L279" i="16"/>
  <c r="L278" i="16"/>
  <c r="L277" i="16"/>
  <c r="L276" i="16"/>
  <c r="L275" i="16"/>
  <c r="L274" i="16"/>
  <c r="L273" i="16"/>
  <c r="L272" i="16"/>
  <c r="L271" i="16"/>
  <c r="L270" i="16"/>
  <c r="L269" i="16"/>
  <c r="L268" i="16"/>
  <c r="L267" i="16"/>
  <c r="L266" i="16"/>
  <c r="L265" i="16"/>
  <c r="L264" i="16"/>
  <c r="L263" i="16"/>
  <c r="L262" i="16"/>
  <c r="L261" i="16"/>
  <c r="L260" i="16"/>
  <c r="L259" i="16"/>
  <c r="L258" i="16"/>
  <c r="L257" i="16"/>
  <c r="L256" i="16"/>
  <c r="L255" i="16"/>
  <c r="L254" i="16"/>
  <c r="L253" i="16"/>
  <c r="L252" i="16"/>
  <c r="L251" i="16"/>
  <c r="L250" i="16"/>
  <c r="L249" i="16"/>
  <c r="L248" i="16"/>
  <c r="L247" i="16"/>
  <c r="L246" i="16"/>
  <c r="L245" i="16"/>
  <c r="L244" i="16"/>
  <c r="L243" i="16"/>
  <c r="L242" i="16"/>
  <c r="L241" i="16"/>
  <c r="L240" i="16"/>
  <c r="L239" i="16"/>
  <c r="L238" i="16"/>
  <c r="L237" i="16"/>
  <c r="L236" i="16"/>
  <c r="L235" i="16"/>
  <c r="L234" i="16"/>
  <c r="L233" i="16"/>
  <c r="L232" i="16"/>
  <c r="L231" i="16"/>
  <c r="L230" i="16"/>
  <c r="L229" i="16"/>
  <c r="L228" i="16"/>
  <c r="L227" i="16"/>
  <c r="L226" i="16"/>
  <c r="L225" i="16"/>
  <c r="L224" i="16"/>
  <c r="L223" i="16"/>
  <c r="L222" i="16"/>
  <c r="L221" i="16"/>
  <c r="L220" i="16"/>
  <c r="L219" i="16"/>
  <c r="L218" i="16"/>
  <c r="L217" i="16"/>
  <c r="L216" i="16"/>
  <c r="L215" i="16"/>
  <c r="L214" i="16"/>
  <c r="L213" i="16"/>
  <c r="L212" i="16"/>
  <c r="L211" i="16"/>
  <c r="L210" i="16"/>
  <c r="L209" i="16"/>
  <c r="L208" i="16"/>
  <c r="L207" i="16"/>
  <c r="L206" i="16"/>
  <c r="L205" i="16"/>
  <c r="L204" i="16"/>
  <c r="L203" i="16"/>
  <c r="L202" i="16"/>
  <c r="L201" i="16"/>
  <c r="L200" i="16"/>
  <c r="L199" i="16"/>
  <c r="L198" i="16"/>
  <c r="L197" i="16"/>
  <c r="L196" i="16"/>
  <c r="L195" i="16"/>
  <c r="L194" i="16"/>
  <c r="L193" i="16"/>
  <c r="L192" i="16"/>
  <c r="L191" i="16"/>
  <c r="L190" i="16"/>
  <c r="L189" i="16"/>
  <c r="L188" i="16"/>
  <c r="L187" i="16"/>
  <c r="L186" i="16"/>
  <c r="L185" i="16"/>
  <c r="L184" i="16"/>
  <c r="L183" i="16"/>
  <c r="L182" i="16"/>
  <c r="L181" i="16"/>
  <c r="L180" i="16"/>
  <c r="L179" i="16"/>
  <c r="L178" i="16"/>
  <c r="L177" i="16"/>
  <c r="L176" i="16"/>
  <c r="L175" i="16"/>
  <c r="L174" i="16"/>
  <c r="L173" i="16"/>
  <c r="L172" i="16"/>
  <c r="L171" i="16"/>
  <c r="L170" i="16"/>
  <c r="L169" i="16"/>
  <c r="L168" i="16"/>
  <c r="L167" i="16"/>
  <c r="L166" i="16"/>
  <c r="L165" i="16"/>
  <c r="L164" i="16"/>
  <c r="L163" i="16"/>
  <c r="L162" i="16"/>
  <c r="L161" i="16"/>
  <c r="L160" i="16"/>
  <c r="L159" i="16"/>
  <c r="L158" i="16"/>
  <c r="L157" i="16"/>
  <c r="L156" i="16"/>
  <c r="L155" i="16"/>
  <c r="L154" i="16"/>
  <c r="L153" i="16"/>
  <c r="L152" i="16"/>
  <c r="L151" i="16"/>
  <c r="L150" i="16"/>
  <c r="L149" i="16"/>
  <c r="L148" i="16"/>
  <c r="L147" i="16"/>
  <c r="L146" i="16"/>
  <c r="L145" i="16"/>
  <c r="L144" i="16"/>
  <c r="L143" i="16"/>
  <c r="L142" i="16"/>
  <c r="L141" i="16"/>
  <c r="L140" i="16"/>
  <c r="L139" i="16"/>
  <c r="L138" i="16"/>
  <c r="L137" i="16"/>
  <c r="L136" i="16"/>
  <c r="L135" i="16"/>
  <c r="L134" i="16"/>
  <c r="L133" i="16"/>
  <c r="L132" i="16"/>
  <c r="L131" i="16"/>
  <c r="L130" i="16"/>
  <c r="L129" i="16"/>
  <c r="L128" i="16"/>
  <c r="L127" i="16"/>
  <c r="L126" i="16"/>
  <c r="L125" i="16"/>
  <c r="L124" i="16"/>
  <c r="L123" i="16"/>
  <c r="L122" i="16"/>
  <c r="L121" i="16"/>
  <c r="L120" i="16"/>
  <c r="L119" i="16"/>
  <c r="L118" i="16"/>
  <c r="L117" i="16"/>
  <c r="L116" i="16"/>
  <c r="L115" i="16"/>
  <c r="L114" i="16"/>
  <c r="L113" i="16"/>
  <c r="L112" i="16"/>
  <c r="L111" i="16"/>
  <c r="L110" i="16"/>
  <c r="L109" i="16"/>
  <c r="L108" i="16"/>
  <c r="L107" i="16"/>
  <c r="L106" i="16"/>
  <c r="L105" i="16"/>
  <c r="L104" i="16"/>
  <c r="L103" i="16"/>
  <c r="L102" i="16"/>
  <c r="L101" i="16"/>
  <c r="L100" i="16"/>
  <c r="L99" i="16"/>
  <c r="L98" i="16"/>
  <c r="L97" i="16"/>
  <c r="L96" i="16"/>
  <c r="L95" i="16"/>
  <c r="L94" i="16"/>
  <c r="L93" i="16"/>
  <c r="L92" i="16"/>
  <c r="L91" i="16"/>
  <c r="L90" i="16"/>
  <c r="L89" i="16"/>
  <c r="L88" i="16"/>
  <c r="L87" i="16"/>
  <c r="L86" i="16"/>
  <c r="L85" i="16"/>
  <c r="L84" i="16"/>
  <c r="L83" i="16"/>
  <c r="L82" i="16"/>
  <c r="L81" i="16"/>
  <c r="L80" i="16"/>
  <c r="L79" i="16"/>
  <c r="L78" i="16"/>
  <c r="L77"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0" i="16"/>
  <c r="L9" i="16"/>
  <c r="L8" i="16"/>
  <c r="L7" i="16"/>
  <c r="L6" i="16"/>
  <c r="L5" i="16"/>
  <c r="L4" i="16"/>
  <c r="C1" i="16" a="1"/>
  <c r="C1" i="16" s="1"/>
  <c r="F2" i="15" l="1"/>
  <c r="L1343" i="15"/>
  <c r="L1342" i="15"/>
  <c r="L1341" i="15"/>
  <c r="L1340" i="15"/>
  <c r="L1339" i="15"/>
  <c r="L1338" i="15"/>
  <c r="L1337" i="15"/>
  <c r="L1336" i="15"/>
  <c r="L1335" i="15"/>
  <c r="L1334" i="15"/>
  <c r="L1333" i="15"/>
  <c r="L1332" i="15"/>
  <c r="L1331" i="15"/>
  <c r="L1330" i="15"/>
  <c r="L1329" i="15"/>
  <c r="L1328" i="15"/>
  <c r="L1327" i="15"/>
  <c r="L1326" i="15"/>
  <c r="L1325" i="15"/>
  <c r="L1324" i="15"/>
  <c r="L1323" i="15"/>
  <c r="L1322" i="15"/>
  <c r="L1321" i="15"/>
  <c r="L1320" i="15"/>
  <c r="L1319" i="15"/>
  <c r="L1318" i="15"/>
  <c r="L1317" i="15"/>
  <c r="L1316" i="15"/>
  <c r="L1315" i="15"/>
  <c r="L1314" i="15"/>
  <c r="L1313" i="15"/>
  <c r="L1312" i="15"/>
  <c r="L1311" i="15"/>
  <c r="L1310" i="15"/>
  <c r="L1309" i="15"/>
  <c r="L1308" i="15"/>
  <c r="L1307" i="15"/>
  <c r="L1306" i="15"/>
  <c r="L1305" i="15"/>
  <c r="L1304" i="15"/>
  <c r="L1303" i="15"/>
  <c r="L1302" i="15"/>
  <c r="L1301" i="15"/>
  <c r="L1300" i="15"/>
  <c r="L1299" i="15"/>
  <c r="L1298" i="15"/>
  <c r="L1297" i="15"/>
  <c r="L1296" i="15"/>
  <c r="L1295" i="15"/>
  <c r="L1294" i="15"/>
  <c r="L1293" i="15"/>
  <c r="L1292" i="15"/>
  <c r="L1291" i="15"/>
  <c r="L1290" i="15"/>
  <c r="L1289" i="15"/>
  <c r="L1288" i="15"/>
  <c r="L1287" i="15"/>
  <c r="L1286" i="15"/>
  <c r="L1285" i="15"/>
  <c r="L1284" i="15"/>
  <c r="L1283" i="15"/>
  <c r="L1282" i="15"/>
  <c r="L1281" i="15"/>
  <c r="L1280" i="15"/>
  <c r="L1279" i="15"/>
  <c r="L1278" i="15"/>
  <c r="L1277" i="15"/>
  <c r="L1276" i="15"/>
  <c r="L1275" i="15"/>
  <c r="L1274" i="15"/>
  <c r="L1273" i="15"/>
  <c r="L1272" i="15"/>
  <c r="L1271" i="15"/>
  <c r="L1270" i="15"/>
  <c r="L1269" i="15"/>
  <c r="L1268" i="15"/>
  <c r="L1267" i="15"/>
  <c r="L1266" i="15"/>
  <c r="L1265" i="15"/>
  <c r="L1264" i="15"/>
  <c r="L1263" i="15"/>
  <c r="L1262" i="15"/>
  <c r="L1261" i="15"/>
  <c r="L1260" i="15"/>
  <c r="L1259" i="15"/>
  <c r="L1258" i="15"/>
  <c r="L1257" i="15"/>
  <c r="L1256" i="15"/>
  <c r="L1255" i="15"/>
  <c r="L1254" i="15"/>
  <c r="L1253" i="15"/>
  <c r="L1252" i="15"/>
  <c r="L1251" i="15"/>
  <c r="L1250" i="15"/>
  <c r="L1249" i="15"/>
  <c r="L1248" i="15"/>
  <c r="L1247" i="15"/>
  <c r="L1246" i="15"/>
  <c r="L1245" i="15"/>
  <c r="L1244" i="15"/>
  <c r="L1243" i="15"/>
  <c r="L1242" i="15"/>
  <c r="L1241" i="15"/>
  <c r="L1240" i="15"/>
  <c r="L1239" i="15"/>
  <c r="L1238" i="15"/>
  <c r="L1237" i="15"/>
  <c r="L1236" i="15"/>
  <c r="L1235" i="15"/>
  <c r="L1234" i="15"/>
  <c r="L1233" i="15"/>
  <c r="L1232" i="15"/>
  <c r="L1231" i="15"/>
  <c r="L1230" i="15"/>
  <c r="L1229" i="15"/>
  <c r="L1228" i="15"/>
  <c r="L1227" i="15"/>
  <c r="L1226" i="15"/>
  <c r="L1225" i="15"/>
  <c r="L1224" i="15"/>
  <c r="L1223" i="15"/>
  <c r="L1222" i="15"/>
  <c r="L1221" i="15"/>
  <c r="L1220" i="15"/>
  <c r="L1219" i="15"/>
  <c r="L1218" i="15"/>
  <c r="L1217" i="15"/>
  <c r="L1216" i="15"/>
  <c r="L1215" i="15"/>
  <c r="L1214" i="15"/>
  <c r="L1213" i="15"/>
  <c r="L1212" i="15"/>
  <c r="L1211" i="15"/>
  <c r="L1210" i="15"/>
  <c r="L1209" i="15"/>
  <c r="L1208" i="15"/>
  <c r="L1207" i="15"/>
  <c r="L1206" i="15"/>
  <c r="L1205" i="15"/>
  <c r="L1204" i="15"/>
  <c r="L1203" i="15"/>
  <c r="L1202" i="15"/>
  <c r="L1201" i="15"/>
  <c r="L1200" i="15"/>
  <c r="L1199" i="15"/>
  <c r="L1198" i="15"/>
  <c r="L1197" i="15"/>
  <c r="L1196" i="15"/>
  <c r="L1195" i="15"/>
  <c r="L1194" i="15"/>
  <c r="L1193" i="15"/>
  <c r="L1192" i="15"/>
  <c r="L1191" i="15"/>
  <c r="L1190" i="15"/>
  <c r="L1189" i="15"/>
  <c r="L1188" i="15"/>
  <c r="L1187" i="15"/>
  <c r="L1186" i="15"/>
  <c r="L1185" i="15"/>
  <c r="L1184" i="15"/>
  <c r="L1183" i="15"/>
  <c r="L1182" i="15"/>
  <c r="L1181" i="15"/>
  <c r="L1180" i="15"/>
  <c r="L1179" i="15"/>
  <c r="L1178" i="15"/>
  <c r="L1177" i="15"/>
  <c r="L1176" i="15"/>
  <c r="L1175" i="15"/>
  <c r="L1174" i="15"/>
  <c r="L1173" i="15"/>
  <c r="L1172" i="15"/>
  <c r="L1171" i="15"/>
  <c r="L1170" i="15"/>
  <c r="L1169" i="15"/>
  <c r="L1168" i="15"/>
  <c r="L1167" i="15"/>
  <c r="L1166" i="15"/>
  <c r="L1165" i="15"/>
  <c r="L1164" i="15"/>
  <c r="L1163" i="15"/>
  <c r="L1162" i="15"/>
  <c r="L1161" i="15"/>
  <c r="L1160" i="15"/>
  <c r="L1159" i="15"/>
  <c r="L1158" i="15"/>
  <c r="L1157" i="15"/>
  <c r="L1156" i="15"/>
  <c r="L1155" i="15"/>
  <c r="L1154" i="15"/>
  <c r="L1153" i="15"/>
  <c r="L1152" i="15"/>
  <c r="L1151" i="15"/>
  <c r="L1150" i="15"/>
  <c r="L1149" i="15"/>
  <c r="L1148" i="15"/>
  <c r="L1147" i="15"/>
  <c r="L1146" i="15"/>
  <c r="L1145" i="15"/>
  <c r="L1144" i="15"/>
  <c r="L1143" i="15"/>
  <c r="L1142" i="15"/>
  <c r="L1141" i="15"/>
  <c r="L1140" i="15"/>
  <c r="L1139" i="15"/>
  <c r="L1138" i="15"/>
  <c r="L1137" i="15"/>
  <c r="L1136" i="15"/>
  <c r="L1135" i="15"/>
  <c r="L1134" i="15"/>
  <c r="L1133" i="15"/>
  <c r="L1132" i="15"/>
  <c r="L1131" i="15"/>
  <c r="L1130" i="15"/>
  <c r="L1129" i="15"/>
  <c r="L1128" i="15"/>
  <c r="L1127" i="15"/>
  <c r="L1126" i="15"/>
  <c r="L1125" i="15"/>
  <c r="L1124" i="15"/>
  <c r="L1123" i="15"/>
  <c r="L1122" i="15"/>
  <c r="L1121" i="15"/>
  <c r="L1120" i="15"/>
  <c r="L1119" i="15"/>
  <c r="L1118" i="15"/>
  <c r="L1117" i="15"/>
  <c r="L1116" i="15"/>
  <c r="L1115" i="15"/>
  <c r="L1114" i="15"/>
  <c r="L1113" i="15"/>
  <c r="L1112" i="15"/>
  <c r="L1111" i="15"/>
  <c r="L1110" i="15"/>
  <c r="L1109" i="15"/>
  <c r="L1108" i="15"/>
  <c r="L1107" i="15"/>
  <c r="L1106" i="15"/>
  <c r="L1105" i="15"/>
  <c r="L1104" i="15"/>
  <c r="L1103" i="15"/>
  <c r="L1102" i="15"/>
  <c r="L1101" i="15"/>
  <c r="L1100" i="15"/>
  <c r="L1099" i="15"/>
  <c r="L1098" i="15"/>
  <c r="L1097" i="15"/>
  <c r="L1096" i="15"/>
  <c r="L1095" i="15"/>
  <c r="L1094" i="15"/>
  <c r="L1093" i="15"/>
  <c r="L1092" i="15"/>
  <c r="L1091" i="15"/>
  <c r="L1090" i="15"/>
  <c r="L1089" i="15"/>
  <c r="L1088" i="15"/>
  <c r="L1087" i="15"/>
  <c r="L1086" i="15"/>
  <c r="L1085" i="15"/>
  <c r="L1084" i="15"/>
  <c r="L1083" i="15"/>
  <c r="L1082" i="15"/>
  <c r="L1081" i="15"/>
  <c r="L1080" i="15"/>
  <c r="L1079" i="15"/>
  <c r="L1078" i="15"/>
  <c r="L1077" i="15"/>
  <c r="L1076" i="15"/>
  <c r="L1075" i="15"/>
  <c r="L1074" i="15"/>
  <c r="L1073" i="15"/>
  <c r="L1072" i="15"/>
  <c r="L1071" i="15"/>
  <c r="L1070" i="15"/>
  <c r="L1069" i="15"/>
  <c r="L1068" i="15"/>
  <c r="L1067" i="15"/>
  <c r="L1066" i="15"/>
  <c r="L1065" i="15"/>
  <c r="L1064" i="15"/>
  <c r="L1063" i="15"/>
  <c r="L1062" i="15"/>
  <c r="L1061" i="15"/>
  <c r="L1060" i="15"/>
  <c r="L1059" i="15"/>
  <c r="L1058" i="15"/>
  <c r="L1057" i="15"/>
  <c r="L1056" i="15"/>
  <c r="L1055" i="15"/>
  <c r="L1054" i="15"/>
  <c r="L1053" i="15"/>
  <c r="L1052" i="15"/>
  <c r="L1051" i="15"/>
  <c r="L1050" i="15"/>
  <c r="L1049" i="15"/>
  <c r="L1048" i="15"/>
  <c r="L1047" i="15"/>
  <c r="L1046" i="15"/>
  <c r="L1045" i="15"/>
  <c r="L1044" i="15"/>
  <c r="L1043" i="15"/>
  <c r="L1042" i="15"/>
  <c r="L1041" i="15"/>
  <c r="L1040" i="15"/>
  <c r="L1039" i="15"/>
  <c r="L1038" i="15"/>
  <c r="L1037" i="15"/>
  <c r="L1036" i="15"/>
  <c r="L1035" i="15"/>
  <c r="L1034" i="15"/>
  <c r="L1033" i="15"/>
  <c r="L1032" i="15"/>
  <c r="L1031" i="15"/>
  <c r="L1030" i="15"/>
  <c r="L1029" i="15"/>
  <c r="L1028" i="15"/>
  <c r="L1027" i="15"/>
  <c r="L1026" i="15"/>
  <c r="L1025" i="15"/>
  <c r="L1024" i="15"/>
  <c r="L1023" i="15"/>
  <c r="L1022" i="15"/>
  <c r="L1021" i="15"/>
  <c r="L1020" i="15"/>
  <c r="L1019" i="15"/>
  <c r="L1018" i="15"/>
  <c r="L1017" i="15"/>
  <c r="L1016" i="15"/>
  <c r="L1015" i="15"/>
  <c r="L1014" i="15"/>
  <c r="L1013" i="15"/>
  <c r="L1012" i="15"/>
  <c r="L1011" i="15"/>
  <c r="L1010" i="15"/>
  <c r="L1009" i="15"/>
  <c r="L1008" i="15"/>
  <c r="L1007" i="15"/>
  <c r="L1006" i="15"/>
  <c r="L1005" i="15"/>
  <c r="L1004" i="15"/>
  <c r="L1003" i="15"/>
  <c r="L1002" i="15"/>
  <c r="L1001" i="15"/>
  <c r="L1000" i="15"/>
  <c r="L999" i="15"/>
  <c r="L998" i="15"/>
  <c r="L997" i="15"/>
  <c r="L996" i="15"/>
  <c r="L995" i="15"/>
  <c r="L994" i="15"/>
  <c r="L993" i="15"/>
  <c r="L992" i="15"/>
  <c r="L991" i="15"/>
  <c r="L990" i="15"/>
  <c r="L989" i="15"/>
  <c r="L988" i="15"/>
  <c r="L987" i="15"/>
  <c r="L986" i="15"/>
  <c r="L985" i="15"/>
  <c r="L984" i="15"/>
  <c r="L983" i="15"/>
  <c r="L982" i="15"/>
  <c r="L981" i="15"/>
  <c r="L980" i="15"/>
  <c r="L979" i="15"/>
  <c r="L978" i="15"/>
  <c r="L977" i="15"/>
  <c r="L976" i="15"/>
  <c r="L975" i="15"/>
  <c r="L974" i="15"/>
  <c r="L973" i="15"/>
  <c r="L972" i="15"/>
  <c r="L971" i="15"/>
  <c r="L970" i="15"/>
  <c r="L969" i="15"/>
  <c r="L968" i="15"/>
  <c r="L967" i="15"/>
  <c r="L966" i="15"/>
  <c r="L965" i="15"/>
  <c r="L964" i="15"/>
  <c r="L963" i="15"/>
  <c r="L962" i="15"/>
  <c r="L961" i="15"/>
  <c r="L960" i="15"/>
  <c r="L959" i="15"/>
  <c r="L958" i="15"/>
  <c r="L957" i="15"/>
  <c r="L956" i="15"/>
  <c r="L955" i="15"/>
  <c r="L954" i="15"/>
  <c r="L953" i="15"/>
  <c r="L952" i="15"/>
  <c r="L951" i="15"/>
  <c r="L950" i="15"/>
  <c r="L949" i="15"/>
  <c r="L948" i="15"/>
  <c r="L947" i="15"/>
  <c r="L946" i="15"/>
  <c r="L945" i="15"/>
  <c r="L944" i="15"/>
  <c r="L943" i="15"/>
  <c r="L942" i="15"/>
  <c r="L941" i="15"/>
  <c r="L940" i="15"/>
  <c r="L939" i="15"/>
  <c r="L938" i="15"/>
  <c r="L937" i="15"/>
  <c r="L936" i="15"/>
  <c r="L935" i="15"/>
  <c r="L934" i="15"/>
  <c r="L933" i="15"/>
  <c r="L932" i="15"/>
  <c r="L931" i="15"/>
  <c r="L930" i="15"/>
  <c r="L929" i="15"/>
  <c r="L928" i="15"/>
  <c r="L927" i="15"/>
  <c r="L926" i="15"/>
  <c r="L925" i="15"/>
  <c r="L924" i="15"/>
  <c r="L923" i="15"/>
  <c r="L922" i="15"/>
  <c r="L921" i="15"/>
  <c r="L920" i="15"/>
  <c r="L919" i="15"/>
  <c r="L918" i="15"/>
  <c r="L917" i="15"/>
  <c r="L916" i="15"/>
  <c r="L915" i="15"/>
  <c r="L914" i="15"/>
  <c r="L913" i="15"/>
  <c r="L912" i="15"/>
  <c r="L911" i="15"/>
  <c r="L910" i="15"/>
  <c r="L909" i="15"/>
  <c r="L908" i="15"/>
  <c r="L907" i="15"/>
  <c r="L906" i="15"/>
  <c r="L905" i="15"/>
  <c r="L904" i="15"/>
  <c r="L903" i="15"/>
  <c r="L902" i="15"/>
  <c r="L901" i="15"/>
  <c r="L900" i="15"/>
  <c r="L899" i="15"/>
  <c r="L898" i="15"/>
  <c r="L897" i="15"/>
  <c r="L896" i="15"/>
  <c r="L895" i="15"/>
  <c r="L894" i="15"/>
  <c r="L893" i="15"/>
  <c r="L892" i="15"/>
  <c r="L891" i="15"/>
  <c r="L890" i="15"/>
  <c r="L889" i="15"/>
  <c r="L888" i="15"/>
  <c r="L887" i="15"/>
  <c r="L886" i="15"/>
  <c r="L885" i="15"/>
  <c r="L884" i="15"/>
  <c r="L883" i="15"/>
  <c r="L882" i="15"/>
  <c r="L881" i="15"/>
  <c r="L880" i="15"/>
  <c r="L879" i="15"/>
  <c r="L878" i="15"/>
  <c r="L877" i="15"/>
  <c r="L876" i="15"/>
  <c r="L875" i="15"/>
  <c r="L874" i="15"/>
  <c r="L873" i="15"/>
  <c r="L872" i="15"/>
  <c r="L871" i="15"/>
  <c r="L870" i="15"/>
  <c r="L869" i="15"/>
  <c r="L868" i="15"/>
  <c r="L867" i="15"/>
  <c r="L866" i="15"/>
  <c r="L865" i="15"/>
  <c r="L864" i="15"/>
  <c r="L863" i="15"/>
  <c r="L862" i="15"/>
  <c r="L861" i="15"/>
  <c r="L860" i="15"/>
  <c r="L859" i="15"/>
  <c r="L858" i="15"/>
  <c r="L857" i="15"/>
  <c r="L856" i="15"/>
  <c r="L855" i="15"/>
  <c r="L854" i="15"/>
  <c r="L853" i="15"/>
  <c r="L852" i="15"/>
  <c r="L851" i="15"/>
  <c r="L850" i="15"/>
  <c r="L849" i="15"/>
  <c r="L848" i="15"/>
  <c r="L847" i="15"/>
  <c r="L846" i="15"/>
  <c r="L845" i="15"/>
  <c r="L844" i="15"/>
  <c r="L843" i="15"/>
  <c r="L842" i="15"/>
  <c r="L841" i="15"/>
  <c r="L840" i="15"/>
  <c r="L839" i="15"/>
  <c r="L838" i="15"/>
  <c r="L837" i="15"/>
  <c r="L836" i="15"/>
  <c r="L835" i="15"/>
  <c r="L834" i="15"/>
  <c r="L833" i="15"/>
  <c r="L832" i="15"/>
  <c r="L831" i="15"/>
  <c r="L830" i="15"/>
  <c r="L829" i="15"/>
  <c r="L828" i="15"/>
  <c r="L827" i="15"/>
  <c r="L826" i="15"/>
  <c r="L825" i="15"/>
  <c r="L824" i="15"/>
  <c r="L823" i="15"/>
  <c r="L822" i="15"/>
  <c r="L821" i="15"/>
  <c r="L820" i="15"/>
  <c r="L819" i="15"/>
  <c r="L818" i="15"/>
  <c r="L817" i="15"/>
  <c r="L816" i="15"/>
  <c r="L815" i="15"/>
  <c r="L814" i="15"/>
  <c r="L813" i="15"/>
  <c r="L812" i="15"/>
  <c r="L811" i="15"/>
  <c r="L810" i="15"/>
  <c r="L809" i="15"/>
  <c r="L808" i="15"/>
  <c r="L807" i="15"/>
  <c r="L806" i="15"/>
  <c r="L805" i="15"/>
  <c r="L804" i="15"/>
  <c r="L803" i="15"/>
  <c r="L802" i="15"/>
  <c r="L801" i="15"/>
  <c r="L800" i="15"/>
  <c r="L799" i="15"/>
  <c r="L798" i="15"/>
  <c r="L797" i="15"/>
  <c r="L796" i="15"/>
  <c r="L795" i="15"/>
  <c r="L794" i="15"/>
  <c r="L793" i="15"/>
  <c r="L792" i="15"/>
  <c r="L791" i="15"/>
  <c r="L790" i="15"/>
  <c r="L789" i="15"/>
  <c r="L788" i="15"/>
  <c r="L787" i="15"/>
  <c r="L786" i="15"/>
  <c r="L785" i="15"/>
  <c r="L784" i="15"/>
  <c r="L783" i="15"/>
  <c r="L782" i="15"/>
  <c r="L781" i="15"/>
  <c r="L780" i="15"/>
  <c r="L779" i="15"/>
  <c r="L778" i="15"/>
  <c r="L777" i="15"/>
  <c r="L776" i="15"/>
  <c r="L775" i="15"/>
  <c r="L774" i="15"/>
  <c r="L773" i="15"/>
  <c r="L772" i="15"/>
  <c r="L771" i="15"/>
  <c r="L770" i="15"/>
  <c r="L769" i="15"/>
  <c r="L768" i="15"/>
  <c r="L767" i="15"/>
  <c r="L766" i="15"/>
  <c r="L765" i="15"/>
  <c r="L764" i="15"/>
  <c r="L763" i="15"/>
  <c r="L762" i="15"/>
  <c r="L761" i="15"/>
  <c r="L760" i="15"/>
  <c r="L759" i="15"/>
  <c r="L758" i="15"/>
  <c r="L757" i="15"/>
  <c r="L756" i="15"/>
  <c r="L755" i="15"/>
  <c r="L754" i="15"/>
  <c r="L753" i="15"/>
  <c r="L752" i="15"/>
  <c r="L751" i="15"/>
  <c r="L750" i="15"/>
  <c r="L749" i="15"/>
  <c r="L748" i="15"/>
  <c r="L747" i="15"/>
  <c r="L746" i="15"/>
  <c r="L745" i="15"/>
  <c r="L744" i="15"/>
  <c r="L743" i="15"/>
  <c r="L742" i="15"/>
  <c r="L741" i="15"/>
  <c r="L740" i="15"/>
  <c r="L739" i="15"/>
  <c r="L738" i="15"/>
  <c r="L737" i="15"/>
  <c r="L736" i="15"/>
  <c r="L735" i="15"/>
  <c r="L734" i="15"/>
  <c r="L733" i="15"/>
  <c r="L732" i="15"/>
  <c r="L731" i="15"/>
  <c r="L730" i="15"/>
  <c r="L729" i="15"/>
  <c r="L728" i="15"/>
  <c r="L727" i="15"/>
  <c r="L726" i="15"/>
  <c r="L725" i="15"/>
  <c r="L724" i="15"/>
  <c r="L723" i="15"/>
  <c r="L722" i="15"/>
  <c r="L721" i="15"/>
  <c r="L720" i="15"/>
  <c r="L719" i="15"/>
  <c r="L718" i="15"/>
  <c r="L717" i="15"/>
  <c r="L716" i="15"/>
  <c r="L715" i="15"/>
  <c r="L714" i="15"/>
  <c r="L713" i="15"/>
  <c r="L712" i="15"/>
  <c r="L711" i="15"/>
  <c r="L710" i="15"/>
  <c r="L709" i="15"/>
  <c r="L708" i="15"/>
  <c r="L707" i="15"/>
  <c r="L706" i="15"/>
  <c r="L705" i="15"/>
  <c r="L704" i="15"/>
  <c r="L703" i="15"/>
  <c r="L702" i="15"/>
  <c r="L701" i="15"/>
  <c r="L700" i="15"/>
  <c r="L699" i="15"/>
  <c r="L698" i="15"/>
  <c r="L697" i="15"/>
  <c r="L696" i="15"/>
  <c r="L695" i="15"/>
  <c r="L694" i="15"/>
  <c r="L693" i="15"/>
  <c r="L692" i="15"/>
  <c r="L691" i="15"/>
  <c r="L690" i="15"/>
  <c r="L689" i="15"/>
  <c r="L688" i="15"/>
  <c r="L687" i="15"/>
  <c r="L686" i="15"/>
  <c r="L685" i="15"/>
  <c r="L684" i="15"/>
  <c r="L683" i="15"/>
  <c r="L682" i="15"/>
  <c r="L681" i="15"/>
  <c r="L680" i="15"/>
  <c r="L679" i="15"/>
  <c r="L678" i="15"/>
  <c r="L677" i="15"/>
  <c r="L676" i="15"/>
  <c r="L675" i="15"/>
  <c r="L674" i="15"/>
  <c r="L673" i="15"/>
  <c r="L672" i="15"/>
  <c r="L671" i="15"/>
  <c r="L670" i="15"/>
  <c r="L669" i="15"/>
  <c r="L668" i="15"/>
  <c r="L667" i="15"/>
  <c r="L666" i="15"/>
  <c r="L665" i="15"/>
  <c r="L664" i="15"/>
  <c r="L663" i="15"/>
  <c r="L662" i="15"/>
  <c r="L661" i="15"/>
  <c r="L660" i="15"/>
  <c r="L659" i="15"/>
  <c r="L658" i="15"/>
  <c r="L657" i="15"/>
  <c r="L656" i="15"/>
  <c r="L655" i="15"/>
  <c r="L654" i="15"/>
  <c r="L653" i="15"/>
  <c r="L652" i="15"/>
  <c r="L651" i="15"/>
  <c r="L650" i="15"/>
  <c r="L649" i="15"/>
  <c r="L648" i="15"/>
  <c r="L647" i="15"/>
  <c r="L646" i="15"/>
  <c r="L645" i="15"/>
  <c r="L644" i="15"/>
  <c r="L643" i="15"/>
  <c r="L642" i="15"/>
  <c r="L641" i="15"/>
  <c r="L640" i="15"/>
  <c r="L639" i="15"/>
  <c r="L638" i="15"/>
  <c r="L637" i="15"/>
  <c r="L636" i="15"/>
  <c r="L635" i="15"/>
  <c r="L634" i="15"/>
  <c r="L633" i="15"/>
  <c r="L632" i="15"/>
  <c r="L631" i="15"/>
  <c r="L630" i="15"/>
  <c r="L629" i="15"/>
  <c r="L628" i="15"/>
  <c r="L627" i="15"/>
  <c r="L626" i="15"/>
  <c r="L625" i="15"/>
  <c r="L624" i="15"/>
  <c r="L623" i="15"/>
  <c r="L622" i="15"/>
  <c r="L621" i="15"/>
  <c r="L620" i="15"/>
  <c r="L619" i="15"/>
  <c r="L618" i="15"/>
  <c r="L617" i="15"/>
  <c r="L616" i="15"/>
  <c r="L615" i="15"/>
  <c r="L614" i="15"/>
  <c r="L613" i="15"/>
  <c r="L612" i="15"/>
  <c r="L611" i="15"/>
  <c r="L610" i="15"/>
  <c r="L609" i="15"/>
  <c r="L608" i="15"/>
  <c r="L607" i="15"/>
  <c r="L606" i="15"/>
  <c r="L605" i="15"/>
  <c r="L604" i="15"/>
  <c r="L603" i="15"/>
  <c r="L602" i="15"/>
  <c r="L601" i="15"/>
  <c r="L600" i="15"/>
  <c r="L599" i="15"/>
  <c r="L598" i="15"/>
  <c r="L597" i="15"/>
  <c r="L596" i="15"/>
  <c r="L595" i="15"/>
  <c r="L594" i="15"/>
  <c r="L593" i="15"/>
  <c r="L592" i="15"/>
  <c r="L591" i="15"/>
  <c r="L590" i="15"/>
  <c r="L589" i="15"/>
  <c r="L588" i="15"/>
  <c r="L587" i="15"/>
  <c r="L586" i="15"/>
  <c r="L585" i="15"/>
  <c r="L584" i="15"/>
  <c r="L583" i="15"/>
  <c r="L582" i="15"/>
  <c r="L581" i="15"/>
  <c r="L580" i="15"/>
  <c r="L579" i="15"/>
  <c r="L578" i="15"/>
  <c r="L577" i="15"/>
  <c r="L576" i="15"/>
  <c r="L575" i="15"/>
  <c r="L574" i="15"/>
  <c r="L573" i="15"/>
  <c r="L572" i="15"/>
  <c r="L571" i="15"/>
  <c r="L570" i="15"/>
  <c r="L569" i="15"/>
  <c r="L568" i="15"/>
  <c r="L567" i="15"/>
  <c r="L566" i="15"/>
  <c r="L565" i="15"/>
  <c r="L564" i="15"/>
  <c r="L563" i="15"/>
  <c r="L562" i="15"/>
  <c r="L561" i="15"/>
  <c r="L560" i="15"/>
  <c r="L559" i="15"/>
  <c r="L558" i="15"/>
  <c r="L557" i="15"/>
  <c r="L556" i="15"/>
  <c r="L555" i="15"/>
  <c r="L554" i="15"/>
  <c r="L553" i="15"/>
  <c r="L552" i="15"/>
  <c r="L551" i="15"/>
  <c r="L550" i="15"/>
  <c r="L549" i="15"/>
  <c r="L548" i="15"/>
  <c r="L547" i="15"/>
  <c r="L546" i="15"/>
  <c r="L545" i="15"/>
  <c r="L544" i="15"/>
  <c r="L543" i="15"/>
  <c r="L542" i="15"/>
  <c r="L541" i="15"/>
  <c r="L540" i="15"/>
  <c r="L539" i="15"/>
  <c r="L538" i="15"/>
  <c r="L537" i="15"/>
  <c r="L536" i="15"/>
  <c r="L535" i="15"/>
  <c r="L534" i="15"/>
  <c r="L533" i="15"/>
  <c r="L532" i="15"/>
  <c r="L531" i="15"/>
  <c r="L530" i="15"/>
  <c r="L529" i="15"/>
  <c r="L528" i="15"/>
  <c r="L527" i="15"/>
  <c r="L526" i="15"/>
  <c r="L525" i="15"/>
  <c r="L524" i="15"/>
  <c r="L523" i="15"/>
  <c r="L522" i="15"/>
  <c r="L521" i="15"/>
  <c r="L520" i="15"/>
  <c r="L519" i="15"/>
  <c r="L518" i="15"/>
  <c r="L517" i="15"/>
  <c r="L516" i="15"/>
  <c r="L515" i="15"/>
  <c r="L514" i="15"/>
  <c r="L513" i="15"/>
  <c r="L512" i="15"/>
  <c r="L511" i="15"/>
  <c r="L510" i="15"/>
  <c r="L509" i="15"/>
  <c r="L508" i="15"/>
  <c r="L507" i="15"/>
  <c r="L506" i="15"/>
  <c r="L505" i="15"/>
  <c r="L504" i="15"/>
  <c r="L503" i="15"/>
  <c r="L502" i="15"/>
  <c r="L501" i="15"/>
  <c r="L500" i="15"/>
  <c r="L499" i="15"/>
  <c r="L498" i="15"/>
  <c r="L497" i="15"/>
  <c r="L496" i="15"/>
  <c r="L495" i="15"/>
  <c r="L494" i="15"/>
  <c r="L493" i="15"/>
  <c r="L492" i="15"/>
  <c r="L491" i="15"/>
  <c r="L490" i="15"/>
  <c r="L489" i="15"/>
  <c r="L488" i="15"/>
  <c r="L487" i="15"/>
  <c r="L486" i="15"/>
  <c r="L485" i="15"/>
  <c r="L484" i="15"/>
  <c r="L483" i="15"/>
  <c r="L482" i="15"/>
  <c r="L481" i="15"/>
  <c r="L480" i="15"/>
  <c r="L479" i="15"/>
  <c r="L478" i="15"/>
  <c r="L477" i="15"/>
  <c r="L476" i="15"/>
  <c r="L475" i="15"/>
  <c r="L474" i="15"/>
  <c r="L473" i="15"/>
  <c r="L472" i="15"/>
  <c r="L471" i="15"/>
  <c r="L470" i="15"/>
  <c r="L469" i="15"/>
  <c r="L468" i="15"/>
  <c r="L467" i="15"/>
  <c r="L466" i="15"/>
  <c r="L465" i="15"/>
  <c r="L464" i="15"/>
  <c r="L463" i="15"/>
  <c r="L462" i="15"/>
  <c r="L461" i="15"/>
  <c r="L460" i="15"/>
  <c r="L459" i="15"/>
  <c r="L458" i="15"/>
  <c r="L457" i="15"/>
  <c r="L456" i="15"/>
  <c r="L455" i="15"/>
  <c r="L454" i="15"/>
  <c r="L453" i="15"/>
  <c r="L452" i="15"/>
  <c r="L451" i="15"/>
  <c r="L450" i="15"/>
  <c r="L449" i="15"/>
  <c r="L448" i="15"/>
  <c r="L447" i="15"/>
  <c r="L446" i="15"/>
  <c r="L445" i="15"/>
  <c r="L444" i="15"/>
  <c r="L443" i="15"/>
  <c r="L442" i="15"/>
  <c r="L441" i="15"/>
  <c r="L440" i="15"/>
  <c r="L439" i="15"/>
  <c r="L438" i="15"/>
  <c r="L437" i="15"/>
  <c r="L436" i="15"/>
  <c r="L435" i="15"/>
  <c r="L434" i="15"/>
  <c r="L433" i="15"/>
  <c r="L432" i="15"/>
  <c r="L431" i="15"/>
  <c r="L430" i="15"/>
  <c r="L429" i="15"/>
  <c r="L428" i="15"/>
  <c r="L427" i="15"/>
  <c r="L426" i="15"/>
  <c r="L425" i="15"/>
  <c r="L424" i="15"/>
  <c r="L423" i="15"/>
  <c r="L422" i="15"/>
  <c r="L421" i="15"/>
  <c r="L420" i="15"/>
  <c r="L419" i="15"/>
  <c r="L418" i="15"/>
  <c r="L417" i="15"/>
  <c r="L416" i="15"/>
  <c r="L415" i="15"/>
  <c r="L414" i="15"/>
  <c r="L413" i="15"/>
  <c r="L412" i="15"/>
  <c r="L411" i="15"/>
  <c r="L410" i="15"/>
  <c r="L409" i="15"/>
  <c r="L408" i="15"/>
  <c r="L407" i="15"/>
  <c r="L406" i="15"/>
  <c r="L405" i="15"/>
  <c r="L404" i="15"/>
  <c r="L403" i="15"/>
  <c r="L402" i="15"/>
  <c r="L401" i="15"/>
  <c r="L400" i="15"/>
  <c r="L399" i="15"/>
  <c r="L398" i="15"/>
  <c r="L397" i="15"/>
  <c r="L396" i="15"/>
  <c r="L395" i="15"/>
  <c r="L394" i="15"/>
  <c r="L393" i="15"/>
  <c r="L392" i="15"/>
  <c r="L391" i="15"/>
  <c r="L390" i="15"/>
  <c r="L389" i="15"/>
  <c r="L388" i="15"/>
  <c r="L387" i="15"/>
  <c r="L386" i="15"/>
  <c r="L385" i="15"/>
  <c r="L384" i="15"/>
  <c r="L383" i="15"/>
  <c r="L382" i="15"/>
  <c r="L381" i="15"/>
  <c r="L380" i="15"/>
  <c r="L379" i="15"/>
  <c r="L378" i="15"/>
  <c r="L377" i="15"/>
  <c r="L376" i="15"/>
  <c r="L375" i="15"/>
  <c r="L374" i="15"/>
  <c r="L373" i="15"/>
  <c r="L372" i="15"/>
  <c r="L371" i="15"/>
  <c r="L370" i="15"/>
  <c r="L369" i="15"/>
  <c r="L368" i="15"/>
  <c r="L367" i="15"/>
  <c r="L366" i="15"/>
  <c r="L365" i="15"/>
  <c r="L364" i="15"/>
  <c r="L363" i="15"/>
  <c r="L362" i="15"/>
  <c r="L361" i="15"/>
  <c r="L360" i="15"/>
  <c r="L359" i="15"/>
  <c r="L358" i="15"/>
  <c r="L357" i="15"/>
  <c r="L356" i="15"/>
  <c r="L355" i="15"/>
  <c r="L354" i="15"/>
  <c r="L353" i="15"/>
  <c r="L352" i="15"/>
  <c r="L351" i="15"/>
  <c r="L350" i="15"/>
  <c r="L349" i="15"/>
  <c r="L348" i="15"/>
  <c r="L347" i="15"/>
  <c r="L346" i="15"/>
  <c r="L345" i="15"/>
  <c r="L344" i="15"/>
  <c r="L343" i="15"/>
  <c r="L342" i="15"/>
  <c r="L341" i="15"/>
  <c r="L340" i="15"/>
  <c r="L339" i="15"/>
  <c r="L338" i="15"/>
  <c r="L337" i="15"/>
  <c r="L336" i="15"/>
  <c r="L335" i="15"/>
  <c r="L334" i="15"/>
  <c r="L333" i="15"/>
  <c r="L332" i="15"/>
  <c r="L331" i="15"/>
  <c r="L330" i="15"/>
  <c r="L329" i="15"/>
  <c r="L328" i="15"/>
  <c r="L327" i="15"/>
  <c r="L326" i="15"/>
  <c r="L325" i="15"/>
  <c r="L324" i="15"/>
  <c r="L323" i="15"/>
  <c r="L322" i="15"/>
  <c r="L321" i="15"/>
  <c r="L320" i="15"/>
  <c r="L319" i="15"/>
  <c r="L318" i="15"/>
  <c r="L317" i="15"/>
  <c r="L316" i="15"/>
  <c r="L315" i="15"/>
  <c r="L314" i="15"/>
  <c r="L313" i="15"/>
  <c r="L312" i="15"/>
  <c r="L311" i="15"/>
  <c r="L310" i="15"/>
  <c r="L309" i="15"/>
  <c r="L308" i="15"/>
  <c r="L307" i="15"/>
  <c r="L306" i="15"/>
  <c r="L305" i="15"/>
  <c r="L304" i="15"/>
  <c r="L303" i="15"/>
  <c r="L302" i="15"/>
  <c r="L301" i="15"/>
  <c r="L300" i="15"/>
  <c r="L299" i="15"/>
  <c r="L298" i="15"/>
  <c r="L297" i="15"/>
  <c r="L296" i="15"/>
  <c r="L295" i="15"/>
  <c r="L294" i="15"/>
  <c r="L293" i="15"/>
  <c r="L292" i="15"/>
  <c r="L291" i="15"/>
  <c r="L290" i="15"/>
  <c r="L289" i="15"/>
  <c r="L288" i="15"/>
  <c r="L287" i="15"/>
  <c r="L286" i="15"/>
  <c r="L285" i="15"/>
  <c r="L284" i="15"/>
  <c r="L283" i="15"/>
  <c r="L282" i="15"/>
  <c r="L281" i="15"/>
  <c r="L280" i="15"/>
  <c r="L279" i="15"/>
  <c r="L278" i="15"/>
  <c r="L277" i="15"/>
  <c r="L276" i="15"/>
  <c r="L275" i="15"/>
  <c r="L274" i="15"/>
  <c r="L273" i="15"/>
  <c r="L272" i="15"/>
  <c r="L271" i="15"/>
  <c r="L270" i="15"/>
  <c r="L269" i="15"/>
  <c r="L268" i="15"/>
  <c r="L267" i="15"/>
  <c r="L266" i="15"/>
  <c r="L265" i="15"/>
  <c r="L264" i="15"/>
  <c r="L263" i="15"/>
  <c r="L262" i="15"/>
  <c r="L261" i="15"/>
  <c r="L260" i="15"/>
  <c r="L259" i="15"/>
  <c r="L258" i="15"/>
  <c r="L257" i="15"/>
  <c r="L256" i="15"/>
  <c r="L255" i="15"/>
  <c r="L254" i="15"/>
  <c r="L253" i="15"/>
  <c r="L252" i="15"/>
  <c r="L251" i="15"/>
  <c r="L250" i="15"/>
  <c r="L249" i="15"/>
  <c r="L248" i="15"/>
  <c r="L247" i="15"/>
  <c r="L246" i="15"/>
  <c r="L245" i="15"/>
  <c r="L244" i="15"/>
  <c r="L243" i="15"/>
  <c r="L242" i="15"/>
  <c r="L241" i="15"/>
  <c r="L240" i="15"/>
  <c r="L239" i="15"/>
  <c r="L238" i="15"/>
  <c r="L237" i="15"/>
  <c r="L236" i="15"/>
  <c r="L235" i="15"/>
  <c r="L234" i="15"/>
  <c r="L233" i="15"/>
  <c r="L232" i="15"/>
  <c r="L231" i="15"/>
  <c r="L230" i="15"/>
  <c r="L229" i="15"/>
  <c r="L228" i="15"/>
  <c r="L227" i="15"/>
  <c r="L226" i="15"/>
  <c r="L225" i="15"/>
  <c r="L224" i="15"/>
  <c r="L223" i="15"/>
  <c r="L222" i="15"/>
  <c r="L221" i="15"/>
  <c r="L220" i="15"/>
  <c r="L219" i="15"/>
  <c r="L218" i="15"/>
  <c r="L217" i="15"/>
  <c r="L216" i="15"/>
  <c r="L215" i="15"/>
  <c r="L214" i="15"/>
  <c r="L213" i="15"/>
  <c r="L212" i="15"/>
  <c r="L211" i="15"/>
  <c r="L210" i="15"/>
  <c r="L209" i="15"/>
  <c r="L208" i="15"/>
  <c r="L207" i="15"/>
  <c r="L206" i="15"/>
  <c r="L205" i="15"/>
  <c r="L204" i="15"/>
  <c r="L203" i="15"/>
  <c r="L202" i="15"/>
  <c r="L201" i="15"/>
  <c r="L200" i="15"/>
  <c r="L199" i="15"/>
  <c r="L198" i="15"/>
  <c r="L197" i="15"/>
  <c r="L196" i="15"/>
  <c r="L195" i="15"/>
  <c r="L194" i="15"/>
  <c r="L193" i="15"/>
  <c r="L192" i="15"/>
  <c r="L191" i="15"/>
  <c r="L190" i="15"/>
  <c r="L189" i="15"/>
  <c r="L188" i="15"/>
  <c r="L187" i="15"/>
  <c r="L186" i="15"/>
  <c r="L185" i="15"/>
  <c r="L184" i="15"/>
  <c r="L183" i="15"/>
  <c r="L182" i="15"/>
  <c r="L181" i="15"/>
  <c r="L180" i="15"/>
  <c r="L179" i="15"/>
  <c r="L178" i="15"/>
  <c r="L177" i="15"/>
  <c r="L176" i="15"/>
  <c r="L175" i="15"/>
  <c r="L174" i="15"/>
  <c r="L173" i="15"/>
  <c r="L172" i="15"/>
  <c r="L171" i="15"/>
  <c r="L170" i="15"/>
  <c r="L169" i="15"/>
  <c r="L168" i="15"/>
  <c r="L167" i="15"/>
  <c r="L166" i="15"/>
  <c r="L165" i="15"/>
  <c r="L164" i="15"/>
  <c r="L163" i="15"/>
  <c r="L162" i="15"/>
  <c r="L161" i="15"/>
  <c r="L160" i="15"/>
  <c r="L159" i="15"/>
  <c r="L158" i="15"/>
  <c r="L157" i="15"/>
  <c r="L156" i="15"/>
  <c r="L155" i="15"/>
  <c r="L154" i="15"/>
  <c r="L153" i="15"/>
  <c r="L152" i="15"/>
  <c r="L151" i="15"/>
  <c r="L150" i="15"/>
  <c r="L149" i="15"/>
  <c r="L148" i="15"/>
  <c r="L147" i="15"/>
  <c r="L146" i="15"/>
  <c r="L145" i="15"/>
  <c r="L144" i="15"/>
  <c r="L143" i="15"/>
  <c r="L142" i="15"/>
  <c r="L141" i="15"/>
  <c r="L140" i="15"/>
  <c r="L139" i="15"/>
  <c r="L138" i="15"/>
  <c r="L137" i="15"/>
  <c r="L136" i="15"/>
  <c r="L135" i="15"/>
  <c r="L134" i="15"/>
  <c r="L133" i="15"/>
  <c r="L132" i="15"/>
  <c r="L131" i="15"/>
  <c r="L130" i="15"/>
  <c r="L129" i="15"/>
  <c r="L128" i="15"/>
  <c r="L127" i="15"/>
  <c r="L126" i="15"/>
  <c r="L125" i="15"/>
  <c r="L124" i="15"/>
  <c r="L123" i="15"/>
  <c r="L122" i="15"/>
  <c r="L121" i="15"/>
  <c r="L120" i="15"/>
  <c r="L119" i="15"/>
  <c r="L118" i="15"/>
  <c r="L117" i="15"/>
  <c r="L116" i="15"/>
  <c r="L115" i="15"/>
  <c r="L114" i="15"/>
  <c r="L113" i="15"/>
  <c r="L112" i="15"/>
  <c r="L111" i="15"/>
  <c r="L110" i="15"/>
  <c r="L109" i="15"/>
  <c r="L108" i="15"/>
  <c r="L107" i="15"/>
  <c r="L106" i="15"/>
  <c r="L105" i="15"/>
  <c r="L104" i="15"/>
  <c r="L103" i="15"/>
  <c r="L102" i="15"/>
  <c r="L101" i="15"/>
  <c r="L100" i="15"/>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L37" i="15"/>
  <c r="L36" i="15"/>
  <c r="L35" i="15"/>
  <c r="L34" i="15"/>
  <c r="L33"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L6" i="15"/>
  <c r="L5" i="15"/>
  <c r="L4" i="15"/>
  <c r="L3" i="15"/>
  <c r="L2" i="15"/>
  <c r="A2" i="10" a="1"/>
  <c r="A2" i="10" s="1"/>
  <c r="F320" i="15" l="1"/>
  <c r="F1225" i="15"/>
  <c r="F1216" i="15"/>
  <c r="F1097" i="15"/>
  <c r="F969" i="15"/>
  <c r="F841" i="15"/>
  <c r="F713" i="15"/>
  <c r="F144" i="15"/>
  <c r="F585" i="15"/>
  <c r="F457" i="15"/>
  <c r="F329" i="15"/>
  <c r="F201" i="15"/>
  <c r="F3" i="15"/>
  <c r="F832" i="15"/>
  <c r="F192" i="15"/>
  <c r="F1337" i="15"/>
  <c r="F1209" i="15"/>
  <c r="F1081" i="15"/>
  <c r="F953" i="15"/>
  <c r="F825" i="15"/>
  <c r="F697" i="15"/>
  <c r="F569" i="15"/>
  <c r="F441" i="15"/>
  <c r="F313" i="15"/>
  <c r="F185" i="15"/>
  <c r="F1088" i="15"/>
  <c r="F704" i="15"/>
  <c r="F448" i="15"/>
  <c r="F1328" i="15"/>
  <c r="F1200" i="15"/>
  <c r="F1072" i="15"/>
  <c r="F944" i="15"/>
  <c r="F816" i="15"/>
  <c r="F688" i="15"/>
  <c r="F560" i="15"/>
  <c r="F432" i="15"/>
  <c r="F304" i="15"/>
  <c r="F176" i="15"/>
  <c r="F960" i="15"/>
  <c r="F576" i="15"/>
  <c r="F1321" i="15"/>
  <c r="F1193" i="15"/>
  <c r="F1065" i="15"/>
  <c r="F937" i="15"/>
  <c r="F809" i="15"/>
  <c r="F681" i="15"/>
  <c r="F553" i="15"/>
  <c r="F425" i="15"/>
  <c r="F297" i="15"/>
  <c r="F169" i="15"/>
  <c r="F1312" i="15"/>
  <c r="F1184" i="15"/>
  <c r="F1056" i="15"/>
  <c r="F928" i="15"/>
  <c r="F800" i="15"/>
  <c r="F672" i="15"/>
  <c r="F544" i="15"/>
  <c r="F416" i="15"/>
  <c r="F288" i="15"/>
  <c r="F160" i="15"/>
  <c r="F1305" i="15"/>
  <c r="F1177" i="15"/>
  <c r="F1049" i="15"/>
  <c r="F921" i="15"/>
  <c r="F793" i="15"/>
  <c r="F665" i="15"/>
  <c r="F537" i="15"/>
  <c r="F409" i="15"/>
  <c r="F281" i="15"/>
  <c r="F153" i="15"/>
  <c r="F1296" i="15"/>
  <c r="F1168" i="15"/>
  <c r="F1040" i="15"/>
  <c r="F912" i="15"/>
  <c r="F784" i="15"/>
  <c r="F656" i="15"/>
  <c r="F528" i="15"/>
  <c r="F400" i="15"/>
  <c r="F272" i="15"/>
  <c r="F25" i="15"/>
  <c r="F41" i="15"/>
  <c r="F112" i="15"/>
  <c r="F64" i="15"/>
  <c r="F80" i="15"/>
  <c r="F48" i="15"/>
  <c r="F32" i="15"/>
  <c r="F1289" i="15"/>
  <c r="F1161" i="15"/>
  <c r="F1033" i="15"/>
  <c r="F905" i="15"/>
  <c r="F777" i="15"/>
  <c r="F649" i="15"/>
  <c r="F521" i="15"/>
  <c r="F393" i="15"/>
  <c r="F265" i="15"/>
  <c r="F137" i="15"/>
  <c r="F1280" i="15"/>
  <c r="F1152" i="15"/>
  <c r="F1024" i="15"/>
  <c r="F896" i="15"/>
  <c r="F768" i="15"/>
  <c r="F640" i="15"/>
  <c r="F512" i="15"/>
  <c r="F384" i="15"/>
  <c r="F256" i="15"/>
  <c r="F128" i="15"/>
  <c r="F1273" i="15"/>
  <c r="F1145" i="15"/>
  <c r="F1017" i="15"/>
  <c r="F889" i="15"/>
  <c r="F761" i="15"/>
  <c r="F633" i="15"/>
  <c r="F505" i="15"/>
  <c r="F377" i="15"/>
  <c r="F249" i="15"/>
  <c r="F121" i="15"/>
  <c r="F1264" i="15"/>
  <c r="F1136" i="15"/>
  <c r="F1008" i="15"/>
  <c r="F880" i="15"/>
  <c r="F752" i="15"/>
  <c r="F624" i="15"/>
  <c r="F496" i="15"/>
  <c r="F368" i="15"/>
  <c r="F240" i="15"/>
  <c r="F105" i="15"/>
  <c r="F1257" i="15"/>
  <c r="F1129" i="15"/>
  <c r="F1001" i="15"/>
  <c r="F873" i="15"/>
  <c r="F745" i="15"/>
  <c r="F617" i="15"/>
  <c r="F489" i="15"/>
  <c r="F361" i="15"/>
  <c r="F233" i="15"/>
  <c r="F96" i="15"/>
  <c r="F1248" i="15"/>
  <c r="F1120" i="15"/>
  <c r="F992" i="15"/>
  <c r="F864" i="15"/>
  <c r="F736" i="15"/>
  <c r="F608" i="15"/>
  <c r="F480" i="15"/>
  <c r="F352" i="15"/>
  <c r="F224" i="15"/>
  <c r="F89" i="15"/>
  <c r="F1241" i="15"/>
  <c r="F1113" i="15"/>
  <c r="F985" i="15"/>
  <c r="F857" i="15"/>
  <c r="F729" i="15"/>
  <c r="F601" i="15"/>
  <c r="F473" i="15"/>
  <c r="F345" i="15"/>
  <c r="F217" i="15"/>
  <c r="F73" i="15"/>
  <c r="F1232" i="15"/>
  <c r="F1104" i="15"/>
  <c r="F976" i="15"/>
  <c r="F848" i="15"/>
  <c r="F720" i="15"/>
  <c r="F592" i="15"/>
  <c r="F464" i="15"/>
  <c r="F336" i="15"/>
  <c r="F208" i="15"/>
  <c r="F57" i="15"/>
  <c r="F1330" i="15"/>
  <c r="F1314" i="15"/>
  <c r="F1298" i="15"/>
  <c r="F1282" i="15"/>
  <c r="F1266" i="15"/>
  <c r="F1250" i="15"/>
  <c r="F1234" i="15"/>
  <c r="F1218" i="15"/>
  <c r="F1202" i="15"/>
  <c r="F1186" i="15"/>
  <c r="F1170" i="15"/>
  <c r="F1154" i="15"/>
  <c r="F1138" i="15"/>
  <c r="F1122" i="15"/>
  <c r="F1106" i="15"/>
  <c r="F1090" i="15"/>
  <c r="F1074" i="15"/>
  <c r="F1058" i="15"/>
  <c r="F1042" i="15"/>
  <c r="F1026" i="15"/>
  <c r="F1010" i="15"/>
  <c r="F994" i="15"/>
  <c r="F978" i="15"/>
  <c r="F962" i="15"/>
  <c r="F946" i="15"/>
  <c r="F930" i="15"/>
  <c r="F914" i="15"/>
  <c r="F898" i="15"/>
  <c r="F882" i="15"/>
  <c r="F866" i="15"/>
  <c r="F850" i="15"/>
  <c r="F834" i="15"/>
  <c r="F818" i="15"/>
  <c r="F802" i="15"/>
  <c r="F786" i="15"/>
  <c r="F770" i="15"/>
  <c r="F754" i="15"/>
  <c r="F738" i="15"/>
  <c r="F722" i="15"/>
  <c r="F706" i="15"/>
  <c r="F690" i="15"/>
  <c r="F674" i="15"/>
  <c r="F658" i="15"/>
  <c r="F642" i="15"/>
  <c r="F626" i="15"/>
  <c r="F610" i="15"/>
  <c r="F594" i="15"/>
  <c r="F578" i="15"/>
  <c r="F562" i="15"/>
  <c r="F546" i="15"/>
  <c r="F530" i="15"/>
  <c r="F514" i="15"/>
  <c r="F498" i="15"/>
  <c r="F482" i="15"/>
  <c r="F466" i="15"/>
  <c r="F450" i="15"/>
  <c r="F434" i="15"/>
  <c r="F418" i="15"/>
  <c r="F402" i="15"/>
  <c r="F386" i="15"/>
  <c r="F370" i="15"/>
  <c r="F354" i="15"/>
  <c r="F338" i="15"/>
  <c r="F322" i="15"/>
  <c r="F306" i="15"/>
  <c r="F290" i="15"/>
  <c r="F274" i="15"/>
  <c r="F258" i="15"/>
  <c r="F242" i="15"/>
  <c r="F226" i="15"/>
  <c r="F210" i="15"/>
  <c r="F194" i="15"/>
  <c r="F178" i="15"/>
  <c r="F162" i="15"/>
  <c r="F146" i="15"/>
  <c r="F130" i="15"/>
  <c r="F114" i="15"/>
  <c r="F98" i="15"/>
  <c r="F82" i="15"/>
  <c r="F66" i="15"/>
  <c r="F50" i="15"/>
  <c r="F34" i="15"/>
  <c r="F18" i="15"/>
  <c r="F1329" i="15"/>
  <c r="F1313" i="15"/>
  <c r="F1297" i="15"/>
  <c r="F1281" i="15"/>
  <c r="F1265" i="15"/>
  <c r="F1249" i="15"/>
  <c r="F1233" i="15"/>
  <c r="F1217" i="15"/>
  <c r="F1201" i="15"/>
  <c r="F1185" i="15"/>
  <c r="F1169" i="15"/>
  <c r="F1153" i="15"/>
  <c r="F1137" i="15"/>
  <c r="F1121" i="15"/>
  <c r="F1105" i="15"/>
  <c r="F1089" i="15"/>
  <c r="F1073" i="15"/>
  <c r="F1057" i="15"/>
  <c r="F1041" i="15"/>
  <c r="F1025" i="15"/>
  <c r="F1009" i="15"/>
  <c r="F993" i="15"/>
  <c r="F977" i="15"/>
  <c r="F961" i="15"/>
  <c r="F945" i="15"/>
  <c r="F929" i="15"/>
  <c r="F913" i="15"/>
  <c r="F897" i="15"/>
  <c r="F881" i="15"/>
  <c r="F865" i="15"/>
  <c r="F849" i="15"/>
  <c r="F833" i="15"/>
  <c r="F817" i="15"/>
  <c r="F801" i="15"/>
  <c r="F785" i="15"/>
  <c r="F769" i="15"/>
  <c r="F753" i="15"/>
  <c r="F737" i="15"/>
  <c r="F721" i="15"/>
  <c r="F705" i="15"/>
  <c r="F689" i="15"/>
  <c r="F673" i="15"/>
  <c r="F657" i="15"/>
  <c r="F641" i="15"/>
  <c r="F625" i="15"/>
  <c r="F609" i="15"/>
  <c r="F593" i="15"/>
  <c r="F577" i="15"/>
  <c r="F561" i="15"/>
  <c r="F545" i="15"/>
  <c r="F529" i="15"/>
  <c r="F513" i="15"/>
  <c r="F497" i="15"/>
  <c r="F481" i="15"/>
  <c r="F465" i="15"/>
  <c r="F449" i="15"/>
  <c r="F433" i="15"/>
  <c r="F417" i="15"/>
  <c r="F401" i="15"/>
  <c r="F385" i="15"/>
  <c r="F369" i="15"/>
  <c r="F353" i="15"/>
  <c r="F337" i="15"/>
  <c r="F321" i="15"/>
  <c r="F305" i="15"/>
  <c r="F289" i="15"/>
  <c r="F273" i="15"/>
  <c r="F257" i="15"/>
  <c r="F241" i="15"/>
  <c r="F225" i="15"/>
  <c r="F209" i="15"/>
  <c r="F193" i="15"/>
  <c r="F177" i="15"/>
  <c r="F161" i="15"/>
  <c r="F145" i="15"/>
  <c r="F129" i="15"/>
  <c r="F113" i="15"/>
  <c r="F97" i="15"/>
  <c r="F81" i="15"/>
  <c r="F65" i="15"/>
  <c r="F49" i="15"/>
  <c r="F33" i="15"/>
  <c r="F17" i="15"/>
  <c r="F16" i="15"/>
  <c r="F1343" i="15"/>
  <c r="F1327" i="15"/>
  <c r="F1311" i="15"/>
  <c r="F1295" i="15"/>
  <c r="F1279" i="15"/>
  <c r="F1263" i="15"/>
  <c r="F1247" i="15"/>
  <c r="F1231" i="15"/>
  <c r="F1215" i="15"/>
  <c r="F1199" i="15"/>
  <c r="F1183" i="15"/>
  <c r="F1167" i="15"/>
  <c r="F1151" i="15"/>
  <c r="F1135" i="15"/>
  <c r="F1119" i="15"/>
  <c r="F1103" i="15"/>
  <c r="F1087" i="15"/>
  <c r="F1071" i="15"/>
  <c r="F1055" i="15"/>
  <c r="F1039" i="15"/>
  <c r="F1023" i="15"/>
  <c r="F1007" i="15"/>
  <c r="F991" i="15"/>
  <c r="F975" i="15"/>
  <c r="F959" i="15"/>
  <c r="F943" i="15"/>
  <c r="F927" i="15"/>
  <c r="F911" i="15"/>
  <c r="F895" i="15"/>
  <c r="F879" i="15"/>
  <c r="F863" i="15"/>
  <c r="F847" i="15"/>
  <c r="F831" i="15"/>
  <c r="F815" i="15"/>
  <c r="F799" i="15"/>
  <c r="F783" i="15"/>
  <c r="F767" i="15"/>
  <c r="F751" i="15"/>
  <c r="F735" i="15"/>
  <c r="F719" i="15"/>
  <c r="F703" i="15"/>
  <c r="F687" i="15"/>
  <c r="F671" i="15"/>
  <c r="F655" i="15"/>
  <c r="F639" i="15"/>
  <c r="F623" i="15"/>
  <c r="F607" i="15"/>
  <c r="F591" i="15"/>
  <c r="F575" i="15"/>
  <c r="F559" i="15"/>
  <c r="F543" i="15"/>
  <c r="F527" i="15"/>
  <c r="F511" i="15"/>
  <c r="F495" i="15"/>
  <c r="F479" i="15"/>
  <c r="F463" i="15"/>
  <c r="F447" i="15"/>
  <c r="F431" i="15"/>
  <c r="F415" i="15"/>
  <c r="F399" i="15"/>
  <c r="F383" i="15"/>
  <c r="F367" i="15"/>
  <c r="F351" i="15"/>
  <c r="F335" i="15"/>
  <c r="F319" i="15"/>
  <c r="F303" i="15"/>
  <c r="F287" i="15"/>
  <c r="F271" i="15"/>
  <c r="F255" i="15"/>
  <c r="F239" i="15"/>
  <c r="F223" i="15"/>
  <c r="F207" i="15"/>
  <c r="F191" i="15"/>
  <c r="F175" i="15"/>
  <c r="F159" i="15"/>
  <c r="F143" i="15"/>
  <c r="F127" i="15"/>
  <c r="F111" i="15"/>
  <c r="F95" i="15"/>
  <c r="F79" i="15"/>
  <c r="F63" i="15"/>
  <c r="F47" i="15"/>
  <c r="F31" i="15"/>
  <c r="F15" i="15"/>
  <c r="F1342" i="15"/>
  <c r="F1326" i="15"/>
  <c r="F1310" i="15"/>
  <c r="F1294" i="15"/>
  <c r="F1278" i="15"/>
  <c r="F1262" i="15"/>
  <c r="F1246" i="15"/>
  <c r="F1230" i="15"/>
  <c r="F1214" i="15"/>
  <c r="F1198" i="15"/>
  <c r="F1182" i="15"/>
  <c r="F1166" i="15"/>
  <c r="F1150" i="15"/>
  <c r="F1134" i="15"/>
  <c r="F1118" i="15"/>
  <c r="F1102" i="15"/>
  <c r="F1086" i="15"/>
  <c r="F1070" i="15"/>
  <c r="F1054" i="15"/>
  <c r="F1038" i="15"/>
  <c r="F1022" i="15"/>
  <c r="F1006" i="15"/>
  <c r="F990" i="15"/>
  <c r="F974" i="15"/>
  <c r="F958" i="15"/>
  <c r="F942" i="15"/>
  <c r="F926" i="15"/>
  <c r="F910" i="15"/>
  <c r="F894" i="15"/>
  <c r="F878" i="15"/>
  <c r="F862" i="15"/>
  <c r="F846" i="15"/>
  <c r="F830" i="15"/>
  <c r="F814" i="15"/>
  <c r="F798" i="15"/>
  <c r="F782" i="15"/>
  <c r="F766" i="15"/>
  <c r="F750" i="15"/>
  <c r="F734" i="15"/>
  <c r="F718" i="15"/>
  <c r="F702" i="15"/>
  <c r="F686" i="15"/>
  <c r="F670" i="15"/>
  <c r="F654" i="15"/>
  <c r="F638" i="15"/>
  <c r="F622" i="15"/>
  <c r="F606" i="15"/>
  <c r="F590" i="15"/>
  <c r="F574" i="15"/>
  <c r="F558" i="15"/>
  <c r="F542" i="15"/>
  <c r="F526" i="15"/>
  <c r="F510" i="15"/>
  <c r="F494" i="15"/>
  <c r="F478" i="15"/>
  <c r="F462" i="15"/>
  <c r="F446" i="15"/>
  <c r="F430" i="15"/>
  <c r="F414" i="15"/>
  <c r="F398" i="15"/>
  <c r="F382" i="15"/>
  <c r="F366" i="15"/>
  <c r="F350" i="15"/>
  <c r="F334" i="15"/>
  <c r="F318" i="15"/>
  <c r="F302" i="15"/>
  <c r="F286" i="15"/>
  <c r="F270" i="15"/>
  <c r="F254" i="15"/>
  <c r="F238" i="15"/>
  <c r="F222" i="15"/>
  <c r="F206" i="15"/>
  <c r="F190" i="15"/>
  <c r="F174" i="15"/>
  <c r="F158" i="15"/>
  <c r="F142" i="15"/>
  <c r="F126" i="15"/>
  <c r="F110" i="15"/>
  <c r="F94" i="15"/>
  <c r="F78" i="15"/>
  <c r="F62" i="15"/>
  <c r="F46" i="15"/>
  <c r="F30" i="15"/>
  <c r="F14" i="15"/>
  <c r="F1341" i="15"/>
  <c r="F1325" i="15"/>
  <c r="F1309" i="15"/>
  <c r="F1293" i="15"/>
  <c r="F1277" i="15"/>
  <c r="F1261" i="15"/>
  <c r="F1245" i="15"/>
  <c r="F1229" i="15"/>
  <c r="F1213" i="15"/>
  <c r="F1197" i="15"/>
  <c r="F1181" i="15"/>
  <c r="F1165" i="15"/>
  <c r="F1149" i="15"/>
  <c r="F1133" i="15"/>
  <c r="F1117" i="15"/>
  <c r="F1101" i="15"/>
  <c r="F1085" i="15"/>
  <c r="F1069" i="15"/>
  <c r="F1053" i="15"/>
  <c r="F1037" i="15"/>
  <c r="F1021" i="15"/>
  <c r="F1005" i="15"/>
  <c r="F989" i="15"/>
  <c r="F973" i="15"/>
  <c r="F957" i="15"/>
  <c r="F941" i="15"/>
  <c r="F925" i="15"/>
  <c r="F909" i="15"/>
  <c r="F893" i="15"/>
  <c r="F877" i="15"/>
  <c r="F861" i="15"/>
  <c r="F845" i="15"/>
  <c r="F829" i="15"/>
  <c r="F813" i="15"/>
  <c r="F797" i="15"/>
  <c r="F781" i="15"/>
  <c r="F765" i="15"/>
  <c r="F749" i="15"/>
  <c r="F733" i="15"/>
  <c r="F717" i="15"/>
  <c r="F701" i="15"/>
  <c r="F685" i="15"/>
  <c r="F669" i="15"/>
  <c r="F653" i="15"/>
  <c r="F637" i="15"/>
  <c r="F621" i="15"/>
  <c r="F605" i="15"/>
  <c r="F589" i="15"/>
  <c r="F573" i="15"/>
  <c r="F557" i="15"/>
  <c r="F541" i="15"/>
  <c r="F525" i="15"/>
  <c r="F509" i="15"/>
  <c r="F493" i="15"/>
  <c r="F477" i="15"/>
  <c r="F461" i="15"/>
  <c r="F445" i="15"/>
  <c r="F429" i="15"/>
  <c r="F413" i="15"/>
  <c r="F397" i="15"/>
  <c r="F381" i="15"/>
  <c r="F365" i="15"/>
  <c r="F349" i="15"/>
  <c r="F333" i="15"/>
  <c r="F317" i="15"/>
  <c r="F301" i="15"/>
  <c r="F285" i="15"/>
  <c r="F269" i="15"/>
  <c r="F253" i="15"/>
  <c r="F237" i="15"/>
  <c r="F221" i="15"/>
  <c r="F205" i="15"/>
  <c r="F189" i="15"/>
  <c r="F173" i="15"/>
  <c r="F157" i="15"/>
  <c r="F141" i="15"/>
  <c r="F125" i="15"/>
  <c r="F109" i="15"/>
  <c r="F93" i="15"/>
  <c r="F77" i="15"/>
  <c r="F61" i="15"/>
  <c r="F45" i="15"/>
  <c r="F29" i="15"/>
  <c r="F13" i="15"/>
  <c r="F1340" i="15"/>
  <c r="F1324" i="15"/>
  <c r="F1308" i="15"/>
  <c r="F1292" i="15"/>
  <c r="F1276" i="15"/>
  <c r="F1260" i="15"/>
  <c r="F1244" i="15"/>
  <c r="F1228" i="15"/>
  <c r="F1212" i="15"/>
  <c r="F1196" i="15"/>
  <c r="F1180" i="15"/>
  <c r="F1164" i="15"/>
  <c r="F1148" i="15"/>
  <c r="F1132" i="15"/>
  <c r="F1116" i="15"/>
  <c r="F1100" i="15"/>
  <c r="F1084" i="15"/>
  <c r="F1068" i="15"/>
  <c r="F1052" i="15"/>
  <c r="F1036" i="15"/>
  <c r="F1020" i="15"/>
  <c r="F1004" i="15"/>
  <c r="F988" i="15"/>
  <c r="F972" i="15"/>
  <c r="F956" i="15"/>
  <c r="F940" i="15"/>
  <c r="F924" i="15"/>
  <c r="F908" i="15"/>
  <c r="F892" i="15"/>
  <c r="F876" i="15"/>
  <c r="F860" i="15"/>
  <c r="F844" i="15"/>
  <c r="F828" i="15"/>
  <c r="F812" i="15"/>
  <c r="F796" i="15"/>
  <c r="F780" i="15"/>
  <c r="F764" i="15"/>
  <c r="F748" i="15"/>
  <c r="F732" i="15"/>
  <c r="F716" i="15"/>
  <c r="F700" i="15"/>
  <c r="F684" i="15"/>
  <c r="F668" i="15"/>
  <c r="F652" i="15"/>
  <c r="F636" i="15"/>
  <c r="F620" i="15"/>
  <c r="F604" i="15"/>
  <c r="F588" i="15"/>
  <c r="F572" i="15"/>
  <c r="F556" i="15"/>
  <c r="F540" i="15"/>
  <c r="F524" i="15"/>
  <c r="F508" i="15"/>
  <c r="F492" i="15"/>
  <c r="F476" i="15"/>
  <c r="F460" i="15"/>
  <c r="F444" i="15"/>
  <c r="F428" i="15"/>
  <c r="F412" i="15"/>
  <c r="F396" i="15"/>
  <c r="F380" i="15"/>
  <c r="F364" i="15"/>
  <c r="F348" i="15"/>
  <c r="F332" i="15"/>
  <c r="F316" i="15"/>
  <c r="F300" i="15"/>
  <c r="F284" i="15"/>
  <c r="F268" i="15"/>
  <c r="F252" i="15"/>
  <c r="F236" i="15"/>
  <c r="F220" i="15"/>
  <c r="F204" i="15"/>
  <c r="F188" i="15"/>
  <c r="F172" i="15"/>
  <c r="F156" i="15"/>
  <c r="F140" i="15"/>
  <c r="F124" i="15"/>
  <c r="F108" i="15"/>
  <c r="F92" i="15"/>
  <c r="F76" i="15"/>
  <c r="F60" i="15"/>
  <c r="F44" i="15"/>
  <c r="F28" i="15"/>
  <c r="F12" i="15"/>
  <c r="F1339" i="15"/>
  <c r="F1323" i="15"/>
  <c r="F1307" i="15"/>
  <c r="F1291" i="15"/>
  <c r="F1275" i="15"/>
  <c r="F1259" i="15"/>
  <c r="F1243" i="15"/>
  <c r="F1227" i="15"/>
  <c r="F1211" i="15"/>
  <c r="F1195" i="15"/>
  <c r="F1179" i="15"/>
  <c r="F1163" i="15"/>
  <c r="F1147" i="15"/>
  <c r="F1131" i="15"/>
  <c r="F1115" i="15"/>
  <c r="F1099" i="15"/>
  <c r="F1083" i="15"/>
  <c r="F1067" i="15"/>
  <c r="F1051" i="15"/>
  <c r="F1035" i="15"/>
  <c r="F1019" i="15"/>
  <c r="F1003" i="15"/>
  <c r="F987" i="15"/>
  <c r="F971" i="15"/>
  <c r="F955" i="15"/>
  <c r="F939" i="15"/>
  <c r="F923" i="15"/>
  <c r="F907" i="15"/>
  <c r="F891" i="15"/>
  <c r="F875" i="15"/>
  <c r="F859" i="15"/>
  <c r="F843" i="15"/>
  <c r="F827" i="15"/>
  <c r="F811" i="15"/>
  <c r="F795" i="15"/>
  <c r="F779" i="15"/>
  <c r="F763" i="15"/>
  <c r="F747" i="15"/>
  <c r="F731" i="15"/>
  <c r="F715" i="15"/>
  <c r="F699" i="15"/>
  <c r="F683" i="15"/>
  <c r="F667" i="15"/>
  <c r="F651" i="15"/>
  <c r="F635" i="15"/>
  <c r="F619" i="15"/>
  <c r="F603" i="15"/>
  <c r="F587" i="15"/>
  <c r="F571" i="15"/>
  <c r="F555" i="15"/>
  <c r="F539" i="15"/>
  <c r="F523" i="15"/>
  <c r="F507" i="15"/>
  <c r="F491" i="15"/>
  <c r="F475" i="15"/>
  <c r="F459" i="15"/>
  <c r="F443" i="15"/>
  <c r="F427" i="15"/>
  <c r="F411" i="15"/>
  <c r="F395" i="15"/>
  <c r="F379" i="15"/>
  <c r="F363" i="15"/>
  <c r="F347" i="15"/>
  <c r="F331" i="15"/>
  <c r="F315" i="15"/>
  <c r="F299" i="15"/>
  <c r="F283" i="15"/>
  <c r="F267" i="15"/>
  <c r="F251" i="15"/>
  <c r="F235" i="15"/>
  <c r="F219" i="15"/>
  <c r="F203" i="15"/>
  <c r="F187" i="15"/>
  <c r="F171" i="15"/>
  <c r="F155" i="15"/>
  <c r="F139" i="15"/>
  <c r="F123" i="15"/>
  <c r="F107" i="15"/>
  <c r="F91" i="15"/>
  <c r="F75" i="15"/>
  <c r="F59" i="15"/>
  <c r="F43" i="15"/>
  <c r="F27" i="15"/>
  <c r="F11" i="15"/>
  <c r="F1338" i="15"/>
  <c r="F1322" i="15"/>
  <c r="F1306" i="15"/>
  <c r="F1290" i="15"/>
  <c r="F1274" i="15"/>
  <c r="F1258" i="15"/>
  <c r="F1242" i="15"/>
  <c r="F1226" i="15"/>
  <c r="F1210" i="15"/>
  <c r="F1194" i="15"/>
  <c r="F1178" i="15"/>
  <c r="F1162" i="15"/>
  <c r="F1146" i="15"/>
  <c r="F1130" i="15"/>
  <c r="F1114" i="15"/>
  <c r="F1098" i="15"/>
  <c r="F1082" i="15"/>
  <c r="F1066" i="15"/>
  <c r="F1050" i="15"/>
  <c r="F1034" i="15"/>
  <c r="F1018" i="15"/>
  <c r="F1002" i="15"/>
  <c r="F986" i="15"/>
  <c r="F970" i="15"/>
  <c r="F954" i="15"/>
  <c r="F938" i="15"/>
  <c r="F922" i="15"/>
  <c r="F906" i="15"/>
  <c r="F890" i="15"/>
  <c r="F874" i="15"/>
  <c r="F858" i="15"/>
  <c r="F842" i="15"/>
  <c r="F826" i="15"/>
  <c r="F810" i="15"/>
  <c r="F794" i="15"/>
  <c r="F778" i="15"/>
  <c r="F762" i="15"/>
  <c r="F746" i="15"/>
  <c r="F730" i="15"/>
  <c r="F714" i="15"/>
  <c r="F698" i="15"/>
  <c r="F682" i="15"/>
  <c r="F666" i="15"/>
  <c r="F650" i="15"/>
  <c r="F634" i="15"/>
  <c r="F618" i="15"/>
  <c r="F602" i="15"/>
  <c r="F586" i="15"/>
  <c r="F570" i="15"/>
  <c r="F554" i="15"/>
  <c r="F538" i="15"/>
  <c r="F522" i="15"/>
  <c r="F506" i="15"/>
  <c r="F490" i="15"/>
  <c r="F474" i="15"/>
  <c r="F458" i="15"/>
  <c r="F442" i="15"/>
  <c r="F426" i="15"/>
  <c r="F410" i="15"/>
  <c r="F394" i="15"/>
  <c r="F378" i="15"/>
  <c r="F362" i="15"/>
  <c r="F346" i="15"/>
  <c r="F330" i="15"/>
  <c r="F314" i="15"/>
  <c r="F298" i="15"/>
  <c r="F282" i="15"/>
  <c r="F266" i="15"/>
  <c r="F250" i="15"/>
  <c r="F234" i="15"/>
  <c r="F218" i="15"/>
  <c r="F202" i="15"/>
  <c r="F186" i="15"/>
  <c r="F170" i="15"/>
  <c r="F154" i="15"/>
  <c r="F138" i="15"/>
  <c r="F122" i="15"/>
  <c r="F106" i="15"/>
  <c r="F90" i="15"/>
  <c r="F74" i="15"/>
  <c r="F58" i="15"/>
  <c r="F42" i="15"/>
  <c r="F26" i="15"/>
  <c r="F10" i="15"/>
  <c r="F9" i="15"/>
  <c r="F1336" i="15"/>
  <c r="F1320" i="15"/>
  <c r="F1304" i="15"/>
  <c r="F1288" i="15"/>
  <c r="F1272" i="15"/>
  <c r="F1256" i="15"/>
  <c r="F1240" i="15"/>
  <c r="F1224" i="15"/>
  <c r="F1208" i="15"/>
  <c r="F1192" i="15"/>
  <c r="F1176" i="15"/>
  <c r="F1160" i="15"/>
  <c r="F1144" i="15"/>
  <c r="F1128" i="15"/>
  <c r="F1112" i="15"/>
  <c r="F1096" i="15"/>
  <c r="F1080" i="15"/>
  <c r="F1064" i="15"/>
  <c r="F1048" i="15"/>
  <c r="F1032" i="15"/>
  <c r="F1016" i="15"/>
  <c r="F1000" i="15"/>
  <c r="F984" i="15"/>
  <c r="F968" i="15"/>
  <c r="F952" i="15"/>
  <c r="F936" i="15"/>
  <c r="F920" i="15"/>
  <c r="F904" i="15"/>
  <c r="F888" i="15"/>
  <c r="F872" i="15"/>
  <c r="F856" i="15"/>
  <c r="F840" i="15"/>
  <c r="F824" i="15"/>
  <c r="F808" i="15"/>
  <c r="F792" i="15"/>
  <c r="F776" i="15"/>
  <c r="F760" i="15"/>
  <c r="F744" i="15"/>
  <c r="F728" i="15"/>
  <c r="F712" i="15"/>
  <c r="F696" i="15"/>
  <c r="F680" i="15"/>
  <c r="F664" i="15"/>
  <c r="F648" i="15"/>
  <c r="F632" i="15"/>
  <c r="F616" i="15"/>
  <c r="F600" i="15"/>
  <c r="F584" i="15"/>
  <c r="F568" i="15"/>
  <c r="F552" i="15"/>
  <c r="F536" i="15"/>
  <c r="F520" i="15"/>
  <c r="F504" i="15"/>
  <c r="F488" i="15"/>
  <c r="F472" i="15"/>
  <c r="F456" i="15"/>
  <c r="F440" i="15"/>
  <c r="F424" i="15"/>
  <c r="F408" i="15"/>
  <c r="F392" i="15"/>
  <c r="F376" i="15"/>
  <c r="F360" i="15"/>
  <c r="F344" i="15"/>
  <c r="F328" i="15"/>
  <c r="F312" i="15"/>
  <c r="F296" i="15"/>
  <c r="F280" i="15"/>
  <c r="F264" i="15"/>
  <c r="F248" i="15"/>
  <c r="F232" i="15"/>
  <c r="F216" i="15"/>
  <c r="F200" i="15"/>
  <c r="F184" i="15"/>
  <c r="F168" i="15"/>
  <c r="F152" i="15"/>
  <c r="F136" i="15"/>
  <c r="F120" i="15"/>
  <c r="F104" i="15"/>
  <c r="F88" i="15"/>
  <c r="F72" i="15"/>
  <c r="F56" i="15"/>
  <c r="F40" i="15"/>
  <c r="F24" i="15"/>
  <c r="F8" i="15"/>
  <c r="F1335" i="15"/>
  <c r="F1319" i="15"/>
  <c r="F1303" i="15"/>
  <c r="F1287" i="15"/>
  <c r="F1271" i="15"/>
  <c r="F1255" i="15"/>
  <c r="F1239" i="15"/>
  <c r="F1223" i="15"/>
  <c r="F1207" i="15"/>
  <c r="F1191" i="15"/>
  <c r="F1175" i="15"/>
  <c r="F1159" i="15"/>
  <c r="F1143" i="15"/>
  <c r="F1127" i="15"/>
  <c r="F1111" i="15"/>
  <c r="F1095" i="15"/>
  <c r="F1079" i="15"/>
  <c r="F1063" i="15"/>
  <c r="F1047" i="15"/>
  <c r="F1031" i="15"/>
  <c r="F1015" i="15"/>
  <c r="F999" i="15"/>
  <c r="F983" i="15"/>
  <c r="F967" i="15"/>
  <c r="F951" i="15"/>
  <c r="F935" i="15"/>
  <c r="F919" i="15"/>
  <c r="F903" i="15"/>
  <c r="F887" i="15"/>
  <c r="F871" i="15"/>
  <c r="F855" i="15"/>
  <c r="F839" i="15"/>
  <c r="F823" i="15"/>
  <c r="F807" i="15"/>
  <c r="F791" i="15"/>
  <c r="F775" i="15"/>
  <c r="F759" i="15"/>
  <c r="F743" i="15"/>
  <c r="F727" i="15"/>
  <c r="F711" i="15"/>
  <c r="F695" i="15"/>
  <c r="F679" i="15"/>
  <c r="F663" i="15"/>
  <c r="F647" i="15"/>
  <c r="F631" i="15"/>
  <c r="F615" i="15"/>
  <c r="F599" i="15"/>
  <c r="F583" i="15"/>
  <c r="F567" i="15"/>
  <c r="F551" i="15"/>
  <c r="F535" i="15"/>
  <c r="F519" i="15"/>
  <c r="F503" i="15"/>
  <c r="F487" i="15"/>
  <c r="F471" i="15"/>
  <c r="F455" i="15"/>
  <c r="F439" i="15"/>
  <c r="F423" i="15"/>
  <c r="F407" i="15"/>
  <c r="F391" i="15"/>
  <c r="F375" i="15"/>
  <c r="F359" i="15"/>
  <c r="F343" i="15"/>
  <c r="F327" i="15"/>
  <c r="F311" i="15"/>
  <c r="F295" i="15"/>
  <c r="F279" i="15"/>
  <c r="F263" i="15"/>
  <c r="F247" i="15"/>
  <c r="F231" i="15"/>
  <c r="F215" i="15"/>
  <c r="F199" i="15"/>
  <c r="F183" i="15"/>
  <c r="F167" i="15"/>
  <c r="F151" i="15"/>
  <c r="F135" i="15"/>
  <c r="F119" i="15"/>
  <c r="F103" i="15"/>
  <c r="F87" i="15"/>
  <c r="F71" i="15"/>
  <c r="F55" i="15"/>
  <c r="F39" i="15"/>
  <c r="F23" i="15"/>
  <c r="F7" i="15"/>
  <c r="F1334" i="15"/>
  <c r="F1318" i="15"/>
  <c r="F1302" i="15"/>
  <c r="F1286" i="15"/>
  <c r="F1270" i="15"/>
  <c r="F1254" i="15"/>
  <c r="F1238" i="15"/>
  <c r="F1222" i="15"/>
  <c r="F1206" i="15"/>
  <c r="F1190" i="15"/>
  <c r="F1174" i="15"/>
  <c r="F1158" i="15"/>
  <c r="F1142" i="15"/>
  <c r="F1126" i="15"/>
  <c r="F1110" i="15"/>
  <c r="F1094" i="15"/>
  <c r="F1078" i="15"/>
  <c r="F1062" i="15"/>
  <c r="F1046" i="15"/>
  <c r="F1030" i="15"/>
  <c r="F1014" i="15"/>
  <c r="F998" i="15"/>
  <c r="F982" i="15"/>
  <c r="F966" i="15"/>
  <c r="F950" i="15"/>
  <c r="F934" i="15"/>
  <c r="F918" i="15"/>
  <c r="F902" i="15"/>
  <c r="F886" i="15"/>
  <c r="F870" i="15"/>
  <c r="F854" i="15"/>
  <c r="F838" i="15"/>
  <c r="F822" i="15"/>
  <c r="F806" i="15"/>
  <c r="F790" i="15"/>
  <c r="F774" i="15"/>
  <c r="F758" i="15"/>
  <c r="F742" i="15"/>
  <c r="F726" i="15"/>
  <c r="F710" i="15"/>
  <c r="F694" i="15"/>
  <c r="F678" i="15"/>
  <c r="F662" i="15"/>
  <c r="F646" i="15"/>
  <c r="F630" i="15"/>
  <c r="F614" i="15"/>
  <c r="F598" i="15"/>
  <c r="F582" i="15"/>
  <c r="F566" i="15"/>
  <c r="F550" i="15"/>
  <c r="F534" i="15"/>
  <c r="F518" i="15"/>
  <c r="F502" i="15"/>
  <c r="F486" i="15"/>
  <c r="F470" i="15"/>
  <c r="F454" i="15"/>
  <c r="F438" i="15"/>
  <c r="F422" i="15"/>
  <c r="F406" i="15"/>
  <c r="F390" i="15"/>
  <c r="F374" i="15"/>
  <c r="F358" i="15"/>
  <c r="F342" i="15"/>
  <c r="F326" i="15"/>
  <c r="F310" i="15"/>
  <c r="F294" i="15"/>
  <c r="F278" i="15"/>
  <c r="F262" i="15"/>
  <c r="F246" i="15"/>
  <c r="F230" i="15"/>
  <c r="F214" i="15"/>
  <c r="F198" i="15"/>
  <c r="F182" i="15"/>
  <c r="F166" i="15"/>
  <c r="F150" i="15"/>
  <c r="F134" i="15"/>
  <c r="F118" i="15"/>
  <c r="F102" i="15"/>
  <c r="F86" i="15"/>
  <c r="F70" i="15"/>
  <c r="F54" i="15"/>
  <c r="F38" i="15"/>
  <c r="F22" i="15"/>
  <c r="F6" i="15"/>
  <c r="F1333" i="15"/>
  <c r="F1317" i="15"/>
  <c r="F1301" i="15"/>
  <c r="F1285" i="15"/>
  <c r="F1269" i="15"/>
  <c r="F1253" i="15"/>
  <c r="F1237" i="15"/>
  <c r="F1221" i="15"/>
  <c r="F1205" i="15"/>
  <c r="F1189" i="15"/>
  <c r="F1173" i="15"/>
  <c r="F1157" i="15"/>
  <c r="F1141" i="15"/>
  <c r="F1125" i="15"/>
  <c r="F1109" i="15"/>
  <c r="F1093" i="15"/>
  <c r="F1077" i="15"/>
  <c r="F1061" i="15"/>
  <c r="F1045" i="15"/>
  <c r="F1029" i="15"/>
  <c r="F1013" i="15"/>
  <c r="F997" i="15"/>
  <c r="F981" i="15"/>
  <c r="F965" i="15"/>
  <c r="F949" i="15"/>
  <c r="F933" i="15"/>
  <c r="F917" i="15"/>
  <c r="F901" i="15"/>
  <c r="F885" i="15"/>
  <c r="F869" i="15"/>
  <c r="F853" i="15"/>
  <c r="F837" i="15"/>
  <c r="F821" i="15"/>
  <c r="F805" i="15"/>
  <c r="F789" i="15"/>
  <c r="F773" i="15"/>
  <c r="F757" i="15"/>
  <c r="F741" i="15"/>
  <c r="F725" i="15"/>
  <c r="F709" i="15"/>
  <c r="F693" i="15"/>
  <c r="F677" i="15"/>
  <c r="F661" i="15"/>
  <c r="F645" i="15"/>
  <c r="F629" i="15"/>
  <c r="F613" i="15"/>
  <c r="F597" i="15"/>
  <c r="F581" i="15"/>
  <c r="F565" i="15"/>
  <c r="F549" i="15"/>
  <c r="F533" i="15"/>
  <c r="F517" i="15"/>
  <c r="F501" i="15"/>
  <c r="F485" i="15"/>
  <c r="F469" i="15"/>
  <c r="F453" i="15"/>
  <c r="F437" i="15"/>
  <c r="F421" i="15"/>
  <c r="F405" i="15"/>
  <c r="F389" i="15"/>
  <c r="F373" i="15"/>
  <c r="F357" i="15"/>
  <c r="F341" i="15"/>
  <c r="F325" i="15"/>
  <c r="F309" i="15"/>
  <c r="F293" i="15"/>
  <c r="F277" i="15"/>
  <c r="F261" i="15"/>
  <c r="F245" i="15"/>
  <c r="F229" i="15"/>
  <c r="F213" i="15"/>
  <c r="F197" i="15"/>
  <c r="F181" i="15"/>
  <c r="F165" i="15"/>
  <c r="F149" i="15"/>
  <c r="F133" i="15"/>
  <c r="F117" i="15"/>
  <c r="F101" i="15"/>
  <c r="F85" i="15"/>
  <c r="F69" i="15"/>
  <c r="F53" i="15"/>
  <c r="F37" i="15"/>
  <c r="F21" i="15"/>
  <c r="F5" i="15"/>
  <c r="F1332" i="15"/>
  <c r="F1316" i="15"/>
  <c r="F1300" i="15"/>
  <c r="F1284" i="15"/>
  <c r="F1268" i="15"/>
  <c r="F1252" i="15"/>
  <c r="F1236" i="15"/>
  <c r="F1220" i="15"/>
  <c r="F1204" i="15"/>
  <c r="F1188" i="15"/>
  <c r="F1172" i="15"/>
  <c r="F1156" i="15"/>
  <c r="F1140" i="15"/>
  <c r="F1124" i="15"/>
  <c r="F1108" i="15"/>
  <c r="F1092" i="15"/>
  <c r="F1076" i="15"/>
  <c r="F1060" i="15"/>
  <c r="F1044" i="15"/>
  <c r="F1028" i="15"/>
  <c r="F1012" i="15"/>
  <c r="F996" i="15"/>
  <c r="F980" i="15"/>
  <c r="F964" i="15"/>
  <c r="F948" i="15"/>
  <c r="F932" i="15"/>
  <c r="F916" i="15"/>
  <c r="F900" i="15"/>
  <c r="F884" i="15"/>
  <c r="F868" i="15"/>
  <c r="F852" i="15"/>
  <c r="F836" i="15"/>
  <c r="F820" i="15"/>
  <c r="F804" i="15"/>
  <c r="F788" i="15"/>
  <c r="F772" i="15"/>
  <c r="F756" i="15"/>
  <c r="F740" i="15"/>
  <c r="F724" i="15"/>
  <c r="F708" i="15"/>
  <c r="F692" i="15"/>
  <c r="F676" i="15"/>
  <c r="F660" i="15"/>
  <c r="F644" i="15"/>
  <c r="F628" i="15"/>
  <c r="F612" i="15"/>
  <c r="F596" i="15"/>
  <c r="F580" i="15"/>
  <c r="F564" i="15"/>
  <c r="F548" i="15"/>
  <c r="F532" i="15"/>
  <c r="F516" i="15"/>
  <c r="F500" i="15"/>
  <c r="F484" i="15"/>
  <c r="F468" i="15"/>
  <c r="F452" i="15"/>
  <c r="F436" i="15"/>
  <c r="F420" i="15"/>
  <c r="F404" i="15"/>
  <c r="F388" i="15"/>
  <c r="F372" i="15"/>
  <c r="F356" i="15"/>
  <c r="F340" i="15"/>
  <c r="F324" i="15"/>
  <c r="F308" i="15"/>
  <c r="F292" i="15"/>
  <c r="F276" i="15"/>
  <c r="F260" i="15"/>
  <c r="F244" i="15"/>
  <c r="F228" i="15"/>
  <c r="F212" i="15"/>
  <c r="F196" i="15"/>
  <c r="F180" i="15"/>
  <c r="F164" i="15"/>
  <c r="F148" i="15"/>
  <c r="F132" i="15"/>
  <c r="F116" i="15"/>
  <c r="F100" i="15"/>
  <c r="F84" i="15"/>
  <c r="F68" i="15"/>
  <c r="F52" i="15"/>
  <c r="F36" i="15"/>
  <c r="F20" i="15"/>
  <c r="F4" i="15"/>
  <c r="F1331" i="15"/>
  <c r="F1315" i="15"/>
  <c r="F1299" i="15"/>
  <c r="F1283" i="15"/>
  <c r="F1267" i="15"/>
  <c r="F1251" i="15"/>
  <c r="F1235" i="15"/>
  <c r="F1219" i="15"/>
  <c r="F1203" i="15"/>
  <c r="F1187" i="15"/>
  <c r="F1171" i="15"/>
  <c r="F1155" i="15"/>
  <c r="F1139" i="15"/>
  <c r="F1123" i="15"/>
  <c r="F1107" i="15"/>
  <c r="F1091" i="15"/>
  <c r="F1075" i="15"/>
  <c r="F1059" i="15"/>
  <c r="F1043" i="15"/>
  <c r="F1027" i="15"/>
  <c r="F1011" i="15"/>
  <c r="F995" i="15"/>
  <c r="F979" i="15"/>
  <c r="F963" i="15"/>
  <c r="F947" i="15"/>
  <c r="F931" i="15"/>
  <c r="F915" i="15"/>
  <c r="F899" i="15"/>
  <c r="F883" i="15"/>
  <c r="F867" i="15"/>
  <c r="F851" i="15"/>
  <c r="F835" i="15"/>
  <c r="F819" i="15"/>
  <c r="F803" i="15"/>
  <c r="F787" i="15"/>
  <c r="F771" i="15"/>
  <c r="F755" i="15"/>
  <c r="F739" i="15"/>
  <c r="F723" i="15"/>
  <c r="F707" i="15"/>
  <c r="F691" i="15"/>
  <c r="F675" i="15"/>
  <c r="F659" i="15"/>
  <c r="F643" i="15"/>
  <c r="F627" i="15"/>
  <c r="F611" i="15"/>
  <c r="F595" i="15"/>
  <c r="F579" i="15"/>
  <c r="F563" i="15"/>
  <c r="F547" i="15"/>
  <c r="F531" i="15"/>
  <c r="F515" i="15"/>
  <c r="F499" i="15"/>
  <c r="F483" i="15"/>
  <c r="F467" i="15"/>
  <c r="F451" i="15"/>
  <c r="F435" i="15"/>
  <c r="F419" i="15"/>
  <c r="F403" i="15"/>
  <c r="F387" i="15"/>
  <c r="F371" i="15"/>
  <c r="F355" i="15"/>
  <c r="F339" i="15"/>
  <c r="F323" i="15"/>
  <c r="F307" i="15"/>
  <c r="F291" i="15"/>
  <c r="F275" i="15"/>
  <c r="F259" i="15"/>
  <c r="F243" i="15"/>
  <c r="F227" i="15"/>
  <c r="F211" i="15"/>
  <c r="F195" i="15"/>
  <c r="F179" i="15"/>
  <c r="F163" i="15"/>
  <c r="F147" i="15"/>
  <c r="F131" i="15"/>
  <c r="F115" i="15"/>
  <c r="F99" i="15"/>
  <c r="F83" i="15"/>
  <c r="F67" i="15"/>
  <c r="F51" i="15"/>
  <c r="F35" i="15"/>
  <c r="F19" i="15"/>
  <c r="F2" i="4" a="1"/>
  <c r="F2" i="4" s="1"/>
  <c r="I2" i="4" s="1" a="1"/>
  <c r="I2" i="4" s="1"/>
  <c r="Q2" i="4" l="1" a="1"/>
  <c r="Q2" i="4" s="1"/>
  <c r="N2" i="4" a="1"/>
  <c r="N2" i="4" s="1"/>
  <c r="R2" i="4" s="1" a="1"/>
  <c r="L2" i="4" a="1"/>
  <c r="L2" i="4" s="1"/>
  <c r="K2" i="4" a="1"/>
  <c r="K2" i="4" s="1"/>
  <c r="H2" i="4" a="1"/>
  <c r="H2" i="4" s="1"/>
  <c r="G2" i="4" a="1"/>
  <c r="S49" i="4" l="1"/>
  <c r="S577" i="4"/>
  <c r="S387" i="4"/>
  <c r="S915" i="4"/>
  <c r="S376" i="4"/>
  <c r="S298" i="4"/>
  <c r="S464" i="4"/>
  <c r="S4" i="4"/>
  <c r="S23" i="4"/>
  <c r="S314" i="4"/>
  <c r="S704" i="4"/>
  <c r="S597" i="4"/>
  <c r="S616" i="4"/>
  <c r="S554" i="4"/>
  <c r="S244" i="4"/>
  <c r="S613" i="4"/>
  <c r="S263" i="4"/>
  <c r="S632" i="4"/>
  <c r="S570" i="4"/>
  <c r="S508" i="4"/>
  <c r="S734" i="4"/>
  <c r="S3" i="4"/>
  <c r="S914" i="4"/>
  <c r="S658" i="4"/>
  <c r="S402" i="4"/>
  <c r="S146" i="4"/>
  <c r="S801" i="4"/>
  <c r="S545" i="4"/>
  <c r="S289" i="4"/>
  <c r="S33" i="4"/>
  <c r="S688" i="4"/>
  <c r="S432" i="4"/>
  <c r="S176" i="4"/>
  <c r="S831" i="4"/>
  <c r="S575" i="4"/>
  <c r="S319" i="4"/>
  <c r="S63" i="4"/>
  <c r="S718" i="4"/>
  <c r="S462" i="4"/>
  <c r="S206" i="4"/>
  <c r="S861" i="4"/>
  <c r="S605" i="4"/>
  <c r="S349" i="4"/>
  <c r="S93" i="4"/>
  <c r="S748" i="4"/>
  <c r="S492" i="4"/>
  <c r="S236" i="4"/>
  <c r="S891" i="4"/>
  <c r="S635" i="4"/>
  <c r="S379" i="4"/>
  <c r="S123" i="4"/>
  <c r="S794" i="4"/>
  <c r="S538" i="4"/>
  <c r="S282" i="4"/>
  <c r="S26" i="4"/>
  <c r="S697" i="4"/>
  <c r="S441" i="4"/>
  <c r="S185" i="4"/>
  <c r="S856" i="4"/>
  <c r="S600" i="4"/>
  <c r="S344" i="4"/>
  <c r="S88" i="4"/>
  <c r="S759" i="4"/>
  <c r="S503" i="4"/>
  <c r="S247" i="4"/>
  <c r="S918" i="4"/>
  <c r="S662" i="4"/>
  <c r="S406" i="4"/>
  <c r="S150" i="4"/>
  <c r="S821" i="4"/>
  <c r="S565" i="4"/>
  <c r="S309" i="4"/>
  <c r="S53" i="4"/>
  <c r="S724" i="4"/>
  <c r="S468" i="4"/>
  <c r="S212" i="4"/>
  <c r="S883" i="4"/>
  <c r="S627" i="4"/>
  <c r="S371" i="4"/>
  <c r="S115" i="4"/>
  <c r="S805" i="4"/>
  <c r="S452" i="4"/>
  <c r="S611" i="4"/>
  <c r="S99" i="4"/>
  <c r="S531" i="4"/>
  <c r="S36" i="4"/>
  <c r="S898" i="4"/>
  <c r="S642" i="4"/>
  <c r="S386" i="4"/>
  <c r="S130" i="4"/>
  <c r="S785" i="4"/>
  <c r="S529" i="4"/>
  <c r="S273" i="4"/>
  <c r="S17" i="4"/>
  <c r="S672" i="4"/>
  <c r="S416" i="4"/>
  <c r="S160" i="4"/>
  <c r="S815" i="4"/>
  <c r="S559" i="4"/>
  <c r="S303" i="4"/>
  <c r="S47" i="4"/>
  <c r="S702" i="4"/>
  <c r="S446" i="4"/>
  <c r="S190" i="4"/>
  <c r="S845" i="4"/>
  <c r="S589" i="4"/>
  <c r="S333" i="4"/>
  <c r="S77" i="4"/>
  <c r="S732" i="4"/>
  <c r="S476" i="4"/>
  <c r="S220" i="4"/>
  <c r="S875" i="4"/>
  <c r="S619" i="4"/>
  <c r="S363" i="4"/>
  <c r="S107" i="4"/>
  <c r="S778" i="4"/>
  <c r="S522" i="4"/>
  <c r="S266" i="4"/>
  <c r="S10" i="4"/>
  <c r="S681" i="4"/>
  <c r="S425" i="4"/>
  <c r="S169" i="4"/>
  <c r="S840" i="4"/>
  <c r="S584" i="4"/>
  <c r="S328" i="4"/>
  <c r="S72" i="4"/>
  <c r="S743" i="4"/>
  <c r="S487" i="4"/>
  <c r="S231" i="4"/>
  <c r="S902" i="4"/>
  <c r="S646" i="4"/>
  <c r="S390" i="4"/>
  <c r="S134" i="4"/>
  <c r="S549" i="4"/>
  <c r="S293" i="4"/>
  <c r="S37" i="4"/>
  <c r="S708" i="4"/>
  <c r="S196" i="4"/>
  <c r="S867" i="4"/>
  <c r="S355" i="4"/>
  <c r="S372" i="4"/>
  <c r="S707" i="4"/>
  <c r="S882" i="4"/>
  <c r="S626" i="4"/>
  <c r="S370" i="4"/>
  <c r="S114" i="4"/>
  <c r="S769" i="4"/>
  <c r="S513" i="4"/>
  <c r="S257" i="4"/>
  <c r="S912" i="4"/>
  <c r="S656" i="4"/>
  <c r="S400" i="4"/>
  <c r="S144" i="4"/>
  <c r="S799" i="4"/>
  <c r="S543" i="4"/>
  <c r="S287" i="4"/>
  <c r="S31" i="4"/>
  <c r="S686" i="4"/>
  <c r="S430" i="4"/>
  <c r="S174" i="4"/>
  <c r="S829" i="4"/>
  <c r="S573" i="4"/>
  <c r="S317" i="4"/>
  <c r="S61" i="4"/>
  <c r="S716" i="4"/>
  <c r="S460" i="4"/>
  <c r="S204" i="4"/>
  <c r="S859" i="4"/>
  <c r="S603" i="4"/>
  <c r="S347" i="4"/>
  <c r="S91" i="4"/>
  <c r="S762" i="4"/>
  <c r="S506" i="4"/>
  <c r="S250" i="4"/>
  <c r="S921" i="4"/>
  <c r="S665" i="4"/>
  <c r="S409" i="4"/>
  <c r="S153" i="4"/>
  <c r="S824" i="4"/>
  <c r="S568" i="4"/>
  <c r="S312" i="4"/>
  <c r="S56" i="4"/>
  <c r="S727" i="4"/>
  <c r="S471" i="4"/>
  <c r="S215" i="4"/>
  <c r="S886" i="4"/>
  <c r="S630" i="4"/>
  <c r="S374" i="4"/>
  <c r="S118" i="4"/>
  <c r="S789" i="4"/>
  <c r="S533" i="4"/>
  <c r="S277" i="4"/>
  <c r="S21" i="4"/>
  <c r="S692" i="4"/>
  <c r="S436" i="4"/>
  <c r="S180" i="4"/>
  <c r="S851" i="4"/>
  <c r="S595" i="4"/>
  <c r="S339" i="4"/>
  <c r="S83" i="4"/>
  <c r="S420" i="4"/>
  <c r="S835" i="4"/>
  <c r="S579" i="4"/>
  <c r="S67" i="4"/>
  <c r="S19" i="4"/>
  <c r="S292" i="4"/>
  <c r="S489" i="4"/>
  <c r="S866" i="4"/>
  <c r="S610" i="4"/>
  <c r="S354" i="4"/>
  <c r="S98" i="4"/>
  <c r="S753" i="4"/>
  <c r="S497" i="4"/>
  <c r="S241" i="4"/>
  <c r="S896" i="4"/>
  <c r="S640" i="4"/>
  <c r="S384" i="4"/>
  <c r="S128" i="4"/>
  <c r="S783" i="4"/>
  <c r="S527" i="4"/>
  <c r="S271" i="4"/>
  <c r="S15" i="4"/>
  <c r="S670" i="4"/>
  <c r="S414" i="4"/>
  <c r="S158" i="4"/>
  <c r="S813" i="4"/>
  <c r="S557" i="4"/>
  <c r="S301" i="4"/>
  <c r="S45" i="4"/>
  <c r="S700" i="4"/>
  <c r="S444" i="4"/>
  <c r="S188" i="4"/>
  <c r="S843" i="4"/>
  <c r="S587" i="4"/>
  <c r="S331" i="4"/>
  <c r="S75" i="4"/>
  <c r="S746" i="4"/>
  <c r="S490" i="4"/>
  <c r="S234" i="4"/>
  <c r="S905" i="4"/>
  <c r="S649" i="4"/>
  <c r="S393" i="4"/>
  <c r="S137" i="4"/>
  <c r="S808" i="4"/>
  <c r="S552" i="4"/>
  <c r="S296" i="4"/>
  <c r="S40" i="4"/>
  <c r="S711" i="4"/>
  <c r="S455" i="4"/>
  <c r="S199" i="4"/>
  <c r="S870" i="4"/>
  <c r="S614" i="4"/>
  <c r="S358" i="4"/>
  <c r="S102" i="4"/>
  <c r="S773" i="4"/>
  <c r="S517" i="4"/>
  <c r="S261" i="4"/>
  <c r="S5" i="4"/>
  <c r="S676" i="4"/>
  <c r="S164" i="4"/>
  <c r="S323" i="4"/>
  <c r="S804" i="4"/>
  <c r="S74" i="4"/>
  <c r="S850" i="4"/>
  <c r="S594" i="4"/>
  <c r="S338" i="4"/>
  <c r="S82" i="4"/>
  <c r="S737" i="4"/>
  <c r="S481" i="4"/>
  <c r="S225" i="4"/>
  <c r="S880" i="4"/>
  <c r="S624" i="4"/>
  <c r="S368" i="4"/>
  <c r="S112" i="4"/>
  <c r="S767" i="4"/>
  <c r="S511" i="4"/>
  <c r="S255" i="4"/>
  <c r="S910" i="4"/>
  <c r="S654" i="4"/>
  <c r="S398" i="4"/>
  <c r="S142" i="4"/>
  <c r="S797" i="4"/>
  <c r="S541" i="4"/>
  <c r="S285" i="4"/>
  <c r="S29" i="4"/>
  <c r="S684" i="4"/>
  <c r="S428" i="4"/>
  <c r="S172" i="4"/>
  <c r="S827" i="4"/>
  <c r="S571" i="4"/>
  <c r="S315" i="4"/>
  <c r="S59" i="4"/>
  <c r="S730" i="4"/>
  <c r="S474" i="4"/>
  <c r="S218" i="4"/>
  <c r="S889" i="4"/>
  <c r="S633" i="4"/>
  <c r="S377" i="4"/>
  <c r="S121" i="4"/>
  <c r="S792" i="4"/>
  <c r="S536" i="4"/>
  <c r="S280" i="4"/>
  <c r="S24" i="4"/>
  <c r="S695" i="4"/>
  <c r="S439" i="4"/>
  <c r="S183" i="4"/>
  <c r="S854" i="4"/>
  <c r="S598" i="4"/>
  <c r="S342" i="4"/>
  <c r="S86" i="4"/>
  <c r="S757" i="4"/>
  <c r="S501" i="4"/>
  <c r="S245" i="4"/>
  <c r="S916" i="4"/>
  <c r="S660" i="4"/>
  <c r="S404" i="4"/>
  <c r="S148" i="4"/>
  <c r="S819" i="4"/>
  <c r="S563" i="4"/>
  <c r="S307" i="4"/>
  <c r="S51" i="4"/>
  <c r="S13" i="4"/>
  <c r="S873" i="4"/>
  <c r="S776" i="4"/>
  <c r="S264" i="4"/>
  <c r="S679" i="4"/>
  <c r="S167" i="4"/>
  <c r="S582" i="4"/>
  <c r="S70" i="4"/>
  <c r="S485" i="4"/>
  <c r="S900" i="4"/>
  <c r="S644" i="4"/>
  <c r="S132" i="4"/>
  <c r="S547" i="4"/>
  <c r="S35" i="4"/>
  <c r="S54" i="4"/>
  <c r="S628" i="4"/>
  <c r="S275" i="4"/>
  <c r="S834" i="4"/>
  <c r="S578" i="4"/>
  <c r="S322" i="4"/>
  <c r="S66" i="4"/>
  <c r="S721" i="4"/>
  <c r="S465" i="4"/>
  <c r="S209" i="4"/>
  <c r="S864" i="4"/>
  <c r="S608" i="4"/>
  <c r="S352" i="4"/>
  <c r="S96" i="4"/>
  <c r="S751" i="4"/>
  <c r="S495" i="4"/>
  <c r="S239" i="4"/>
  <c r="S894" i="4"/>
  <c r="S638" i="4"/>
  <c r="S382" i="4"/>
  <c r="S126" i="4"/>
  <c r="S781" i="4"/>
  <c r="S525" i="4"/>
  <c r="S269" i="4"/>
  <c r="S668" i="4"/>
  <c r="S412" i="4"/>
  <c r="S156" i="4"/>
  <c r="S811" i="4"/>
  <c r="S555" i="4"/>
  <c r="S299" i="4"/>
  <c r="S43" i="4"/>
  <c r="S714" i="4"/>
  <c r="S458" i="4"/>
  <c r="S202" i="4"/>
  <c r="S617" i="4"/>
  <c r="S361" i="4"/>
  <c r="S105" i="4"/>
  <c r="S520" i="4"/>
  <c r="S8" i="4"/>
  <c r="S423" i="4"/>
  <c r="S838" i="4"/>
  <c r="S326" i="4"/>
  <c r="S741" i="4"/>
  <c r="S229" i="4"/>
  <c r="S388" i="4"/>
  <c r="S803" i="4"/>
  <c r="S291" i="4"/>
  <c r="S725" i="4"/>
  <c r="S884" i="4"/>
  <c r="S787" i="4"/>
  <c r="S451" i="4"/>
  <c r="S818" i="4"/>
  <c r="S562" i="4"/>
  <c r="S306" i="4"/>
  <c r="S50" i="4"/>
  <c r="S705" i="4"/>
  <c r="S449" i="4"/>
  <c r="S193" i="4"/>
  <c r="S848" i="4"/>
  <c r="S592" i="4"/>
  <c r="S336" i="4"/>
  <c r="S80" i="4"/>
  <c r="S735" i="4"/>
  <c r="S479" i="4"/>
  <c r="S223" i="4"/>
  <c r="S878" i="4"/>
  <c r="S622" i="4"/>
  <c r="S366" i="4"/>
  <c r="S110" i="4"/>
  <c r="S765" i="4"/>
  <c r="S509" i="4"/>
  <c r="S253" i="4"/>
  <c r="S908" i="4"/>
  <c r="S652" i="4"/>
  <c r="S396" i="4"/>
  <c r="S140" i="4"/>
  <c r="S795" i="4"/>
  <c r="S539" i="4"/>
  <c r="S283" i="4"/>
  <c r="S27" i="4"/>
  <c r="S698" i="4"/>
  <c r="S442" i="4"/>
  <c r="S186" i="4"/>
  <c r="S857" i="4"/>
  <c r="S601" i="4"/>
  <c r="S345" i="4"/>
  <c r="S89" i="4"/>
  <c r="S760" i="4"/>
  <c r="S504" i="4"/>
  <c r="S248" i="4"/>
  <c r="S919" i="4"/>
  <c r="S663" i="4"/>
  <c r="S407" i="4"/>
  <c r="S151" i="4"/>
  <c r="S822" i="4"/>
  <c r="S566" i="4"/>
  <c r="S310" i="4"/>
  <c r="S469" i="4"/>
  <c r="S213" i="4"/>
  <c r="S116" i="4"/>
  <c r="S802" i="4"/>
  <c r="S546" i="4"/>
  <c r="S290" i="4"/>
  <c r="S34" i="4"/>
  <c r="S689" i="4"/>
  <c r="S433" i="4"/>
  <c r="S177" i="4"/>
  <c r="S832" i="4"/>
  <c r="S576" i="4"/>
  <c r="S320" i="4"/>
  <c r="S64" i="4"/>
  <c r="S719" i="4"/>
  <c r="S463" i="4"/>
  <c r="S207" i="4"/>
  <c r="S862" i="4"/>
  <c r="S606" i="4"/>
  <c r="S350" i="4"/>
  <c r="S94" i="4"/>
  <c r="S749" i="4"/>
  <c r="S493" i="4"/>
  <c r="S237" i="4"/>
  <c r="S892" i="4"/>
  <c r="S636" i="4"/>
  <c r="S380" i="4"/>
  <c r="S124" i="4"/>
  <c r="S779" i="4"/>
  <c r="S523" i="4"/>
  <c r="S267" i="4"/>
  <c r="S11" i="4"/>
  <c r="S682" i="4"/>
  <c r="S426" i="4"/>
  <c r="S170" i="4"/>
  <c r="S841" i="4"/>
  <c r="S585" i="4"/>
  <c r="S329" i="4"/>
  <c r="S73" i="4"/>
  <c r="S744" i="4"/>
  <c r="S488" i="4"/>
  <c r="S232" i="4"/>
  <c r="S903" i="4"/>
  <c r="S647" i="4"/>
  <c r="S391" i="4"/>
  <c r="S135" i="4"/>
  <c r="S806" i="4"/>
  <c r="S550" i="4"/>
  <c r="S294" i="4"/>
  <c r="S38" i="4"/>
  <c r="S709" i="4"/>
  <c r="S453" i="4"/>
  <c r="S197" i="4"/>
  <c r="S868" i="4"/>
  <c r="S612" i="4"/>
  <c r="S356" i="4"/>
  <c r="S100" i="4"/>
  <c r="S771" i="4"/>
  <c r="S515" i="4"/>
  <c r="S259" i="4"/>
  <c r="R2" i="4"/>
  <c r="S2" i="4" s="1"/>
  <c r="S437" i="4"/>
  <c r="S84" i="4"/>
  <c r="S243" i="4"/>
  <c r="S52" i="4"/>
  <c r="S467" i="4"/>
  <c r="S786" i="4"/>
  <c r="S530" i="4"/>
  <c r="S274" i="4"/>
  <c r="S18" i="4"/>
  <c r="S673" i="4"/>
  <c r="S417" i="4"/>
  <c r="S161" i="4"/>
  <c r="S816" i="4"/>
  <c r="S560" i="4"/>
  <c r="S304" i="4"/>
  <c r="S48" i="4"/>
  <c r="S703" i="4"/>
  <c r="S447" i="4"/>
  <c r="S191" i="4"/>
  <c r="S846" i="4"/>
  <c r="S590" i="4"/>
  <c r="S334" i="4"/>
  <c r="S78" i="4"/>
  <c r="S733" i="4"/>
  <c r="S477" i="4"/>
  <c r="S221" i="4"/>
  <c r="S876" i="4"/>
  <c r="S620" i="4"/>
  <c r="S364" i="4"/>
  <c r="S108" i="4"/>
  <c r="S763" i="4"/>
  <c r="S507" i="4"/>
  <c r="S251" i="4"/>
  <c r="S922" i="4"/>
  <c r="S666" i="4"/>
  <c r="S410" i="4"/>
  <c r="S154" i="4"/>
  <c r="S825" i="4"/>
  <c r="S569" i="4"/>
  <c r="S313" i="4"/>
  <c r="S57" i="4"/>
  <c r="S728" i="4"/>
  <c r="S472" i="4"/>
  <c r="S216" i="4"/>
  <c r="S887" i="4"/>
  <c r="S631" i="4"/>
  <c r="S375" i="4"/>
  <c r="S119" i="4"/>
  <c r="S790" i="4"/>
  <c r="S534" i="4"/>
  <c r="S278" i="4"/>
  <c r="S22" i="4"/>
  <c r="S693" i="4"/>
  <c r="S181" i="4"/>
  <c r="S852" i="4"/>
  <c r="S596" i="4"/>
  <c r="S340" i="4"/>
  <c r="S755" i="4"/>
  <c r="S499" i="4"/>
  <c r="S770" i="4"/>
  <c r="S514" i="4"/>
  <c r="S258" i="4"/>
  <c r="S913" i="4"/>
  <c r="S657" i="4"/>
  <c r="S401" i="4"/>
  <c r="S145" i="4"/>
  <c r="S800" i="4"/>
  <c r="S544" i="4"/>
  <c r="S288" i="4"/>
  <c r="S32" i="4"/>
  <c r="S687" i="4"/>
  <c r="S431" i="4"/>
  <c r="S175" i="4"/>
  <c r="S830" i="4"/>
  <c r="S574" i="4"/>
  <c r="S318" i="4"/>
  <c r="S62" i="4"/>
  <c r="S717" i="4"/>
  <c r="S461" i="4"/>
  <c r="S205" i="4"/>
  <c r="S860" i="4"/>
  <c r="S604" i="4"/>
  <c r="S348" i="4"/>
  <c r="S92" i="4"/>
  <c r="S747" i="4"/>
  <c r="S491" i="4"/>
  <c r="S235" i="4"/>
  <c r="S906" i="4"/>
  <c r="S650" i="4"/>
  <c r="S394" i="4"/>
  <c r="S138" i="4"/>
  <c r="S809" i="4"/>
  <c r="S553" i="4"/>
  <c r="S297" i="4"/>
  <c r="S41" i="4"/>
  <c r="S712" i="4"/>
  <c r="S456" i="4"/>
  <c r="S200" i="4"/>
  <c r="S871" i="4"/>
  <c r="S615" i="4"/>
  <c r="S359" i="4"/>
  <c r="S103" i="4"/>
  <c r="S774" i="4"/>
  <c r="S518" i="4"/>
  <c r="S262" i="4"/>
  <c r="S6" i="4"/>
  <c r="S677" i="4"/>
  <c r="S421" i="4"/>
  <c r="S165" i="4"/>
  <c r="S836" i="4"/>
  <c r="S580" i="4"/>
  <c r="S324" i="4"/>
  <c r="S68" i="4"/>
  <c r="S739" i="4"/>
  <c r="S483" i="4"/>
  <c r="S227" i="4"/>
  <c r="S754" i="4"/>
  <c r="S498" i="4"/>
  <c r="S242" i="4"/>
  <c r="S897" i="4"/>
  <c r="S641" i="4"/>
  <c r="S385" i="4"/>
  <c r="S129" i="4"/>
  <c r="S784" i="4"/>
  <c r="S528" i="4"/>
  <c r="S272" i="4"/>
  <c r="S16" i="4"/>
  <c r="S671" i="4"/>
  <c r="S415" i="4"/>
  <c r="S159" i="4"/>
  <c r="S814" i="4"/>
  <c r="S558" i="4"/>
  <c r="S302" i="4"/>
  <c r="S46" i="4"/>
  <c r="S701" i="4"/>
  <c r="S445" i="4"/>
  <c r="S189" i="4"/>
  <c r="S844" i="4"/>
  <c r="S588" i="4"/>
  <c r="S332" i="4"/>
  <c r="S76" i="4"/>
  <c r="S731" i="4"/>
  <c r="S475" i="4"/>
  <c r="S219" i="4"/>
  <c r="S890" i="4"/>
  <c r="S634" i="4"/>
  <c r="S378" i="4"/>
  <c r="S122" i="4"/>
  <c r="S793" i="4"/>
  <c r="S537" i="4"/>
  <c r="S281" i="4"/>
  <c r="S25" i="4"/>
  <c r="S696" i="4"/>
  <c r="S440" i="4"/>
  <c r="S184" i="4"/>
  <c r="S855" i="4"/>
  <c r="S599" i="4"/>
  <c r="S343" i="4"/>
  <c r="S87" i="4"/>
  <c r="S758" i="4"/>
  <c r="S502" i="4"/>
  <c r="S246" i="4"/>
  <c r="S917" i="4"/>
  <c r="S661" i="4"/>
  <c r="S405" i="4"/>
  <c r="S149" i="4"/>
  <c r="S820" i="4"/>
  <c r="S564" i="4"/>
  <c r="S308" i="4"/>
  <c r="S723" i="4"/>
  <c r="S211" i="4"/>
  <c r="S327" i="4"/>
  <c r="S645" i="4"/>
  <c r="S133" i="4"/>
  <c r="S195" i="4"/>
  <c r="S904" i="4"/>
  <c r="S738" i="4"/>
  <c r="S482" i="4"/>
  <c r="S226" i="4"/>
  <c r="S881" i="4"/>
  <c r="S625" i="4"/>
  <c r="S369" i="4"/>
  <c r="S113" i="4"/>
  <c r="S768" i="4"/>
  <c r="S512" i="4"/>
  <c r="S256" i="4"/>
  <c r="S911" i="4"/>
  <c r="S655" i="4"/>
  <c r="S399" i="4"/>
  <c r="S143" i="4"/>
  <c r="S798" i="4"/>
  <c r="S542" i="4"/>
  <c r="S286" i="4"/>
  <c r="S30" i="4"/>
  <c r="S685" i="4"/>
  <c r="S429" i="4"/>
  <c r="S173" i="4"/>
  <c r="S828" i="4"/>
  <c r="S572" i="4"/>
  <c r="S316" i="4"/>
  <c r="S60" i="4"/>
  <c r="S715" i="4"/>
  <c r="S459" i="4"/>
  <c r="S203" i="4"/>
  <c r="S874" i="4"/>
  <c r="S618" i="4"/>
  <c r="S362" i="4"/>
  <c r="S106" i="4"/>
  <c r="S777" i="4"/>
  <c r="S521" i="4"/>
  <c r="S265" i="4"/>
  <c r="S9" i="4"/>
  <c r="S680" i="4"/>
  <c r="S424" i="4"/>
  <c r="S168" i="4"/>
  <c r="S839" i="4"/>
  <c r="S583" i="4"/>
  <c r="S71" i="4"/>
  <c r="S742" i="4"/>
  <c r="S486" i="4"/>
  <c r="S230" i="4"/>
  <c r="S901" i="4"/>
  <c r="S389" i="4"/>
  <c r="S548" i="4"/>
  <c r="S233" i="4"/>
  <c r="S722" i="4"/>
  <c r="S466" i="4"/>
  <c r="S210" i="4"/>
  <c r="S865" i="4"/>
  <c r="S609" i="4"/>
  <c r="S353" i="4"/>
  <c r="S97" i="4"/>
  <c r="S752" i="4"/>
  <c r="S496" i="4"/>
  <c r="S240" i="4"/>
  <c r="S895" i="4"/>
  <c r="S639" i="4"/>
  <c r="S383" i="4"/>
  <c r="S127" i="4"/>
  <c r="S782" i="4"/>
  <c r="S526" i="4"/>
  <c r="S270" i="4"/>
  <c r="S14" i="4"/>
  <c r="S669" i="4"/>
  <c r="S413" i="4"/>
  <c r="S157" i="4"/>
  <c r="S812" i="4"/>
  <c r="S556" i="4"/>
  <c r="S300" i="4"/>
  <c r="S44" i="4"/>
  <c r="S699" i="4"/>
  <c r="S443" i="4"/>
  <c r="S187" i="4"/>
  <c r="S858" i="4"/>
  <c r="S602" i="4"/>
  <c r="S346" i="4"/>
  <c r="S90" i="4"/>
  <c r="S761" i="4"/>
  <c r="S505" i="4"/>
  <c r="S249" i="4"/>
  <c r="S920" i="4"/>
  <c r="S664" i="4"/>
  <c r="S408" i="4"/>
  <c r="S152" i="4"/>
  <c r="S823" i="4"/>
  <c r="S567" i="4"/>
  <c r="S311" i="4"/>
  <c r="S55" i="4"/>
  <c r="S726" i="4"/>
  <c r="S470" i="4"/>
  <c r="S214" i="4"/>
  <c r="S885" i="4"/>
  <c r="S629" i="4"/>
  <c r="S373" i="4"/>
  <c r="S117" i="4"/>
  <c r="S788" i="4"/>
  <c r="S532" i="4"/>
  <c r="S276" i="4"/>
  <c r="S20" i="4"/>
  <c r="S691" i="4"/>
  <c r="S435" i="4"/>
  <c r="S179" i="4"/>
  <c r="S706" i="4"/>
  <c r="S450" i="4"/>
  <c r="S194" i="4"/>
  <c r="S849" i="4"/>
  <c r="S593" i="4"/>
  <c r="S337" i="4"/>
  <c r="S81" i="4"/>
  <c r="S736" i="4"/>
  <c r="S480" i="4"/>
  <c r="S224" i="4"/>
  <c r="S879" i="4"/>
  <c r="S623" i="4"/>
  <c r="S367" i="4"/>
  <c r="S111" i="4"/>
  <c r="S766" i="4"/>
  <c r="S510" i="4"/>
  <c r="S254" i="4"/>
  <c r="S909" i="4"/>
  <c r="S653" i="4"/>
  <c r="S397" i="4"/>
  <c r="S141" i="4"/>
  <c r="S796" i="4"/>
  <c r="S540" i="4"/>
  <c r="S284" i="4"/>
  <c r="S28" i="4"/>
  <c r="S683" i="4"/>
  <c r="S427" i="4"/>
  <c r="S330" i="4"/>
  <c r="S228" i="4"/>
  <c r="S494" i="4"/>
  <c r="S260" i="4"/>
  <c r="S279" i="4"/>
  <c r="S586" i="4"/>
  <c r="S65" i="4"/>
  <c r="S484" i="4"/>
  <c r="S826" i="4"/>
  <c r="S321" i="4"/>
  <c r="S182" i="4"/>
  <c r="S125" i="4"/>
  <c r="S457" i="4"/>
  <c r="S357" i="4"/>
  <c r="S12" i="4"/>
  <c r="S690" i="4"/>
  <c r="S581" i="4"/>
  <c r="S392" i="4"/>
  <c r="S252" i="4"/>
  <c r="S478" i="4"/>
  <c r="S39" i="4"/>
  <c r="S268" i="4"/>
  <c r="S837" i="4"/>
  <c r="S648" i="4"/>
  <c r="S524" i="4"/>
  <c r="S750" i="4"/>
  <c r="S853" i="4"/>
  <c r="S295" i="4"/>
  <c r="S872" i="4"/>
  <c r="S810" i="4"/>
  <c r="S764" i="4"/>
  <c r="S79" i="4"/>
  <c r="S305" i="4"/>
  <c r="S131" i="4"/>
  <c r="S500" i="4"/>
  <c r="S869" i="4"/>
  <c r="S519" i="4"/>
  <c r="S888" i="4"/>
  <c r="S780" i="4"/>
  <c r="S95" i="4"/>
  <c r="S147" i="4"/>
  <c r="S516" i="4"/>
  <c r="S166" i="4"/>
  <c r="S535" i="4"/>
  <c r="S201" i="4"/>
  <c r="S842" i="4"/>
  <c r="S109" i="4"/>
  <c r="S335" i="4"/>
  <c r="S561" i="4"/>
  <c r="S163" i="4"/>
  <c r="S217" i="4"/>
  <c r="S775" i="4"/>
  <c r="S365" i="4"/>
  <c r="S591" i="4"/>
  <c r="S772" i="4"/>
  <c r="S791" i="4"/>
  <c r="S473" i="4"/>
  <c r="S171" i="4"/>
  <c r="S381" i="4"/>
  <c r="S607" i="4"/>
  <c r="S833" i="4"/>
  <c r="S551" i="4"/>
  <c r="S139" i="4"/>
  <c r="S756" i="4"/>
  <c r="S155" i="4"/>
  <c r="S817" i="4"/>
  <c r="S403" i="4"/>
  <c r="S422" i="4"/>
  <c r="S419" i="4"/>
  <c r="S69" i="4"/>
  <c r="S438" i="4"/>
  <c r="S807" i="4"/>
  <c r="S713" i="4"/>
  <c r="S395" i="4"/>
  <c r="S621" i="4"/>
  <c r="S847" i="4"/>
  <c r="S162" i="4"/>
  <c r="S643" i="4"/>
  <c r="S85" i="4"/>
  <c r="S454" i="4"/>
  <c r="S104" i="4"/>
  <c r="S729" i="4"/>
  <c r="S411" i="4"/>
  <c r="S637" i="4"/>
  <c r="S863" i="4"/>
  <c r="S178" i="4"/>
  <c r="S659" i="4"/>
  <c r="S101" i="4"/>
  <c r="S678" i="4"/>
  <c r="S120" i="4"/>
  <c r="S745" i="4"/>
  <c r="S651" i="4"/>
  <c r="S877" i="4"/>
  <c r="S192" i="4"/>
  <c r="S418" i="4"/>
  <c r="S675" i="4"/>
  <c r="S325" i="4"/>
  <c r="S694" i="4"/>
  <c r="S136" i="4"/>
  <c r="S42" i="4"/>
  <c r="S667" i="4"/>
  <c r="S893" i="4"/>
  <c r="S208" i="4"/>
  <c r="S434" i="4"/>
  <c r="S899" i="4"/>
  <c r="S341" i="4"/>
  <c r="S710" i="4"/>
  <c r="S360" i="4"/>
  <c r="S58" i="4"/>
  <c r="S907" i="4"/>
  <c r="S222" i="4"/>
  <c r="S448" i="4"/>
  <c r="S674" i="4"/>
  <c r="S740" i="4"/>
  <c r="S351" i="4"/>
  <c r="S198" i="4"/>
  <c r="S7" i="4"/>
  <c r="S238" i="4"/>
  <c r="S720" i="4"/>
  <c r="G2" i="4"/>
  <c r="P2" i="4" s="1" a="1"/>
  <c r="M6" i="4"/>
  <c r="M22" i="4"/>
  <c r="M38" i="4"/>
  <c r="M54" i="4"/>
  <c r="M70" i="4"/>
  <c r="M86" i="4"/>
  <c r="M102" i="4"/>
  <c r="M118" i="4"/>
  <c r="M134" i="4"/>
  <c r="M150" i="4"/>
  <c r="M166" i="4"/>
  <c r="M182" i="4"/>
  <c r="M198" i="4"/>
  <c r="M214" i="4"/>
  <c r="M230" i="4"/>
  <c r="M246" i="4"/>
  <c r="M262" i="4"/>
  <c r="M278" i="4"/>
  <c r="M294" i="4"/>
  <c r="M310" i="4"/>
  <c r="M326" i="4"/>
  <c r="M342" i="4"/>
  <c r="M358" i="4"/>
  <c r="M374" i="4"/>
  <c r="M390" i="4"/>
  <c r="M406" i="4"/>
  <c r="M422" i="4"/>
  <c r="M438" i="4"/>
  <c r="M454" i="4"/>
  <c r="M470" i="4"/>
  <c r="M486" i="4"/>
  <c r="M502" i="4"/>
  <c r="M518" i="4"/>
  <c r="M534" i="4"/>
  <c r="M550" i="4"/>
  <c r="M566" i="4"/>
  <c r="M582" i="4"/>
  <c r="M598" i="4"/>
  <c r="M614" i="4"/>
  <c r="M630" i="4"/>
  <c r="M646" i="4"/>
  <c r="M662" i="4"/>
  <c r="M678" i="4"/>
  <c r="M694" i="4"/>
  <c r="M710" i="4"/>
  <c r="M726" i="4"/>
  <c r="M742" i="4"/>
  <c r="M758" i="4"/>
  <c r="M774" i="4"/>
  <c r="M790" i="4"/>
  <c r="M806" i="4"/>
  <c r="M822" i="4"/>
  <c r="M838" i="4"/>
  <c r="M854" i="4"/>
  <c r="M870" i="4"/>
  <c r="M886" i="4"/>
  <c r="M902" i="4"/>
  <c r="M918" i="4"/>
  <c r="M7" i="4"/>
  <c r="M23" i="4"/>
  <c r="M39" i="4"/>
  <c r="M55" i="4"/>
  <c r="M71" i="4"/>
  <c r="M87" i="4"/>
  <c r="M103" i="4"/>
  <c r="M119" i="4"/>
  <c r="M135" i="4"/>
  <c r="M151" i="4"/>
  <c r="M167" i="4"/>
  <c r="M183" i="4"/>
  <c r="M199" i="4"/>
  <c r="M215" i="4"/>
  <c r="M231" i="4"/>
  <c r="M247" i="4"/>
  <c r="M263" i="4"/>
  <c r="M279" i="4"/>
  <c r="M295" i="4"/>
  <c r="M311" i="4"/>
  <c r="M327" i="4"/>
  <c r="M343" i="4"/>
  <c r="M359" i="4"/>
  <c r="M375" i="4"/>
  <c r="M391" i="4"/>
  <c r="M407" i="4"/>
  <c r="M423" i="4"/>
  <c r="M439" i="4"/>
  <c r="M455" i="4"/>
  <c r="M471" i="4"/>
  <c r="M487" i="4"/>
  <c r="M503" i="4"/>
  <c r="M519" i="4"/>
  <c r="M535" i="4"/>
  <c r="M551" i="4"/>
  <c r="M567" i="4"/>
  <c r="M583" i="4"/>
  <c r="M599" i="4"/>
  <c r="M615" i="4"/>
  <c r="M631" i="4"/>
  <c r="M647" i="4"/>
  <c r="M663" i="4"/>
  <c r="M679" i="4"/>
  <c r="M695" i="4"/>
  <c r="M711" i="4"/>
  <c r="M727" i="4"/>
  <c r="M743" i="4"/>
  <c r="M759" i="4"/>
  <c r="M775" i="4"/>
  <c r="M791" i="4"/>
  <c r="M807" i="4"/>
  <c r="M823" i="4"/>
  <c r="M839" i="4"/>
  <c r="M855" i="4"/>
  <c r="M871" i="4"/>
  <c r="M887" i="4"/>
  <c r="M903" i="4"/>
  <c r="M919" i="4"/>
  <c r="M8" i="4"/>
  <c r="M24" i="4"/>
  <c r="M40" i="4"/>
  <c r="M56" i="4"/>
  <c r="M72" i="4"/>
  <c r="M88" i="4"/>
  <c r="M104" i="4"/>
  <c r="M120" i="4"/>
  <c r="M136" i="4"/>
  <c r="M152" i="4"/>
  <c r="M168" i="4"/>
  <c r="M184" i="4"/>
  <c r="M200" i="4"/>
  <c r="M216" i="4"/>
  <c r="M232" i="4"/>
  <c r="M248" i="4"/>
  <c r="M264" i="4"/>
  <c r="M280" i="4"/>
  <c r="M296" i="4"/>
  <c r="M312" i="4"/>
  <c r="M328" i="4"/>
  <c r="M344" i="4"/>
  <c r="M360" i="4"/>
  <c r="M376" i="4"/>
  <c r="M392" i="4"/>
  <c r="M408" i="4"/>
  <c r="M424" i="4"/>
  <c r="M440" i="4"/>
  <c r="M456" i="4"/>
  <c r="M472" i="4"/>
  <c r="M488" i="4"/>
  <c r="M504" i="4"/>
  <c r="M520" i="4"/>
  <c r="M536" i="4"/>
  <c r="M552" i="4"/>
  <c r="M568" i="4"/>
  <c r="M584" i="4"/>
  <c r="M600" i="4"/>
  <c r="M616" i="4"/>
  <c r="M632" i="4"/>
  <c r="M648" i="4"/>
  <c r="M664" i="4"/>
  <c r="M680" i="4"/>
  <c r="M696" i="4"/>
  <c r="M712" i="4"/>
  <c r="M728" i="4"/>
  <c r="M744" i="4"/>
  <c r="M760" i="4"/>
  <c r="M776" i="4"/>
  <c r="M792" i="4"/>
  <c r="M808" i="4"/>
  <c r="M824" i="4"/>
  <c r="M840" i="4"/>
  <c r="M856" i="4"/>
  <c r="M872" i="4"/>
  <c r="M888" i="4"/>
  <c r="M904" i="4"/>
  <c r="M920" i="4"/>
  <c r="M9" i="4"/>
  <c r="M25" i="4"/>
  <c r="M41" i="4"/>
  <c r="M57" i="4"/>
  <c r="M73" i="4"/>
  <c r="M89" i="4"/>
  <c r="M105" i="4"/>
  <c r="M121" i="4"/>
  <c r="M137" i="4"/>
  <c r="M153" i="4"/>
  <c r="M169" i="4"/>
  <c r="M185" i="4"/>
  <c r="M201" i="4"/>
  <c r="M217" i="4"/>
  <c r="M233" i="4"/>
  <c r="M249" i="4"/>
  <c r="M265" i="4"/>
  <c r="M281" i="4"/>
  <c r="M297" i="4"/>
  <c r="M313" i="4"/>
  <c r="M329" i="4"/>
  <c r="M345" i="4"/>
  <c r="M361" i="4"/>
  <c r="M377" i="4"/>
  <c r="M393" i="4"/>
  <c r="M409" i="4"/>
  <c r="M425" i="4"/>
  <c r="M441" i="4"/>
  <c r="M457" i="4"/>
  <c r="M473" i="4"/>
  <c r="M489" i="4"/>
  <c r="M505" i="4"/>
  <c r="M521" i="4"/>
  <c r="M537" i="4"/>
  <c r="M553" i="4"/>
  <c r="M569" i="4"/>
  <c r="M585" i="4"/>
  <c r="M601" i="4"/>
  <c r="M617" i="4"/>
  <c r="M633" i="4"/>
  <c r="M649" i="4"/>
  <c r="M665" i="4"/>
  <c r="M681" i="4"/>
  <c r="M697" i="4"/>
  <c r="M713" i="4"/>
  <c r="M729" i="4"/>
  <c r="M745" i="4"/>
  <c r="M761" i="4"/>
  <c r="M777" i="4"/>
  <c r="M793" i="4"/>
  <c r="M809" i="4"/>
  <c r="M825" i="4"/>
  <c r="M841" i="4"/>
  <c r="M857" i="4"/>
  <c r="M873" i="4"/>
  <c r="M889" i="4"/>
  <c r="M905" i="4"/>
  <c r="M921" i="4"/>
  <c r="M10" i="4"/>
  <c r="M26" i="4"/>
  <c r="M42" i="4"/>
  <c r="M58" i="4"/>
  <c r="M74" i="4"/>
  <c r="M90" i="4"/>
  <c r="M106" i="4"/>
  <c r="M122" i="4"/>
  <c r="M138" i="4"/>
  <c r="M154" i="4"/>
  <c r="M170" i="4"/>
  <c r="M186" i="4"/>
  <c r="M202" i="4"/>
  <c r="M218" i="4"/>
  <c r="M234" i="4"/>
  <c r="M250" i="4"/>
  <c r="M266" i="4"/>
  <c r="M282" i="4"/>
  <c r="M298" i="4"/>
  <c r="M314" i="4"/>
  <c r="M330" i="4"/>
  <c r="M346" i="4"/>
  <c r="M362" i="4"/>
  <c r="M378" i="4"/>
  <c r="M394" i="4"/>
  <c r="M410" i="4"/>
  <c r="M426" i="4"/>
  <c r="M442" i="4"/>
  <c r="M458" i="4"/>
  <c r="M474" i="4"/>
  <c r="M490" i="4"/>
  <c r="M506" i="4"/>
  <c r="M522" i="4"/>
  <c r="M538" i="4"/>
  <c r="M554" i="4"/>
  <c r="M570" i="4"/>
  <c r="M586" i="4"/>
  <c r="M602" i="4"/>
  <c r="M618" i="4"/>
  <c r="M634" i="4"/>
  <c r="M650" i="4"/>
  <c r="M666" i="4"/>
  <c r="M682" i="4"/>
  <c r="M698" i="4"/>
  <c r="M714" i="4"/>
  <c r="M730" i="4"/>
  <c r="M746" i="4"/>
  <c r="M762" i="4"/>
  <c r="M778" i="4"/>
  <c r="M794" i="4"/>
  <c r="M810" i="4"/>
  <c r="M826" i="4"/>
  <c r="M842" i="4"/>
  <c r="M858" i="4"/>
  <c r="M874" i="4"/>
  <c r="M890" i="4"/>
  <c r="M906" i="4"/>
  <c r="M922" i="4"/>
  <c r="M11" i="4"/>
  <c r="M27" i="4"/>
  <c r="M43" i="4"/>
  <c r="M59" i="4"/>
  <c r="M75" i="4"/>
  <c r="M91" i="4"/>
  <c r="M107" i="4"/>
  <c r="M123" i="4"/>
  <c r="M139" i="4"/>
  <c r="M155" i="4"/>
  <c r="M171" i="4"/>
  <c r="M187" i="4"/>
  <c r="M203" i="4"/>
  <c r="M219" i="4"/>
  <c r="M235" i="4"/>
  <c r="M251" i="4"/>
  <c r="M267" i="4"/>
  <c r="M283" i="4"/>
  <c r="M299" i="4"/>
  <c r="M315" i="4"/>
  <c r="M331" i="4"/>
  <c r="M347" i="4"/>
  <c r="M363" i="4"/>
  <c r="M379" i="4"/>
  <c r="M395" i="4"/>
  <c r="M411" i="4"/>
  <c r="M427" i="4"/>
  <c r="M443" i="4"/>
  <c r="M459" i="4"/>
  <c r="M475" i="4"/>
  <c r="M491" i="4"/>
  <c r="M507" i="4"/>
  <c r="M523" i="4"/>
  <c r="M539" i="4"/>
  <c r="M555" i="4"/>
  <c r="M571" i="4"/>
  <c r="M587" i="4"/>
  <c r="M603" i="4"/>
  <c r="M619" i="4"/>
  <c r="M635" i="4"/>
  <c r="M651" i="4"/>
  <c r="M667" i="4"/>
  <c r="M683" i="4"/>
  <c r="M699" i="4"/>
  <c r="M715" i="4"/>
  <c r="M731" i="4"/>
  <c r="M747" i="4"/>
  <c r="M763" i="4"/>
  <c r="M779" i="4"/>
  <c r="M795" i="4"/>
  <c r="M811" i="4"/>
  <c r="M827" i="4"/>
  <c r="M843" i="4"/>
  <c r="M859" i="4"/>
  <c r="M875" i="4"/>
  <c r="M891" i="4"/>
  <c r="M907" i="4"/>
  <c r="M3" i="4"/>
  <c r="M12" i="4"/>
  <c r="M28" i="4"/>
  <c r="M44" i="4"/>
  <c r="M60" i="4"/>
  <c r="M76" i="4"/>
  <c r="M92" i="4"/>
  <c r="M108" i="4"/>
  <c r="M124" i="4"/>
  <c r="M140" i="4"/>
  <c r="M156" i="4"/>
  <c r="M172" i="4"/>
  <c r="M188" i="4"/>
  <c r="M204" i="4"/>
  <c r="M220" i="4"/>
  <c r="M236" i="4"/>
  <c r="M252" i="4"/>
  <c r="M268" i="4"/>
  <c r="M284" i="4"/>
  <c r="M300" i="4"/>
  <c r="M316" i="4"/>
  <c r="M332" i="4"/>
  <c r="M348" i="4"/>
  <c r="M364" i="4"/>
  <c r="M380" i="4"/>
  <c r="M396" i="4"/>
  <c r="M412" i="4"/>
  <c r="M428" i="4"/>
  <c r="M444" i="4"/>
  <c r="M460" i="4"/>
  <c r="M476" i="4"/>
  <c r="M492" i="4"/>
  <c r="M508" i="4"/>
  <c r="M524" i="4"/>
  <c r="M540" i="4"/>
  <c r="M556" i="4"/>
  <c r="M572" i="4"/>
  <c r="M588" i="4"/>
  <c r="M604" i="4"/>
  <c r="M620" i="4"/>
  <c r="M636" i="4"/>
  <c r="M652" i="4"/>
  <c r="M668" i="4"/>
  <c r="M684" i="4"/>
  <c r="M700" i="4"/>
  <c r="M716" i="4"/>
  <c r="M732" i="4"/>
  <c r="M748" i="4"/>
  <c r="M764" i="4"/>
  <c r="M780" i="4"/>
  <c r="M796" i="4"/>
  <c r="M812" i="4"/>
  <c r="M828" i="4"/>
  <c r="M844" i="4"/>
  <c r="M860" i="4"/>
  <c r="M876" i="4"/>
  <c r="M892" i="4"/>
  <c r="M908" i="4"/>
  <c r="M4" i="4"/>
  <c r="M13" i="4"/>
  <c r="M29" i="4"/>
  <c r="M45" i="4"/>
  <c r="M61" i="4"/>
  <c r="M77" i="4"/>
  <c r="M93" i="4"/>
  <c r="M109" i="4"/>
  <c r="M125" i="4"/>
  <c r="M141" i="4"/>
  <c r="M157" i="4"/>
  <c r="M173" i="4"/>
  <c r="M189" i="4"/>
  <c r="M205" i="4"/>
  <c r="M221" i="4"/>
  <c r="M237" i="4"/>
  <c r="M253" i="4"/>
  <c r="M269" i="4"/>
  <c r="M285" i="4"/>
  <c r="M301" i="4"/>
  <c r="M317" i="4"/>
  <c r="M333" i="4"/>
  <c r="M349" i="4"/>
  <c r="M365" i="4"/>
  <c r="M381" i="4"/>
  <c r="M397" i="4"/>
  <c r="M413" i="4"/>
  <c r="M429" i="4"/>
  <c r="M445" i="4"/>
  <c r="M461" i="4"/>
  <c r="M477" i="4"/>
  <c r="M493" i="4"/>
  <c r="M509" i="4"/>
  <c r="M525" i="4"/>
  <c r="M541" i="4"/>
  <c r="M557" i="4"/>
  <c r="M573" i="4"/>
  <c r="M589" i="4"/>
  <c r="M605" i="4"/>
  <c r="M621" i="4"/>
  <c r="M637" i="4"/>
  <c r="M653" i="4"/>
  <c r="M669" i="4"/>
  <c r="M685" i="4"/>
  <c r="M701" i="4"/>
  <c r="M717" i="4"/>
  <c r="M733" i="4"/>
  <c r="M749" i="4"/>
  <c r="M765" i="4"/>
  <c r="M781" i="4"/>
  <c r="M797" i="4"/>
  <c r="M813" i="4"/>
  <c r="M829" i="4"/>
  <c r="M845" i="4"/>
  <c r="M861" i="4"/>
  <c r="M877" i="4"/>
  <c r="M893" i="4"/>
  <c r="M909" i="4"/>
  <c r="M5" i="4"/>
  <c r="M14" i="4"/>
  <c r="M30" i="4"/>
  <c r="M46" i="4"/>
  <c r="M62" i="4"/>
  <c r="M78" i="4"/>
  <c r="M94" i="4"/>
  <c r="M110" i="4"/>
  <c r="M126" i="4"/>
  <c r="M142" i="4"/>
  <c r="M158" i="4"/>
  <c r="M174" i="4"/>
  <c r="M190" i="4"/>
  <c r="M206" i="4"/>
  <c r="M222" i="4"/>
  <c r="M238" i="4"/>
  <c r="M254" i="4"/>
  <c r="M270" i="4"/>
  <c r="M286" i="4"/>
  <c r="M302" i="4"/>
  <c r="M318" i="4"/>
  <c r="M334" i="4"/>
  <c r="M350" i="4"/>
  <c r="M366" i="4"/>
  <c r="M382" i="4"/>
  <c r="M398" i="4"/>
  <c r="M414" i="4"/>
  <c r="M430" i="4"/>
  <c r="M446" i="4"/>
  <c r="M462" i="4"/>
  <c r="M478" i="4"/>
  <c r="M494" i="4"/>
  <c r="M510" i="4"/>
  <c r="M526" i="4"/>
  <c r="M542" i="4"/>
  <c r="M558" i="4"/>
  <c r="M574" i="4"/>
  <c r="M590" i="4"/>
  <c r="M606" i="4"/>
  <c r="M622" i="4"/>
  <c r="M638" i="4"/>
  <c r="M654" i="4"/>
  <c r="M670" i="4"/>
  <c r="M686" i="4"/>
  <c r="M702" i="4"/>
  <c r="M718" i="4"/>
  <c r="M734" i="4"/>
  <c r="M750" i="4"/>
  <c r="M766" i="4"/>
  <c r="M782" i="4"/>
  <c r="M798" i="4"/>
  <c r="M814" i="4"/>
  <c r="M830" i="4"/>
  <c r="M846" i="4"/>
  <c r="M862" i="4"/>
  <c r="M878" i="4"/>
  <c r="M894" i="4"/>
  <c r="M910" i="4"/>
  <c r="M15" i="4"/>
  <c r="M31" i="4"/>
  <c r="M47" i="4"/>
  <c r="M63" i="4"/>
  <c r="M79" i="4"/>
  <c r="M95" i="4"/>
  <c r="M111" i="4"/>
  <c r="M127" i="4"/>
  <c r="M143" i="4"/>
  <c r="M159" i="4"/>
  <c r="M175" i="4"/>
  <c r="M191" i="4"/>
  <c r="M207" i="4"/>
  <c r="M223" i="4"/>
  <c r="M239" i="4"/>
  <c r="M255" i="4"/>
  <c r="M271" i="4"/>
  <c r="M287" i="4"/>
  <c r="M303" i="4"/>
  <c r="M319" i="4"/>
  <c r="M335" i="4"/>
  <c r="M351" i="4"/>
  <c r="M367" i="4"/>
  <c r="M383" i="4"/>
  <c r="M399" i="4"/>
  <c r="M415" i="4"/>
  <c r="M431" i="4"/>
  <c r="M447" i="4"/>
  <c r="M463" i="4"/>
  <c r="M479" i="4"/>
  <c r="M495" i="4"/>
  <c r="M511" i="4"/>
  <c r="M527" i="4"/>
  <c r="M543" i="4"/>
  <c r="M559" i="4"/>
  <c r="M575" i="4"/>
  <c r="M591" i="4"/>
  <c r="M607" i="4"/>
  <c r="M623" i="4"/>
  <c r="M639" i="4"/>
  <c r="M655" i="4"/>
  <c r="M671" i="4"/>
  <c r="M687" i="4"/>
  <c r="M703" i="4"/>
  <c r="M719" i="4"/>
  <c r="M735" i="4"/>
  <c r="M751" i="4"/>
  <c r="M767" i="4"/>
  <c r="M783" i="4"/>
  <c r="M799" i="4"/>
  <c r="M815" i="4"/>
  <c r="M831" i="4"/>
  <c r="M847" i="4"/>
  <c r="M863" i="4"/>
  <c r="M879" i="4"/>
  <c r="M895" i="4"/>
  <c r="M911" i="4"/>
  <c r="M16" i="4"/>
  <c r="M32" i="4"/>
  <c r="M48" i="4"/>
  <c r="M64" i="4"/>
  <c r="M80" i="4"/>
  <c r="M96" i="4"/>
  <c r="M112" i="4"/>
  <c r="M128" i="4"/>
  <c r="M144" i="4"/>
  <c r="M160" i="4"/>
  <c r="M176" i="4"/>
  <c r="M192" i="4"/>
  <c r="M208" i="4"/>
  <c r="M224" i="4"/>
  <c r="M240" i="4"/>
  <c r="M256" i="4"/>
  <c r="M272" i="4"/>
  <c r="M288" i="4"/>
  <c r="M304" i="4"/>
  <c r="M320" i="4"/>
  <c r="M336" i="4"/>
  <c r="M352" i="4"/>
  <c r="M368" i="4"/>
  <c r="M384" i="4"/>
  <c r="M400" i="4"/>
  <c r="M416" i="4"/>
  <c r="M432" i="4"/>
  <c r="M448" i="4"/>
  <c r="M464" i="4"/>
  <c r="M480" i="4"/>
  <c r="M496" i="4"/>
  <c r="M512" i="4"/>
  <c r="M528" i="4"/>
  <c r="M544" i="4"/>
  <c r="M560" i="4"/>
  <c r="M576" i="4"/>
  <c r="M592" i="4"/>
  <c r="M608" i="4"/>
  <c r="M624" i="4"/>
  <c r="M640" i="4"/>
  <c r="M656" i="4"/>
  <c r="M672" i="4"/>
  <c r="M688" i="4"/>
  <c r="M704" i="4"/>
  <c r="M720" i="4"/>
  <c r="M736" i="4"/>
  <c r="M752" i="4"/>
  <c r="M768" i="4"/>
  <c r="M784" i="4"/>
  <c r="M800" i="4"/>
  <c r="M816" i="4"/>
  <c r="M832" i="4"/>
  <c r="M848" i="4"/>
  <c r="M864" i="4"/>
  <c r="M880" i="4"/>
  <c r="M896" i="4"/>
  <c r="M912" i="4"/>
  <c r="M17" i="4"/>
  <c r="M33" i="4"/>
  <c r="M49" i="4"/>
  <c r="M65" i="4"/>
  <c r="M81" i="4"/>
  <c r="M97" i="4"/>
  <c r="M113" i="4"/>
  <c r="M129" i="4"/>
  <c r="M145" i="4"/>
  <c r="M161" i="4"/>
  <c r="M177" i="4"/>
  <c r="M193" i="4"/>
  <c r="M209" i="4"/>
  <c r="M225" i="4"/>
  <c r="M241" i="4"/>
  <c r="M257" i="4"/>
  <c r="M273" i="4"/>
  <c r="M289" i="4"/>
  <c r="M305" i="4"/>
  <c r="M321" i="4"/>
  <c r="M337" i="4"/>
  <c r="M353" i="4"/>
  <c r="M369" i="4"/>
  <c r="M385" i="4"/>
  <c r="M401" i="4"/>
  <c r="M417" i="4"/>
  <c r="M433" i="4"/>
  <c r="M449" i="4"/>
  <c r="M465" i="4"/>
  <c r="M481" i="4"/>
  <c r="M497" i="4"/>
  <c r="M513" i="4"/>
  <c r="M529" i="4"/>
  <c r="M545" i="4"/>
  <c r="M561" i="4"/>
  <c r="M577" i="4"/>
  <c r="M593" i="4"/>
  <c r="M609" i="4"/>
  <c r="M625" i="4"/>
  <c r="M641" i="4"/>
  <c r="M657" i="4"/>
  <c r="M673" i="4"/>
  <c r="M689" i="4"/>
  <c r="M705" i="4"/>
  <c r="M721" i="4"/>
  <c r="M737" i="4"/>
  <c r="M753" i="4"/>
  <c r="M769" i="4"/>
  <c r="M785" i="4"/>
  <c r="M801" i="4"/>
  <c r="M817" i="4"/>
  <c r="M833" i="4"/>
  <c r="M849" i="4"/>
  <c r="M865" i="4"/>
  <c r="M881" i="4"/>
  <c r="M897" i="4"/>
  <c r="M913" i="4"/>
  <c r="M19" i="4"/>
  <c r="M83" i="4"/>
  <c r="M131" i="4"/>
  <c r="M163" i="4"/>
  <c r="M195" i="4"/>
  <c r="M227" i="4"/>
  <c r="M259" i="4"/>
  <c r="M275" i="4"/>
  <c r="M307" i="4"/>
  <c r="M339" i="4"/>
  <c r="M371" i="4"/>
  <c r="M403" i="4"/>
  <c r="M435" i="4"/>
  <c r="M451" i="4"/>
  <c r="M483" i="4"/>
  <c r="M499" i="4"/>
  <c r="M531" i="4"/>
  <c r="M547" i="4"/>
  <c r="M579" i="4"/>
  <c r="M611" i="4"/>
  <c r="M643" i="4"/>
  <c r="M675" i="4"/>
  <c r="M707" i="4"/>
  <c r="M739" i="4"/>
  <c r="M787" i="4"/>
  <c r="M819" i="4"/>
  <c r="M851" i="4"/>
  <c r="M883" i="4"/>
  <c r="M18" i="4"/>
  <c r="M34" i="4"/>
  <c r="M50" i="4"/>
  <c r="M66" i="4"/>
  <c r="M82" i="4"/>
  <c r="M98" i="4"/>
  <c r="M114" i="4"/>
  <c r="M130" i="4"/>
  <c r="M146" i="4"/>
  <c r="M162" i="4"/>
  <c r="M178" i="4"/>
  <c r="M194" i="4"/>
  <c r="M210" i="4"/>
  <c r="M226" i="4"/>
  <c r="M242" i="4"/>
  <c r="M258" i="4"/>
  <c r="M274" i="4"/>
  <c r="M290" i="4"/>
  <c r="M306" i="4"/>
  <c r="M322" i="4"/>
  <c r="M338" i="4"/>
  <c r="M354" i="4"/>
  <c r="M370" i="4"/>
  <c r="M386" i="4"/>
  <c r="M402" i="4"/>
  <c r="M418" i="4"/>
  <c r="M434" i="4"/>
  <c r="M450" i="4"/>
  <c r="M466" i="4"/>
  <c r="M482" i="4"/>
  <c r="M498" i="4"/>
  <c r="M514" i="4"/>
  <c r="M530" i="4"/>
  <c r="M546" i="4"/>
  <c r="M562" i="4"/>
  <c r="M578" i="4"/>
  <c r="M594" i="4"/>
  <c r="M610" i="4"/>
  <c r="M626" i="4"/>
  <c r="M642" i="4"/>
  <c r="M658" i="4"/>
  <c r="M674" i="4"/>
  <c r="M690" i="4"/>
  <c r="M706" i="4"/>
  <c r="M722" i="4"/>
  <c r="M738" i="4"/>
  <c r="M754" i="4"/>
  <c r="M770" i="4"/>
  <c r="M786" i="4"/>
  <c r="M802" i="4"/>
  <c r="M818" i="4"/>
  <c r="M834" i="4"/>
  <c r="M850" i="4"/>
  <c r="M866" i="4"/>
  <c r="M882" i="4"/>
  <c r="M898" i="4"/>
  <c r="M914" i="4"/>
  <c r="M35" i="4"/>
  <c r="M51" i="4"/>
  <c r="M67" i="4"/>
  <c r="M99" i="4"/>
  <c r="M115" i="4"/>
  <c r="M147" i="4"/>
  <c r="M179" i="4"/>
  <c r="M211" i="4"/>
  <c r="M243" i="4"/>
  <c r="M291" i="4"/>
  <c r="M323" i="4"/>
  <c r="M355" i="4"/>
  <c r="M387" i="4"/>
  <c r="M419" i="4"/>
  <c r="M467" i="4"/>
  <c r="M515" i="4"/>
  <c r="M563" i="4"/>
  <c r="M595" i="4"/>
  <c r="M627" i="4"/>
  <c r="M659" i="4"/>
  <c r="M691" i="4"/>
  <c r="M723" i="4"/>
  <c r="M755" i="4"/>
  <c r="M771" i="4"/>
  <c r="M803" i="4"/>
  <c r="M835" i="4"/>
  <c r="M867" i="4"/>
  <c r="M915" i="4"/>
  <c r="M20" i="4"/>
  <c r="M21" i="4"/>
  <c r="M36" i="4"/>
  <c r="M164" i="4"/>
  <c r="M292" i="4"/>
  <c r="M420" i="4"/>
  <c r="M548" i="4"/>
  <c r="M676" i="4"/>
  <c r="M804" i="4"/>
  <c r="M917" i="4"/>
  <c r="M165" i="4"/>
  <c r="M549" i="4"/>
  <c r="M805" i="4"/>
  <c r="M37" i="4"/>
  <c r="M293" i="4"/>
  <c r="M421" i="4"/>
  <c r="M677" i="4"/>
  <c r="M52" i="4"/>
  <c r="M180" i="4"/>
  <c r="M308" i="4"/>
  <c r="M436" i="4"/>
  <c r="M564" i="4"/>
  <c r="M692" i="4"/>
  <c r="M820" i="4"/>
  <c r="M53" i="4"/>
  <c r="M181" i="4"/>
  <c r="M309" i="4"/>
  <c r="M437" i="4"/>
  <c r="M565" i="4"/>
  <c r="M693" i="4"/>
  <c r="M821" i="4"/>
  <c r="M68" i="4"/>
  <c r="M196" i="4"/>
  <c r="M324" i="4"/>
  <c r="M452" i="4"/>
  <c r="M580" i="4"/>
  <c r="M708" i="4"/>
  <c r="M836" i="4"/>
  <c r="M69" i="4"/>
  <c r="M197" i="4"/>
  <c r="M325" i="4"/>
  <c r="M453" i="4"/>
  <c r="M581" i="4"/>
  <c r="M709" i="4"/>
  <c r="M837" i="4"/>
  <c r="M84" i="4"/>
  <c r="M212" i="4"/>
  <c r="M340" i="4"/>
  <c r="M468" i="4"/>
  <c r="M596" i="4"/>
  <c r="M724" i="4"/>
  <c r="M852" i="4"/>
  <c r="M85" i="4"/>
  <c r="M213" i="4"/>
  <c r="M341" i="4"/>
  <c r="M469" i="4"/>
  <c r="M597" i="4"/>
  <c r="M725" i="4"/>
  <c r="M853" i="4"/>
  <c r="M100" i="4"/>
  <c r="M228" i="4"/>
  <c r="M356" i="4"/>
  <c r="M484" i="4"/>
  <c r="M612" i="4"/>
  <c r="M740" i="4"/>
  <c r="M868" i="4"/>
  <c r="M133" i="4"/>
  <c r="M389" i="4"/>
  <c r="M517" i="4"/>
  <c r="M645" i="4"/>
  <c r="M773" i="4"/>
  <c r="M900" i="4"/>
  <c r="M276" i="4"/>
  <c r="M404" i="4"/>
  <c r="M532" i="4"/>
  <c r="M660" i="4"/>
  <c r="M788" i="4"/>
  <c r="M901" i="4"/>
  <c r="M149" i="4"/>
  <c r="M277" i="4"/>
  <c r="M405" i="4"/>
  <c r="M533" i="4"/>
  <c r="M789" i="4"/>
  <c r="M916" i="4"/>
  <c r="M101" i="4"/>
  <c r="M229" i="4"/>
  <c r="M357" i="4"/>
  <c r="M485" i="4"/>
  <c r="M613" i="4"/>
  <c r="M741" i="4"/>
  <c r="M869" i="4"/>
  <c r="M388" i="4"/>
  <c r="M516" i="4"/>
  <c r="M644" i="4"/>
  <c r="M899" i="4"/>
  <c r="M116" i="4"/>
  <c r="M244" i="4"/>
  <c r="M372" i="4"/>
  <c r="M500" i="4"/>
  <c r="M628" i="4"/>
  <c r="M756" i="4"/>
  <c r="M884" i="4"/>
  <c r="M260" i="4"/>
  <c r="M772" i="4"/>
  <c r="M117" i="4"/>
  <c r="M245" i="4"/>
  <c r="M373" i="4"/>
  <c r="M501" i="4"/>
  <c r="M629" i="4"/>
  <c r="M757" i="4"/>
  <c r="M885" i="4"/>
  <c r="M132" i="4"/>
  <c r="M261" i="4"/>
  <c r="M148" i="4"/>
  <c r="M661" i="4"/>
  <c r="E2" i="4" l="1"/>
  <c r="P2" i="4"/>
  <c r="M2" i="4"/>
  <c r="J2" i="4" a="1"/>
  <c r="J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Decaul Robert</author>
  </authors>
  <commentList>
    <comment ref="Q1" authorId="0" shapeId="0" xr:uid="{85DEC7AF-DCE1-4EA8-B769-F9EFBAEED5D7}">
      <text>
        <r>
          <rPr>
            <b/>
            <sz val="9"/>
            <color indexed="81"/>
            <rFont val="Tahoma"/>
            <family val="2"/>
          </rPr>
          <t>Decaul Robert:</t>
        </r>
        <r>
          <rPr>
            <sz val="9"/>
            <color indexed="81"/>
            <rFont val="Tahoma"/>
            <family val="2"/>
          </rPr>
          <t xml:space="preserve">
N/A means the bap is 0 or 0+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E5CC5A4-4E9E-4CE5-979D-0A3238E548BC}" keepAlive="1" name="Query - Accessibility Profile" description="Connection to the 'Accessibility Profile' query in the workbook." type="5" refreshedVersion="0" background="1" saveData="1">
    <dbPr connection="Provider=Microsoft.Mashup.OleDb.1;Data Source=$Workbook$;Location=&quot;Accessibility Profile&quot;;Extended Properties=&quot;&quot;" command="SELECT * FROM [Accessibility Profile]"/>
  </connection>
  <connection id="2" xr16:uid="{1697ECDB-09CC-428D-B0F2-3351B6C4A4A2}" keepAlive="1" name="Query - Accessible School List" description="Connection to the 'Accessible School List' query in the workbook." type="5" refreshedVersion="8" background="1" saveData="1">
    <dbPr connection="Provider=Microsoft.Mashup.OleDb.1;Data Source=$Workbook$;Location=&quot;Accessible School List&quot;;Extended Properties=&quot;&quot;" command="SELECT * FROM [Accessible School List]"/>
  </connection>
  <connection id="3" xr16:uid="{230FF4DD-33FE-4C1D-A1CA-B6359BE5236E}" keepAlive="1" name="Query - City" description="Connection to the 'City' query in the workbook." type="5" refreshedVersion="0" background="1" saveData="1">
    <dbPr connection="Provider=Microsoft.Mashup.OleDb.1;Data Source=$Workbook$;Location=City;Extended Properties=&quot;&quot;" command="SELECT * FROM [City]"/>
  </connection>
  <connection id="4" xr16:uid="{78B2480E-D607-49BE-A1EE-D9E90C2A588C}" keepAlive="1" name="Query - Last Refresh" description="Connection to the 'Last Refresh' query in the workbook." type="5" refreshedVersion="8" background="1" saveData="1">
    <dbPr connection="Provider=Microsoft.Mashup.OleDb.1;Data Source=$Workbook$;Location=&quot;Last Refresh&quot;;Extended Properties=&quot;&quot;" command="SELECT * FROM [Last Refresh]"/>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<sst xmlns="http://schemas.openxmlformats.org/spreadsheetml/2006/main" count="134876" uniqueCount="26664">
  <si>
    <t>Geographical District Code</t>
  </si>
  <si>
    <t>Borough</t>
  </si>
  <si>
    <t>Building Code</t>
  </si>
  <si>
    <t>Location Code</t>
  </si>
  <si>
    <t>School DBN</t>
  </si>
  <si>
    <t>School Name</t>
  </si>
  <si>
    <t>Grades Served</t>
  </si>
  <si>
    <t>Pre-K</t>
  </si>
  <si>
    <t>Address</t>
  </si>
  <si>
    <t>Accessibility Description</t>
  </si>
  <si>
    <t>BAP Rating</t>
  </si>
  <si>
    <t>07</t>
  </si>
  <si>
    <t>Bronx</t>
  </si>
  <si>
    <t>X040</t>
  </si>
  <si>
    <t>X179</t>
  </si>
  <si>
    <t>07X179</t>
  </si>
  <si>
    <t>P.S. 179</t>
  </si>
  <si>
    <t>Elementary</t>
  </si>
  <si>
    <t>Yes</t>
  </si>
  <si>
    <t>468 East 140 Street</t>
  </si>
  <si>
    <t>Partially Accessible</t>
  </si>
  <si>
    <t>X352</t>
  </si>
  <si>
    <t>75X352</t>
  </si>
  <si>
    <t>The Vida Bogart School for All Children</t>
  </si>
  <si>
    <t>K-8</t>
  </si>
  <si>
    <t>X369</t>
  </si>
  <si>
    <t>07X369</t>
  </si>
  <si>
    <t>Young Leaders Elementary School</t>
  </si>
  <si>
    <t>X065</t>
  </si>
  <si>
    <t>07X065</t>
  </si>
  <si>
    <t>P.S. 065 Mother Hale Academy</t>
  </si>
  <si>
    <t>677 East 141 Street</t>
  </si>
  <si>
    <t>X491</t>
  </si>
  <si>
    <t>84X491</t>
  </si>
  <si>
    <t>Academic Leadership Charter School</t>
  </si>
  <si>
    <t>X151</t>
  </si>
  <si>
    <t>X031</t>
  </si>
  <si>
    <t>07X031</t>
  </si>
  <si>
    <t>P.S./M.S. 031 The William Lloyd Garrison</t>
  </si>
  <si>
    <t>250 East 156 Street</t>
  </si>
  <si>
    <t>X168</t>
  </si>
  <si>
    <t>75X168</t>
  </si>
  <si>
    <t>P.S. 168</t>
  </si>
  <si>
    <t>K-12 all grades</t>
  </si>
  <si>
    <t>X704</t>
  </si>
  <si>
    <t>84X704</t>
  </si>
  <si>
    <t>KIPP Academy Charter School</t>
  </si>
  <si>
    <t>X155</t>
  </si>
  <si>
    <t>470 Jackson Avenue</t>
  </si>
  <si>
    <t>X615</t>
  </si>
  <si>
    <t>84X615</t>
  </si>
  <si>
    <t>University Prep Charter Middle School</t>
  </si>
  <si>
    <t>Junior High-Intermediate-Middle</t>
  </si>
  <si>
    <t>X754</t>
  </si>
  <si>
    <t>75X754</t>
  </si>
  <si>
    <t>J. M. Rapport School Career Development</t>
  </si>
  <si>
    <t>High school</t>
  </si>
  <si>
    <t>X156</t>
  </si>
  <si>
    <t>X017</t>
  </si>
  <si>
    <t>75X017</t>
  </si>
  <si>
    <t>P.S. X017</t>
  </si>
  <si>
    <t>750 Concourse Village West</t>
  </si>
  <si>
    <t>Fully Accessible</t>
  </si>
  <si>
    <t>X359</t>
  </si>
  <si>
    <t>07X359</t>
  </si>
  <si>
    <t>Concourse Village Elementary School</t>
  </si>
  <si>
    <t>X389</t>
  </si>
  <si>
    <t>84X389</t>
  </si>
  <si>
    <t>Bronx Global Learning Institute for Girls Charter School</t>
  </si>
  <si>
    <t>X161</t>
  </si>
  <si>
    <t>628 Tinton Avenue</t>
  </si>
  <si>
    <t>07X161</t>
  </si>
  <si>
    <t>P.S. 161 Juan Ponce De Leon School</t>
  </si>
  <si>
    <t>X162</t>
  </si>
  <si>
    <t>X010</t>
  </si>
  <si>
    <t>75X010</t>
  </si>
  <si>
    <t>P.S. X010</t>
  </si>
  <si>
    <t>600 Saint Ann'S Avenue</t>
  </si>
  <si>
    <t>X393</t>
  </si>
  <si>
    <t>84X393</t>
  </si>
  <si>
    <t>University Prep Charter High School</t>
  </si>
  <si>
    <t>X500</t>
  </si>
  <si>
    <t>07X500</t>
  </si>
  <si>
    <t>Hostos-Lincoln Academy of Science</t>
  </si>
  <si>
    <t>Secondary School</t>
  </si>
  <si>
    <t>X584</t>
  </si>
  <si>
    <t>07X584</t>
  </si>
  <si>
    <t>I.S. 584</t>
  </si>
  <si>
    <t>X183</t>
  </si>
  <si>
    <t>339 Morris Avenue</t>
  </si>
  <si>
    <t>X493</t>
  </si>
  <si>
    <t>84X493</t>
  </si>
  <si>
    <t>Success Academy Charter School - Bronx 1</t>
  </si>
  <si>
    <t>X551</t>
  </si>
  <si>
    <t>07X551</t>
  </si>
  <si>
    <t>The Urban Assembly Bronx Academy of Letters</t>
  </si>
  <si>
    <t>X184</t>
  </si>
  <si>
    <t>778 Forest Avenue</t>
  </si>
  <si>
    <t>X296</t>
  </si>
  <si>
    <t>07X296</t>
  </si>
  <si>
    <t>South Bronx Academy for Applied Media</t>
  </si>
  <si>
    <t>X298</t>
  </si>
  <si>
    <t>07X298</t>
  </si>
  <si>
    <t>Academy of Public Relations</t>
  </si>
  <si>
    <t>X379</t>
  </si>
  <si>
    <t>07X379</t>
  </si>
  <si>
    <t>Jill Chaifetz Transfer High School</t>
  </si>
  <si>
    <t>X600</t>
  </si>
  <si>
    <t>X381</t>
  </si>
  <si>
    <t>07X381</t>
  </si>
  <si>
    <t>Bronx Haven High School</t>
  </si>
  <si>
    <t>333 East 151 Street</t>
  </si>
  <si>
    <t>X522</t>
  </si>
  <si>
    <t>07X522</t>
  </si>
  <si>
    <t>Bronx Design and Construction Academy</t>
  </si>
  <si>
    <t>07X600</t>
  </si>
  <si>
    <t>Alfred E. Smith Career and Technical Education High School</t>
  </si>
  <si>
    <t>X655</t>
  </si>
  <si>
    <t>X259</t>
  </si>
  <si>
    <t>07X259</t>
  </si>
  <si>
    <t>H.E.R.O. High (Health, Education, and Research Occupations High School)</t>
  </si>
  <si>
    <t>455 Southern Blvd</t>
  </si>
  <si>
    <t>X557</t>
  </si>
  <si>
    <t>07X557</t>
  </si>
  <si>
    <t>Mott Haven Community High School</t>
  </si>
  <si>
    <t>X790</t>
  </si>
  <si>
    <t>X188</t>
  </si>
  <si>
    <t>75X188</t>
  </si>
  <si>
    <t>P.S. X188</t>
  </si>
  <si>
    <t>730 Concourse Village West</t>
  </si>
  <si>
    <t>X527</t>
  </si>
  <si>
    <t>07X527</t>
  </si>
  <si>
    <t>Bronx Leadership Academy II High School</t>
  </si>
  <si>
    <t>X548</t>
  </si>
  <si>
    <t>07X548</t>
  </si>
  <si>
    <t>Careers in Sports High School</t>
  </si>
  <si>
    <t>X625</t>
  </si>
  <si>
    <t>07X625</t>
  </si>
  <si>
    <t>Bronx Legacy High School</t>
  </si>
  <si>
    <t>X884</t>
  </si>
  <si>
    <t>X427</t>
  </si>
  <si>
    <t>07X427</t>
  </si>
  <si>
    <t>Community School for Social Justice</t>
  </si>
  <si>
    <t>350 Gerard Avenue</t>
  </si>
  <si>
    <t>X670</t>
  </si>
  <si>
    <t>07X670</t>
  </si>
  <si>
    <t>Health Opportunities High School</t>
  </si>
  <si>
    <t>08</t>
  </si>
  <si>
    <t>X014</t>
  </si>
  <si>
    <t>08X014</t>
  </si>
  <si>
    <t>P.S. X014 Senator John Calandra</t>
  </si>
  <si>
    <t>3047 Bruckner Boulevard</t>
  </si>
  <si>
    <t>X036</t>
  </si>
  <si>
    <t>08X036</t>
  </si>
  <si>
    <t>P.S. 036 Unionport</t>
  </si>
  <si>
    <t>1070 Castle Hill Avenue</t>
  </si>
  <si>
    <t>X048</t>
  </si>
  <si>
    <t>08X048</t>
  </si>
  <si>
    <t>P.S. 048 Joseph R. Drake</t>
  </si>
  <si>
    <t>1290 Spofford Avenue</t>
  </si>
  <si>
    <t>X052</t>
  </si>
  <si>
    <t>X302</t>
  </si>
  <si>
    <t>08X302</t>
  </si>
  <si>
    <t>M.S. 302 Luisa Dessus Cruz</t>
  </si>
  <si>
    <t>681 Kelly Street</t>
  </si>
  <si>
    <t>X487</t>
  </si>
  <si>
    <t>84X487</t>
  </si>
  <si>
    <t>Girls Preparatory Charter School of the Bronx</t>
  </si>
  <si>
    <t>X060</t>
  </si>
  <si>
    <t>888 Rev J A Polite Ave</t>
  </si>
  <si>
    <t>X333</t>
  </si>
  <si>
    <t>08X333</t>
  </si>
  <si>
    <t>The Longwood Academy of Discovery</t>
  </si>
  <si>
    <t>X072</t>
  </si>
  <si>
    <t>08X072</t>
  </si>
  <si>
    <t>P.S. 072 Dr. William Dorney</t>
  </si>
  <si>
    <t>2951 Dewey Avenue</t>
  </si>
  <si>
    <t>X074</t>
  </si>
  <si>
    <t>X345</t>
  </si>
  <si>
    <t>84X345</t>
  </si>
  <si>
    <t>Leaders In Our Neighborhood Charter School</t>
  </si>
  <si>
    <t>730 Bryant Avenue</t>
  </si>
  <si>
    <t>X424</t>
  </si>
  <si>
    <t>08X424</t>
  </si>
  <si>
    <t>Bronx Academy for Multi-Media</t>
  </si>
  <si>
    <t>X101</t>
  </si>
  <si>
    <t>2750 Lafayette Avenue</t>
  </si>
  <si>
    <t>08X101</t>
  </si>
  <si>
    <t>M.S. X101 Edward R. Byrne</t>
  </si>
  <si>
    <t>X304</t>
  </si>
  <si>
    <t>08X304</t>
  </si>
  <si>
    <t>P.S. 304 Early Childhood School</t>
  </si>
  <si>
    <t>X125</t>
  </si>
  <si>
    <t>X012</t>
  </si>
  <si>
    <t>75X012</t>
  </si>
  <si>
    <t>P.S. X012 Lewis and Clark School</t>
  </si>
  <si>
    <t>1111 Pugsley Avenue</t>
  </si>
  <si>
    <t>X119</t>
  </si>
  <si>
    <t>08X119</t>
  </si>
  <si>
    <t>The Dr. Emmett W. Bassett School</t>
  </si>
  <si>
    <t>X562</t>
  </si>
  <si>
    <t>08X562</t>
  </si>
  <si>
    <t>Pugsley Preparatory Academy</t>
  </si>
  <si>
    <t>X131</t>
  </si>
  <si>
    <t>08X131</t>
  </si>
  <si>
    <t>J.H.S. 131 Albert Einstein</t>
  </si>
  <si>
    <t>885 Bolton Avenue</t>
  </si>
  <si>
    <t>X448</t>
  </si>
  <si>
    <t>08X448</t>
  </si>
  <si>
    <t>Soundview Academy for Culture and Scholarship</t>
  </si>
  <si>
    <t>X464</t>
  </si>
  <si>
    <t>84X464</t>
  </si>
  <si>
    <t>Success Academy Charter School - Bronx 4</t>
  </si>
  <si>
    <t>X152</t>
  </si>
  <si>
    <t>08X152</t>
  </si>
  <si>
    <t>P.S. 152 Evergreen</t>
  </si>
  <si>
    <t>1007 Evergreen Avenue</t>
  </si>
  <si>
    <t>X174</t>
  </si>
  <si>
    <t>456 White Plains Road</t>
  </si>
  <si>
    <t>X282</t>
  </si>
  <si>
    <t>08X282</t>
  </si>
  <si>
    <t>Women's Academy of Excellence</t>
  </si>
  <si>
    <t>X367</t>
  </si>
  <si>
    <t>08X367</t>
  </si>
  <si>
    <t>Archimedes Academy for Math, Science and Technology Applications</t>
  </si>
  <si>
    <t>X375</t>
  </si>
  <si>
    <t>08X375</t>
  </si>
  <si>
    <t>The Bronx Mathematics Preparatory School</t>
  </si>
  <si>
    <t>X192</t>
  </si>
  <si>
    <t>X371</t>
  </si>
  <si>
    <t>08X371</t>
  </si>
  <si>
    <t>Urban Institute of Mathematics</t>
  </si>
  <si>
    <t>650 Hollywood Avenue</t>
  </si>
  <si>
    <t>X392</t>
  </si>
  <si>
    <t>08X392</t>
  </si>
  <si>
    <t>Bronx Delta School</t>
  </si>
  <si>
    <t>X467</t>
  </si>
  <si>
    <t>08X467</t>
  </si>
  <si>
    <t>Mott Hall Community School</t>
  </si>
  <si>
    <t>X317</t>
  </si>
  <si>
    <t>X583</t>
  </si>
  <si>
    <t>08X583</t>
  </si>
  <si>
    <t>P.S. 583</t>
  </si>
  <si>
    <t>1028 White Plains Road</t>
  </si>
  <si>
    <t>X186</t>
  </si>
  <si>
    <t>75X186</t>
  </si>
  <si>
    <t>P186X Walter J. Damrosch School</t>
  </si>
  <si>
    <t>928 Simpson Street</t>
  </si>
  <si>
    <t>X269</t>
  </si>
  <si>
    <t>08X269</t>
  </si>
  <si>
    <t>Bronx Studio School for Writers and Artists</t>
  </si>
  <si>
    <t>X450</t>
  </si>
  <si>
    <t>1980 Lafayette Avenue</t>
  </si>
  <si>
    <t>X312</t>
  </si>
  <si>
    <t>08X312</t>
  </si>
  <si>
    <t>Millennium Art Academy</t>
  </si>
  <si>
    <t>X376</t>
  </si>
  <si>
    <t>08X376</t>
  </si>
  <si>
    <t>Antonia Pantoja Preparatory Academy: A College Board School</t>
  </si>
  <si>
    <t>X377</t>
  </si>
  <si>
    <t>08X377</t>
  </si>
  <si>
    <t>Bronx Community High School</t>
  </si>
  <si>
    <t>X432</t>
  </si>
  <si>
    <t>08X432</t>
  </si>
  <si>
    <t>Bronx Bridges High School</t>
  </si>
  <si>
    <t>X452</t>
  </si>
  <si>
    <t>08X452</t>
  </si>
  <si>
    <t>Gotham Collaborative High School</t>
  </si>
  <si>
    <t>X561</t>
  </si>
  <si>
    <t>08X561</t>
  </si>
  <si>
    <t>Bronx Compass High School</t>
  </si>
  <si>
    <t>X650</t>
  </si>
  <si>
    <t>X202</t>
  </si>
  <si>
    <t>84X202</t>
  </si>
  <si>
    <t>New Visions Charter High School for Advanced Math and Science II</t>
  </si>
  <si>
    <t>900 Tinton Avenue</t>
  </si>
  <si>
    <t>X208</t>
  </si>
  <si>
    <t>84X208</t>
  </si>
  <si>
    <t>New Visions Charter High School for the Humanities II</t>
  </si>
  <si>
    <t>X972</t>
  </si>
  <si>
    <t>X537</t>
  </si>
  <si>
    <t>08X537</t>
  </si>
  <si>
    <t>Bronx Arena High School</t>
  </si>
  <si>
    <t>1440 Story Avenue</t>
  </si>
  <si>
    <t>X730</t>
  </si>
  <si>
    <t>84X730</t>
  </si>
  <si>
    <t>Bronx Charter School for the Arts</t>
  </si>
  <si>
    <t>09</t>
  </si>
  <si>
    <t>X011</t>
  </si>
  <si>
    <t>09X011</t>
  </si>
  <si>
    <t>P.S. 011 Highbridge</t>
  </si>
  <si>
    <t>1257 Ogden Avenue</t>
  </si>
  <si>
    <t>X022</t>
  </si>
  <si>
    <t>09X022</t>
  </si>
  <si>
    <t>J.H.S. 022 Jordan L. Mott</t>
  </si>
  <si>
    <t>270 East 167 Street</t>
  </si>
  <si>
    <t>X323</t>
  </si>
  <si>
    <t>09X323</t>
  </si>
  <si>
    <t>Bronx Writing Academy</t>
  </si>
  <si>
    <t>X494</t>
  </si>
  <si>
    <t>84X494</t>
  </si>
  <si>
    <t>Success Academy Charter School - Bronx 2</t>
  </si>
  <si>
    <t>X082</t>
  </si>
  <si>
    <t>X232</t>
  </si>
  <si>
    <t>09X232</t>
  </si>
  <si>
    <t>I.S. 232</t>
  </si>
  <si>
    <t>1700 Macombs Road</t>
  </si>
  <si>
    <t>X303</t>
  </si>
  <si>
    <t>09X303</t>
  </si>
  <si>
    <t>I.S. X303 Leadership &amp; Community Service</t>
  </si>
  <si>
    <t>X365</t>
  </si>
  <si>
    <t>09X365</t>
  </si>
  <si>
    <t>Academy for Language and Technology</t>
  </si>
  <si>
    <t>X090</t>
  </si>
  <si>
    <t>X443</t>
  </si>
  <si>
    <t>09X443</t>
  </si>
  <si>
    <t>The Family School</t>
  </si>
  <si>
    <t>1116 Sheridan Avenue</t>
  </si>
  <si>
    <t>X457</t>
  </si>
  <si>
    <t>09X457</t>
  </si>
  <si>
    <t>Sheridan Academy for Young Leaders</t>
  </si>
  <si>
    <t>X132</t>
  </si>
  <si>
    <t>09X132</t>
  </si>
  <si>
    <t>P.S. 132 Garret A. Morgan</t>
  </si>
  <si>
    <t>1245 Washington Avenue</t>
  </si>
  <si>
    <t>X147</t>
  </si>
  <si>
    <t>X313</t>
  </si>
  <si>
    <t>09X313</t>
  </si>
  <si>
    <t>I.S. 313 School of Leadership Development</t>
  </si>
  <si>
    <t>1600 Webster Avenue</t>
  </si>
  <si>
    <t>X339</t>
  </si>
  <si>
    <t>09X339</t>
  </si>
  <si>
    <t>I.S. 339</t>
  </si>
  <si>
    <t>X469</t>
  </si>
  <si>
    <t>75X469</t>
  </si>
  <si>
    <t>The Bronx School for Continuous Learners</t>
  </si>
  <si>
    <t>X166</t>
  </si>
  <si>
    <t>X324</t>
  </si>
  <si>
    <t>09X324</t>
  </si>
  <si>
    <t>Bronx Early College Academy for Teaching &amp; Learning</t>
  </si>
  <si>
    <t>250 East 164 Street</t>
  </si>
  <si>
    <t>X449</t>
  </si>
  <si>
    <t>09X449</t>
  </si>
  <si>
    <t>Grant Avenue Elementary School</t>
  </si>
  <si>
    <t>X454</t>
  </si>
  <si>
    <t>09X454</t>
  </si>
  <si>
    <t>Science and Technology Academy: A Mott Hall School</t>
  </si>
  <si>
    <t>X173</t>
  </si>
  <si>
    <t>X236</t>
  </si>
  <si>
    <t>09X236</t>
  </si>
  <si>
    <t>P.S. 236 Langston Hughes</t>
  </si>
  <si>
    <t>1871 Walton Avenue</t>
  </si>
  <si>
    <t>X229</t>
  </si>
  <si>
    <t>09X229</t>
  </si>
  <si>
    <t>I.S. 229 Roland Patterson</t>
  </si>
  <si>
    <t>275 Harlem River Park Bridge</t>
  </si>
  <si>
    <t>X274</t>
  </si>
  <si>
    <t>09X274</t>
  </si>
  <si>
    <t>The New American Academy at Roberto Clemente State Park</t>
  </si>
  <si>
    <t>X235</t>
  </si>
  <si>
    <t>X218</t>
  </si>
  <si>
    <t>09X218</t>
  </si>
  <si>
    <t>P.S./I.S. 218 Rafael Hernandez Dual Language Magnet School</t>
  </si>
  <si>
    <t>1220 Gerard Avenue</t>
  </si>
  <si>
    <t>X723</t>
  </si>
  <si>
    <t>75X723</t>
  </si>
  <si>
    <t>P.S. 723</t>
  </si>
  <si>
    <t>X240</t>
  </si>
  <si>
    <t>1501 Jerome Avenue</t>
  </si>
  <si>
    <t>X327</t>
  </si>
  <si>
    <t>09X327</t>
  </si>
  <si>
    <t>Comprehensive Model School Project M.S. 327</t>
  </si>
  <si>
    <t>X555</t>
  </si>
  <si>
    <t>09X555</t>
  </si>
  <si>
    <t>Mount Eden Children's Academy</t>
  </si>
  <si>
    <t>X285</t>
  </si>
  <si>
    <t>X361</t>
  </si>
  <si>
    <t>09X361</t>
  </si>
  <si>
    <t>The Highbridge Green School</t>
  </si>
  <si>
    <t>200 West 167Th Street</t>
  </si>
  <si>
    <t>X338</t>
  </si>
  <si>
    <t>X204</t>
  </si>
  <si>
    <t>09X204</t>
  </si>
  <si>
    <t>P.S. 204 Morris Heights</t>
  </si>
  <si>
    <t>1780 Dr. Martin Luther King Jr. Blvd</t>
  </si>
  <si>
    <t>X400</t>
  </si>
  <si>
    <t>X297</t>
  </si>
  <si>
    <t>09X297</t>
  </si>
  <si>
    <t>Morris Academy for Collaborative Studies</t>
  </si>
  <si>
    <t>1110 Boston Road</t>
  </si>
  <si>
    <t>X403</t>
  </si>
  <si>
    <t>09X403</t>
  </si>
  <si>
    <t>Bronx International High School</t>
  </si>
  <si>
    <t>X404</t>
  </si>
  <si>
    <t>09X404</t>
  </si>
  <si>
    <t>School for Excellence</t>
  </si>
  <si>
    <t>X543</t>
  </si>
  <si>
    <t>09X543</t>
  </si>
  <si>
    <t>High School for Violin and Dance</t>
  </si>
  <si>
    <t>X410</t>
  </si>
  <si>
    <t>X227</t>
  </si>
  <si>
    <t>09X227</t>
  </si>
  <si>
    <t>Bronx Collegiate Academy</t>
  </si>
  <si>
    <t>240 East 172 Street</t>
  </si>
  <si>
    <t>X329</t>
  </si>
  <si>
    <t>09X329</t>
  </si>
  <si>
    <t>DreamYard Preparatory School</t>
  </si>
  <si>
    <t>X350</t>
  </si>
  <si>
    <t>09X350</t>
  </si>
  <si>
    <t>New Directions Secondary School</t>
  </si>
  <si>
    <t>X412</t>
  </si>
  <si>
    <t>09X412</t>
  </si>
  <si>
    <t>Bronx High School of Business</t>
  </si>
  <si>
    <t>X413</t>
  </si>
  <si>
    <t>09X413</t>
  </si>
  <si>
    <t>Bronx High School for Medical Science</t>
  </si>
  <si>
    <t>X564</t>
  </si>
  <si>
    <t>09X564</t>
  </si>
  <si>
    <t>Claremont International HS</t>
  </si>
  <si>
    <t>X460</t>
  </si>
  <si>
    <t>X505</t>
  </si>
  <si>
    <t>09X505</t>
  </si>
  <si>
    <t>Bronx School for Law, Government and Justice</t>
  </si>
  <si>
    <t>244 East 163 Street</t>
  </si>
  <si>
    <t>X465</t>
  </si>
  <si>
    <t>X231</t>
  </si>
  <si>
    <t>09X231</t>
  </si>
  <si>
    <t>Eagle Academy for Young Men</t>
  </si>
  <si>
    <t>4143 Third Avenue</t>
  </si>
  <si>
    <t>X876</t>
  </si>
  <si>
    <t>X525</t>
  </si>
  <si>
    <t>09X525</t>
  </si>
  <si>
    <t>Bronx Leadership Academy High School</t>
  </si>
  <si>
    <t>1710 Webster Avenue</t>
  </si>
  <si>
    <t>X970</t>
  </si>
  <si>
    <t>X241</t>
  </si>
  <si>
    <t>09X241</t>
  </si>
  <si>
    <t>Urban Assembly School for Applied Math and Science, The</t>
  </si>
  <si>
    <t>1595 Bathgate Avenue</t>
  </si>
  <si>
    <t>X252</t>
  </si>
  <si>
    <t>09X252</t>
  </si>
  <si>
    <t>Mott Hall Bronx High School</t>
  </si>
  <si>
    <t>X263</t>
  </si>
  <si>
    <t>09X263</t>
  </si>
  <si>
    <t>Validus Preparatory Academy</t>
  </si>
  <si>
    <t>10</t>
  </si>
  <si>
    <t>X003</t>
  </si>
  <si>
    <t>10X003</t>
  </si>
  <si>
    <t>P.S. 3 Raul Julia Micro Society</t>
  </si>
  <si>
    <t>2100 Lafontaine Avenue</t>
  </si>
  <si>
    <t>X009</t>
  </si>
  <si>
    <t>10X009</t>
  </si>
  <si>
    <t>P.S. 9 Ryer Avenue Elementary School</t>
  </si>
  <si>
    <t>230 East 183 Street</t>
  </si>
  <si>
    <t>X015</t>
  </si>
  <si>
    <t>2195 Andrews Avenue</t>
  </si>
  <si>
    <t>10X015</t>
  </si>
  <si>
    <t>P.S. X015 Institute for Environmental Learning</t>
  </si>
  <si>
    <t>X291</t>
  </si>
  <si>
    <t>10X291</t>
  </si>
  <si>
    <t>P.S. 291</t>
  </si>
  <si>
    <t>X020</t>
  </si>
  <si>
    <t>10X020</t>
  </si>
  <si>
    <t>PS/MS 20 P.O.George J. Werdann, III</t>
  </si>
  <si>
    <t>3050 Webster Avenue</t>
  </si>
  <si>
    <t>X023</t>
  </si>
  <si>
    <t>10X023</t>
  </si>
  <si>
    <t>P.S. 023 The New Children's School</t>
  </si>
  <si>
    <t>2151 Washington Avenue</t>
  </si>
  <si>
    <t>X034</t>
  </si>
  <si>
    <t>770 Grote Street</t>
  </si>
  <si>
    <t>X037</t>
  </si>
  <si>
    <t>10X037</t>
  </si>
  <si>
    <t>P.S. X037 - Multiple Intelligence School</t>
  </si>
  <si>
    <t>360 West 230 Street</t>
  </si>
  <si>
    <t>X046</t>
  </si>
  <si>
    <t>10X046</t>
  </si>
  <si>
    <t>P.S. 046 Edgar Allan Poe</t>
  </si>
  <si>
    <t>279 East 196 Street</t>
  </si>
  <si>
    <t>X054</t>
  </si>
  <si>
    <t>10X054</t>
  </si>
  <si>
    <t>P.S./I.S. 54</t>
  </si>
  <si>
    <t>2703 Webster Avenue</t>
  </si>
  <si>
    <t>X056</t>
  </si>
  <si>
    <t>10X056</t>
  </si>
  <si>
    <t>P.S. 056 Norwood Heights</t>
  </si>
  <si>
    <t>341 East 207 Street</t>
  </si>
  <si>
    <t>X079</t>
  </si>
  <si>
    <t>X382</t>
  </si>
  <si>
    <t>10X382</t>
  </si>
  <si>
    <t>Elementary School for Math, Science, and Technology</t>
  </si>
  <si>
    <t>125 East 181 Street</t>
  </si>
  <si>
    <t>X386</t>
  </si>
  <si>
    <t>10X386</t>
  </si>
  <si>
    <t>School for Environmental Citizenship</t>
  </si>
  <si>
    <t>X447</t>
  </si>
  <si>
    <t>10X447</t>
  </si>
  <si>
    <t>Creston Academy</t>
  </si>
  <si>
    <t>X080</t>
  </si>
  <si>
    <t>10X080</t>
  </si>
  <si>
    <t>J.H.S. 080 The Mosholu Parkway</t>
  </si>
  <si>
    <t>149 East Mosholu Pkwy N</t>
  </si>
  <si>
    <t>X280</t>
  </si>
  <si>
    <t>10X280</t>
  </si>
  <si>
    <t>P.S./M.S. 280 Mosholu Parkway</t>
  </si>
  <si>
    <t>X085</t>
  </si>
  <si>
    <t>10X085</t>
  </si>
  <si>
    <t>P.S. 085 Great Expectations</t>
  </si>
  <si>
    <t>2400 Marion Avenue</t>
  </si>
  <si>
    <t>X086</t>
  </si>
  <si>
    <t>10X086</t>
  </si>
  <si>
    <t>P.S. 086 Kingsbridge Heights</t>
  </si>
  <si>
    <t>2756 Reservoir Avenue</t>
  </si>
  <si>
    <t>X095</t>
  </si>
  <si>
    <t>10X095</t>
  </si>
  <si>
    <t>P.S. 095 Sheila Mencher</t>
  </si>
  <si>
    <t>3961 Hillman Avenue</t>
  </si>
  <si>
    <t>X344</t>
  </si>
  <si>
    <t>10X344</t>
  </si>
  <si>
    <t>Ampark Neighborhood</t>
  </si>
  <si>
    <t>X115</t>
  </si>
  <si>
    <t>X363</t>
  </si>
  <si>
    <t>10X363</t>
  </si>
  <si>
    <t xml:space="preserve">Academy For Personal Leadership And Excellence </t>
  </si>
  <si>
    <t>120 East 184 Street</t>
  </si>
  <si>
    <t>X118</t>
  </si>
  <si>
    <t>10X118</t>
  </si>
  <si>
    <t>J.H.S. 118 William W. Niles</t>
  </si>
  <si>
    <t>577 East 179 Street</t>
  </si>
  <si>
    <t>X137</t>
  </si>
  <si>
    <t>X225</t>
  </si>
  <si>
    <t>10X225</t>
  </si>
  <si>
    <t>Theatre Arts Production Company School</t>
  </si>
  <si>
    <t>2225 Webster Avenue</t>
  </si>
  <si>
    <t>X391</t>
  </si>
  <si>
    <t>10X391</t>
  </si>
  <si>
    <t>The Angelo Patri Middle School</t>
  </si>
  <si>
    <t>X141</t>
  </si>
  <si>
    <t>10X141</t>
  </si>
  <si>
    <t>Riverdale / Kingsbridge Academy (Middle School / High School 141)</t>
  </si>
  <si>
    <t>660 West 237 Street</t>
  </si>
  <si>
    <t>X177</t>
  </si>
  <si>
    <t>X077</t>
  </si>
  <si>
    <t>10X077</t>
  </si>
  <si>
    <t>Bedford Park Elementary School</t>
  </si>
  <si>
    <t>3177 Webster Avenue</t>
  </si>
  <si>
    <t>X205</t>
  </si>
  <si>
    <t>10X205</t>
  </si>
  <si>
    <t>P.S. 205 Fiorello LaGuardia</t>
  </si>
  <si>
    <t>2475 Southern Boulevard</t>
  </si>
  <si>
    <t>X209</t>
  </si>
  <si>
    <t>10X209</t>
  </si>
  <si>
    <t>P.S. 209</t>
  </si>
  <si>
    <t>Early Childhood</t>
  </si>
  <si>
    <t>313 East 183 Street</t>
  </si>
  <si>
    <t>X211</t>
  </si>
  <si>
    <t>X319</t>
  </si>
  <si>
    <t>10X319</t>
  </si>
  <si>
    <t>Providing Urban Learners Success In Education High School</t>
  </si>
  <si>
    <t>560 East 179 Street</t>
  </si>
  <si>
    <t>X254</t>
  </si>
  <si>
    <t>10X254</t>
  </si>
  <si>
    <t>I.S. 254</t>
  </si>
  <si>
    <t>2452 Washington Avenue</t>
  </si>
  <si>
    <t>X279</t>
  </si>
  <si>
    <t>10X279</t>
  </si>
  <si>
    <t>P.S. 279 Captain Manuel Rivera, Jr.</t>
  </si>
  <si>
    <t>2100 Walton Avenue</t>
  </si>
  <si>
    <t>X283</t>
  </si>
  <si>
    <t>X228</t>
  </si>
  <si>
    <t>10X228</t>
  </si>
  <si>
    <t>Jonas Bronck Academy</t>
  </si>
  <si>
    <t>400 East Fordham Road</t>
  </si>
  <si>
    <t>X306</t>
  </si>
  <si>
    <t>40 West Tremont Avenue</t>
  </si>
  <si>
    <t>10X306</t>
  </si>
  <si>
    <t>P.S. 306</t>
  </si>
  <si>
    <t>X331</t>
  </si>
  <si>
    <t>10X331</t>
  </si>
  <si>
    <t>The Bronx School of Young Leaders</t>
  </si>
  <si>
    <t>X340</t>
  </si>
  <si>
    <t>10X340</t>
  </si>
  <si>
    <t>P.S. 340</t>
  </si>
  <si>
    <t>25 West 195 Street</t>
  </si>
  <si>
    <t>X360</t>
  </si>
  <si>
    <t>10X360</t>
  </si>
  <si>
    <t>P.S. 360</t>
  </si>
  <si>
    <t>2880 Kingsbridge Terrace</t>
  </si>
  <si>
    <t>X368</t>
  </si>
  <si>
    <t>10X368</t>
  </si>
  <si>
    <t>In-Tech Academy (M.S. / High School 368)</t>
  </si>
  <si>
    <t>2975 Tibbett Avenue</t>
  </si>
  <si>
    <t>X721</t>
  </si>
  <si>
    <t>75X721</t>
  </si>
  <si>
    <t>P.S. X721 - Stephen McSweeney School</t>
  </si>
  <si>
    <t>X430</t>
  </si>
  <si>
    <t>X268</t>
  </si>
  <si>
    <t>10X268</t>
  </si>
  <si>
    <t>Kingsbridge International High School</t>
  </si>
  <si>
    <t>2780 Reservoir Avenue</t>
  </si>
  <si>
    <t>X342</t>
  </si>
  <si>
    <t>10X342</t>
  </si>
  <si>
    <t>International School for Liberal Arts</t>
  </si>
  <si>
    <t>X433</t>
  </si>
  <si>
    <t>10X433</t>
  </si>
  <si>
    <t>High School for Teaching and the Professions</t>
  </si>
  <si>
    <t>X442</t>
  </si>
  <si>
    <t>10X442</t>
  </si>
  <si>
    <t>Celia Cruz Bronx High School of Music, The</t>
  </si>
  <si>
    <t>X549</t>
  </si>
  <si>
    <t>10X549</t>
  </si>
  <si>
    <t>Discovery High School</t>
  </si>
  <si>
    <t>X435</t>
  </si>
  <si>
    <t>X243</t>
  </si>
  <si>
    <t>10X243</t>
  </si>
  <si>
    <t>West Bronx Academy for the Future</t>
  </si>
  <si>
    <t>500 East Fordham Road</t>
  </si>
  <si>
    <t>X374</t>
  </si>
  <si>
    <t>10X374</t>
  </si>
  <si>
    <t>Knowledge and Power Preparatory Academy International High School (Kappa)</t>
  </si>
  <si>
    <t>X434</t>
  </si>
  <si>
    <t>10X434</t>
  </si>
  <si>
    <t>Belmont Preparatory High School</t>
  </si>
  <si>
    <t>X437</t>
  </si>
  <si>
    <t>10X437</t>
  </si>
  <si>
    <t>Fordham High School for the Arts</t>
  </si>
  <si>
    <t>X438</t>
  </si>
  <si>
    <t>10X438</t>
  </si>
  <si>
    <t>Fordham Leadership Academy</t>
  </si>
  <si>
    <t>X439</t>
  </si>
  <si>
    <t>10X439</t>
  </si>
  <si>
    <t>Bronx High School for Law and Community Service</t>
  </si>
  <si>
    <t>X440</t>
  </si>
  <si>
    <t>100 West Mosholu Parkway South</t>
  </si>
  <si>
    <t>X351</t>
  </si>
  <si>
    <t>10X351</t>
  </si>
  <si>
    <t>Bronx Collaborative High School</t>
  </si>
  <si>
    <t>X353</t>
  </si>
  <si>
    <t>10X353</t>
  </si>
  <si>
    <t>World View High School</t>
  </si>
  <si>
    <t>10X440</t>
  </si>
  <si>
    <t>DeWitt Clinton High School</t>
  </si>
  <si>
    <t>X445</t>
  </si>
  <si>
    <t>10X445</t>
  </si>
  <si>
    <t>The Bronx High School of Science</t>
  </si>
  <si>
    <t>75 West 205 Street</t>
  </si>
  <si>
    <t>X475</t>
  </si>
  <si>
    <t>X213</t>
  </si>
  <si>
    <t>10X213</t>
  </si>
  <si>
    <t>Bronx Engineering and Technology Academy</t>
  </si>
  <si>
    <t>99 Terrace View Avenue</t>
  </si>
  <si>
    <t>X284</t>
  </si>
  <si>
    <t>10X284</t>
  </si>
  <si>
    <t>Bronx School of Law and Finance</t>
  </si>
  <si>
    <t>X397</t>
  </si>
  <si>
    <t>10X397</t>
  </si>
  <si>
    <t>English Language Learners and International Support Preparatory Academy (ELLIS)</t>
  </si>
  <si>
    <t>X477</t>
  </si>
  <si>
    <t>10X477</t>
  </si>
  <si>
    <t>Marble Hill High School for International Studies</t>
  </si>
  <si>
    <t>X539</t>
  </si>
  <si>
    <t>84X539</t>
  </si>
  <si>
    <t>New Visions Charter High School for Advanced Math and Science</t>
  </si>
  <si>
    <t>X546</t>
  </si>
  <si>
    <t>10X546</t>
  </si>
  <si>
    <t>Bronx Theatre High School</t>
  </si>
  <si>
    <t>X553</t>
  </si>
  <si>
    <t>84X553</t>
  </si>
  <si>
    <t>New Visions Charter High School for the Humanities</t>
  </si>
  <si>
    <t>X660</t>
  </si>
  <si>
    <t>X264</t>
  </si>
  <si>
    <t>10X264</t>
  </si>
  <si>
    <t>Bronx Academy for Software Engineering (BASE)</t>
  </si>
  <si>
    <t>2474 Crotona Avenue</t>
  </si>
  <si>
    <t>X524</t>
  </si>
  <si>
    <t>10X524</t>
  </si>
  <si>
    <t>Crotona International High School</t>
  </si>
  <si>
    <t>X565</t>
  </si>
  <si>
    <t>10X565</t>
  </si>
  <si>
    <t>High School for Energy and Technology</t>
  </si>
  <si>
    <t>X781</t>
  </si>
  <si>
    <t>X051</t>
  </si>
  <si>
    <t>10X051</t>
  </si>
  <si>
    <t>The Bronx STEM and Arts Academy</t>
  </si>
  <si>
    <t>695 East 182 Street</t>
  </si>
  <si>
    <t>X826</t>
  </si>
  <si>
    <t>X226</t>
  </si>
  <si>
    <t>10X226</t>
  </si>
  <si>
    <t>P.S. 226</t>
  </si>
  <si>
    <t>1950 Sedgwick Avenue</t>
  </si>
  <si>
    <t>X843</t>
  </si>
  <si>
    <t>X246</t>
  </si>
  <si>
    <t>10X246</t>
  </si>
  <si>
    <t>P.S. 246 Poe Center</t>
  </si>
  <si>
    <t>2641 Grand Concourse</t>
  </si>
  <si>
    <t>X852</t>
  </si>
  <si>
    <t>X308</t>
  </si>
  <si>
    <t>10X308</t>
  </si>
  <si>
    <t>Bronx Dance Academy School</t>
  </si>
  <si>
    <t>3617 Bainbridge Avenue</t>
  </si>
  <si>
    <t>X886</t>
  </si>
  <si>
    <t>X307</t>
  </si>
  <si>
    <t>10X307</t>
  </si>
  <si>
    <t>Luisa Pineiro Fuentes School of Science and Discovery</t>
  </si>
  <si>
    <t>124 Eames Place</t>
  </si>
  <si>
    <t>X905</t>
  </si>
  <si>
    <t>X696</t>
  </si>
  <si>
    <t>10X696</t>
  </si>
  <si>
    <t>High School of American Studies at Lehman College</t>
  </si>
  <si>
    <t>2925 Goulden Avenue</t>
  </si>
  <si>
    <t>11</t>
  </si>
  <si>
    <t>X019</t>
  </si>
  <si>
    <t>11X019</t>
  </si>
  <si>
    <t>P.S. 019 Judith K. Weiss</t>
  </si>
  <si>
    <t>311 East 237 Street</t>
  </si>
  <si>
    <t>X068</t>
  </si>
  <si>
    <t>11X068</t>
  </si>
  <si>
    <t>P.S. 068 Bronx</t>
  </si>
  <si>
    <t>4011 Monticello Avenue</t>
  </si>
  <si>
    <t>X083</t>
  </si>
  <si>
    <t>11X083</t>
  </si>
  <si>
    <t>P.S. 083 Donald Hertz</t>
  </si>
  <si>
    <t>950 Rhinelander Avenue</t>
  </si>
  <si>
    <t>X096</t>
  </si>
  <si>
    <t>11X096</t>
  </si>
  <si>
    <t>P.S. 096 Richard Rodgers</t>
  </si>
  <si>
    <t>2385 Olinville Avenue</t>
  </si>
  <si>
    <t>X097</t>
  </si>
  <si>
    <t>11X097</t>
  </si>
  <si>
    <t>P.S. 097 Bronx</t>
  </si>
  <si>
    <t>1375 Mace Avenue</t>
  </si>
  <si>
    <t>X105</t>
  </si>
  <si>
    <t>11X105</t>
  </si>
  <si>
    <t>P.S. 105 Sen Abraham Bernstein</t>
  </si>
  <si>
    <t>725 Brady Avenue</t>
  </si>
  <si>
    <t>X106</t>
  </si>
  <si>
    <t>11X106</t>
  </si>
  <si>
    <t>P.S. 106 Parkchester</t>
  </si>
  <si>
    <t>1514 Olmstead Avenue</t>
  </si>
  <si>
    <t>X111</t>
  </si>
  <si>
    <t>X016</t>
  </si>
  <si>
    <t>11X016</t>
  </si>
  <si>
    <t>P.S. 016 Wakefield</t>
  </si>
  <si>
    <t>3740 Baychester Avenue</t>
  </si>
  <si>
    <t>11X111</t>
  </si>
  <si>
    <t>P.S. 111 Seton Falls</t>
  </si>
  <si>
    <t>X718</t>
  </si>
  <si>
    <t>84X718</t>
  </si>
  <si>
    <t>Bronx Charter School for Better Learning</t>
  </si>
  <si>
    <t>X113</t>
  </si>
  <si>
    <t>X287</t>
  </si>
  <si>
    <t>11X287</t>
  </si>
  <si>
    <t>North Bronx School of Empowerment</t>
  </si>
  <si>
    <t>3710 Barnes Avenue</t>
  </si>
  <si>
    <t>X370</t>
  </si>
  <si>
    <t>11X370</t>
  </si>
  <si>
    <t>Leaders of Tomorrow</t>
  </si>
  <si>
    <t>X127</t>
  </si>
  <si>
    <t>11X127</t>
  </si>
  <si>
    <t>J.H.S. 127 The Castle Hill</t>
  </si>
  <si>
    <t>1560 Purdy Street</t>
  </si>
  <si>
    <t>X567</t>
  </si>
  <si>
    <t>11X567</t>
  </si>
  <si>
    <t>Linden Tree Elementary School</t>
  </si>
  <si>
    <t>X144</t>
  </si>
  <si>
    <t>11X144</t>
  </si>
  <si>
    <t>J.H.S. 144 Michelangelo</t>
  </si>
  <si>
    <t>2545 Gunther Avenue</t>
  </si>
  <si>
    <t>X484</t>
  </si>
  <si>
    <t>84X484</t>
  </si>
  <si>
    <t>Bronx Charter School for Better Learning II</t>
  </si>
  <si>
    <t>X566</t>
  </si>
  <si>
    <t>11X566</t>
  </si>
  <si>
    <t>Pelham Gardens Middle School</t>
  </si>
  <si>
    <t>X153</t>
  </si>
  <si>
    <t>11X153</t>
  </si>
  <si>
    <t>P.S. 153 Helen Keller</t>
  </si>
  <si>
    <t>650 Baychester Avenue</t>
  </si>
  <si>
    <t>X596</t>
  </si>
  <si>
    <t>75X596</t>
  </si>
  <si>
    <t>P.S. X596</t>
  </si>
  <si>
    <t>X160</t>
  </si>
  <si>
    <t>11X160</t>
  </si>
  <si>
    <t>P.S. 160 Walt Disney</t>
  </si>
  <si>
    <t>4140 Hutchinson River Parkway East</t>
  </si>
  <si>
    <t>X488</t>
  </si>
  <si>
    <t>84X488</t>
  </si>
  <si>
    <t>The Equality Charter School</t>
  </si>
  <si>
    <t>X169</t>
  </si>
  <si>
    <t>11X169</t>
  </si>
  <si>
    <t>Baychester Academy</t>
  </si>
  <si>
    <t>3500 Edson Avenue</t>
  </si>
  <si>
    <t>X178</t>
  </si>
  <si>
    <t>11X178</t>
  </si>
  <si>
    <t>P.S. 178 - Dr. Selman Waksman</t>
  </si>
  <si>
    <t>850 Baychester Avenue</t>
  </si>
  <si>
    <t>X180</t>
  </si>
  <si>
    <t>11X180</t>
  </si>
  <si>
    <t>M.S. 180 Dr. Daniel Hale Williams</t>
  </si>
  <si>
    <t>700 Baychester Avenue</t>
  </si>
  <si>
    <t>X181</t>
  </si>
  <si>
    <t>X176</t>
  </si>
  <si>
    <t>75X176</t>
  </si>
  <si>
    <t>P.S. X176</t>
  </si>
  <si>
    <t>800 Baychester Avenue</t>
  </si>
  <si>
    <t>11X181</t>
  </si>
  <si>
    <t>I.S. 181 Pablo Casals</t>
  </si>
  <si>
    <t>X189</t>
  </si>
  <si>
    <t>11X189</t>
  </si>
  <si>
    <t>Cornerstone Academy for Social Action</t>
  </si>
  <si>
    <t>3441 Steenwick Avenue</t>
  </si>
  <si>
    <t>X462</t>
  </si>
  <si>
    <t>11X462</t>
  </si>
  <si>
    <t>Cornerstone Academy for Social Action Middle School (CASA)</t>
  </si>
  <si>
    <t>X194</t>
  </si>
  <si>
    <t>2365 Waterbury Avenue</t>
  </si>
  <si>
    <t>11X194</t>
  </si>
  <si>
    <t>P.S./M.S. 194</t>
  </si>
  <si>
    <t>X292</t>
  </si>
  <si>
    <t>X357</t>
  </si>
  <si>
    <t>11X357</t>
  </si>
  <si>
    <t>Young Voices Academy of the Bronx</t>
  </si>
  <si>
    <t>800 Lydig Avenue</t>
  </si>
  <si>
    <t>X362</t>
  </si>
  <si>
    <t>X270</t>
  </si>
  <si>
    <t>11X270</t>
  </si>
  <si>
    <t>Academy for Scholarship and Entrepreneurship: A College Board School</t>
  </si>
  <si>
    <t>921 East 228Th Street</t>
  </si>
  <si>
    <t>X513</t>
  </si>
  <si>
    <t>11X513</t>
  </si>
  <si>
    <t>New World High School</t>
  </si>
  <si>
    <t>X514</t>
  </si>
  <si>
    <t>11X514</t>
  </si>
  <si>
    <t>The Bronxwood Preparatory Academy</t>
  </si>
  <si>
    <t>X405</t>
  </si>
  <si>
    <t>X293</t>
  </si>
  <si>
    <t>08X293</t>
  </si>
  <si>
    <t>Renaissance High School for Musical Theater and the Arts</t>
  </si>
  <si>
    <t>3000 East Tremont Avenue</t>
  </si>
  <si>
    <t>X320</t>
  </si>
  <si>
    <t>08X320</t>
  </si>
  <si>
    <t>Pelham Lab High School</t>
  </si>
  <si>
    <t>X348</t>
  </si>
  <si>
    <t>08X348</t>
  </si>
  <si>
    <t>Schuylerville Preparatory High School</t>
  </si>
  <si>
    <t>X349</t>
  </si>
  <si>
    <t>08X349</t>
  </si>
  <si>
    <t>Bronx River High School</t>
  </si>
  <si>
    <t>08X405</t>
  </si>
  <si>
    <t>Herbert H. Lehman High School</t>
  </si>
  <si>
    <t>X558</t>
  </si>
  <si>
    <t>08X558</t>
  </si>
  <si>
    <t>Westchester Square Academy</t>
  </si>
  <si>
    <t>X415</t>
  </si>
  <si>
    <t>925 Astor Avenue</t>
  </si>
  <si>
    <t>X288</t>
  </si>
  <si>
    <t>11X288</t>
  </si>
  <si>
    <t>Collegiate Institute for Math and Science</t>
  </si>
  <si>
    <t>X299</t>
  </si>
  <si>
    <t>11X299</t>
  </si>
  <si>
    <t>Astor Collegiate Academy</t>
  </si>
  <si>
    <t>X508</t>
  </si>
  <si>
    <t>11X508</t>
  </si>
  <si>
    <t>Bronxdale High School</t>
  </si>
  <si>
    <t>X509</t>
  </si>
  <si>
    <t>11X509</t>
  </si>
  <si>
    <t>High School of Language and Innovation</t>
  </si>
  <si>
    <t>X542</t>
  </si>
  <si>
    <t>11X542</t>
  </si>
  <si>
    <t>Pelham Preparatory Academy</t>
  </si>
  <si>
    <t>X425</t>
  </si>
  <si>
    <t>800 East Gun Hill Road</t>
  </si>
  <si>
    <t>X253</t>
  </si>
  <si>
    <t>11X253</t>
  </si>
  <si>
    <t>Bronx High School for Writing and Communication Arts</t>
  </si>
  <si>
    <t>X265</t>
  </si>
  <si>
    <t>11X265</t>
  </si>
  <si>
    <t>Bronx Lab School</t>
  </si>
  <si>
    <t>X275</t>
  </si>
  <si>
    <t>11X275</t>
  </si>
  <si>
    <t>High School of Computers and Technology</t>
  </si>
  <si>
    <t>X290</t>
  </si>
  <si>
    <t>11X290</t>
  </si>
  <si>
    <t>Bronx Academy of Health Careers</t>
  </si>
  <si>
    <t>X544</t>
  </si>
  <si>
    <t>11X544</t>
  </si>
  <si>
    <t>High School for Contemporary Arts</t>
  </si>
  <si>
    <t>X545</t>
  </si>
  <si>
    <t>11X545</t>
  </si>
  <si>
    <t>Bronx Aerospace High School</t>
  </si>
  <si>
    <t>X455</t>
  </si>
  <si>
    <t>750 Baychester Avenue</t>
  </si>
  <si>
    <t>X249</t>
  </si>
  <si>
    <t>11X249</t>
  </si>
  <si>
    <t>Bronx Health Sciences High School</t>
  </si>
  <si>
    <t>11X455</t>
  </si>
  <si>
    <t>Harry S Truman High School</t>
  </si>
  <si>
    <t>X498</t>
  </si>
  <si>
    <t>X378</t>
  </si>
  <si>
    <t>84X378</t>
  </si>
  <si>
    <t>Icahn Charter School 2</t>
  </si>
  <si>
    <t>1640 Bronxdale Ave</t>
  </si>
  <si>
    <t>11X498</t>
  </si>
  <si>
    <t>P.S./M.S. 11X498 - Van Nest Academy</t>
  </si>
  <si>
    <t>X722</t>
  </si>
  <si>
    <t>2697 Westchester Avenue</t>
  </si>
  <si>
    <t>X839</t>
  </si>
  <si>
    <t>X418</t>
  </si>
  <si>
    <t>11X418</t>
  </si>
  <si>
    <t>Bronx High School for the Visual Arts</t>
  </si>
  <si>
    <t>2040 Antin Pl</t>
  </si>
  <si>
    <t>X811</t>
  </si>
  <si>
    <t>75X811</t>
  </si>
  <si>
    <t>P.S. X811</t>
  </si>
  <si>
    <t>12</t>
  </si>
  <si>
    <t>X084</t>
  </si>
  <si>
    <t>1434 Longfellow Avenue</t>
  </si>
  <si>
    <t>X092</t>
  </si>
  <si>
    <t>700 East 179 Street</t>
  </si>
  <si>
    <t>X595</t>
  </si>
  <si>
    <t>12X595</t>
  </si>
  <si>
    <t>P.S. 595</t>
  </si>
  <si>
    <t>X099</t>
  </si>
  <si>
    <t>X248</t>
  </si>
  <si>
    <t>12X248</t>
  </si>
  <si>
    <t>Metropolitan High School, The</t>
  </si>
  <si>
    <t>1180 Rev. J.A. Polite Ave.</t>
  </si>
  <si>
    <t>X102</t>
  </si>
  <si>
    <t>X531</t>
  </si>
  <si>
    <t>12X531</t>
  </si>
  <si>
    <t>Archer Elementary School</t>
  </si>
  <si>
    <t>1827 Archer Street</t>
  </si>
  <si>
    <t>X536</t>
  </si>
  <si>
    <t>12X536</t>
  </si>
  <si>
    <t>P.S. 536</t>
  </si>
  <si>
    <t>X691</t>
  </si>
  <si>
    <t>12X691</t>
  </si>
  <si>
    <t>Bronx Little School</t>
  </si>
  <si>
    <t>X116</t>
  </si>
  <si>
    <t>X217</t>
  </si>
  <si>
    <t>12X217</t>
  </si>
  <si>
    <t>School of Performing Arts</t>
  </si>
  <si>
    <t>977 Fox Street</t>
  </si>
  <si>
    <t>X341</t>
  </si>
  <si>
    <t>12X341</t>
  </si>
  <si>
    <t>Accion Academy</t>
  </si>
  <si>
    <t>X346</t>
  </si>
  <si>
    <t>84X346</t>
  </si>
  <si>
    <t>South Bronx Classical Charter School</t>
  </si>
  <si>
    <t>X129</t>
  </si>
  <si>
    <t>12X129</t>
  </si>
  <si>
    <t>M.S. 129 Academy for Independent Learning and Leadership</t>
  </si>
  <si>
    <t>2055 Mapes Avenue</t>
  </si>
  <si>
    <t>X316</t>
  </si>
  <si>
    <t>12X316</t>
  </si>
  <si>
    <t>Kappa III</t>
  </si>
  <si>
    <t>X136</t>
  </si>
  <si>
    <t>750 Jennings Street</t>
  </si>
  <si>
    <t>X158</t>
  </si>
  <si>
    <t>X267</t>
  </si>
  <si>
    <t>12X267</t>
  </si>
  <si>
    <t>Bronx Latin</t>
  </si>
  <si>
    <t>800 Home Street</t>
  </si>
  <si>
    <t>X479</t>
  </si>
  <si>
    <t>12X479</t>
  </si>
  <si>
    <t>Bronx Career and College Preparatory High School</t>
  </si>
  <si>
    <t>X482</t>
  </si>
  <si>
    <t>84X482</t>
  </si>
  <si>
    <t>Dr. Richard Izquierdo Health and Science Charter School</t>
  </si>
  <si>
    <t>X167</t>
  </si>
  <si>
    <t>X214</t>
  </si>
  <si>
    <t>12X214</t>
  </si>
  <si>
    <t>P.S. 214</t>
  </si>
  <si>
    <t>1970 West Farms Road</t>
  </si>
  <si>
    <t>X383</t>
  </si>
  <si>
    <t>12X383</t>
  </si>
  <si>
    <t>Emolior Academy</t>
  </si>
  <si>
    <t>X193</t>
  </si>
  <si>
    <t>X124</t>
  </si>
  <si>
    <t>84X124</t>
  </si>
  <si>
    <t>Children's Aid College Preparatory Charter School</t>
  </si>
  <si>
    <t>1919 Prospect Avenue</t>
  </si>
  <si>
    <t>12X211</t>
  </si>
  <si>
    <t>P.S. 211</t>
  </si>
  <si>
    <t>X318</t>
  </si>
  <si>
    <t>12X318</t>
  </si>
  <si>
    <t>I.S. X318 Math, Science &amp; Technology Through Arts</t>
  </si>
  <si>
    <t>X198</t>
  </si>
  <si>
    <t>1180 Tinton Avenue</t>
  </si>
  <si>
    <t>X463</t>
  </si>
  <si>
    <t>12X463</t>
  </si>
  <si>
    <t>Urban Scholars Community School</t>
  </si>
  <si>
    <t>X587</t>
  </si>
  <si>
    <t>84X587</t>
  </si>
  <si>
    <t>NYC Autism Charter School Bronx</t>
  </si>
  <si>
    <t>Ungraded</t>
  </si>
  <si>
    <t>X234</t>
  </si>
  <si>
    <t>2050 Prospect Avenue</t>
  </si>
  <si>
    <t>X300</t>
  </si>
  <si>
    <t>12X300</t>
  </si>
  <si>
    <t>The School of Science and Applied Learning</t>
  </si>
  <si>
    <t>X420</t>
  </si>
  <si>
    <t>X388</t>
  </si>
  <si>
    <t>12X388</t>
  </si>
  <si>
    <t>Pan American International High School at Monroe</t>
  </si>
  <si>
    <t>1300 Boynton Avenue</t>
  </si>
  <si>
    <t>X521</t>
  </si>
  <si>
    <t>12X521</t>
  </si>
  <si>
    <t>The Metropolitan Soundview High School</t>
  </si>
  <si>
    <t>X550</t>
  </si>
  <si>
    <t>12X550</t>
  </si>
  <si>
    <t>High School of World Cultures</t>
  </si>
  <si>
    <t>X597</t>
  </si>
  <si>
    <t>84X597</t>
  </si>
  <si>
    <t>Urban Assembly Charter School for Computer Science</t>
  </si>
  <si>
    <t>X423</t>
  </si>
  <si>
    <t>X242</t>
  </si>
  <si>
    <t>12X242</t>
  </si>
  <si>
    <t>Mott Hall V</t>
  </si>
  <si>
    <t>1551 East 172 Street</t>
  </si>
  <si>
    <t>X478</t>
  </si>
  <si>
    <t>12X478</t>
  </si>
  <si>
    <t xml:space="preserve">The Cinema School </t>
  </si>
  <si>
    <t>X716</t>
  </si>
  <si>
    <t>X185</t>
  </si>
  <si>
    <t>84X185</t>
  </si>
  <si>
    <t>Pharos Academy Charter School</t>
  </si>
  <si>
    <t>1001 Intervale Avenue</t>
  </si>
  <si>
    <t>X878</t>
  </si>
  <si>
    <t>X682</t>
  </si>
  <si>
    <t>12X682</t>
  </si>
  <si>
    <t>Fannie Lou Hamer Freedom High School</t>
  </si>
  <si>
    <t>1021 Jennings Street</t>
  </si>
  <si>
    <t>X879</t>
  </si>
  <si>
    <t>X684</t>
  </si>
  <si>
    <t>12X684</t>
  </si>
  <si>
    <t>Wings Academy</t>
  </si>
  <si>
    <t>1122 East 180 Street</t>
  </si>
  <si>
    <t>X973</t>
  </si>
  <si>
    <t>1716 Southern Boulevard</t>
  </si>
  <si>
    <t>X271</t>
  </si>
  <si>
    <t>12X271</t>
  </si>
  <si>
    <t>East Bronx Academy for the Future</t>
  </si>
  <si>
    <t>13</t>
  </si>
  <si>
    <t>Brooklyn</t>
  </si>
  <si>
    <t>K008</t>
  </si>
  <si>
    <t>13K008</t>
  </si>
  <si>
    <t>The Emily Warren Roebling School</t>
  </si>
  <si>
    <t>37 Hicks Street</t>
  </si>
  <si>
    <t>K009</t>
  </si>
  <si>
    <t>13K009</t>
  </si>
  <si>
    <t>Public School 9 The Sarah Smith Garnet School</t>
  </si>
  <si>
    <t>80 Underhill Avenue</t>
  </si>
  <si>
    <t>K011</t>
  </si>
  <si>
    <t>13K011</t>
  </si>
  <si>
    <t>P.S. 011 Purvis J. Behan</t>
  </si>
  <si>
    <t>419 Waverly Avenue</t>
  </si>
  <si>
    <t>K056</t>
  </si>
  <si>
    <t>13K056</t>
  </si>
  <si>
    <t>P.S. 056 Lewis H. Latimer</t>
  </si>
  <si>
    <t>170 Gates Avenue</t>
  </si>
  <si>
    <t>K351</t>
  </si>
  <si>
    <t>13K351</t>
  </si>
  <si>
    <t>The Urban Assembly Unison School</t>
  </si>
  <si>
    <t>K369</t>
  </si>
  <si>
    <t>75K369</t>
  </si>
  <si>
    <t>P.S. K369 - Coy L. Cox School</t>
  </si>
  <si>
    <t>K113</t>
  </si>
  <si>
    <t>13K113</t>
  </si>
  <si>
    <t>M.S. 113 Ronald Edmonds Learning Center</t>
  </si>
  <si>
    <t>300 Adelphi Street</t>
  </si>
  <si>
    <t>K372</t>
  </si>
  <si>
    <t>75K372</t>
  </si>
  <si>
    <t>P.S. 372 -The Children's School</t>
  </si>
  <si>
    <t>K789</t>
  </si>
  <si>
    <t>84K789</t>
  </si>
  <si>
    <t>Compass Charter School</t>
  </si>
  <si>
    <t>K258</t>
  </si>
  <si>
    <t>K140</t>
  </si>
  <si>
    <t>75K140</t>
  </si>
  <si>
    <t>P.S. K140</t>
  </si>
  <si>
    <t>141 Macon Street</t>
  </si>
  <si>
    <t>K517</t>
  </si>
  <si>
    <t>84K517</t>
  </si>
  <si>
    <t>Leadership Preparatory Bedford Stuyvesant Charter School</t>
  </si>
  <si>
    <t>K282</t>
  </si>
  <si>
    <t>13K282</t>
  </si>
  <si>
    <t>P.S. 282 Park Slope</t>
  </si>
  <si>
    <t>180 6 Avenue</t>
  </si>
  <si>
    <t>K313</t>
  </si>
  <si>
    <t>283 Adams Street</t>
  </si>
  <si>
    <t>K483</t>
  </si>
  <si>
    <t>13K483</t>
  </si>
  <si>
    <t>The Urban Assembly School for Law and Justice</t>
  </si>
  <si>
    <t>K527</t>
  </si>
  <si>
    <t>13K527</t>
  </si>
  <si>
    <t>Urban Assembly Institute of Math and Science for Young Women</t>
  </si>
  <si>
    <t>K317</t>
  </si>
  <si>
    <t>K133</t>
  </si>
  <si>
    <t>13K133</t>
  </si>
  <si>
    <t>P.S. 133 William A. Butler</t>
  </si>
  <si>
    <t>610 Baltic Street</t>
  </si>
  <si>
    <t>K430</t>
  </si>
  <si>
    <t>13K430</t>
  </si>
  <si>
    <t>Brooklyn Technical High School</t>
  </si>
  <si>
    <t>29 Ft Greene Place</t>
  </si>
  <si>
    <t>K458</t>
  </si>
  <si>
    <t>K371</t>
  </si>
  <si>
    <t>75K371</t>
  </si>
  <si>
    <t>P.S. 371 - Lillian L. Rashkis</t>
  </si>
  <si>
    <t>832 Marcy Avenue</t>
  </si>
  <si>
    <t>K553</t>
  </si>
  <si>
    <t>13K553</t>
  </si>
  <si>
    <t>Brooklyn Academy High School</t>
  </si>
  <si>
    <t>K580</t>
  </si>
  <si>
    <t>105 Tech Place</t>
  </si>
  <si>
    <t>K605</t>
  </si>
  <si>
    <t>13K605</t>
  </si>
  <si>
    <t>George Westinghouse Career and Technical Education High School</t>
  </si>
  <si>
    <t>K674</t>
  </si>
  <si>
    <t>13K674</t>
  </si>
  <si>
    <t>City Polytechnic High School of Engineering, Architecture, and Technology</t>
  </si>
  <si>
    <t>K915</t>
  </si>
  <si>
    <t>13K915</t>
  </si>
  <si>
    <t>Bridges: A School for Exploration and Equity</t>
  </si>
  <si>
    <t>K611</t>
  </si>
  <si>
    <t>13K313</t>
  </si>
  <si>
    <t>Dock Street School for STEAM Studies</t>
  </si>
  <si>
    <t>19 Dock Street</t>
  </si>
  <si>
    <t>K784</t>
  </si>
  <si>
    <t>K508</t>
  </si>
  <si>
    <t>84K508</t>
  </si>
  <si>
    <t>Achievement First Endeavor Charter School</t>
  </si>
  <si>
    <t>510 Waverly Avenue</t>
  </si>
  <si>
    <t>K805</t>
  </si>
  <si>
    <t>K350</t>
  </si>
  <si>
    <t>13K350</t>
  </si>
  <si>
    <t>Urban Assembly School of Music and Art</t>
  </si>
  <si>
    <t>49 Flatbush Avenue Extension</t>
  </si>
  <si>
    <t>K419</t>
  </si>
  <si>
    <t>13K419</t>
  </si>
  <si>
    <t>Science Skills Center High School for Science, Technology and the Creative Arts</t>
  </si>
  <si>
    <t>K439</t>
  </si>
  <si>
    <t>13K439</t>
  </si>
  <si>
    <t>Brooklyn International High School</t>
  </si>
  <si>
    <t>K914</t>
  </si>
  <si>
    <t>K670</t>
  </si>
  <si>
    <t>13K670</t>
  </si>
  <si>
    <t>Benjamin Banneker Academy</t>
  </si>
  <si>
    <t>71-77 Clinton Avenue</t>
  </si>
  <si>
    <t>K994</t>
  </si>
  <si>
    <t>K595</t>
  </si>
  <si>
    <t>13K595</t>
  </si>
  <si>
    <t>Bedford Academy High School</t>
  </si>
  <si>
    <t>1119 Bedford Avenue</t>
  </si>
  <si>
    <t>14</t>
  </si>
  <si>
    <t>K023</t>
  </si>
  <si>
    <t>14K023</t>
  </si>
  <si>
    <t>P.S. 023 Carter G. Woodson</t>
  </si>
  <si>
    <t>545 Willoughby Avenue</t>
  </si>
  <si>
    <t>K701</t>
  </si>
  <si>
    <t>84K701</t>
  </si>
  <si>
    <t>Brooklyn Charter School</t>
  </si>
  <si>
    <t>K033</t>
  </si>
  <si>
    <t>K367</t>
  </si>
  <si>
    <t>84K367</t>
  </si>
  <si>
    <t>Success Academy Charter School - Bed Stuy 1</t>
  </si>
  <si>
    <t>70 Tompkins Avenue</t>
  </si>
  <si>
    <t>K368</t>
  </si>
  <si>
    <t>75K368</t>
  </si>
  <si>
    <t>P.S. 368</t>
  </si>
  <si>
    <t>K071</t>
  </si>
  <si>
    <t>K037</t>
  </si>
  <si>
    <t>84K037</t>
  </si>
  <si>
    <t>Beginning with Children Charter School II</t>
  </si>
  <si>
    <t>215 Heyward Street</t>
  </si>
  <si>
    <t>14K071</t>
  </si>
  <si>
    <t>Juan Morel Campos Secondary School</t>
  </si>
  <si>
    <t>K141</t>
  </si>
  <si>
    <t>75K141</t>
  </si>
  <si>
    <t>P.S. K141</t>
  </si>
  <si>
    <t>K084</t>
  </si>
  <si>
    <t>14K084</t>
  </si>
  <si>
    <t>P.S. 084 Jose De Diego</t>
  </si>
  <si>
    <t>250 Berry Street</t>
  </si>
  <si>
    <t>K110</t>
  </si>
  <si>
    <t>14K110</t>
  </si>
  <si>
    <t>P.S. 110 The Monitor</t>
  </si>
  <si>
    <t>124 Monitor Street</t>
  </si>
  <si>
    <t>K120</t>
  </si>
  <si>
    <t>14K120</t>
  </si>
  <si>
    <t>P.S. 120 Carlos Tapia</t>
  </si>
  <si>
    <t>18 Beaver Street</t>
  </si>
  <si>
    <t>K126</t>
  </si>
  <si>
    <t>14K126</t>
  </si>
  <si>
    <t>John Ericsson Middle School 126</t>
  </si>
  <si>
    <t>424 Leonard Street</t>
  </si>
  <si>
    <t>K693</t>
  </si>
  <si>
    <t>84K693</t>
  </si>
  <si>
    <t>Northside Charter High School</t>
  </si>
  <si>
    <t>K132</t>
  </si>
  <si>
    <t>14K132</t>
  </si>
  <si>
    <t>P.S. 132 The Conselyea School</t>
  </si>
  <si>
    <t>320 Manhattan Avenue</t>
  </si>
  <si>
    <t>K257</t>
  </si>
  <si>
    <t>14K257</t>
  </si>
  <si>
    <t>P.S. 257 John F. Hylan</t>
  </si>
  <si>
    <t>60 Cook Street</t>
  </si>
  <si>
    <t>K318</t>
  </si>
  <si>
    <t>14K318</t>
  </si>
  <si>
    <t>I.S. 318 Eugenio Maria De Hostos</t>
  </si>
  <si>
    <t>101 Walton Street</t>
  </si>
  <si>
    <t>K319</t>
  </si>
  <si>
    <t>14K319</t>
  </si>
  <si>
    <t>P.S. 319</t>
  </si>
  <si>
    <t>360 Keap Street</t>
  </si>
  <si>
    <t>K380</t>
  </si>
  <si>
    <t>370 Marcy Avenue</t>
  </si>
  <si>
    <t>14K380</t>
  </si>
  <si>
    <t>P.S. 380 John Wayne Elementary</t>
  </si>
  <si>
    <t>K450</t>
  </si>
  <si>
    <t>K474</t>
  </si>
  <si>
    <t>14K474</t>
  </si>
  <si>
    <t>PROGRESS High School for Professional Careers</t>
  </si>
  <si>
    <t>850 Grand Street</t>
  </si>
  <si>
    <t>K477</t>
  </si>
  <si>
    <t>14K477</t>
  </si>
  <si>
    <t>East Williamsburg Scholars Academy</t>
  </si>
  <si>
    <t>K478</t>
  </si>
  <si>
    <t>14K478</t>
  </si>
  <si>
    <t>The High School for Enterprise, Business and Technology</t>
  </si>
  <si>
    <t>K610</t>
  </si>
  <si>
    <t>14K610</t>
  </si>
  <si>
    <t>A-Tech High School</t>
  </si>
  <si>
    <t>50 Bedford Avenue</t>
  </si>
  <si>
    <t>K650</t>
  </si>
  <si>
    <t>K488</t>
  </si>
  <si>
    <t>14K488</t>
  </si>
  <si>
    <t>Brooklyn Preparatory High School</t>
  </si>
  <si>
    <t>257 North  6 Street</t>
  </si>
  <si>
    <t>K558</t>
  </si>
  <si>
    <t>14K558</t>
  </si>
  <si>
    <t>Williamsburg High School for Architecture and Design</t>
  </si>
  <si>
    <t>K561</t>
  </si>
  <si>
    <t>14K561</t>
  </si>
  <si>
    <t>Williamsburg Preparatory School</t>
  </si>
  <si>
    <t>15</t>
  </si>
  <si>
    <t>K010</t>
  </si>
  <si>
    <t>15K010</t>
  </si>
  <si>
    <t>Magnet School of Math, Science and Design Technology</t>
  </si>
  <si>
    <t>511 7 Avenue</t>
  </si>
  <si>
    <t>K024</t>
  </si>
  <si>
    <t>15K024</t>
  </si>
  <si>
    <t>P.S. 024</t>
  </si>
  <si>
    <t>427 38 Street</t>
  </si>
  <si>
    <t>K032</t>
  </si>
  <si>
    <t>15K032</t>
  </si>
  <si>
    <t>P.S. 032 Samuel Mills Sprole</t>
  </si>
  <si>
    <t>317 Hoyt Street</t>
  </si>
  <si>
    <t>K051</t>
  </si>
  <si>
    <t>15K051</t>
  </si>
  <si>
    <t>M.S. 51 William Alexander</t>
  </si>
  <si>
    <t>288 4 Street</t>
  </si>
  <si>
    <t>K088</t>
  </si>
  <si>
    <t>K053</t>
  </si>
  <si>
    <t>75K053</t>
  </si>
  <si>
    <t>P.S. K053</t>
  </si>
  <si>
    <t>544 7Th Avenue</t>
  </si>
  <si>
    <t>15K088</t>
  </si>
  <si>
    <t>J.H.S. 088 Peter Rouget</t>
  </si>
  <si>
    <t>K130</t>
  </si>
  <si>
    <t>15K130</t>
  </si>
  <si>
    <t>P.S. 130 The Parkside</t>
  </si>
  <si>
    <t>70 Ocean Parkway</t>
  </si>
  <si>
    <t>K230</t>
  </si>
  <si>
    <t>15K230</t>
  </si>
  <si>
    <t>P.S. 230 Doris L. Cohen</t>
  </si>
  <si>
    <t>1 Albemarle Road</t>
  </si>
  <si>
    <t>K261</t>
  </si>
  <si>
    <t>15K261</t>
  </si>
  <si>
    <t>P.S. 261 Zipporiah Mills</t>
  </si>
  <si>
    <t>314 Pacific Street</t>
  </si>
  <si>
    <t>K280</t>
  </si>
  <si>
    <t>K442</t>
  </si>
  <si>
    <t>15K442</t>
  </si>
  <si>
    <t>M.S. 442 Carroll Gardens School for Innovation</t>
  </si>
  <si>
    <t>500 19 Street</t>
  </si>
  <si>
    <t>K293</t>
  </si>
  <si>
    <t>K129</t>
  </si>
  <si>
    <t>84K129</t>
  </si>
  <si>
    <t>Success Academy Charter School - Cobble Hill</t>
  </si>
  <si>
    <t>284 Baltic Street</t>
  </si>
  <si>
    <t>K429</t>
  </si>
  <si>
    <t>15K429</t>
  </si>
  <si>
    <t>Digital Arts and Cinema Technology High School</t>
  </si>
  <si>
    <t>K497</t>
  </si>
  <si>
    <t>15K497</t>
  </si>
  <si>
    <t>The Boerum Hill School for International Studies</t>
  </si>
  <si>
    <t>K321</t>
  </si>
  <si>
    <t>15K321</t>
  </si>
  <si>
    <t>P.S. 321 William Penn</t>
  </si>
  <si>
    <t>180 7 Avenue</t>
  </si>
  <si>
    <t>K338</t>
  </si>
  <si>
    <t>K889</t>
  </si>
  <si>
    <t>22K889</t>
  </si>
  <si>
    <t>P.S. 889</t>
  </si>
  <si>
    <t>21 Hinckley Place</t>
  </si>
  <si>
    <t>K890</t>
  </si>
  <si>
    <t>22K890</t>
  </si>
  <si>
    <t>M.S. 890</t>
  </si>
  <si>
    <t>K437</t>
  </si>
  <si>
    <t>713 Caton Avenue</t>
  </si>
  <si>
    <t>K839</t>
  </si>
  <si>
    <t>15K839</t>
  </si>
  <si>
    <t>M.S. 839</t>
  </si>
  <si>
    <t>K460</t>
  </si>
  <si>
    <t>K462</t>
  </si>
  <si>
    <t>15K462</t>
  </si>
  <si>
    <t>John Jay School for Law</t>
  </si>
  <si>
    <t>237 7 Avenue</t>
  </si>
  <si>
    <t>K463</t>
  </si>
  <si>
    <t>15K463</t>
  </si>
  <si>
    <t>Cyberarts Studio Academy</t>
  </si>
  <si>
    <t>K464</t>
  </si>
  <si>
    <t>15K464</t>
  </si>
  <si>
    <t>Park Slope Collegiate</t>
  </si>
  <si>
    <t>K684</t>
  </si>
  <si>
    <t>15K684</t>
  </si>
  <si>
    <t>Millennium Brooklyn HS</t>
  </si>
  <si>
    <t>K564</t>
  </si>
  <si>
    <t>153 35 Street</t>
  </si>
  <si>
    <t>K667</t>
  </si>
  <si>
    <t>15K667</t>
  </si>
  <si>
    <t>Sunset Park High School</t>
  </si>
  <si>
    <t>K655</t>
  </si>
  <si>
    <t>K447</t>
  </si>
  <si>
    <t>15K447</t>
  </si>
  <si>
    <t>The Math &amp; Science Exploratory School</t>
  </si>
  <si>
    <t>345 Dean Street</t>
  </si>
  <si>
    <t>K656</t>
  </si>
  <si>
    <t>15K656</t>
  </si>
  <si>
    <t>Brooklyn High School of the Arts</t>
  </si>
  <si>
    <t>K671</t>
  </si>
  <si>
    <t>K958</t>
  </si>
  <si>
    <t>15K958</t>
  </si>
  <si>
    <t>P.S. 958</t>
  </si>
  <si>
    <t>836-841 5Th Avenue</t>
  </si>
  <si>
    <t>K682</t>
  </si>
  <si>
    <t>K896</t>
  </si>
  <si>
    <t>15K896</t>
  </si>
  <si>
    <t>The School of Creativity and Innovation</t>
  </si>
  <si>
    <t>736 48Th Street</t>
  </si>
  <si>
    <t>K804</t>
  </si>
  <si>
    <t>K373</t>
  </si>
  <si>
    <t>75K373</t>
  </si>
  <si>
    <t>P.S. 373 - Brooklyn Transition Center</t>
  </si>
  <si>
    <t>347 Baltic Street</t>
  </si>
  <si>
    <t>K519</t>
  </si>
  <si>
    <t>15K519</t>
  </si>
  <si>
    <t>Cobble Hill School of American Studies</t>
  </si>
  <si>
    <t>K825</t>
  </si>
  <si>
    <t>K698</t>
  </si>
  <si>
    <t>15K698</t>
  </si>
  <si>
    <t>South Brooklyn Community High School</t>
  </si>
  <si>
    <t>173 Conover Street</t>
  </si>
  <si>
    <t>K917</t>
  </si>
  <si>
    <t>K555</t>
  </si>
  <si>
    <t>22K555</t>
  </si>
  <si>
    <t>Brooklyn College Academy</t>
  </si>
  <si>
    <t>350 Coney Island Avenue</t>
  </si>
  <si>
    <t>K990</t>
  </si>
  <si>
    <t>K651</t>
  </si>
  <si>
    <t>84K651</t>
  </si>
  <si>
    <t>PAVE Academy Charter School</t>
  </si>
  <si>
    <t>732 Henry Street</t>
  </si>
  <si>
    <t>16</t>
  </si>
  <si>
    <t>K026</t>
  </si>
  <si>
    <t>16K026</t>
  </si>
  <si>
    <t>P.S. 026 Jesse Owens</t>
  </si>
  <si>
    <t>1014 Lafayette Avenue</t>
  </si>
  <si>
    <t>K681</t>
  </si>
  <si>
    <t>16K681</t>
  </si>
  <si>
    <t>Madiba Prep Middle School</t>
  </si>
  <si>
    <t>K035</t>
  </si>
  <si>
    <t>16K035</t>
  </si>
  <si>
    <t>M.S. 035 Stephen Decatur</t>
  </si>
  <si>
    <t>272 Macdonough Street</t>
  </si>
  <si>
    <t>K628</t>
  </si>
  <si>
    <t>16K628</t>
  </si>
  <si>
    <t>Brooklyn Brownstone School</t>
  </si>
  <si>
    <t>K081</t>
  </si>
  <si>
    <t>K004</t>
  </si>
  <si>
    <t>75K004</t>
  </si>
  <si>
    <t>P.S. K004</t>
  </si>
  <si>
    <t>990 Dekalb Avenue</t>
  </si>
  <si>
    <t>16K081</t>
  </si>
  <si>
    <t>P.S. 081 Thaddeus Stevens</t>
  </si>
  <si>
    <t>K308</t>
  </si>
  <si>
    <t>16K308</t>
  </si>
  <si>
    <t>P.S. 308 Clara Cardwell</t>
  </si>
  <si>
    <t>616 Quincy Street</t>
  </si>
  <si>
    <t>K406</t>
  </si>
  <si>
    <t>84K406</t>
  </si>
  <si>
    <t>EMBER Charter School for Mindful Education, Innovation and Transformation</t>
  </si>
  <si>
    <t>K324</t>
  </si>
  <si>
    <t>K267</t>
  </si>
  <si>
    <t>16K267</t>
  </si>
  <si>
    <t>M.S. 267 Math, Science &amp; Technology</t>
  </si>
  <si>
    <t>800 Gates Avenue</t>
  </si>
  <si>
    <t>K648</t>
  </si>
  <si>
    <t>84K648</t>
  </si>
  <si>
    <t>Bedford Stuyvesant Collegiate Charter School</t>
  </si>
  <si>
    <t>K649</t>
  </si>
  <si>
    <t>84K649</t>
  </si>
  <si>
    <t>La Cima Charter School</t>
  </si>
  <si>
    <t>K335</t>
  </si>
  <si>
    <t>16K335</t>
  </si>
  <si>
    <t>P.S. 335 Granville T. Woods</t>
  </si>
  <si>
    <t>130 Rochester Avenue</t>
  </si>
  <si>
    <t>K898</t>
  </si>
  <si>
    <t>16K898</t>
  </si>
  <si>
    <t>The Brooklyn Green School</t>
  </si>
  <si>
    <t>K455</t>
  </si>
  <si>
    <t>16K455</t>
  </si>
  <si>
    <t>Boys and Girls High School</t>
  </si>
  <si>
    <t>1700 Fulton Street</t>
  </si>
  <si>
    <t>K669</t>
  </si>
  <si>
    <t>16K669</t>
  </si>
  <si>
    <t>Research and Service High School</t>
  </si>
  <si>
    <t>K765</t>
  </si>
  <si>
    <t>16K765</t>
  </si>
  <si>
    <t>Nelson Mandela High School</t>
  </si>
  <si>
    <t>K783</t>
  </si>
  <si>
    <t>K593</t>
  </si>
  <si>
    <t>84K593</t>
  </si>
  <si>
    <t>Excellence Boys Charter School of Bedford Stuyvesant</t>
  </si>
  <si>
    <t>225 Patchen Avenue</t>
  </si>
  <si>
    <t>K987</t>
  </si>
  <si>
    <t>K498</t>
  </si>
  <si>
    <t>16K498</t>
  </si>
  <si>
    <t>Brooklyn High School for Law and Technology</t>
  </si>
  <si>
    <t>1396 Broadway</t>
  </si>
  <si>
    <t>17</t>
  </si>
  <si>
    <t>K002</t>
  </si>
  <si>
    <t>17K002</t>
  </si>
  <si>
    <t>Parkside Preparatory Academy</t>
  </si>
  <si>
    <t>655 Parkside Avenue</t>
  </si>
  <si>
    <t>K704</t>
  </si>
  <si>
    <t>84K704</t>
  </si>
  <si>
    <t>Explore Charter School</t>
  </si>
  <si>
    <t>K006</t>
  </si>
  <si>
    <t>17K006</t>
  </si>
  <si>
    <t>Norma Adams Clemons Academy</t>
  </si>
  <si>
    <t>43 Snyder Avenue</t>
  </si>
  <si>
    <t>K022</t>
  </si>
  <si>
    <t>K333</t>
  </si>
  <si>
    <t>84K333</t>
  </si>
  <si>
    <t>Explore Exceed Charter School</t>
  </si>
  <si>
    <t>443 St Marks Avenue</t>
  </si>
  <si>
    <t>K705</t>
  </si>
  <si>
    <t>17K705</t>
  </si>
  <si>
    <t>Brooklyn Arts and Science Elementary School</t>
  </si>
  <si>
    <t>K092</t>
  </si>
  <si>
    <t>17K092</t>
  </si>
  <si>
    <t>P.S. 092 Adrian Hegeman</t>
  </si>
  <si>
    <t>601 Parkside Avenue</t>
  </si>
  <si>
    <t>K876</t>
  </si>
  <si>
    <t>84K876</t>
  </si>
  <si>
    <t>Achievement First Voyager Charter School</t>
  </si>
  <si>
    <t>K138</t>
  </si>
  <si>
    <t>17K138</t>
  </si>
  <si>
    <t>P.S. 138 Brooklyn</t>
  </si>
  <si>
    <t>760 Prospect Place</t>
  </si>
  <si>
    <t>K756</t>
  </si>
  <si>
    <t>84K756</t>
  </si>
  <si>
    <t>Success Academy Charter School - Prospect Heights</t>
  </si>
  <si>
    <t>K181</t>
  </si>
  <si>
    <t>17K181</t>
  </si>
  <si>
    <t>P.S. 181 Brooklyn</t>
  </si>
  <si>
    <t>1023 New York Avenue</t>
  </si>
  <si>
    <t>K396</t>
  </si>
  <si>
    <t>75K396</t>
  </si>
  <si>
    <t>Sid Miller Academy</t>
  </si>
  <si>
    <t>K246</t>
  </si>
  <si>
    <t>17K246</t>
  </si>
  <si>
    <t>M.S. 246 Walt Whitman</t>
  </si>
  <si>
    <t>72 Veronica Place</t>
  </si>
  <si>
    <t>K741</t>
  </si>
  <si>
    <t>84K741</t>
  </si>
  <si>
    <t>Success Academy Charter School - Crown Heights</t>
  </si>
  <si>
    <t>K249</t>
  </si>
  <si>
    <t>17K249</t>
  </si>
  <si>
    <t>P.S. 249 The Caton</t>
  </si>
  <si>
    <t>18 Marlborough Road</t>
  </si>
  <si>
    <t>K289</t>
  </si>
  <si>
    <t>17K289</t>
  </si>
  <si>
    <t>P.S. 289 George V. Brower</t>
  </si>
  <si>
    <t>900 St Marks Avenue</t>
  </si>
  <si>
    <t>K391</t>
  </si>
  <si>
    <t>K356</t>
  </si>
  <si>
    <t>84K356</t>
  </si>
  <si>
    <t>Achievement First Crown Heights Charter School</t>
  </si>
  <si>
    <t>790 East New York Avenue</t>
  </si>
  <si>
    <t>K722</t>
  </si>
  <si>
    <t>17K722</t>
  </si>
  <si>
    <t>New Heights Middle School</t>
  </si>
  <si>
    <t>K397</t>
  </si>
  <si>
    <t>17K397</t>
  </si>
  <si>
    <t>P.S. 397 Foster-Laurie</t>
  </si>
  <si>
    <t>490 Fenimore Street</t>
  </si>
  <si>
    <t>K398</t>
  </si>
  <si>
    <t>17K398</t>
  </si>
  <si>
    <t>P.S. 398 Walter Weaver</t>
  </si>
  <si>
    <t>60 East  94 Street</t>
  </si>
  <si>
    <t>K770</t>
  </si>
  <si>
    <t>17K770</t>
  </si>
  <si>
    <t>P.S. 770 New American Academy</t>
  </si>
  <si>
    <t>K399</t>
  </si>
  <si>
    <t>17K399</t>
  </si>
  <si>
    <t>P.S. 399 Stanley Eugene Clark</t>
  </si>
  <si>
    <t>2707 Albemarle Road</t>
  </si>
  <si>
    <t>K440</t>
  </si>
  <si>
    <t>K524</t>
  </si>
  <si>
    <t>17K524</t>
  </si>
  <si>
    <t>International High School at Prospect Heights</t>
  </si>
  <si>
    <t>883 Classon Avenue</t>
  </si>
  <si>
    <t>K528</t>
  </si>
  <si>
    <t>17K528</t>
  </si>
  <si>
    <t>The High School for Global Citizenship</t>
  </si>
  <si>
    <t>K547</t>
  </si>
  <si>
    <t>17K547</t>
  </si>
  <si>
    <t>Brooklyn Academy of Science and the Environment</t>
  </si>
  <si>
    <t>K548</t>
  </si>
  <si>
    <t>17K548</t>
  </si>
  <si>
    <t>Brooklyn School for Music &amp; Theatre</t>
  </si>
  <si>
    <t>K465</t>
  </si>
  <si>
    <t>K382</t>
  </si>
  <si>
    <t>17K382</t>
  </si>
  <si>
    <t>Academy for College Preparation and Career Exploration: A College Board School</t>
  </si>
  <si>
    <t>911 Flatbush Avenue</t>
  </si>
  <si>
    <t>K408</t>
  </si>
  <si>
    <t>17K408</t>
  </si>
  <si>
    <t>Academy of Hospitality and Tourism</t>
  </si>
  <si>
    <t>K537</t>
  </si>
  <si>
    <t>17K537</t>
  </si>
  <si>
    <t>High School for Youth and Community Development at Erasmus</t>
  </si>
  <si>
    <t>K539</t>
  </si>
  <si>
    <t>17K539</t>
  </si>
  <si>
    <t>High School for Service &amp; Learning at Erasmus</t>
  </si>
  <si>
    <t>K543</t>
  </si>
  <si>
    <t>17K543</t>
  </si>
  <si>
    <t>Science, Technology and Research Early College High School at Erasmus</t>
  </si>
  <si>
    <t>K590</t>
  </si>
  <si>
    <t>17K590</t>
  </si>
  <si>
    <t>Medgar Evers College Preparatory School</t>
  </si>
  <si>
    <t>1186 Carroll Street</t>
  </si>
  <si>
    <t>K600</t>
  </si>
  <si>
    <t>17K600</t>
  </si>
  <si>
    <t>Clara Barton High School</t>
  </si>
  <si>
    <t>901 Classon Avenue</t>
  </si>
  <si>
    <t>K753</t>
  </si>
  <si>
    <t>75K753</t>
  </si>
  <si>
    <t>P.S. K753 - School for Career Development</t>
  </si>
  <si>
    <t>K625</t>
  </si>
  <si>
    <t>K122</t>
  </si>
  <si>
    <t>17K122</t>
  </si>
  <si>
    <t>Pathways in Technology Early College High School (P-Tech)</t>
  </si>
  <si>
    <t>150 Albany Avenue</t>
  </si>
  <si>
    <t>K751</t>
  </si>
  <si>
    <t>17K751</t>
  </si>
  <si>
    <t>Academy for Health Careers</t>
  </si>
  <si>
    <t>K824</t>
  </si>
  <si>
    <t>K646</t>
  </si>
  <si>
    <t>17K646</t>
  </si>
  <si>
    <t>Aspirations Diploma Plus High School</t>
  </si>
  <si>
    <t>402 Eastern Parkway</t>
  </si>
  <si>
    <t>K907</t>
  </si>
  <si>
    <t>K395</t>
  </si>
  <si>
    <t>84K395</t>
  </si>
  <si>
    <t>New Visions AIM Charter High School I</t>
  </si>
  <si>
    <t>1150 East New York Avenue</t>
  </si>
  <si>
    <t>K568</t>
  </si>
  <si>
    <t>17K568</t>
  </si>
  <si>
    <t>Brownsville Academy High School</t>
  </si>
  <si>
    <t>K909</t>
  </si>
  <si>
    <t>561 Grand Avenue</t>
  </si>
  <si>
    <t>K594</t>
  </si>
  <si>
    <t>13K594</t>
  </si>
  <si>
    <t>Gotham Professional Arts Academy</t>
  </si>
  <si>
    <t>18</t>
  </si>
  <si>
    <t>K066</t>
  </si>
  <si>
    <t>18K066</t>
  </si>
  <si>
    <t>P.S. 66</t>
  </si>
  <si>
    <t>845 East  96 Street</t>
  </si>
  <si>
    <t>K771</t>
  </si>
  <si>
    <t>75K771</t>
  </si>
  <si>
    <t>P.S. K771</t>
  </si>
  <si>
    <t>K114</t>
  </si>
  <si>
    <t>18K114</t>
  </si>
  <si>
    <t>P.S. 114 Ryder Elementary</t>
  </si>
  <si>
    <t>1077 Remsen Avenue</t>
  </si>
  <si>
    <t>K379</t>
  </si>
  <si>
    <t>84K379</t>
  </si>
  <si>
    <t>Explore Excel Charter School</t>
  </si>
  <si>
    <t>K115</t>
  </si>
  <si>
    <t>18K115</t>
  </si>
  <si>
    <t>P.S. 115 Daniel Mucatel School</t>
  </si>
  <si>
    <t>1500 East  92 Street</t>
  </si>
  <si>
    <t>K211</t>
  </si>
  <si>
    <t>18K211</t>
  </si>
  <si>
    <t>I.S. 211 John Wilson</t>
  </si>
  <si>
    <t>1001 East 100 Street</t>
  </si>
  <si>
    <t>K724</t>
  </si>
  <si>
    <t>84K724</t>
  </si>
  <si>
    <t>Leadership Preparatory Canarsie Charter School</t>
  </si>
  <si>
    <t>K233</t>
  </si>
  <si>
    <t>18K233</t>
  </si>
  <si>
    <t>P.S. 233 Langston Hughes</t>
  </si>
  <si>
    <t>9301 Avenue B</t>
  </si>
  <si>
    <t>K736</t>
  </si>
  <si>
    <t>84K736</t>
  </si>
  <si>
    <t>New American Academy Charter School</t>
  </si>
  <si>
    <t>K235</t>
  </si>
  <si>
    <t>18K235</t>
  </si>
  <si>
    <t>P.S. 235 Janice Marie Knight School</t>
  </si>
  <si>
    <t>525 Lenox Road</t>
  </si>
  <si>
    <t>K244</t>
  </si>
  <si>
    <t>18K244</t>
  </si>
  <si>
    <t>P.S. 244 Richard R. Green</t>
  </si>
  <si>
    <t>5404 Tilden Avenue</t>
  </si>
  <si>
    <t>K763</t>
  </si>
  <si>
    <t>18K763</t>
  </si>
  <si>
    <t>Brooklyn Science and Engineering Academy</t>
  </si>
  <si>
    <t>K252</t>
  </si>
  <si>
    <t>K588</t>
  </si>
  <si>
    <t>18K588</t>
  </si>
  <si>
    <t>Middle School for Art and Philosophy</t>
  </si>
  <si>
    <t>1084 Lenox Road</t>
  </si>
  <si>
    <t>K608</t>
  </si>
  <si>
    <t>84K608</t>
  </si>
  <si>
    <t>Kings Collegiate Charter School</t>
  </si>
  <si>
    <t>K780</t>
  </si>
  <si>
    <t>84K780</t>
  </si>
  <si>
    <t>Brooklyn East Collegiate Charter School</t>
  </si>
  <si>
    <t>K279</t>
  </si>
  <si>
    <t>18K279</t>
  </si>
  <si>
    <t>P.S. 279 Herman Schreiber</t>
  </si>
  <si>
    <t>1070 East 104 Street</t>
  </si>
  <si>
    <t>K366</t>
  </si>
  <si>
    <t>18K366</t>
  </si>
  <si>
    <t xml:space="preserve">The Science And Medicine Middle School </t>
  </si>
  <si>
    <t>965 East 107Th Street</t>
  </si>
  <si>
    <t>K415</t>
  </si>
  <si>
    <t>K563</t>
  </si>
  <si>
    <t>18K563</t>
  </si>
  <si>
    <t>It Takes a Village Academy</t>
  </si>
  <si>
    <t>5800 Tilden Avenue</t>
  </si>
  <si>
    <t>K569</t>
  </si>
  <si>
    <t>18K569</t>
  </si>
  <si>
    <t>Kurt Hahn Expeditionary Learning School</t>
  </si>
  <si>
    <t>K629</t>
  </si>
  <si>
    <t>18K629</t>
  </si>
  <si>
    <t>Cultural Academy for the Arts and Sciences</t>
  </si>
  <si>
    <t>K515</t>
  </si>
  <si>
    <t>K566</t>
  </si>
  <si>
    <t>18K566</t>
  </si>
  <si>
    <t>Brooklyn Community High School for Excellence and Equity</t>
  </si>
  <si>
    <t>6565 Flatlands Avenue</t>
  </si>
  <si>
    <t>K567</t>
  </si>
  <si>
    <t>18K567</t>
  </si>
  <si>
    <t>Brooklyn Theatre Arts High School</t>
  </si>
  <si>
    <t>K576</t>
  </si>
  <si>
    <t>18K576</t>
  </si>
  <si>
    <t>Victory Collegiate High School</t>
  </si>
  <si>
    <t>K578</t>
  </si>
  <si>
    <t>18K578</t>
  </si>
  <si>
    <t>Brooklyn Bridge Academy</t>
  </si>
  <si>
    <t>K637</t>
  </si>
  <si>
    <t>18K637</t>
  </si>
  <si>
    <t>Academy for Conservation and the Environment</t>
  </si>
  <si>
    <t>K775</t>
  </si>
  <si>
    <t>84K775</t>
  </si>
  <si>
    <t>Leadership Preparatory Ocean Hill Charter School</t>
  </si>
  <si>
    <t>19</t>
  </si>
  <si>
    <t>K007</t>
  </si>
  <si>
    <t>858 Jamaica Avenue</t>
  </si>
  <si>
    <t>19K007</t>
  </si>
  <si>
    <t>P.S. 007 Abraham Lincoln</t>
  </si>
  <si>
    <t>K013</t>
  </si>
  <si>
    <t>19K013</t>
  </si>
  <si>
    <t>P.S. 013 Roberto Clemente</t>
  </si>
  <si>
    <t>557 Pennsylvania Avenue</t>
  </si>
  <si>
    <t>K358</t>
  </si>
  <si>
    <t>84K358</t>
  </si>
  <si>
    <t>Achievement First East New York Charter School</t>
  </si>
  <si>
    <t>K072</t>
  </si>
  <si>
    <t>605 Shepherd Avenue</t>
  </si>
  <si>
    <t>K677</t>
  </si>
  <si>
    <t>19K677</t>
  </si>
  <si>
    <t>East New York Elementary School of Excellence</t>
  </si>
  <si>
    <t>K678</t>
  </si>
  <si>
    <t>19K678</t>
  </si>
  <si>
    <t>East New York Middle School of Excellence</t>
  </si>
  <si>
    <t>K166</t>
  </si>
  <si>
    <t>K654</t>
  </si>
  <si>
    <t>19K654</t>
  </si>
  <si>
    <t>Van Siclen Community Middle School</t>
  </si>
  <si>
    <t>800 Van Siclen Ave</t>
  </si>
  <si>
    <t>K788</t>
  </si>
  <si>
    <t>84K788</t>
  </si>
  <si>
    <t>Achievement First Linden Charter School</t>
  </si>
  <si>
    <t>K953</t>
  </si>
  <si>
    <t>19K953</t>
  </si>
  <si>
    <t>The East New York Arts and Civics High School</t>
  </si>
  <si>
    <t>K190</t>
  </si>
  <si>
    <t>19K190</t>
  </si>
  <si>
    <t>P.S. 190 Sheffield</t>
  </si>
  <si>
    <t>590 Sheffield Avenue</t>
  </si>
  <si>
    <t>19K907</t>
  </si>
  <si>
    <t>Legacy School of the Arts</t>
  </si>
  <si>
    <t>K224</t>
  </si>
  <si>
    <t>K036</t>
  </si>
  <si>
    <t>75K036</t>
  </si>
  <si>
    <t>P.S. 36</t>
  </si>
  <si>
    <t>757 Wortman Avenue</t>
  </si>
  <si>
    <t>19K224</t>
  </si>
  <si>
    <t>P.S. 224 Hale A. Woodruff</t>
  </si>
  <si>
    <t>K290</t>
  </si>
  <si>
    <t>19K290</t>
  </si>
  <si>
    <t>P.S. 290 Juan Morel Campos</t>
  </si>
  <si>
    <t>135 Schenck Avenue</t>
  </si>
  <si>
    <t>K302</t>
  </si>
  <si>
    <t>K661</t>
  </si>
  <si>
    <t>19K661</t>
  </si>
  <si>
    <t>Vista Academy</t>
  </si>
  <si>
    <t>350 Linwood Street</t>
  </si>
  <si>
    <t>K662</t>
  </si>
  <si>
    <t>19K662</t>
  </si>
  <si>
    <t>Liberty Avenue Middle School</t>
  </si>
  <si>
    <t>K774</t>
  </si>
  <si>
    <t>84K774</t>
  </si>
  <si>
    <t>Achievement First Apollo Charter School</t>
  </si>
  <si>
    <t>K346</t>
  </si>
  <si>
    <t>19K346</t>
  </si>
  <si>
    <t>P.S. 346 Abe Stark</t>
  </si>
  <si>
    <t>1400 Pennsylvania Avenue</t>
  </si>
  <si>
    <t>K452</t>
  </si>
  <si>
    <t>19K452</t>
  </si>
  <si>
    <t>Frederick Douglass Academy VIII Middle School</t>
  </si>
  <si>
    <t>K420</t>
  </si>
  <si>
    <t>K583</t>
  </si>
  <si>
    <t>19K583</t>
  </si>
  <si>
    <t>Multicultural High School</t>
  </si>
  <si>
    <t>999 Jamaica Avenue</t>
  </si>
  <si>
    <t>K618</t>
  </si>
  <si>
    <t>19K618</t>
  </si>
  <si>
    <t>Academy of Innovative Technology</t>
  </si>
  <si>
    <t>K639</t>
  </si>
  <si>
    <t>19K639</t>
  </si>
  <si>
    <t>Brooklyn Lab School</t>
  </si>
  <si>
    <t>K659</t>
  </si>
  <si>
    <t>19K659</t>
  </si>
  <si>
    <t>Cypress Hills Collegiate Preparatory School</t>
  </si>
  <si>
    <t>K764</t>
  </si>
  <si>
    <t>19K764</t>
  </si>
  <si>
    <t>The Urban Assembly School for Collaborative Healthcare</t>
  </si>
  <si>
    <t>K422</t>
  </si>
  <si>
    <t>1065 Elton Street</t>
  </si>
  <si>
    <t>K404</t>
  </si>
  <si>
    <t>19K404</t>
  </si>
  <si>
    <t>Academy for Young Writers</t>
  </si>
  <si>
    <t>19K422</t>
  </si>
  <si>
    <t>Spring Creek Community School</t>
  </si>
  <si>
    <t>K599</t>
  </si>
  <si>
    <t>K077</t>
  </si>
  <si>
    <t>75K077</t>
  </si>
  <si>
    <t>P.S. K077</t>
  </si>
  <si>
    <t>760 Van Siclen Avenue</t>
  </si>
  <si>
    <t>K409</t>
  </si>
  <si>
    <t>19K409</t>
  </si>
  <si>
    <t>East New York Family Academy</t>
  </si>
  <si>
    <t>K615</t>
  </si>
  <si>
    <t>19K615</t>
  </si>
  <si>
    <t>Transit Tech Career and Technical Education High School</t>
  </si>
  <si>
    <t>1 Wells Street</t>
  </si>
  <si>
    <t>K660</t>
  </si>
  <si>
    <t>19K660</t>
  </si>
  <si>
    <t>W. H. Maxwell Career and Technical Education High School</t>
  </si>
  <si>
    <t>145 Pennsylvania Avenue</t>
  </si>
  <si>
    <t>76 Dinsmore Place</t>
  </si>
  <si>
    <t>K935</t>
  </si>
  <si>
    <t>19K935</t>
  </si>
  <si>
    <t>M.S. 935</t>
  </si>
  <si>
    <t>K938</t>
  </si>
  <si>
    <t>19K938</t>
  </si>
  <si>
    <t>P.S. 938</t>
  </si>
  <si>
    <t>K798</t>
  </si>
  <si>
    <t>696 Jamaica Avenue</t>
  </si>
  <si>
    <t>K065</t>
  </si>
  <si>
    <t>19K065</t>
  </si>
  <si>
    <t>P.S. 065</t>
  </si>
  <si>
    <t>K814</t>
  </si>
  <si>
    <t>K089</t>
  </si>
  <si>
    <t>19K089</t>
  </si>
  <si>
    <t>P.S. 089 Cypress Hills</t>
  </si>
  <si>
    <t>265 Warwick Street</t>
  </si>
  <si>
    <t>K857</t>
  </si>
  <si>
    <t>2045 Linden Boulevard</t>
  </si>
  <si>
    <t>20</t>
  </si>
  <si>
    <t>K062</t>
  </si>
  <si>
    <t>20K062</t>
  </si>
  <si>
    <t>J.H.S. 062 Ditmas</t>
  </si>
  <si>
    <t>700 Cortelyou Road</t>
  </si>
  <si>
    <t>K069</t>
  </si>
  <si>
    <t>20K069</t>
  </si>
  <si>
    <t>P.S. 69 Vincent D. Grippo School</t>
  </si>
  <si>
    <t>6302 9Th Avenue</t>
  </si>
  <si>
    <t>K127</t>
  </si>
  <si>
    <t>20K127</t>
  </si>
  <si>
    <t>P.S. 127 Mckinley Park</t>
  </si>
  <si>
    <t>7805 7 Avenue</t>
  </si>
  <si>
    <t>K160</t>
  </si>
  <si>
    <t>20K160</t>
  </si>
  <si>
    <t>P.S. 160 William T. Sampson</t>
  </si>
  <si>
    <t>5105 Fort Hamilton Parkway</t>
  </si>
  <si>
    <t>K170</t>
  </si>
  <si>
    <t>20K170</t>
  </si>
  <si>
    <t>Ralph A. Fabrizio School</t>
  </si>
  <si>
    <t>619 72 Street</t>
  </si>
  <si>
    <t>K176</t>
  </si>
  <si>
    <t>20K176</t>
  </si>
  <si>
    <t>P.S. 176 Ovington</t>
  </si>
  <si>
    <t>1225 69 Street</t>
  </si>
  <si>
    <t>K201</t>
  </si>
  <si>
    <t>20K201</t>
  </si>
  <si>
    <t>The Madeleine Brennan School</t>
  </si>
  <si>
    <t>8010 12 Avenue</t>
  </si>
  <si>
    <t>K204</t>
  </si>
  <si>
    <t>20K204</t>
  </si>
  <si>
    <t>P.S. 204 Vince Lombardi</t>
  </si>
  <si>
    <t>8101 15 Avenue</t>
  </si>
  <si>
    <t>K205</t>
  </si>
  <si>
    <t>20K205</t>
  </si>
  <si>
    <t>P.S. 205 Clarion</t>
  </si>
  <si>
    <t>6701 20 Avenue</t>
  </si>
  <si>
    <t>K223</t>
  </si>
  <si>
    <t>20K223</t>
  </si>
  <si>
    <t>J.H.S. 223 The Montauk</t>
  </si>
  <si>
    <t>4200 16 Avenue</t>
  </si>
  <si>
    <t>K609</t>
  </si>
  <si>
    <t>20K609</t>
  </si>
  <si>
    <t>Urban Assembly School for Leadership and Empowerment</t>
  </si>
  <si>
    <t>K227</t>
  </si>
  <si>
    <t>20K227</t>
  </si>
  <si>
    <t>J.H.S. 227 Edward B. Shallow</t>
  </si>
  <si>
    <t>6500 16 Avenue</t>
  </si>
  <si>
    <t>K229</t>
  </si>
  <si>
    <t>20K229</t>
  </si>
  <si>
    <t>P.S. 229 Dyker</t>
  </si>
  <si>
    <t>1400 Benson Avenue</t>
  </si>
  <si>
    <t>K259</t>
  </si>
  <si>
    <t>20K259</t>
  </si>
  <si>
    <t>J.H.S. 259 William McKinley</t>
  </si>
  <si>
    <t>7305 Ft Hamilton Parkway</t>
  </si>
  <si>
    <t>K264</t>
  </si>
  <si>
    <t>K231</t>
  </si>
  <si>
    <t>75K231</t>
  </si>
  <si>
    <t>P.S. K231</t>
  </si>
  <si>
    <t>371 89Th Street</t>
  </si>
  <si>
    <t>20K264</t>
  </si>
  <si>
    <t>P.S. 264 Bay Ridge Elementary School For The Arts</t>
  </si>
  <si>
    <t>K310</t>
  </si>
  <si>
    <t>20K310</t>
  </si>
  <si>
    <t>The School For Future Leaders</t>
  </si>
  <si>
    <t>942 62 Street</t>
  </si>
  <si>
    <t>K314</t>
  </si>
  <si>
    <t>K503</t>
  </si>
  <si>
    <t>20K503</t>
  </si>
  <si>
    <t>P.S. 503: The School of Discovery</t>
  </si>
  <si>
    <t>330 59 Street</t>
  </si>
  <si>
    <t>K506</t>
  </si>
  <si>
    <t>20K506</t>
  </si>
  <si>
    <t>P.S. 506: The School of Journalism &amp; Technology</t>
  </si>
  <si>
    <t>K331</t>
  </si>
  <si>
    <t>K030</t>
  </si>
  <si>
    <t>20K030</t>
  </si>
  <si>
    <t>P.S./I.S. 30 Mary White Ovington</t>
  </si>
  <si>
    <t>7002 4Th Avenue</t>
  </si>
  <si>
    <t>K445</t>
  </si>
  <si>
    <t>K370</t>
  </si>
  <si>
    <t>75K370</t>
  </si>
  <si>
    <t>P.S. 370</t>
  </si>
  <si>
    <t>1601 80 Street</t>
  </si>
  <si>
    <t>20K445</t>
  </si>
  <si>
    <t>New Utrecht High School</t>
  </si>
  <si>
    <t>K485</t>
  </si>
  <si>
    <t>350 67 Street</t>
  </si>
  <si>
    <t>20K485</t>
  </si>
  <si>
    <t>High School of Telecommunication Arts and Technology</t>
  </si>
  <si>
    <t>K490</t>
  </si>
  <si>
    <t>20K490</t>
  </si>
  <si>
    <t>Fort Hamilton High School</t>
  </si>
  <si>
    <t>8301 Shore Road</t>
  </si>
  <si>
    <t>K746</t>
  </si>
  <si>
    <t>K936</t>
  </si>
  <si>
    <t>20K936</t>
  </si>
  <si>
    <t>MS 936 Arts Off 3rd</t>
  </si>
  <si>
    <t>270 59Th Street</t>
  </si>
  <si>
    <t>K939</t>
  </si>
  <si>
    <t>20K939</t>
  </si>
  <si>
    <t>Sunset School of Cultural Learning</t>
  </si>
  <si>
    <t>K807</t>
  </si>
  <si>
    <t>K163</t>
  </si>
  <si>
    <t>20K163</t>
  </si>
  <si>
    <t>P.S. 163 Bath Beach</t>
  </si>
  <si>
    <t>109 Bay 14Th Street</t>
  </si>
  <si>
    <t>K971</t>
  </si>
  <si>
    <t>20K971</t>
  </si>
  <si>
    <t>School of Math, Science, and Healthy Living</t>
  </si>
  <si>
    <t>6214 4Th Avenue</t>
  </si>
  <si>
    <t>21</t>
  </si>
  <si>
    <t>K090</t>
  </si>
  <si>
    <t>21K090</t>
  </si>
  <si>
    <t>P.S. 90 Edna Cohen School</t>
  </si>
  <si>
    <t>2840 West  12 Street</t>
  </si>
  <si>
    <t>K096</t>
  </si>
  <si>
    <t>21K096</t>
  </si>
  <si>
    <t>I.S. 096 Seth Low</t>
  </si>
  <si>
    <t>99 Avenue P</t>
  </si>
  <si>
    <t>K772</t>
  </si>
  <si>
    <t>84K772</t>
  </si>
  <si>
    <t>Success Academy Charter School - Bensonhurst</t>
  </si>
  <si>
    <t>K097</t>
  </si>
  <si>
    <t>21K097</t>
  </si>
  <si>
    <t>P.S. 97 The Highlawn</t>
  </si>
  <si>
    <t>1846 West 13 Street</t>
  </si>
  <si>
    <t>K101</t>
  </si>
  <si>
    <t>21K101</t>
  </si>
  <si>
    <t>P.S. 101 The Verrazano</t>
  </si>
  <si>
    <t>8696 24 Avenue</t>
  </si>
  <si>
    <t>K188</t>
  </si>
  <si>
    <t>21K188</t>
  </si>
  <si>
    <t>P.S. 188 Michael E. Berdy</t>
  </si>
  <si>
    <t>3314 Neptune Avenue</t>
  </si>
  <si>
    <t>K215</t>
  </si>
  <si>
    <t>21K215</t>
  </si>
  <si>
    <t>P.S. 215 Morris H. Weiss</t>
  </si>
  <si>
    <t>415 Avenue S</t>
  </si>
  <si>
    <t>K225</t>
  </si>
  <si>
    <t>21K225</t>
  </si>
  <si>
    <t>P.S. K225 - The Eileen E. Zaglin</t>
  </si>
  <si>
    <t>1075 Ocean View Avenue</t>
  </si>
  <si>
    <t>K226</t>
  </si>
  <si>
    <t>21K226</t>
  </si>
  <si>
    <t>P.S. 226 Alfred De B. Mason</t>
  </si>
  <si>
    <t>6006 23 Avenue</t>
  </si>
  <si>
    <t>K228</t>
  </si>
  <si>
    <t>21K228</t>
  </si>
  <si>
    <t>I.S. 228 David A. Boody</t>
  </si>
  <si>
    <t>228 Avenue S</t>
  </si>
  <si>
    <t>K237</t>
  </si>
  <si>
    <t>50 Avenue P</t>
  </si>
  <si>
    <t>20K682</t>
  </si>
  <si>
    <t>The Academy of Talented Scholars</t>
  </si>
  <si>
    <t>K686</t>
  </si>
  <si>
    <t>20K686</t>
  </si>
  <si>
    <t>Brooklyn School of Inquiry</t>
  </si>
  <si>
    <t>K238</t>
  </si>
  <si>
    <t>1633 East  8 Street</t>
  </si>
  <si>
    <t>21K238</t>
  </si>
  <si>
    <t>P.S. 238 Anne Sullivan</t>
  </si>
  <si>
    <t>K281</t>
  </si>
  <si>
    <t>21K281</t>
  </si>
  <si>
    <t>I.S. 281 Joseph B Cavallaro</t>
  </si>
  <si>
    <t>8787 24 Avenue</t>
  </si>
  <si>
    <t>K744</t>
  </si>
  <si>
    <t>84K744</t>
  </si>
  <si>
    <t>Coney Island Preparatory Public Charter School</t>
  </si>
  <si>
    <t>K811</t>
  </si>
  <si>
    <t>75K811</t>
  </si>
  <si>
    <t>P.S. K811 Connie Lekas School</t>
  </si>
  <si>
    <t>K303</t>
  </si>
  <si>
    <t>21K303</t>
  </si>
  <si>
    <t>I.S. 303 Herbert S. Eisenberg</t>
  </si>
  <si>
    <t>501 West Avenue</t>
  </si>
  <si>
    <t>K344</t>
  </si>
  <si>
    <t>21K344</t>
  </si>
  <si>
    <t>Rachel Carson High School for Coastal Studies</t>
  </si>
  <si>
    <t>K329</t>
  </si>
  <si>
    <t>21K329</t>
  </si>
  <si>
    <t>P.S. 329 Surfside</t>
  </si>
  <si>
    <t>2929 West  30 Street</t>
  </si>
  <si>
    <t>3000 West 1 Street</t>
  </si>
  <si>
    <t>K400</t>
  </si>
  <si>
    <t>K337</t>
  </si>
  <si>
    <t>21K337</t>
  </si>
  <si>
    <t>International High School at Lafayette</t>
  </si>
  <si>
    <t>2630 Benson Avenue</t>
  </si>
  <si>
    <t>K348</t>
  </si>
  <si>
    <t>21K348</t>
  </si>
  <si>
    <t>High School of Sports Management</t>
  </si>
  <si>
    <t>K468</t>
  </si>
  <si>
    <t>21K468</t>
  </si>
  <si>
    <t>Kingsborough Early College School</t>
  </si>
  <si>
    <t>K559</t>
  </si>
  <si>
    <t>21K559</t>
  </si>
  <si>
    <t>Life Academy High School for Film and Music</t>
  </si>
  <si>
    <t>K572</t>
  </si>
  <si>
    <t>21K572</t>
  </si>
  <si>
    <t>Leaders High School</t>
  </si>
  <si>
    <t>K410</t>
  </si>
  <si>
    <t>2800 Ocean Parkway</t>
  </si>
  <si>
    <t>21K410</t>
  </si>
  <si>
    <t>Abraham Lincoln High School</t>
  </si>
  <si>
    <t>K525</t>
  </si>
  <si>
    <t>21K525</t>
  </si>
  <si>
    <t>Edward R. Murrow High School</t>
  </si>
  <si>
    <t>1600 Avenue L</t>
  </si>
  <si>
    <t>K620</t>
  </si>
  <si>
    <t>25 Brighton  4Th Road</t>
  </si>
  <si>
    <t>21K620</t>
  </si>
  <si>
    <t>William E. Grady Career and Technical Education High School</t>
  </si>
  <si>
    <t>K721</t>
  </si>
  <si>
    <t>75K721</t>
  </si>
  <si>
    <t>P.S. K721 - Brooklyn Occupational Training Center</t>
  </si>
  <si>
    <t>64 Avenue X</t>
  </si>
  <si>
    <t>22</t>
  </si>
  <si>
    <t>K014</t>
  </si>
  <si>
    <t>22K014</t>
  </si>
  <si>
    <t>J.H.S. 014 Shell Bank</t>
  </si>
  <si>
    <t>2424 Batchelder Street</t>
  </si>
  <si>
    <t>K152</t>
  </si>
  <si>
    <t>22K152</t>
  </si>
  <si>
    <t>School of Science &amp; Technology</t>
  </si>
  <si>
    <t>725 East  23 Street</t>
  </si>
  <si>
    <t>K315</t>
  </si>
  <si>
    <t>22K315</t>
  </si>
  <si>
    <t>P.S. K315</t>
  </si>
  <si>
    <t>K195</t>
  </si>
  <si>
    <t>22K195</t>
  </si>
  <si>
    <t>P.S. 195 Manhattan Beach</t>
  </si>
  <si>
    <t>131 Irwin Street</t>
  </si>
  <si>
    <t>K198</t>
  </si>
  <si>
    <t>22K198</t>
  </si>
  <si>
    <t>P.S. 198 Brooklyn</t>
  </si>
  <si>
    <t>4105 Farragut Road</t>
  </si>
  <si>
    <t>K217</t>
  </si>
  <si>
    <t>22K217</t>
  </si>
  <si>
    <t>P.S. 217 Colonel David Marcus School</t>
  </si>
  <si>
    <t>1100 Newkirk Avenue</t>
  </si>
  <si>
    <t>K222</t>
  </si>
  <si>
    <t>22K222</t>
  </si>
  <si>
    <t>P.S. 222 Katherine R. Snyder</t>
  </si>
  <si>
    <t>3301 Quentin Road</t>
  </si>
  <si>
    <t>K234</t>
  </si>
  <si>
    <t>22K234</t>
  </si>
  <si>
    <t>J.H.S. 234 Arthur W. Cunningham</t>
  </si>
  <si>
    <t>1875 East  17 Street</t>
  </si>
  <si>
    <t>K254</t>
  </si>
  <si>
    <t>22K254</t>
  </si>
  <si>
    <t>P.S. 254 Dag Hammarskjold</t>
  </si>
  <si>
    <t>2469 East 18 Street</t>
  </si>
  <si>
    <t>K269</t>
  </si>
  <si>
    <t>K361</t>
  </si>
  <si>
    <t>22K361</t>
  </si>
  <si>
    <t>P.S. 361 East Flatbush Early Childhood School</t>
  </si>
  <si>
    <t>1957 Nostrand Avenue</t>
  </si>
  <si>
    <t>K286</t>
  </si>
  <si>
    <t>2525 Haring Street</t>
  </si>
  <si>
    <t>K312</t>
  </si>
  <si>
    <t>22K312</t>
  </si>
  <si>
    <t>P.S. 312 Bergen Beach</t>
  </si>
  <si>
    <t>7103 Avenue T</t>
  </si>
  <si>
    <t>1001 East  45 Street</t>
  </si>
  <si>
    <t>K109</t>
  </si>
  <si>
    <t>22K109</t>
  </si>
  <si>
    <t>P.S. 109</t>
  </si>
  <si>
    <t>K425</t>
  </si>
  <si>
    <t>22K425</t>
  </si>
  <si>
    <t>James Madison High School</t>
  </si>
  <si>
    <t>3787 Bedford Avenue</t>
  </si>
  <si>
    <t>K495</t>
  </si>
  <si>
    <t>22K611</t>
  </si>
  <si>
    <t>Origins High School</t>
  </si>
  <si>
    <t>3000 Avenue X</t>
  </si>
  <si>
    <t>K630</t>
  </si>
  <si>
    <t>22K630</t>
  </si>
  <si>
    <t>Professional Pathways High School</t>
  </si>
  <si>
    <t>K738</t>
  </si>
  <si>
    <t>84K738</t>
  </si>
  <si>
    <t>New Visions Charter High School for Advanced Math and Science III</t>
  </si>
  <si>
    <t>K739</t>
  </si>
  <si>
    <t>84K739</t>
  </si>
  <si>
    <t>New Visions Charter High School for the Humanities III</t>
  </si>
  <si>
    <t>K535</t>
  </si>
  <si>
    <t>1830 Shore Boulevard</t>
  </si>
  <si>
    <t>22K535</t>
  </si>
  <si>
    <t>Leon M. Goldstein High School for the Sciences</t>
  </si>
  <si>
    <t>23</t>
  </si>
  <si>
    <t>K012</t>
  </si>
  <si>
    <t>17K012</t>
  </si>
  <si>
    <t>Dr. Jacqueline Peek-Davis School</t>
  </si>
  <si>
    <t>430 Howard Avenue</t>
  </si>
  <si>
    <t>K484</t>
  </si>
  <si>
    <t>17K484</t>
  </si>
  <si>
    <t>Ronald Edmonds Learning Center II</t>
  </si>
  <si>
    <t>K041</t>
  </si>
  <si>
    <t>23K041</t>
  </si>
  <si>
    <t>P.S. 041 Francis White</t>
  </si>
  <si>
    <t>411 Thatford Avenue</t>
  </si>
  <si>
    <t>K522</t>
  </si>
  <si>
    <t>23K522</t>
  </si>
  <si>
    <t>Mott Hall IV</t>
  </si>
  <si>
    <t>K055</t>
  </si>
  <si>
    <t>K493</t>
  </si>
  <si>
    <t>23K493</t>
  </si>
  <si>
    <t>Brooklyn Collegiate: A College Board School</t>
  </si>
  <si>
    <t>2021 Bergen Street</t>
  </si>
  <si>
    <t>K626</t>
  </si>
  <si>
    <t>84K626</t>
  </si>
  <si>
    <t>Achievement First Brownsville Charter School</t>
  </si>
  <si>
    <t>K175</t>
  </si>
  <si>
    <t>K514</t>
  </si>
  <si>
    <t>23K514</t>
  </si>
  <si>
    <t>Frederick Douglass Academy VII High School</t>
  </si>
  <si>
    <t>226 Bristol Street</t>
  </si>
  <si>
    <t>K697</t>
  </si>
  <si>
    <t>23K697</t>
  </si>
  <si>
    <t>Teachers Preparatory High School</t>
  </si>
  <si>
    <t>K263</t>
  </si>
  <si>
    <t>K323</t>
  </si>
  <si>
    <t>23K323</t>
  </si>
  <si>
    <t>P.S./I.S. 323</t>
  </si>
  <si>
    <t>210 Chester Street</t>
  </si>
  <si>
    <t>K327</t>
  </si>
  <si>
    <t>23K327</t>
  </si>
  <si>
    <t>P.S. 327 Dr. Rose B. English</t>
  </si>
  <si>
    <t>23K671</t>
  </si>
  <si>
    <t>Mott Hall Bridges Academy</t>
  </si>
  <si>
    <t>K275</t>
  </si>
  <si>
    <t>K518</t>
  </si>
  <si>
    <t>23K518</t>
  </si>
  <si>
    <t>Kappa V (Knowledge and Power Preparatory Academy)</t>
  </si>
  <si>
    <t>985 Rockaway Avenue</t>
  </si>
  <si>
    <t>K643</t>
  </si>
  <si>
    <t>23K643</t>
  </si>
  <si>
    <t>Brooklyn Democracy Academy</t>
  </si>
  <si>
    <t>K647</t>
  </si>
  <si>
    <t>23K647</t>
  </si>
  <si>
    <t>Metropolitan Diploma Plus High School</t>
  </si>
  <si>
    <t>K711</t>
  </si>
  <si>
    <t>84K711</t>
  </si>
  <si>
    <t>Leadership Preparatory Brownsville Charter School</t>
  </si>
  <si>
    <t>K298</t>
  </si>
  <si>
    <t>23K298</t>
  </si>
  <si>
    <t>P.S. 298 Dr. Betty Shabazz</t>
  </si>
  <si>
    <t>85 Watkins Street</t>
  </si>
  <si>
    <t>K363</t>
  </si>
  <si>
    <t>23K363</t>
  </si>
  <si>
    <t>Brownsville Collaborative Middle School</t>
  </si>
  <si>
    <t>111 Bristol Street</t>
  </si>
  <si>
    <t>K332</t>
  </si>
  <si>
    <t>K401</t>
  </si>
  <si>
    <t>23K401</t>
  </si>
  <si>
    <t>Christopher Avenue Community School</t>
  </si>
  <si>
    <t>51 Christopher Avenue</t>
  </si>
  <si>
    <t>K156</t>
  </si>
  <si>
    <t>23K156</t>
  </si>
  <si>
    <t>P.S. 156 Waverly</t>
  </si>
  <si>
    <t>104 Sutter Avenue</t>
  </si>
  <si>
    <t>K392</t>
  </si>
  <si>
    <t>23K392</t>
  </si>
  <si>
    <t>I.S. 392</t>
  </si>
  <si>
    <t>110 Chester Street</t>
  </si>
  <si>
    <t>32</t>
  </si>
  <si>
    <t>K145</t>
  </si>
  <si>
    <t>32K145</t>
  </si>
  <si>
    <t>P.S. 145 Andrew Jackson</t>
  </si>
  <si>
    <t>100 Noll Street</t>
  </si>
  <si>
    <t>K162</t>
  </si>
  <si>
    <t>32K162</t>
  </si>
  <si>
    <t>J.H.S. 162 The Willoughby</t>
  </si>
  <si>
    <t>1390 Willoughby Avenue</t>
  </si>
  <si>
    <t>K291</t>
  </si>
  <si>
    <t>32K291</t>
  </si>
  <si>
    <t>J.H.S. 291 Roland Hayes</t>
  </si>
  <si>
    <t>231 Palmetto Street</t>
  </si>
  <si>
    <t>32K564</t>
  </si>
  <si>
    <t>Bushwick Community High School</t>
  </si>
  <si>
    <t>K733</t>
  </si>
  <si>
    <t>84K733</t>
  </si>
  <si>
    <t>Math, Engineering, and Science Academy Charter High School</t>
  </si>
  <si>
    <t>K377</t>
  </si>
  <si>
    <t>32K377</t>
  </si>
  <si>
    <t>P.S. 377 Alejandrina B. De Gautier</t>
  </si>
  <si>
    <t>200 Woodbine Street</t>
  </si>
  <si>
    <t>84K784</t>
  </si>
  <si>
    <t>Achievement First North Brooklyn Preparatory Charter School</t>
  </si>
  <si>
    <t>K383</t>
  </si>
  <si>
    <t>32K383</t>
  </si>
  <si>
    <t>J.H.S. 383 Philippa Schuyler</t>
  </si>
  <si>
    <t>1300 Greene Avenue</t>
  </si>
  <si>
    <t>K538</t>
  </si>
  <si>
    <t>84K538</t>
  </si>
  <si>
    <t>Achievement First Bushwick Charter School</t>
  </si>
  <si>
    <t>K384</t>
  </si>
  <si>
    <t>242 Cooper Street</t>
  </si>
  <si>
    <t>32K384</t>
  </si>
  <si>
    <t>P.S. /I.S. 384 Frances E. Carter</t>
  </si>
  <si>
    <t>K480</t>
  </si>
  <si>
    <t>K168</t>
  </si>
  <si>
    <t>32K168</t>
  </si>
  <si>
    <t>The Brooklyn School for Math and Research</t>
  </si>
  <si>
    <t>400 Irving Avenue</t>
  </si>
  <si>
    <t>K403</t>
  </si>
  <si>
    <t>32K403</t>
  </si>
  <si>
    <t>Academy for Excellence in Leadership</t>
  </si>
  <si>
    <t>K549</t>
  </si>
  <si>
    <t>32K549</t>
  </si>
  <si>
    <t>The Brooklyn School for Social Justice</t>
  </si>
  <si>
    <t>K552</t>
  </si>
  <si>
    <t>32K552</t>
  </si>
  <si>
    <t>The Academy of Urban Planning and Engineering</t>
  </si>
  <si>
    <t>K554</t>
  </si>
  <si>
    <t>32K554</t>
  </si>
  <si>
    <t>All City Leadership Secondary School</t>
  </si>
  <si>
    <t>321 Palmetto Street</t>
  </si>
  <si>
    <t>K913</t>
  </si>
  <si>
    <t>K545</t>
  </si>
  <si>
    <t>32K545</t>
  </si>
  <si>
    <t>EBC High School for Public Service - Bushwick</t>
  </si>
  <si>
    <t>1155 Dekalb Avenue</t>
  </si>
  <si>
    <t>01</t>
  </si>
  <si>
    <t>Manhattan</t>
  </si>
  <si>
    <t>M015</t>
  </si>
  <si>
    <t>01M015</t>
  </si>
  <si>
    <t>P.S. 015 Roberto Clemente</t>
  </si>
  <si>
    <t>333 East  4 Street</t>
  </si>
  <si>
    <t>M094</t>
  </si>
  <si>
    <t>75M094</t>
  </si>
  <si>
    <t>P.S. M094</t>
  </si>
  <si>
    <t>M020</t>
  </si>
  <si>
    <t>01M020</t>
  </si>
  <si>
    <t>P.S. 020 Anna Silver</t>
  </si>
  <si>
    <t>166 Essex Street</t>
  </si>
  <si>
    <t>M025</t>
  </si>
  <si>
    <t>M378</t>
  </si>
  <si>
    <t>01M378</t>
  </si>
  <si>
    <t>School for Global Leaders</t>
  </si>
  <si>
    <t>145 Stanton Street</t>
  </si>
  <si>
    <t>M515</t>
  </si>
  <si>
    <t>01M515</t>
  </si>
  <si>
    <t>Lower East Side Preparatory High School</t>
  </si>
  <si>
    <t>M034</t>
  </si>
  <si>
    <t>01M034</t>
  </si>
  <si>
    <t>P.S. 034 Franklin D. Roosevelt</t>
  </si>
  <si>
    <t>730 East  12 Street</t>
  </si>
  <si>
    <t>M056</t>
  </si>
  <si>
    <t>M080</t>
  </si>
  <si>
    <t>84M080</t>
  </si>
  <si>
    <t>Manhattan Charter School II</t>
  </si>
  <si>
    <t>220 Henry Street</t>
  </si>
  <si>
    <t>M292</t>
  </si>
  <si>
    <t>01M292</t>
  </si>
  <si>
    <t>Orchard Collegiate Academy</t>
  </si>
  <si>
    <t>M332</t>
  </si>
  <si>
    <t>01M332</t>
  </si>
  <si>
    <t>University Neighborhood Middle School</t>
  </si>
  <si>
    <t>M060</t>
  </si>
  <si>
    <t>M330</t>
  </si>
  <si>
    <t>84M330</t>
  </si>
  <si>
    <t>Girls Preparatory Charter School of New York</t>
  </si>
  <si>
    <t>420 East 12 Street</t>
  </si>
  <si>
    <t>M450</t>
  </si>
  <si>
    <t>01M450</t>
  </si>
  <si>
    <t>East Side Community School</t>
  </si>
  <si>
    <t>M097</t>
  </si>
  <si>
    <t>M696</t>
  </si>
  <si>
    <t>01M696</t>
  </si>
  <si>
    <t>Bard High School Early College</t>
  </si>
  <si>
    <t>525 East Houston Street</t>
  </si>
  <si>
    <t>M134</t>
  </si>
  <si>
    <t>01M134</t>
  </si>
  <si>
    <t>P.S. 134 Henrietta Szold</t>
  </si>
  <si>
    <t>293 East Broadway</t>
  </si>
  <si>
    <t>M137</t>
  </si>
  <si>
    <t>M184</t>
  </si>
  <si>
    <t>01M184</t>
  </si>
  <si>
    <t>P.S. 184m Shuang Wen</t>
  </si>
  <si>
    <t>327 Cherry Street</t>
  </si>
  <si>
    <t>M142</t>
  </si>
  <si>
    <t>01M142</t>
  </si>
  <si>
    <t>P.S. 142 Amalia Castro</t>
  </si>
  <si>
    <t>100 Attorney Street</t>
  </si>
  <si>
    <t>M320</t>
  </si>
  <si>
    <t>84M320</t>
  </si>
  <si>
    <t>Manhattan Charter School</t>
  </si>
  <si>
    <t>M188</t>
  </si>
  <si>
    <t>442 East Houston Street</t>
  </si>
  <si>
    <t>01M188</t>
  </si>
  <si>
    <t>P.S. 188 The Island School</t>
  </si>
  <si>
    <t>M446</t>
  </si>
  <si>
    <t>M448</t>
  </si>
  <si>
    <t>01M448</t>
  </si>
  <si>
    <t>University Neighborhood High School</t>
  </si>
  <si>
    <t>200 Monroe Street</t>
  </si>
  <si>
    <t>M510</t>
  </si>
  <si>
    <t>M458</t>
  </si>
  <si>
    <t>01M458</t>
  </si>
  <si>
    <t>Forsyth Satellite Academy</t>
  </si>
  <si>
    <t>198 Forsyth Street</t>
  </si>
  <si>
    <t>M650</t>
  </si>
  <si>
    <t>01M650</t>
  </si>
  <si>
    <t>Cascades High School</t>
  </si>
  <si>
    <t>02</t>
  </si>
  <si>
    <t>M002</t>
  </si>
  <si>
    <t>02M002</t>
  </si>
  <si>
    <t>P.S. 002 Meyer London</t>
  </si>
  <si>
    <t>122 Henry Street</t>
  </si>
  <si>
    <t>M033</t>
  </si>
  <si>
    <t>02M033</t>
  </si>
  <si>
    <t>P.S. 033 Chelsea Prep</t>
  </si>
  <si>
    <t>281 9 Avenue</t>
  </si>
  <si>
    <t>M138</t>
  </si>
  <si>
    <t>75M138</t>
  </si>
  <si>
    <t>P.S. 138</t>
  </si>
  <si>
    <t>M047</t>
  </si>
  <si>
    <t>02M047</t>
  </si>
  <si>
    <t>47 The American Sign Language and English Secondary School</t>
  </si>
  <si>
    <t>223 East 23 Street</t>
  </si>
  <si>
    <t>M347</t>
  </si>
  <si>
    <t>02M347</t>
  </si>
  <si>
    <t>The 47 American Sign Language &amp; English Lower School</t>
  </si>
  <si>
    <t>M721</t>
  </si>
  <si>
    <t>75M721</t>
  </si>
  <si>
    <t>P.S. M721 - Manhattan Occupational Training Center</t>
  </si>
  <si>
    <t>M066</t>
  </si>
  <si>
    <t>M151</t>
  </si>
  <si>
    <t>02M151</t>
  </si>
  <si>
    <t>Yorkville Community School</t>
  </si>
  <si>
    <t>421 East  88 Street</t>
  </si>
  <si>
    <t>M070</t>
  </si>
  <si>
    <t>M312</t>
  </si>
  <si>
    <t>02M312</t>
  </si>
  <si>
    <t>New York City Lab Middle School for Collaborative Studies</t>
  </si>
  <si>
    <t>333 West  17 Street</t>
  </si>
  <si>
    <t>M412</t>
  </si>
  <si>
    <t>02M412</t>
  </si>
  <si>
    <t>N.Y.C. Lab School for Collaborative Studies</t>
  </si>
  <si>
    <t>M414</t>
  </si>
  <si>
    <t>02M414</t>
  </si>
  <si>
    <t>N.Y.C. Museum School</t>
  </si>
  <si>
    <t>M089</t>
  </si>
  <si>
    <t>02M089</t>
  </si>
  <si>
    <t>P.S. 89</t>
  </si>
  <si>
    <t>201 Warren Street</t>
  </si>
  <si>
    <t>M289</t>
  </si>
  <si>
    <t>02M289</t>
  </si>
  <si>
    <t>I.S. 289</t>
  </si>
  <si>
    <t>M114</t>
  </si>
  <si>
    <t>02M114</t>
  </si>
  <si>
    <t>East Side Middle School</t>
  </si>
  <si>
    <t>331 East 91St Street</t>
  </si>
  <si>
    <t>M116</t>
  </si>
  <si>
    <t>02M116</t>
  </si>
  <si>
    <t>P.S. 116 Mary Lindley Murray</t>
  </si>
  <si>
    <t>210 East  33 Street</t>
  </si>
  <si>
    <t>M124</t>
  </si>
  <si>
    <t>02M124</t>
  </si>
  <si>
    <t>P.S. 124 Yung Wing</t>
  </si>
  <si>
    <t>40 Division Street</t>
  </si>
  <si>
    <t>M130</t>
  </si>
  <si>
    <t>02M130</t>
  </si>
  <si>
    <t>P.S. 130 Hernando De Soto</t>
  </si>
  <si>
    <t>143 Baxter Street</t>
  </si>
  <si>
    <t>M131</t>
  </si>
  <si>
    <t>02M131</t>
  </si>
  <si>
    <t>M.S. 131</t>
  </si>
  <si>
    <t>100 Hester Street</t>
  </si>
  <si>
    <t>M298</t>
  </si>
  <si>
    <t>02M298</t>
  </si>
  <si>
    <t>Pace High School</t>
  </si>
  <si>
    <t>M394</t>
  </si>
  <si>
    <t>02M394</t>
  </si>
  <si>
    <t>Emma Lazarus High School</t>
  </si>
  <si>
    <t>M158</t>
  </si>
  <si>
    <t>02M158</t>
  </si>
  <si>
    <t>P.S. 158 Bayard Taylor</t>
  </si>
  <si>
    <t>1458 York Avenue</t>
  </si>
  <si>
    <t>M177</t>
  </si>
  <si>
    <t>02M177</t>
  </si>
  <si>
    <t>Yorkville East Middle School</t>
  </si>
  <si>
    <t>M169</t>
  </si>
  <si>
    <t>75M169</t>
  </si>
  <si>
    <t>P.S. M169 - Robert F. Kennedy</t>
  </si>
  <si>
    <t>110 East  88 Street</t>
  </si>
  <si>
    <t>M183</t>
  </si>
  <si>
    <t>02M183</t>
  </si>
  <si>
    <t>P.S. 183 Robert L. Stevenson</t>
  </si>
  <si>
    <t>419 East  66 Street</t>
  </si>
  <si>
    <t>M234</t>
  </si>
  <si>
    <t>02M234</t>
  </si>
  <si>
    <t>P.S. 234 Independence School</t>
  </si>
  <si>
    <t>292 Greenwich Street</t>
  </si>
  <si>
    <t>M267</t>
  </si>
  <si>
    <t>02M267</t>
  </si>
  <si>
    <t>East Side Elementary School, PS 267</t>
  </si>
  <si>
    <t>213 East 63Rd Street</t>
  </si>
  <si>
    <t>M271</t>
  </si>
  <si>
    <t>M217</t>
  </si>
  <si>
    <t>02M217</t>
  </si>
  <si>
    <t>P.S./I.S. 217 Roosevelt Island</t>
  </si>
  <si>
    <t>645 Main Street</t>
  </si>
  <si>
    <t>M276</t>
  </si>
  <si>
    <t>55 Battery Place</t>
  </si>
  <si>
    <t>02M276</t>
  </si>
  <si>
    <t>Battery Park City School</t>
  </si>
  <si>
    <t>M281</t>
  </si>
  <si>
    <t>425 East 35 Street</t>
  </si>
  <si>
    <t>02M281</t>
  </si>
  <si>
    <t>The River School</t>
  </si>
  <si>
    <t>M282</t>
  </si>
  <si>
    <t>M316</t>
  </si>
  <si>
    <t>02M316</t>
  </si>
  <si>
    <t>Urban Assembly School of Business for Young Women, the</t>
  </si>
  <si>
    <t>26 Broadway</t>
  </si>
  <si>
    <t>M580</t>
  </si>
  <si>
    <t>02M580</t>
  </si>
  <si>
    <t>Richard R. Green High School of Teaching</t>
  </si>
  <si>
    <t>M896</t>
  </si>
  <si>
    <t>02M896</t>
  </si>
  <si>
    <t>Lower Manhattan Community Middle School</t>
  </si>
  <si>
    <t>M323</t>
  </si>
  <si>
    <t>M297</t>
  </si>
  <si>
    <t>02M297</t>
  </si>
  <si>
    <t>M.S. 297</t>
  </si>
  <si>
    <t>75 Morton Street</t>
  </si>
  <si>
    <t>M751</t>
  </si>
  <si>
    <t>75M751</t>
  </si>
  <si>
    <t>Manhattan School for Career Development</t>
  </si>
  <si>
    <t>M338</t>
  </si>
  <si>
    <t>M051</t>
  </si>
  <si>
    <t>02M051</t>
  </si>
  <si>
    <t>P.S. 051 Elias Howe</t>
  </si>
  <si>
    <t>525 West 44Th Street</t>
  </si>
  <si>
    <t>M340</t>
  </si>
  <si>
    <t>590 Sixth Avenue</t>
  </si>
  <si>
    <t>02M340</t>
  </si>
  <si>
    <t>Sixth Avenue Elementary School</t>
  </si>
  <si>
    <t>M343</t>
  </si>
  <si>
    <t>02M343</t>
  </si>
  <si>
    <t>The Peck Slip School</t>
  </si>
  <si>
    <t>1 Peck Slip</t>
  </si>
  <si>
    <t>M440</t>
  </si>
  <si>
    <t>M313</t>
  </si>
  <si>
    <t>02M313</t>
  </si>
  <si>
    <t>James Baldwin School, The: A School for Expeditionary Learning</t>
  </si>
  <si>
    <t>351 West  18 Street</t>
  </si>
  <si>
    <t>M392</t>
  </si>
  <si>
    <t>02M392</t>
  </si>
  <si>
    <t>Manhattan Business Academy</t>
  </si>
  <si>
    <t>M419</t>
  </si>
  <si>
    <t>02M419</t>
  </si>
  <si>
    <t>Landmark High School</t>
  </si>
  <si>
    <t>M422</t>
  </si>
  <si>
    <t>02M422</t>
  </si>
  <si>
    <t>Quest to Learn</t>
  </si>
  <si>
    <t>M437</t>
  </si>
  <si>
    <t>02M437</t>
  </si>
  <si>
    <t>Hudson High School of Learning Technologies</t>
  </si>
  <si>
    <t>M605</t>
  </si>
  <si>
    <t>02M605</t>
  </si>
  <si>
    <t>Humanities Preparatory Academy</t>
  </si>
  <si>
    <t>M451</t>
  </si>
  <si>
    <t>M550</t>
  </si>
  <si>
    <t>02M550</t>
  </si>
  <si>
    <t>Liberty High School Academy for Newcomers</t>
  </si>
  <si>
    <t>250 West  18 Street</t>
  </si>
  <si>
    <t>M460</t>
  </si>
  <si>
    <t>M174</t>
  </si>
  <si>
    <t>84M174</t>
  </si>
  <si>
    <t>Success Academy Charter School - Union Square</t>
  </si>
  <si>
    <t>40 Irving Place</t>
  </si>
  <si>
    <t>M374</t>
  </si>
  <si>
    <t>02M374</t>
  </si>
  <si>
    <t>Gramercy Arts High School</t>
  </si>
  <si>
    <t>M399</t>
  </si>
  <si>
    <t>02M399</t>
  </si>
  <si>
    <t xml:space="preserve">The High School For Language And Diplomacy </t>
  </si>
  <si>
    <t>M438</t>
  </si>
  <si>
    <t>02M438</t>
  </si>
  <si>
    <t>International High School at Union Square</t>
  </si>
  <si>
    <t>M533</t>
  </si>
  <si>
    <t>02M533</t>
  </si>
  <si>
    <t>Union Square Academy for Health Sciences</t>
  </si>
  <si>
    <t>M546</t>
  </si>
  <si>
    <t>02M546</t>
  </si>
  <si>
    <t>Academy for Software Engineering</t>
  </si>
  <si>
    <t>M464</t>
  </si>
  <si>
    <t>M150</t>
  </si>
  <si>
    <t>02M150</t>
  </si>
  <si>
    <t>P.S. 150</t>
  </si>
  <si>
    <t>28-42 Trinity Place - Manhattan</t>
  </si>
  <si>
    <t>M477</t>
  </si>
  <si>
    <t>M226</t>
  </si>
  <si>
    <t>75M226</t>
  </si>
  <si>
    <t>P.S. M226</t>
  </si>
  <si>
    <t>345 Chambers Street</t>
  </si>
  <si>
    <t>M475</t>
  </si>
  <si>
    <t>02M475</t>
  </si>
  <si>
    <t>Stuyvesant High School</t>
  </si>
  <si>
    <t>M480</t>
  </si>
  <si>
    <t>M225</t>
  </si>
  <si>
    <t>02M225</t>
  </si>
  <si>
    <t>Ella Baker School</t>
  </si>
  <si>
    <t>317 East  67 Street</t>
  </si>
  <si>
    <t>M449</t>
  </si>
  <si>
    <t>02M449</t>
  </si>
  <si>
    <t>Vanguard High School</t>
  </si>
  <si>
    <t>M459</t>
  </si>
  <si>
    <t>02M459</t>
  </si>
  <si>
    <t>Manhattan International High School</t>
  </si>
  <si>
    <t>M519</t>
  </si>
  <si>
    <t>02M519</t>
  </si>
  <si>
    <t>Talent Unlimited High School</t>
  </si>
  <si>
    <t>M565</t>
  </si>
  <si>
    <t>02M565</t>
  </si>
  <si>
    <t>Urban Academy Laboratory High School</t>
  </si>
  <si>
    <t>M486</t>
  </si>
  <si>
    <t>M529</t>
  </si>
  <si>
    <t>02M529</t>
  </si>
  <si>
    <t>Jacqueline Kennedy Onassis High School</t>
  </si>
  <si>
    <t>120 West  46 Street</t>
  </si>
  <si>
    <t>M488</t>
  </si>
  <si>
    <t>M059</t>
  </si>
  <si>
    <t>02M059</t>
  </si>
  <si>
    <t>P.S. 059 Beekman Hill International</t>
  </si>
  <si>
    <t>231-249 East 56 Street</t>
  </si>
  <si>
    <t>M630</t>
  </si>
  <si>
    <t>02M630</t>
  </si>
  <si>
    <t>Art and Design High School</t>
  </si>
  <si>
    <t>M520</t>
  </si>
  <si>
    <t>M135</t>
  </si>
  <si>
    <t>02M135</t>
  </si>
  <si>
    <t>The Urban Assembly School for Emergency Management</t>
  </si>
  <si>
    <t>411 Pearl Street</t>
  </si>
  <si>
    <t>M280</t>
  </si>
  <si>
    <t>02M280</t>
  </si>
  <si>
    <t>Manhattan Early College School for Advertising</t>
  </si>
  <si>
    <t>02M282</t>
  </si>
  <si>
    <t>Urban Assembly Maker Academy</t>
  </si>
  <si>
    <t>02M520</t>
  </si>
  <si>
    <t>Murry Bergtraum High School for Business Careers</t>
  </si>
  <si>
    <t>M535</t>
  </si>
  <si>
    <t>525 West  50Th Street</t>
  </si>
  <si>
    <t>M288</t>
  </si>
  <si>
    <t>02M288</t>
  </si>
  <si>
    <t>Food and Finance High School</t>
  </si>
  <si>
    <t>M296</t>
  </si>
  <si>
    <t>02M296</t>
  </si>
  <si>
    <t>High School of Hospitality Management</t>
  </si>
  <si>
    <t>M300</t>
  </si>
  <si>
    <t>02M300</t>
  </si>
  <si>
    <t>Urban Assembly School of Design and Construction, The</t>
  </si>
  <si>
    <t>M303</t>
  </si>
  <si>
    <t>02M303</t>
  </si>
  <si>
    <t>Facing History School, The</t>
  </si>
  <si>
    <t>M542</t>
  </si>
  <si>
    <t>02M542</t>
  </si>
  <si>
    <t>Manhattan Bridges High School</t>
  </si>
  <si>
    <t>M600</t>
  </si>
  <si>
    <t>02M600</t>
  </si>
  <si>
    <t>The High School of Fashion Industries</t>
  </si>
  <si>
    <t>225 West  24 Street</t>
  </si>
  <si>
    <t>M620</t>
  </si>
  <si>
    <t>M351</t>
  </si>
  <si>
    <t>84M351</t>
  </si>
  <si>
    <t>Success Academy Charter School - Harlem 1</t>
  </si>
  <si>
    <t>111 East  33Rd Street</t>
  </si>
  <si>
    <t>M427</t>
  </si>
  <si>
    <t>02M427</t>
  </si>
  <si>
    <t>Manhattan Academy For Arts &amp; Language</t>
  </si>
  <si>
    <t>M432</t>
  </si>
  <si>
    <t>02M432</t>
  </si>
  <si>
    <t>Murray Hill Academy</t>
  </si>
  <si>
    <t>M500</t>
  </si>
  <si>
    <t>02M500</t>
  </si>
  <si>
    <t>Unity Center for Urban Technologies</t>
  </si>
  <si>
    <t>M625</t>
  </si>
  <si>
    <t>M139</t>
  </si>
  <si>
    <t>02M139</t>
  </si>
  <si>
    <t>Stephen T. Mather Building Arts &amp; Craftsmanship High School</t>
  </si>
  <si>
    <t>439 West 49Th Street</t>
  </si>
  <si>
    <t>M170</t>
  </si>
  <si>
    <t>84M170</t>
  </si>
  <si>
    <t>Success Academy Charter School - Hell's Kitchen</t>
  </si>
  <si>
    <t>M393</t>
  </si>
  <si>
    <t>02M393</t>
  </si>
  <si>
    <t xml:space="preserve">Business Of Sports School </t>
  </si>
  <si>
    <t>M507</t>
  </si>
  <si>
    <t>02M507</t>
  </si>
  <si>
    <t>Urban Assembly Gateway School for Technology</t>
  </si>
  <si>
    <t>M523</t>
  </si>
  <si>
    <t>84M523</t>
  </si>
  <si>
    <t>Success Academy Charter School - Upper West</t>
  </si>
  <si>
    <t>M641</t>
  </si>
  <si>
    <t>M501</t>
  </si>
  <si>
    <t>75M501</t>
  </si>
  <si>
    <t>Home Instruction</t>
  </si>
  <si>
    <t>16 Clarkson Street</t>
  </si>
  <si>
    <t>M560</t>
  </si>
  <si>
    <t>02M560</t>
  </si>
  <si>
    <t>High School M560 - City As School</t>
  </si>
  <si>
    <t>M660</t>
  </si>
  <si>
    <t>127 East  22 Street</t>
  </si>
  <si>
    <t>M413</t>
  </si>
  <si>
    <t>02M413</t>
  </si>
  <si>
    <t>School of the Future High School</t>
  </si>
  <si>
    <t>M661</t>
  </si>
  <si>
    <t>M575</t>
  </si>
  <si>
    <t>02M575</t>
  </si>
  <si>
    <t>Manhattan Comprehensive Night and Day High School</t>
  </si>
  <si>
    <t>240 2 Avenue</t>
  </si>
  <si>
    <t>M807</t>
  </si>
  <si>
    <t>M586</t>
  </si>
  <si>
    <t>02M586</t>
  </si>
  <si>
    <t>Harvey Milk High School</t>
  </si>
  <si>
    <t>2-10 Astor Place</t>
  </si>
  <si>
    <t>M824</t>
  </si>
  <si>
    <t>75 Broad Street</t>
  </si>
  <si>
    <t>M418</t>
  </si>
  <si>
    <t>02M418</t>
  </si>
  <si>
    <t>Millennium High School</t>
  </si>
  <si>
    <t>M833</t>
  </si>
  <si>
    <t>M489</t>
  </si>
  <si>
    <t>02M489</t>
  </si>
  <si>
    <t>High School of Economics and Finance</t>
  </si>
  <si>
    <t>100 Trinity Place</t>
  </si>
  <si>
    <t>M834</t>
  </si>
  <si>
    <t>M400</t>
  </si>
  <si>
    <t>02M400</t>
  </si>
  <si>
    <t>High School for Environmental Studies</t>
  </si>
  <si>
    <t>444 West 56 Street</t>
  </si>
  <si>
    <t>M544</t>
  </si>
  <si>
    <t>02M544</t>
  </si>
  <si>
    <t>Independence High School</t>
  </si>
  <si>
    <t>M855</t>
  </si>
  <si>
    <t>M416</t>
  </si>
  <si>
    <t>02M416</t>
  </si>
  <si>
    <t>Eleanor Roosevelt High School</t>
  </si>
  <si>
    <t>411 East 76 Street</t>
  </si>
  <si>
    <t>M868</t>
  </si>
  <si>
    <t>10 East 15Th Street</t>
  </si>
  <si>
    <t>M260</t>
  </si>
  <si>
    <t>02M260</t>
  </si>
  <si>
    <t>The Clinton School</t>
  </si>
  <si>
    <t>M874</t>
  </si>
  <si>
    <t>M411</t>
  </si>
  <si>
    <t>02M411</t>
  </si>
  <si>
    <t>Baruch College Campus High School</t>
  </si>
  <si>
    <t>55 East  25 Street</t>
  </si>
  <si>
    <t>M877</t>
  </si>
  <si>
    <t>M551</t>
  </si>
  <si>
    <t>02M551</t>
  </si>
  <si>
    <t>Urban Assembly New York Harbor School</t>
  </si>
  <si>
    <t>10 South Street, Slip 7</t>
  </si>
  <si>
    <t>M894</t>
  </si>
  <si>
    <t>M425</t>
  </si>
  <si>
    <t>02M425</t>
  </si>
  <si>
    <t>Leadership and Public Service High School</t>
  </si>
  <si>
    <t>90 Trinity Place</t>
  </si>
  <si>
    <t>M531</t>
  </si>
  <si>
    <t>02M531</t>
  </si>
  <si>
    <t>Repertory Company High School for Theatre Arts</t>
  </si>
  <si>
    <t>123 West  43 Street</t>
  </si>
  <si>
    <t>M912</t>
  </si>
  <si>
    <t>M035</t>
  </si>
  <si>
    <t>75M035</t>
  </si>
  <si>
    <t>P.S. 035</t>
  </si>
  <si>
    <t>522 West 44Th Street</t>
  </si>
  <si>
    <t>M479</t>
  </si>
  <si>
    <t>03M479</t>
  </si>
  <si>
    <t>Beacon High School</t>
  </si>
  <si>
    <t>M920</t>
  </si>
  <si>
    <t>M570</t>
  </si>
  <si>
    <t>02M570</t>
  </si>
  <si>
    <t>Satellite Academy High School</t>
  </si>
  <si>
    <t>120 West  30 Street</t>
  </si>
  <si>
    <t>M971</t>
  </si>
  <si>
    <t>12 Spruce Street</t>
  </si>
  <si>
    <t>M397</t>
  </si>
  <si>
    <t>02M397</t>
  </si>
  <si>
    <t>Spruce Street School</t>
  </si>
  <si>
    <t>03</t>
  </si>
  <si>
    <t>M009</t>
  </si>
  <si>
    <t>03M009</t>
  </si>
  <si>
    <t>P.S. 009 Sarah Anderson</t>
  </si>
  <si>
    <t>100 West  84 Street</t>
  </si>
  <si>
    <t>M243</t>
  </si>
  <si>
    <t>03M243</t>
  </si>
  <si>
    <t>M.S. 243 Center School</t>
  </si>
  <si>
    <t>M044</t>
  </si>
  <si>
    <t>M245</t>
  </si>
  <si>
    <t>03M245</t>
  </si>
  <si>
    <t>M.S. M245 The Computer School</t>
  </si>
  <si>
    <t>100 West  77 Street</t>
  </si>
  <si>
    <t>M247</t>
  </si>
  <si>
    <t>03M247</t>
  </si>
  <si>
    <t>M.S. M247 Dual Language Middle School</t>
  </si>
  <si>
    <t>M334</t>
  </si>
  <si>
    <t>03M334</t>
  </si>
  <si>
    <t>The Anderson School</t>
  </si>
  <si>
    <t>M075</t>
  </si>
  <si>
    <t>03M075</t>
  </si>
  <si>
    <t>P.S. 075 Emily Dickinson</t>
  </si>
  <si>
    <t>735 West End Avenue</t>
  </si>
  <si>
    <t>M250</t>
  </si>
  <si>
    <t>03M250</t>
  </si>
  <si>
    <t>M.S. 250 West Side Collaborative Middle School</t>
  </si>
  <si>
    <t>M084</t>
  </si>
  <si>
    <t>03M084</t>
  </si>
  <si>
    <t>P.S. 084 Lillian Weber</t>
  </si>
  <si>
    <t>32 West  92 Street</t>
  </si>
  <si>
    <t>M088</t>
  </si>
  <si>
    <t>215 West 114 Street</t>
  </si>
  <si>
    <t>M415</t>
  </si>
  <si>
    <t>03M415</t>
  </si>
  <si>
    <t>Wadleigh Secondary School for the Performing &amp; Visual Arts</t>
  </si>
  <si>
    <t>M860</t>
  </si>
  <si>
    <t>03M860</t>
  </si>
  <si>
    <t>Frederick Douglass Academy II Secondary School</t>
  </si>
  <si>
    <t>M113</t>
  </si>
  <si>
    <t>M241</t>
  </si>
  <si>
    <t>03M241</t>
  </si>
  <si>
    <t>STEM Institute of Manhattan</t>
  </si>
  <si>
    <t>240 West 113 Street</t>
  </si>
  <si>
    <t>M279</t>
  </si>
  <si>
    <t>84M279</t>
  </si>
  <si>
    <t>Opportunity Charter School</t>
  </si>
  <si>
    <t>M386</t>
  </si>
  <si>
    <t>84M386</t>
  </si>
  <si>
    <t>Success Academy Charter School - Harlem 4</t>
  </si>
  <si>
    <t>M118</t>
  </si>
  <si>
    <t>M256</t>
  </si>
  <si>
    <t>03M256</t>
  </si>
  <si>
    <t>Lafayette Academy</t>
  </si>
  <si>
    <t>154 West  93 Street</t>
  </si>
  <si>
    <t>M258</t>
  </si>
  <si>
    <t>03M258</t>
  </si>
  <si>
    <t>Community Action School - MS 258</t>
  </si>
  <si>
    <t>M333</t>
  </si>
  <si>
    <t>03M333</t>
  </si>
  <si>
    <t>P.S. 333 Manhattan School for Children</t>
  </si>
  <si>
    <t>M144</t>
  </si>
  <si>
    <t>M242</t>
  </si>
  <si>
    <t>03M242</t>
  </si>
  <si>
    <t>P.S. 242 - The Young Diplomats Magnet Academy</t>
  </si>
  <si>
    <t>134 West 122 Street</t>
  </si>
  <si>
    <t>M861</t>
  </si>
  <si>
    <t>84M861</t>
  </si>
  <si>
    <t>Future Leaders Institute Charter School</t>
  </si>
  <si>
    <t>M145</t>
  </si>
  <si>
    <t>03M145</t>
  </si>
  <si>
    <t>P.S. 145, The Bloomingdale School</t>
  </si>
  <si>
    <t>150 West 105 Street</t>
  </si>
  <si>
    <t>M421</t>
  </si>
  <si>
    <t>03M421</t>
  </si>
  <si>
    <t>West Prep Academy</t>
  </si>
  <si>
    <t>M149</t>
  </si>
  <si>
    <t>03M149</t>
  </si>
  <si>
    <t>P.S. 149 Sojourner Truth</t>
  </si>
  <si>
    <t>34 West 118 Street</t>
  </si>
  <si>
    <t>M811</t>
  </si>
  <si>
    <t>75M811</t>
  </si>
  <si>
    <t>P.S. M811 - Mickey Mantle School</t>
  </si>
  <si>
    <t>M163</t>
  </si>
  <si>
    <t>03M163</t>
  </si>
  <si>
    <t>P.S. 163 Alfred E. Smith</t>
  </si>
  <si>
    <t>163 West  97 Street</t>
  </si>
  <si>
    <t>M165</t>
  </si>
  <si>
    <t>03M165</t>
  </si>
  <si>
    <t>P.S. 165 Robert E. Simon</t>
  </si>
  <si>
    <t>234 West 109 Street</t>
  </si>
  <si>
    <t>M862</t>
  </si>
  <si>
    <t>03M862</t>
  </si>
  <si>
    <t>Mott Hall II</t>
  </si>
  <si>
    <t>M166</t>
  </si>
  <si>
    <t>03M166</t>
  </si>
  <si>
    <t>P.S. 166 The Richard Rodgers School of The Arts and Technology</t>
  </si>
  <si>
    <t>132 West  89 Street</t>
  </si>
  <si>
    <t>M180</t>
  </si>
  <si>
    <t>03M180</t>
  </si>
  <si>
    <t>P.S. 180 Hugo Newman</t>
  </si>
  <si>
    <t>370 West 120Th Street</t>
  </si>
  <si>
    <t>M191</t>
  </si>
  <si>
    <t>M452</t>
  </si>
  <si>
    <t>03M452</t>
  </si>
  <si>
    <t>P.S. 452</t>
  </si>
  <si>
    <t>210 West  61 Street</t>
  </si>
  <si>
    <t>M199</t>
  </si>
  <si>
    <t>03M199</t>
  </si>
  <si>
    <t>P.S. 199 Jessie Isador Straus</t>
  </si>
  <si>
    <t>270 West  70 Street</t>
  </si>
  <si>
    <t>M207</t>
  </si>
  <si>
    <t>41 West 117 Street</t>
  </si>
  <si>
    <t>M342</t>
  </si>
  <si>
    <t>03M191</t>
  </si>
  <si>
    <t>The Riverside School for Makers and Artists</t>
  </si>
  <si>
    <t>300 West 61St Street</t>
  </si>
  <si>
    <t>M470</t>
  </si>
  <si>
    <t>M402</t>
  </si>
  <si>
    <t>03M402</t>
  </si>
  <si>
    <t>The Urban Assembly School for Green Careers</t>
  </si>
  <si>
    <t>145 West  84 Street</t>
  </si>
  <si>
    <t>M403</t>
  </si>
  <si>
    <t>03M403</t>
  </si>
  <si>
    <t>The Global Learning Collaborative</t>
  </si>
  <si>
    <t>M404</t>
  </si>
  <si>
    <t>03M404</t>
  </si>
  <si>
    <t>Innovation Diploma Plus</t>
  </si>
  <si>
    <t>M417</t>
  </si>
  <si>
    <t>03M417</t>
  </si>
  <si>
    <t>Frank McCourt High School</t>
  </si>
  <si>
    <t>M485</t>
  </si>
  <si>
    <t>03M485</t>
  </si>
  <si>
    <t>Fiorello H. LaGuardia High School of Music &amp; Art and Performing Arts</t>
  </si>
  <si>
    <t>100 Amsterdam Avenue</t>
  </si>
  <si>
    <t>M490</t>
  </si>
  <si>
    <t>M299</t>
  </si>
  <si>
    <t>03M299</t>
  </si>
  <si>
    <t>The Maxine Greene HS for Imaginative Inquiry</t>
  </si>
  <si>
    <t>122 Amsterdam Avenue</t>
  </si>
  <si>
    <t>M307</t>
  </si>
  <si>
    <t>03M307</t>
  </si>
  <si>
    <t>Urban Assembly School for Media Studies, The</t>
  </si>
  <si>
    <t>M492</t>
  </si>
  <si>
    <t>03M492</t>
  </si>
  <si>
    <t>High School for Law, Advocacy and Community Justice</t>
  </si>
  <si>
    <t>M494</t>
  </si>
  <si>
    <t>03M494</t>
  </si>
  <si>
    <t>High School of Arts and Technology</t>
  </si>
  <si>
    <t>M541</t>
  </si>
  <si>
    <t>03M541</t>
  </si>
  <si>
    <t>Manhattan / Hunter Science High School</t>
  </si>
  <si>
    <t>M859</t>
  </si>
  <si>
    <t>03M859</t>
  </si>
  <si>
    <t>Special Music School</t>
  </si>
  <si>
    <t>M506</t>
  </si>
  <si>
    <t>M505</t>
  </si>
  <si>
    <t>03M505</t>
  </si>
  <si>
    <t>Edward A. Reynolds West Side High School</t>
  </si>
  <si>
    <t>140 West 102 Street</t>
  </si>
  <si>
    <t>M837</t>
  </si>
  <si>
    <t>M291</t>
  </si>
  <si>
    <t>03M291</t>
  </si>
  <si>
    <t>West End Secondary School</t>
  </si>
  <si>
    <t>227-243 West 61St Street</t>
  </si>
  <si>
    <t>M841</t>
  </si>
  <si>
    <t>466 West End Avenue</t>
  </si>
  <si>
    <t>M932</t>
  </si>
  <si>
    <t>129 West  67 Street</t>
  </si>
  <si>
    <t>04</t>
  </si>
  <si>
    <t>M007</t>
  </si>
  <si>
    <t>04M007</t>
  </si>
  <si>
    <t>P.S. 007 Samuel Stern</t>
  </si>
  <si>
    <t>160 East 120 Street</t>
  </si>
  <si>
    <t>M050</t>
  </si>
  <si>
    <t>M337</t>
  </si>
  <si>
    <t>84M337</t>
  </si>
  <si>
    <t>NYC Autism Charter School East Harlem</t>
  </si>
  <si>
    <t>433 East 100 Street</t>
  </si>
  <si>
    <t>M382</t>
  </si>
  <si>
    <t>84M382</t>
  </si>
  <si>
    <t>DREAM Charter School</t>
  </si>
  <si>
    <t>M964</t>
  </si>
  <si>
    <t>04M964</t>
  </si>
  <si>
    <t>Central Park East II</t>
  </si>
  <si>
    <t>M083</t>
  </si>
  <si>
    <t>04M083</t>
  </si>
  <si>
    <t>P.S. 083 Luis Munoz Rivera</t>
  </si>
  <si>
    <t>219 East 109 Street</t>
  </si>
  <si>
    <t>M182</t>
  </si>
  <si>
    <t>04M182</t>
  </si>
  <si>
    <t>The Bilingual Bicultural School</t>
  </si>
  <si>
    <t>M101</t>
  </si>
  <si>
    <t>M375</t>
  </si>
  <si>
    <t>04M375</t>
  </si>
  <si>
    <t>Mosaic Preparatory Academy</t>
  </si>
  <si>
    <t>141 East 111 Street</t>
  </si>
  <si>
    <t>M385</t>
  </si>
  <si>
    <t>84M385</t>
  </si>
  <si>
    <t>Success Academy Charter School - Harlem 3</t>
  </si>
  <si>
    <t>M107</t>
  </si>
  <si>
    <t>M680</t>
  </si>
  <si>
    <t>04M680</t>
  </si>
  <si>
    <t>Heritage School, The</t>
  </si>
  <si>
    <t>1680 Lexington Avenue</t>
  </si>
  <si>
    <t>M117</t>
  </si>
  <si>
    <t>M012</t>
  </si>
  <si>
    <t>04M012</t>
  </si>
  <si>
    <t>Tag Young Scholars</t>
  </si>
  <si>
    <t>240 East 109 Street</t>
  </si>
  <si>
    <t>M372</t>
  </si>
  <si>
    <t>04M372</t>
  </si>
  <si>
    <t xml:space="preserve">Esperanza Preparatory Academy </t>
  </si>
  <si>
    <t>M146</t>
  </si>
  <si>
    <t>04M146</t>
  </si>
  <si>
    <t>P.S. 146 Ann M. Short</t>
  </si>
  <si>
    <t>421 East 106 Street</t>
  </si>
  <si>
    <t>M435</t>
  </si>
  <si>
    <t>260 Pleasant Avenue</t>
  </si>
  <si>
    <t>04M435</t>
  </si>
  <si>
    <t>Manhattan Center for Science and Mathematics</t>
  </si>
  <si>
    <t>M825</t>
  </si>
  <si>
    <t>04M825</t>
  </si>
  <si>
    <t>Isaac Newton Middle School for Math &amp; Science</t>
  </si>
  <si>
    <t>M646</t>
  </si>
  <si>
    <t>M310</t>
  </si>
  <si>
    <t>04M310</t>
  </si>
  <si>
    <t>The Judith S. Kaye School</t>
  </si>
  <si>
    <t>321 East  96 Street</t>
  </si>
  <si>
    <t>M895</t>
  </si>
  <si>
    <t>M610</t>
  </si>
  <si>
    <t>04M610</t>
  </si>
  <si>
    <t>Young Women's Leadership School</t>
  </si>
  <si>
    <t>105 East 106 Street</t>
  </si>
  <si>
    <t>05</t>
  </si>
  <si>
    <t>M010</t>
  </si>
  <si>
    <t>M499</t>
  </si>
  <si>
    <t>05M499</t>
  </si>
  <si>
    <t>Frederick Douglass Academy</t>
  </si>
  <si>
    <t>2581 7Th Avenue</t>
  </si>
  <si>
    <t>M030</t>
  </si>
  <si>
    <t>05M030</t>
  </si>
  <si>
    <t>P.S. 030 Hernandez/Hughes</t>
  </si>
  <si>
    <t>144-176 East 128 Street</t>
  </si>
  <si>
    <t>M384</t>
  </si>
  <si>
    <t>84M384</t>
  </si>
  <si>
    <t>Success Academy Charter School - Harlem 2</t>
  </si>
  <si>
    <t>M036</t>
  </si>
  <si>
    <t>05M036</t>
  </si>
  <si>
    <t>P.S. 036 Margaret Douglas</t>
  </si>
  <si>
    <t>123 Morningside Drive</t>
  </si>
  <si>
    <t>M079</t>
  </si>
  <si>
    <t>75M079</t>
  </si>
  <si>
    <t>P.S. M079 - Horan School</t>
  </si>
  <si>
    <t>55 East 120 Street</t>
  </si>
  <si>
    <t>M092</t>
  </si>
  <si>
    <t>05M092</t>
  </si>
  <si>
    <t>P.S. 092 Mary McLeod Bethune</t>
  </si>
  <si>
    <t>222 West 134 Street</t>
  </si>
  <si>
    <t>M350</t>
  </si>
  <si>
    <t>84M350</t>
  </si>
  <si>
    <t>Democracy Preparatory Charter School</t>
  </si>
  <si>
    <t>M388</t>
  </si>
  <si>
    <t>84M388</t>
  </si>
  <si>
    <t>St. HOPE Leadership Academy Charter School</t>
  </si>
  <si>
    <t>M125</t>
  </si>
  <si>
    <t>05M125</t>
  </si>
  <si>
    <t>P.S. 125 Ralph Bunche</t>
  </si>
  <si>
    <t>433 West 123 Street</t>
  </si>
  <si>
    <t>M362</t>
  </si>
  <si>
    <t>05M362</t>
  </si>
  <si>
    <t>Columbia Secondary School</t>
  </si>
  <si>
    <t>M726</t>
  </si>
  <si>
    <t>84M726</t>
  </si>
  <si>
    <t>KIPP S.T.A.R. College Preparatory Charter School</t>
  </si>
  <si>
    <t>M175</t>
  </si>
  <si>
    <t>05M175</t>
  </si>
  <si>
    <t>P.S. 175 Henry H Garnet</t>
  </si>
  <si>
    <t>175 West 134 Street</t>
  </si>
  <si>
    <t>M482</t>
  </si>
  <si>
    <t>84M482</t>
  </si>
  <si>
    <t>Success Academy Charter School - Harlem 5</t>
  </si>
  <si>
    <t>M195</t>
  </si>
  <si>
    <t>M336</t>
  </si>
  <si>
    <t>84M336</t>
  </si>
  <si>
    <t>KIPP Infinity Charter School</t>
  </si>
  <si>
    <t>625 West 133 Street</t>
  </si>
  <si>
    <t>M514</t>
  </si>
  <si>
    <t>05M514</t>
  </si>
  <si>
    <t>New Design Middle School</t>
  </si>
  <si>
    <t>M200</t>
  </si>
  <si>
    <t>05M200</t>
  </si>
  <si>
    <t>P.S. 200- The James McCune Smith School</t>
  </si>
  <si>
    <t>2589 7 Avenue</t>
  </si>
  <si>
    <t>M223</t>
  </si>
  <si>
    <t>M702</t>
  </si>
  <si>
    <t>84M702</t>
  </si>
  <si>
    <t>Sisulu-Walker Charter School of Harlem</t>
  </si>
  <si>
    <t>71-111 Convent Ave</t>
  </si>
  <si>
    <t>M157</t>
  </si>
  <si>
    <t>05M157</t>
  </si>
  <si>
    <t>The Urban Assembly School for Global Commerce</t>
  </si>
  <si>
    <t>2005 Madison Avenue</t>
  </si>
  <si>
    <t>M481</t>
  </si>
  <si>
    <t>84M481</t>
  </si>
  <si>
    <t>Democracy Preparatory Harlem Charter School</t>
  </si>
  <si>
    <t>M908</t>
  </si>
  <si>
    <t>M284</t>
  </si>
  <si>
    <t>84M284</t>
  </si>
  <si>
    <t>Harlem Children's Zone Promise Academy Charter School</t>
  </si>
  <si>
    <t>245 West 129Th Street</t>
  </si>
  <si>
    <t>M911</t>
  </si>
  <si>
    <t>M285</t>
  </si>
  <si>
    <t>05M285</t>
  </si>
  <si>
    <t>Harlem Renaissance High School</t>
  </si>
  <si>
    <t>22 East 128 Street</t>
  </si>
  <si>
    <t>M970</t>
  </si>
  <si>
    <t>M670</t>
  </si>
  <si>
    <t>05M670</t>
  </si>
  <si>
    <t>Thurgood Marshall Academy for Learning and Social Change</t>
  </si>
  <si>
    <t>200-214 West 135Th Street</t>
  </si>
  <si>
    <t>06</t>
  </si>
  <si>
    <t>M004</t>
  </si>
  <si>
    <t>06M004</t>
  </si>
  <si>
    <t>P.S. 004 Duke Ellington</t>
  </si>
  <si>
    <t>500 West 160 Street</t>
  </si>
  <si>
    <t>M005</t>
  </si>
  <si>
    <t>06M005</t>
  </si>
  <si>
    <t>P.S. 005 Ellen Lurie</t>
  </si>
  <si>
    <t>3703 Tenth Avenue</t>
  </si>
  <si>
    <t>M008</t>
  </si>
  <si>
    <t>06M008</t>
  </si>
  <si>
    <t>P.S. 008 Luis Belliard</t>
  </si>
  <si>
    <t>465 West 167 Street</t>
  </si>
  <si>
    <t>M048</t>
  </si>
  <si>
    <t>06M048</t>
  </si>
  <si>
    <t>P.S. 048 P.O. Michael J. Buczek</t>
  </si>
  <si>
    <t>4360-78 Broadway</t>
  </si>
  <si>
    <t>M090</t>
  </si>
  <si>
    <t>M068</t>
  </si>
  <si>
    <t>84M068</t>
  </si>
  <si>
    <t>KIPP NYC Washington Heights Academy Charter School</t>
  </si>
  <si>
    <t>21 Jumel Place</t>
  </si>
  <si>
    <t>M319</t>
  </si>
  <si>
    <t>06M319</t>
  </si>
  <si>
    <t>M.S. 319 - Maria Teresa</t>
  </si>
  <si>
    <t>M324</t>
  </si>
  <si>
    <t>06M324</t>
  </si>
  <si>
    <t>M.S. 324 - Patria Mirabal</t>
  </si>
  <si>
    <t>M093</t>
  </si>
  <si>
    <t>M210</t>
  </si>
  <si>
    <t>06M210</t>
  </si>
  <si>
    <t>P.S./I.S. 210 - Twenty-first Century Academy for Community Leadership</t>
  </si>
  <si>
    <t>501-503 West 152 Street</t>
  </si>
  <si>
    <t>M098</t>
  </si>
  <si>
    <t>06M098</t>
  </si>
  <si>
    <t>P.S. 098 Shorac Kappock</t>
  </si>
  <si>
    <t>512 West 212 Street</t>
  </si>
  <si>
    <t>M373</t>
  </si>
  <si>
    <t>84M373</t>
  </si>
  <si>
    <t>Zeta Charter Schools - Inwood</t>
  </si>
  <si>
    <t>M128</t>
  </si>
  <si>
    <t>06M128</t>
  </si>
  <si>
    <t>P.S. 128 Audubon</t>
  </si>
  <si>
    <t>560 West 169 Street</t>
  </si>
  <si>
    <t>M513</t>
  </si>
  <si>
    <t>06M513</t>
  </si>
  <si>
    <t>Castle Bridge School</t>
  </si>
  <si>
    <t>M143</t>
  </si>
  <si>
    <t>06M143</t>
  </si>
  <si>
    <t>J.H.S. 143 Eleanor Roosevelt</t>
  </si>
  <si>
    <t>511 West 182Nd Street</t>
  </si>
  <si>
    <t>M348</t>
  </si>
  <si>
    <t>06M348</t>
  </si>
  <si>
    <t>Washington Heights Expeditionary Learning School</t>
  </si>
  <si>
    <t>M152</t>
  </si>
  <si>
    <t>06M152</t>
  </si>
  <si>
    <t>P.S. 152 Dyckman Valley</t>
  </si>
  <si>
    <t>93 Nagle Avenue</t>
  </si>
  <si>
    <t>M153</t>
  </si>
  <si>
    <t>06M153</t>
  </si>
  <si>
    <t>P.S. 153 Adam Clayton Powell</t>
  </si>
  <si>
    <t>1750 Amsterdam Avenue</t>
  </si>
  <si>
    <t>M368</t>
  </si>
  <si>
    <t>06M368</t>
  </si>
  <si>
    <t>The William Lynch School</t>
  </si>
  <si>
    <t>M173</t>
  </si>
  <si>
    <t>06M173</t>
  </si>
  <si>
    <t>P.S. 173</t>
  </si>
  <si>
    <t>306 Fort Washington Avenue</t>
  </si>
  <si>
    <t>M349</t>
  </si>
  <si>
    <t>06M349</t>
  </si>
  <si>
    <t>Harbor Heights</t>
  </si>
  <si>
    <t>M176</t>
  </si>
  <si>
    <t>M311</t>
  </si>
  <si>
    <t>06M311</t>
  </si>
  <si>
    <t>Amistad Dual Language School</t>
  </si>
  <si>
    <t>4862 Broadway</t>
  </si>
  <si>
    <t>M314</t>
  </si>
  <si>
    <t>06M314</t>
  </si>
  <si>
    <t>Muscota</t>
  </si>
  <si>
    <t>M178</t>
  </si>
  <si>
    <t>06M178</t>
  </si>
  <si>
    <t>Professor Juan Bosch Public School</t>
  </si>
  <si>
    <t>12-18 Ellwood Street</t>
  </si>
  <si>
    <t>M189</t>
  </si>
  <si>
    <t>2580 Amsterdam Avenue</t>
  </si>
  <si>
    <t>06M189</t>
  </si>
  <si>
    <t>P.S. 189</t>
  </si>
  <si>
    <t>M218</t>
  </si>
  <si>
    <t>M293</t>
  </si>
  <si>
    <t>06M293</t>
  </si>
  <si>
    <t>City College Academy of the Arts</t>
  </si>
  <si>
    <t>4600 Broadway</t>
  </si>
  <si>
    <t>M322</t>
  </si>
  <si>
    <t>06M322</t>
  </si>
  <si>
    <t>Middle School 322</t>
  </si>
  <si>
    <t>M263</t>
  </si>
  <si>
    <t>M366</t>
  </si>
  <si>
    <t>06M366</t>
  </si>
  <si>
    <t>Washington Heights Academy</t>
  </si>
  <si>
    <t>202 Sherman Ave</t>
  </si>
  <si>
    <t>M465</t>
  </si>
  <si>
    <t>M462</t>
  </si>
  <si>
    <t>06M462</t>
  </si>
  <si>
    <t>The College Academy</t>
  </si>
  <si>
    <t>549 Audubon Avenue</t>
  </si>
  <si>
    <t>M463</t>
  </si>
  <si>
    <t>06M463</t>
  </si>
  <si>
    <t>High School for Media and Communications</t>
  </si>
  <si>
    <t>M467</t>
  </si>
  <si>
    <t>06M467</t>
  </si>
  <si>
    <t>High School for Law and Public Service</t>
  </si>
  <si>
    <t>M468</t>
  </si>
  <si>
    <t>06M468</t>
  </si>
  <si>
    <t>High School for Health Careers and Sciences</t>
  </si>
  <si>
    <t>M528</t>
  </si>
  <si>
    <t>06M528</t>
  </si>
  <si>
    <t>I.S. 528 Bea Fuller Rodgers School</t>
  </si>
  <si>
    <t>180 Wadsworth Avenue</t>
  </si>
  <si>
    <t>M540</t>
  </si>
  <si>
    <t>06M540</t>
  </si>
  <si>
    <t>A. Philip Randolph Campus High School</t>
  </si>
  <si>
    <t>443 West 135 Street</t>
  </si>
  <si>
    <t>M812</t>
  </si>
  <si>
    <t>M692</t>
  </si>
  <si>
    <t>05M692</t>
  </si>
  <si>
    <t>High School for Mathematics, Science and Engineering at City College</t>
  </si>
  <si>
    <t>240 Convent Ave</t>
  </si>
  <si>
    <t>M814</t>
  </si>
  <si>
    <t>M346</t>
  </si>
  <si>
    <t>06M346</t>
  </si>
  <si>
    <t>Community Health Academy of the Heights</t>
  </si>
  <si>
    <t>504 West 158Th Street</t>
  </si>
  <si>
    <t>M876</t>
  </si>
  <si>
    <t>M552</t>
  </si>
  <si>
    <t>06M552</t>
  </si>
  <si>
    <t>Gregorio Luperon High School for Science and Mathematics</t>
  </si>
  <si>
    <t>501 West 165Th Street</t>
  </si>
  <si>
    <t>M898</t>
  </si>
  <si>
    <t>M018</t>
  </si>
  <si>
    <t>06M018</t>
  </si>
  <si>
    <t>P.S. 018 Park Terrace</t>
  </si>
  <si>
    <t>4124 9 Avenue</t>
  </si>
  <si>
    <t>M918</t>
  </si>
  <si>
    <t>M278</t>
  </si>
  <si>
    <t>06M278</t>
  </si>
  <si>
    <t>Paula Hedbavny School</t>
  </si>
  <si>
    <t>421 W 219Th St</t>
  </si>
  <si>
    <t>24</t>
  </si>
  <si>
    <t>Queens</t>
  </si>
  <si>
    <t>Q005</t>
  </si>
  <si>
    <t>24Q005</t>
  </si>
  <si>
    <t>I.S. 5 - The Walter Crowley Intermediate School</t>
  </si>
  <si>
    <t>50-40 Jacobus Street</t>
  </si>
  <si>
    <t>Q009</t>
  </si>
  <si>
    <t>75Q009</t>
  </si>
  <si>
    <t>P.S. 009</t>
  </si>
  <si>
    <t>Q007</t>
  </si>
  <si>
    <t>24Q007</t>
  </si>
  <si>
    <t>P.S. 007 Louis F. Simeone</t>
  </si>
  <si>
    <t>80-55 Cornish Avenue</t>
  </si>
  <si>
    <t>Q255</t>
  </si>
  <si>
    <t>75Q255</t>
  </si>
  <si>
    <t>P.S. Q255</t>
  </si>
  <si>
    <t>Q012</t>
  </si>
  <si>
    <t>24Q012</t>
  </si>
  <si>
    <t>P.S. 012 James B. Colgate</t>
  </si>
  <si>
    <t>42-00 72 Street</t>
  </si>
  <si>
    <t>Q013</t>
  </si>
  <si>
    <t>24Q013</t>
  </si>
  <si>
    <t>P.S. 013 Clement C. Moore</t>
  </si>
  <si>
    <t>55-01 94 Street</t>
  </si>
  <si>
    <t>Q014</t>
  </si>
  <si>
    <t>24Q014</t>
  </si>
  <si>
    <t>P.S. 014 Fairview</t>
  </si>
  <si>
    <t>107-01 Otis Avenue</t>
  </si>
  <si>
    <t>Q019</t>
  </si>
  <si>
    <t>24Q019</t>
  </si>
  <si>
    <t>P.S. 019 Marino Jeantet</t>
  </si>
  <si>
    <t>98-02 Roosevelt Avenue</t>
  </si>
  <si>
    <t>Q028</t>
  </si>
  <si>
    <t>24Q028</t>
  </si>
  <si>
    <t>P.S. 28 - The Thomas Emanuel Early Childhood Center</t>
  </si>
  <si>
    <t>109-10 47 Avenue</t>
  </si>
  <si>
    <t>Q049</t>
  </si>
  <si>
    <t>24Q049</t>
  </si>
  <si>
    <t>P.S. 049 Dorothy Bonawit Kole</t>
  </si>
  <si>
    <t>63-60 80Th Street</t>
  </si>
  <si>
    <t>Q058</t>
  </si>
  <si>
    <t>72-24 Grand Avenue</t>
  </si>
  <si>
    <t>24Q058</t>
  </si>
  <si>
    <t>P.S. 58 - The School of Heroes</t>
  </si>
  <si>
    <t>Q061</t>
  </si>
  <si>
    <t>24Q061</t>
  </si>
  <si>
    <t>I.S. 061 Leonardo Da Vinci</t>
  </si>
  <si>
    <t>98-50 50 Avenue</t>
  </si>
  <si>
    <t>Q068</t>
  </si>
  <si>
    <t>24Q068</t>
  </si>
  <si>
    <t>P.S. 068 Cambridge</t>
  </si>
  <si>
    <t>59-09 Saint Felix Avenue</t>
  </si>
  <si>
    <t>Q071</t>
  </si>
  <si>
    <t>24Q071</t>
  </si>
  <si>
    <t>P.S. 071 Forest</t>
  </si>
  <si>
    <t>62-85 Forest Avenue</t>
  </si>
  <si>
    <t>Q073</t>
  </si>
  <si>
    <t>24Q073</t>
  </si>
  <si>
    <t>I.S. 73 - The Frank Sansivieri Intermediate School</t>
  </si>
  <si>
    <t>70-02 54 Avenue</t>
  </si>
  <si>
    <t>Q087</t>
  </si>
  <si>
    <t>24Q087</t>
  </si>
  <si>
    <t>P.S./I.S. 087 Middle Village</t>
  </si>
  <si>
    <t>67-54 80 Street</t>
  </si>
  <si>
    <t>Q088</t>
  </si>
  <si>
    <t>24Q088</t>
  </si>
  <si>
    <t>P.S. 088 Seneca</t>
  </si>
  <si>
    <t>60-85 Catalpa Avenue</t>
  </si>
  <si>
    <t>Q089</t>
  </si>
  <si>
    <t>24Q089</t>
  </si>
  <si>
    <t>P.S. 89Q: The Jose Peralta School of Dreamers</t>
  </si>
  <si>
    <t>85-28 Britton Avenue</t>
  </si>
  <si>
    <t>Q091</t>
  </si>
  <si>
    <t>24Q091</t>
  </si>
  <si>
    <t>P.S. 091 Richard Arkwright</t>
  </si>
  <si>
    <t>68-10 Central Ave</t>
  </si>
  <si>
    <t>Q093</t>
  </si>
  <si>
    <t>Q075</t>
  </si>
  <si>
    <t>75Q075</t>
  </si>
  <si>
    <t>Robert E. Peary School</t>
  </si>
  <si>
    <t>66-56 Forest Avenue</t>
  </si>
  <si>
    <t>24Q093</t>
  </si>
  <si>
    <t>I.S. 093 Ridgewood</t>
  </si>
  <si>
    <t>Q102</t>
  </si>
  <si>
    <t>24Q102</t>
  </si>
  <si>
    <t>P.S. 102 Bayview</t>
  </si>
  <si>
    <t>55-24 Van Horn Street</t>
  </si>
  <si>
    <t>Q113</t>
  </si>
  <si>
    <t>24Q113</t>
  </si>
  <si>
    <t>P.S./I.S. 113 Anthony J. Pranzo</t>
  </si>
  <si>
    <t>78-23 87Th Street</t>
  </si>
  <si>
    <t>Q119</t>
  </si>
  <si>
    <t>24Q119</t>
  </si>
  <si>
    <t>P.S./I.S. 119 The Glendale</t>
  </si>
  <si>
    <t>74-01 78 Avenue</t>
  </si>
  <si>
    <t>Q125</t>
  </si>
  <si>
    <t>24Q125</t>
  </si>
  <si>
    <t>I.S. 125 Thom J. McCann Woodside</t>
  </si>
  <si>
    <t>46-02 47 Avenue</t>
  </si>
  <si>
    <t>Q143</t>
  </si>
  <si>
    <t>24Q143</t>
  </si>
  <si>
    <t>P.S. 143 Louis Armstrong</t>
  </si>
  <si>
    <t>34-74 113 Street</t>
  </si>
  <si>
    <t>Q153</t>
  </si>
  <si>
    <t>24Q153</t>
  </si>
  <si>
    <t>P.S. 153 Maspeth Elem</t>
  </si>
  <si>
    <t>60-02 60 Lane</t>
  </si>
  <si>
    <t>Q199</t>
  </si>
  <si>
    <t>24Q199</t>
  </si>
  <si>
    <t>P.S. 199 Maurice A. Fitzgerald</t>
  </si>
  <si>
    <t>39-20 48 Avenue</t>
  </si>
  <si>
    <t>Q229</t>
  </si>
  <si>
    <t>24Q229</t>
  </si>
  <si>
    <t>P.S. 229 Emanuel Kaplan</t>
  </si>
  <si>
    <t>67-25 51 Road</t>
  </si>
  <si>
    <t>Q239</t>
  </si>
  <si>
    <t>17-15 Weirfield Street</t>
  </si>
  <si>
    <t>24Q239</t>
  </si>
  <si>
    <t>P.S. 239</t>
  </si>
  <si>
    <t>Q245</t>
  </si>
  <si>
    <t>Q305</t>
  </si>
  <si>
    <t>24Q305</t>
  </si>
  <si>
    <t>Learners and Leaders</t>
  </si>
  <si>
    <t>378 Seneca Avenue</t>
  </si>
  <si>
    <t>Q247</t>
  </si>
  <si>
    <t>Q128</t>
  </si>
  <si>
    <t>24Q128</t>
  </si>
  <si>
    <t>P.S. 128 The Lorraine Tuzzo, Juniper Valley Elementary School</t>
  </si>
  <si>
    <t>69-10 65Th Drive</t>
  </si>
  <si>
    <t>Q260</t>
  </si>
  <si>
    <t>40-20 100Th Street</t>
  </si>
  <si>
    <t>Q307</t>
  </si>
  <si>
    <t>24Q307</t>
  </si>
  <si>
    <t>Pioneer Academy</t>
  </si>
  <si>
    <t>Q287</t>
  </si>
  <si>
    <t>Q330</t>
  </si>
  <si>
    <t>24Q330</t>
  </si>
  <si>
    <t>Helen M. Marshall School</t>
  </si>
  <si>
    <t>110-08 Northern Boulevard</t>
  </si>
  <si>
    <t>Q290</t>
  </si>
  <si>
    <t>Q277</t>
  </si>
  <si>
    <t>75Q277</t>
  </si>
  <si>
    <t>The Riverview School</t>
  </si>
  <si>
    <t>55-20 Metropolitan Avenue</t>
  </si>
  <si>
    <t>24Q290</t>
  </si>
  <si>
    <t>A.C.E. Academy for Scholars at the Geraldine Ferraro Campus</t>
  </si>
  <si>
    <t>Q298</t>
  </si>
  <si>
    <t>Q211</t>
  </si>
  <si>
    <t>24Q211</t>
  </si>
  <si>
    <t>Elm Tree Elementary School</t>
  </si>
  <si>
    <t>50-51 98Th Street</t>
  </si>
  <si>
    <t>Q311</t>
  </si>
  <si>
    <t>98-11 44Th Avenue</t>
  </si>
  <si>
    <t>24Q311</t>
  </si>
  <si>
    <t>Corona Arts &amp; Sciences Academy</t>
  </si>
  <si>
    <t>Q313</t>
  </si>
  <si>
    <t>Q343</t>
  </si>
  <si>
    <t>24Q343</t>
  </si>
  <si>
    <t>The Children's Lab School</t>
  </si>
  <si>
    <t>45-45 42Nd Street</t>
  </si>
  <si>
    <t>Q315</t>
  </si>
  <si>
    <t>Q110</t>
  </si>
  <si>
    <t>24Q110</t>
  </si>
  <si>
    <t>P.S. 110</t>
  </si>
  <si>
    <t>43-18 97Th Place</t>
  </si>
  <si>
    <t>Q419</t>
  </si>
  <si>
    <t>111-10 Astoria Boulevard</t>
  </si>
  <si>
    <t>24Q419</t>
  </si>
  <si>
    <t>New 2021 D.24 MS in Building Q419</t>
  </si>
  <si>
    <t>Q485</t>
  </si>
  <si>
    <t>21-27 Himrod Street</t>
  </si>
  <si>
    <t>24Q485</t>
  </si>
  <si>
    <t>Grover Cleveland High School</t>
  </si>
  <si>
    <t>Q520</t>
  </si>
  <si>
    <t>24Q520</t>
  </si>
  <si>
    <t>Middle College High School at LaGuardia Community College</t>
  </si>
  <si>
    <t>45-35 Van Dam Street</t>
  </si>
  <si>
    <t>Q530</t>
  </si>
  <si>
    <t>24Q530</t>
  </si>
  <si>
    <t>International High School at LaGuardia Community College</t>
  </si>
  <si>
    <t>Q585</t>
  </si>
  <si>
    <t>24Q585</t>
  </si>
  <si>
    <t>Maspeth High School</t>
  </si>
  <si>
    <t>54-40 74Th Street</t>
  </si>
  <si>
    <t>Q721</t>
  </si>
  <si>
    <t>75Q721</t>
  </si>
  <si>
    <t>John F. Kennedy Jr. School</t>
  </si>
  <si>
    <t>Q600</t>
  </si>
  <si>
    <t>24Q600</t>
  </si>
  <si>
    <t>Queens Technical High School</t>
  </si>
  <si>
    <t>37-02 47 Avenue</t>
  </si>
  <si>
    <t>Q610</t>
  </si>
  <si>
    <t>24Q610</t>
  </si>
  <si>
    <t>Aviation Career &amp; Technical Education High School</t>
  </si>
  <si>
    <t>45-30 36 Street</t>
  </si>
  <si>
    <t>Q016</t>
  </si>
  <si>
    <t>24Q016</t>
  </si>
  <si>
    <t>P.S. Q016 The Nancy DeBenedittis School</t>
  </si>
  <si>
    <t>41-15 104 Street</t>
  </si>
  <si>
    <t>Q722</t>
  </si>
  <si>
    <t>57-12 94 Street</t>
  </si>
  <si>
    <t>Q735</t>
  </si>
  <si>
    <t>Q264</t>
  </si>
  <si>
    <t>24Q264</t>
  </si>
  <si>
    <t>Academy of Finance and Enterprise</t>
  </si>
  <si>
    <t>30-20 Thomson Avenue</t>
  </si>
  <si>
    <t>Q267</t>
  </si>
  <si>
    <t>24Q267</t>
  </si>
  <si>
    <t>High School of Applied Communication</t>
  </si>
  <si>
    <t>Q299</t>
  </si>
  <si>
    <t>24Q299</t>
  </si>
  <si>
    <t>Bard High School Early College Queens</t>
  </si>
  <si>
    <t>Q744</t>
  </si>
  <si>
    <t>Q293</t>
  </si>
  <si>
    <t>24Q293</t>
  </si>
  <si>
    <t>Civic Leadership Academy</t>
  </si>
  <si>
    <t>45-10 94Th Street</t>
  </si>
  <si>
    <t>Q296</t>
  </si>
  <si>
    <t>24Q296</t>
  </si>
  <si>
    <t>Pan American International High School</t>
  </si>
  <si>
    <t>24Q744</t>
  </si>
  <si>
    <t>VOYAGES Preparatory</t>
  </si>
  <si>
    <t>Q752</t>
  </si>
  <si>
    <t>75Q752</t>
  </si>
  <si>
    <t>Queens Transition Center</t>
  </si>
  <si>
    <t>Q849</t>
  </si>
  <si>
    <t>K556</t>
  </si>
  <si>
    <t>32K556</t>
  </si>
  <si>
    <t>Bushwick Leaders High School for Academic Excellence</t>
  </si>
  <si>
    <t>976 Seneca Avenue</t>
  </si>
  <si>
    <t>Q077</t>
  </si>
  <si>
    <t>24Q077</t>
  </si>
  <si>
    <t>Joseph F. Quinn Intermediate School 77</t>
  </si>
  <si>
    <t>Q891</t>
  </si>
  <si>
    <t>Q560</t>
  </si>
  <si>
    <t>24Q560</t>
  </si>
  <si>
    <t>Robert F. Wagner, Jr. Secondary School for Arts and Technology</t>
  </si>
  <si>
    <t>47-07 30Th Place</t>
  </si>
  <si>
    <t>25</t>
  </si>
  <si>
    <t>Q020</t>
  </si>
  <si>
    <t>25Q020</t>
  </si>
  <si>
    <t>P.S. 020 John Bowne</t>
  </si>
  <si>
    <t>142-30 Barclay Avenue</t>
  </si>
  <si>
    <t>Q021</t>
  </si>
  <si>
    <t>25Q021</t>
  </si>
  <si>
    <t>P.S. 021 Edward Hart</t>
  </si>
  <si>
    <t>147-36 26 Avenue</t>
  </si>
  <si>
    <t>Q024</t>
  </si>
  <si>
    <t>25Q024</t>
  </si>
  <si>
    <t>P.S. 024 Andrew Jackson</t>
  </si>
  <si>
    <t>141-11 Holly Avenue</t>
  </si>
  <si>
    <t>Q025</t>
  </si>
  <si>
    <t>25Q025</t>
  </si>
  <si>
    <t>I.S. 025 Adrien Block</t>
  </si>
  <si>
    <t>34-65 192 Street</t>
  </si>
  <si>
    <t>Q233</t>
  </si>
  <si>
    <t>75Q233</t>
  </si>
  <si>
    <t>P.S. Q233</t>
  </si>
  <si>
    <t>Q285</t>
  </si>
  <si>
    <t>25Q285</t>
  </si>
  <si>
    <t>World Journalism Preparatory: A College Board School</t>
  </si>
  <si>
    <t>Q029</t>
  </si>
  <si>
    <t>25Q029</t>
  </si>
  <si>
    <t>P.S. 029 Queens</t>
  </si>
  <si>
    <t>125-10 23 Avenue</t>
  </si>
  <si>
    <t>Q079</t>
  </si>
  <si>
    <t>25Q079</t>
  </si>
  <si>
    <t>P.S. 079 Francis Lewis</t>
  </si>
  <si>
    <t>147-27 15 Drive</t>
  </si>
  <si>
    <t>Q107</t>
  </si>
  <si>
    <t>25Q107</t>
  </si>
  <si>
    <t>P.S. 107 Thomas A Dooley</t>
  </si>
  <si>
    <t>167-02 45 Avenue</t>
  </si>
  <si>
    <t>Q120</t>
  </si>
  <si>
    <t>25Q120</t>
  </si>
  <si>
    <t>P.S. 120 Queens</t>
  </si>
  <si>
    <t>58-01 136 Street</t>
  </si>
  <si>
    <t>Q129</t>
  </si>
  <si>
    <t>25Q129</t>
  </si>
  <si>
    <t>P.S. 129 Patricia Larkin</t>
  </si>
  <si>
    <t>128-02 7 Avenue</t>
  </si>
  <si>
    <t>Q154</t>
  </si>
  <si>
    <t>25Q154</t>
  </si>
  <si>
    <t>P.S. 154 Queens</t>
  </si>
  <si>
    <t>75-02 162 Street</t>
  </si>
  <si>
    <t>Q163</t>
  </si>
  <si>
    <t>25Q163</t>
  </si>
  <si>
    <t>P.S. 163 Flushing Heights</t>
  </si>
  <si>
    <t>159-01 59 Avenue</t>
  </si>
  <si>
    <t>Q165</t>
  </si>
  <si>
    <t>25Q165</t>
  </si>
  <si>
    <t>P.S. 165 Edith K. Bergtraum</t>
  </si>
  <si>
    <t>70-35 150 Street</t>
  </si>
  <si>
    <t>Q168</t>
  </si>
  <si>
    <t>Q250</t>
  </si>
  <si>
    <t>25Q250</t>
  </si>
  <si>
    <t>I.S. 250 The Robert F. Kennedy Community Middle School</t>
  </si>
  <si>
    <t>158-40 76 Road</t>
  </si>
  <si>
    <t>Q252</t>
  </si>
  <si>
    <t>25Q252</t>
  </si>
  <si>
    <t>Queens School of Inquiry, The</t>
  </si>
  <si>
    <t>Q185</t>
  </si>
  <si>
    <t>25Q185</t>
  </si>
  <si>
    <t>J.H.S. 185 Edward Bleeker</t>
  </si>
  <si>
    <t>147-26 25 Drive</t>
  </si>
  <si>
    <t>Q209</t>
  </si>
  <si>
    <t>16-10 Utopia Parkway</t>
  </si>
  <si>
    <t>25Q209</t>
  </si>
  <si>
    <t>P.S. 209 Clearview Gardens</t>
  </si>
  <si>
    <t>Q237</t>
  </si>
  <si>
    <t>25Q237</t>
  </si>
  <si>
    <t>I.S. 237</t>
  </si>
  <si>
    <t>46-21 Colden Street</t>
  </si>
  <si>
    <t>Q281</t>
  </si>
  <si>
    <t>25Q281</t>
  </si>
  <si>
    <t>East-West School of International Studies</t>
  </si>
  <si>
    <t>Q242</t>
  </si>
  <si>
    <t>25Q242</t>
  </si>
  <si>
    <t>P.S. 242 Leonard P. Stavisky Early Childhood School</t>
  </si>
  <si>
    <t>29-66 137 Street</t>
  </si>
  <si>
    <t>Q244</t>
  </si>
  <si>
    <t>25Q244</t>
  </si>
  <si>
    <t>The Active Learning Elementary School</t>
  </si>
  <si>
    <t>137-20 Franklin Avenue</t>
  </si>
  <si>
    <t>Q336</t>
  </si>
  <si>
    <t>Q379</t>
  </si>
  <si>
    <t>25Q379</t>
  </si>
  <si>
    <t>College Point Collaborative</t>
  </si>
  <si>
    <t>124-06 14 Avenue</t>
  </si>
  <si>
    <t>Q425</t>
  </si>
  <si>
    <t>25Q425</t>
  </si>
  <si>
    <t>John Bowne High School</t>
  </si>
  <si>
    <t>63-25 Main Street</t>
  </si>
  <si>
    <t>Q499</t>
  </si>
  <si>
    <t>25Q499</t>
  </si>
  <si>
    <t>The Queens College School for Math, Science and Technology</t>
  </si>
  <si>
    <t>148-20 Reeves Avenue</t>
  </si>
  <si>
    <t>Q993</t>
  </si>
  <si>
    <t>75Q993</t>
  </si>
  <si>
    <t>P.S. Q993</t>
  </si>
  <si>
    <t>Q515</t>
  </si>
  <si>
    <t>149-11 Melbourne Avenue</t>
  </si>
  <si>
    <t>Q525</t>
  </si>
  <si>
    <t>25Q525</t>
  </si>
  <si>
    <t>Townsend Harris High School</t>
  </si>
  <si>
    <t>26</t>
  </si>
  <si>
    <t>Q046</t>
  </si>
  <si>
    <t>26Q046</t>
  </si>
  <si>
    <t>P.S. 046 Alley Pond</t>
  </si>
  <si>
    <t>64-45 218 Street</t>
  </si>
  <si>
    <t>Q067</t>
  </si>
  <si>
    <t>26Q067</t>
  </si>
  <si>
    <t>J.H.S. 067 Louis Pasteur</t>
  </si>
  <si>
    <t>51-60 Marathon Parkway</t>
  </si>
  <si>
    <t>Q074</t>
  </si>
  <si>
    <t>26Q074</t>
  </si>
  <si>
    <t>J.H.S. 074 Nathaniel Hawthorne</t>
  </si>
  <si>
    <t>61-15 Oceania Street</t>
  </si>
  <si>
    <t>Q094</t>
  </si>
  <si>
    <t>26Q094</t>
  </si>
  <si>
    <t>P.S. 094 David D. Porter</t>
  </si>
  <si>
    <t>41-77 Little Neck Parkway</t>
  </si>
  <si>
    <t>Q115</t>
  </si>
  <si>
    <t>26Q115</t>
  </si>
  <si>
    <t>The James J. Ambrose School</t>
  </si>
  <si>
    <t>80-51 261 Street</t>
  </si>
  <si>
    <t>Q130</t>
  </si>
  <si>
    <t>25Q130</t>
  </si>
  <si>
    <t>P.S. 130</t>
  </si>
  <si>
    <t>200-01 42 Avenue</t>
  </si>
  <si>
    <t>Q158</t>
  </si>
  <si>
    <t>26Q158</t>
  </si>
  <si>
    <t>M.S. 158 Marie Curie</t>
  </si>
  <si>
    <t>46-35 Oceania Street</t>
  </si>
  <si>
    <t>Q172</t>
  </si>
  <si>
    <t>26Q172</t>
  </si>
  <si>
    <t>Irwin Altman Middle School 172</t>
  </si>
  <si>
    <t>81-14 257 Street</t>
  </si>
  <si>
    <t>Q177</t>
  </si>
  <si>
    <t>75Q177</t>
  </si>
  <si>
    <t>P.S. Q177</t>
  </si>
  <si>
    <t>56-37 188 Street</t>
  </si>
  <si>
    <t>Q179</t>
  </si>
  <si>
    <t>Q004</t>
  </si>
  <si>
    <t>75Q004</t>
  </si>
  <si>
    <t>P.S. Q004</t>
  </si>
  <si>
    <t>196-25 Peck Avenue</t>
  </si>
  <si>
    <t>Q186</t>
  </si>
  <si>
    <t>26Q186</t>
  </si>
  <si>
    <t>P.S. 186 Castlewood</t>
  </si>
  <si>
    <t>252-12 72 Avenue</t>
  </si>
  <si>
    <t>Q224</t>
  </si>
  <si>
    <t>75Q224</t>
  </si>
  <si>
    <t>P.S. Q224</t>
  </si>
  <si>
    <t>Q188</t>
  </si>
  <si>
    <t>26Q188</t>
  </si>
  <si>
    <t>P.S. 188 Kingsbury</t>
  </si>
  <si>
    <t>218-12 Hartland Avenue</t>
  </si>
  <si>
    <t>Q191</t>
  </si>
  <si>
    <t>26Q191</t>
  </si>
  <si>
    <t>P.S. 191 Mayflower</t>
  </si>
  <si>
    <t>85-15 258 Street</t>
  </si>
  <si>
    <t>Q208</t>
  </si>
  <si>
    <t>29Q208</t>
  </si>
  <si>
    <t>P.S./I.S. 208</t>
  </si>
  <si>
    <t>74-30 Commonwealth Blvd</t>
  </si>
  <si>
    <t>Q213</t>
  </si>
  <si>
    <t>231-02 67 Avenue</t>
  </si>
  <si>
    <t>26Q213</t>
  </si>
  <si>
    <t>P.S. 213 The Carl Ullman School</t>
  </si>
  <si>
    <t>Q216</t>
  </si>
  <si>
    <t>26Q216</t>
  </si>
  <si>
    <t>J.H.S. 216 George J. Ryan</t>
  </si>
  <si>
    <t>64-20 175 Street</t>
  </si>
  <si>
    <t>Q266</t>
  </si>
  <si>
    <t>74-10 Commonwealth Boulevard</t>
  </si>
  <si>
    <t>26Q266</t>
  </si>
  <si>
    <t>P.S./I.S. 266</t>
  </si>
  <si>
    <t>Q332</t>
  </si>
  <si>
    <t>Q376</t>
  </si>
  <si>
    <t>26Q376</t>
  </si>
  <si>
    <t>P.S. 376</t>
  </si>
  <si>
    <t>210-21 48 Avenue</t>
  </si>
  <si>
    <t>Q361</t>
  </si>
  <si>
    <t>Q041</t>
  </si>
  <si>
    <t>26Q041</t>
  </si>
  <si>
    <t>P.S. 041 Crocheron</t>
  </si>
  <si>
    <t>56-10 214 Street</t>
  </si>
  <si>
    <t>Q390</t>
  </si>
  <si>
    <t>26Q390</t>
  </si>
  <si>
    <t>The CIVIC School of Bayside Hills</t>
  </si>
  <si>
    <t>Q405</t>
  </si>
  <si>
    <t>Q495</t>
  </si>
  <si>
    <t>26Q495</t>
  </si>
  <si>
    <t>Bayside High School</t>
  </si>
  <si>
    <t>32-24 Corporal Kennedy Street</t>
  </si>
  <si>
    <t>Q811</t>
  </si>
  <si>
    <t>75Q811</t>
  </si>
  <si>
    <t>P.S. Q811</t>
  </si>
  <si>
    <t>Q415</t>
  </si>
  <si>
    <t>26Q415</t>
  </si>
  <si>
    <t>Benjamin N. Cardozo High School</t>
  </si>
  <si>
    <t>57-00 223Rd Street</t>
  </si>
  <si>
    <t>Q430</t>
  </si>
  <si>
    <t>26Q430</t>
  </si>
  <si>
    <t>Francis Lewis High School</t>
  </si>
  <si>
    <t>58-20 Utopia Parkway</t>
  </si>
  <si>
    <t>Q435</t>
  </si>
  <si>
    <t>230-17 Hillside Avenue</t>
  </si>
  <si>
    <t>26Q315</t>
  </si>
  <si>
    <t>Business Technology Early College High School</t>
  </si>
  <si>
    <t>26Q435</t>
  </si>
  <si>
    <t>Martin Van Buren High School</t>
  </si>
  <si>
    <t>Q566</t>
  </si>
  <si>
    <t>26Q566</t>
  </si>
  <si>
    <t>Queens High School of Teaching, Liberal Arts and the Sciences</t>
  </si>
  <si>
    <t>74-20 Commonwealth Blvd</t>
  </si>
  <si>
    <t>61-25 Marathon Parkway</t>
  </si>
  <si>
    <t>27</t>
  </si>
  <si>
    <t>Q042</t>
  </si>
  <si>
    <t>27Q042</t>
  </si>
  <si>
    <t>P.S./M.S 042 R. Vernam</t>
  </si>
  <si>
    <t>488 Beach  66 Street</t>
  </si>
  <si>
    <t>Q043</t>
  </si>
  <si>
    <t>27Q043</t>
  </si>
  <si>
    <t>P.S. 043</t>
  </si>
  <si>
    <t>160 Beach  29 Street</t>
  </si>
  <si>
    <t>Q256</t>
  </si>
  <si>
    <t>75Q256</t>
  </si>
  <si>
    <t>P.S. Q256</t>
  </si>
  <si>
    <t>Q051</t>
  </si>
  <si>
    <t>27Q051</t>
  </si>
  <si>
    <t>P.S. 051</t>
  </si>
  <si>
    <t>87-45 117 Street</t>
  </si>
  <si>
    <t>Q053</t>
  </si>
  <si>
    <t>27Q053</t>
  </si>
  <si>
    <t>M.S. 053 Brian Piccolo</t>
  </si>
  <si>
    <t>10-45 Nameoke Street</t>
  </si>
  <si>
    <t>Q319</t>
  </si>
  <si>
    <t>27Q319</t>
  </si>
  <si>
    <t xml:space="preserve">Village Academy </t>
  </si>
  <si>
    <t>Q375</t>
  </si>
  <si>
    <t>84Q375</t>
  </si>
  <si>
    <t>Success Academy Charter School - Far Rockaway</t>
  </si>
  <si>
    <t>Q060</t>
  </si>
  <si>
    <t>27Q060</t>
  </si>
  <si>
    <t>P.S. 060 Woodhaven</t>
  </si>
  <si>
    <t>91-02 88 Avenue</t>
  </si>
  <si>
    <t>Q062</t>
  </si>
  <si>
    <t>27Q062</t>
  </si>
  <si>
    <t>P. S. 62 - Chester Park School</t>
  </si>
  <si>
    <t>97-25 108 Street</t>
  </si>
  <si>
    <t>Q063</t>
  </si>
  <si>
    <t>27Q063</t>
  </si>
  <si>
    <t>P.S. 063 Old South</t>
  </si>
  <si>
    <t>90-15 Sutter Avenue</t>
  </si>
  <si>
    <t>Q064</t>
  </si>
  <si>
    <t>27Q064</t>
  </si>
  <si>
    <t>P.S. 064 Joseph P. Addabbo</t>
  </si>
  <si>
    <t>82-01 101 Avenue</t>
  </si>
  <si>
    <t>Q066</t>
  </si>
  <si>
    <t>27Q066</t>
  </si>
  <si>
    <t>P.S. 066 Jacqueline Kennedy Onassis</t>
  </si>
  <si>
    <t>85-11 102 Street</t>
  </si>
  <si>
    <t>Q097</t>
  </si>
  <si>
    <t>27Q097</t>
  </si>
  <si>
    <t>P.S. 097 Forest Park</t>
  </si>
  <si>
    <t>85-52 85 Street</t>
  </si>
  <si>
    <t>Q100</t>
  </si>
  <si>
    <t>27Q100</t>
  </si>
  <si>
    <t>P.S. 100 Glen Morris</t>
  </si>
  <si>
    <t>111-11 118 Street</t>
  </si>
  <si>
    <t>Q108</t>
  </si>
  <si>
    <t>27Q108</t>
  </si>
  <si>
    <t>P.S. 108 Captain Vincent G. Fowler</t>
  </si>
  <si>
    <t>108-10 109 Avenue</t>
  </si>
  <si>
    <t>Q114</t>
  </si>
  <si>
    <t>27Q114</t>
  </si>
  <si>
    <t>P.S./M.S. 114 Belle Harbor</t>
  </si>
  <si>
    <t>134-01 Cronston Avenue</t>
  </si>
  <si>
    <t>Q124</t>
  </si>
  <si>
    <t>27Q124</t>
  </si>
  <si>
    <t>P.S. 124 Osmond A Church</t>
  </si>
  <si>
    <t>129-15 150 Avenue</t>
  </si>
  <si>
    <t>Q137</t>
  </si>
  <si>
    <t>27Q137</t>
  </si>
  <si>
    <t>M.S. 137 America's School of Heroes</t>
  </si>
  <si>
    <t>109-15 98 Street</t>
  </si>
  <si>
    <t>Q180</t>
  </si>
  <si>
    <t>Q323</t>
  </si>
  <si>
    <t>27Q323</t>
  </si>
  <si>
    <t>Scholars' Academy</t>
  </si>
  <si>
    <t>320 Beach 104Th Street</t>
  </si>
  <si>
    <t>Q198</t>
  </si>
  <si>
    <t>3-65 Beach 56 Street</t>
  </si>
  <si>
    <t>Q333</t>
  </si>
  <si>
    <t>27Q333</t>
  </si>
  <si>
    <t>Goldie Maple Academy</t>
  </si>
  <si>
    <t>Q202</t>
  </si>
  <si>
    <t>27Q202</t>
  </si>
  <si>
    <t>J.H.S. 202 Robert H. Goddard</t>
  </si>
  <si>
    <t>138-30 Lafayette Street</t>
  </si>
  <si>
    <t>Q308</t>
  </si>
  <si>
    <t>27Q308</t>
  </si>
  <si>
    <t>Robert H. Goddard High School of Communication Arts and Technology</t>
  </si>
  <si>
    <t>Q207</t>
  </si>
  <si>
    <t>27Q207</t>
  </si>
  <si>
    <t>P.S. 207 Rockwood Park</t>
  </si>
  <si>
    <t>159-15 88 Street</t>
  </si>
  <si>
    <t>Q210</t>
  </si>
  <si>
    <t>27Q210</t>
  </si>
  <si>
    <t>J.H.S. 210 Elizabeth Blackwell</t>
  </si>
  <si>
    <t>93-11 101 Avenue</t>
  </si>
  <si>
    <t>Q215</t>
  </si>
  <si>
    <t>Q362</t>
  </si>
  <si>
    <t>27Q362</t>
  </si>
  <si>
    <t>Wave Preparatory Elementary School</t>
  </si>
  <si>
    <t>535 Briar Place</t>
  </si>
  <si>
    <t>Q223</t>
  </si>
  <si>
    <t>125-20 Sutphin Boulevard</t>
  </si>
  <si>
    <t>27Q223</t>
  </si>
  <si>
    <t>P.S. 223 Lyndon B. Johnson</t>
  </si>
  <si>
    <t>Q226</t>
  </si>
  <si>
    <t>27Q226</t>
  </si>
  <si>
    <t>J.H.S. 226 Virgil I. Grissom</t>
  </si>
  <si>
    <t>121-10 Rockaway Boulevard</t>
  </si>
  <si>
    <t>Q297</t>
  </si>
  <si>
    <t>27Q297</t>
  </si>
  <si>
    <t>Hawtree Creek Middle School</t>
  </si>
  <si>
    <t>Q314</t>
  </si>
  <si>
    <t>27Q314</t>
  </si>
  <si>
    <t>Epic High School - South</t>
  </si>
  <si>
    <t>Q232</t>
  </si>
  <si>
    <t>27Q232</t>
  </si>
  <si>
    <t>P.S. 232 Lindenwood</t>
  </si>
  <si>
    <t>153-23 83 Street</t>
  </si>
  <si>
    <t>Q253</t>
  </si>
  <si>
    <t>27Q253</t>
  </si>
  <si>
    <t>The Randolph Holder School for Social Justice</t>
  </si>
  <si>
    <t>1307 Central Avenue</t>
  </si>
  <si>
    <t>Q254</t>
  </si>
  <si>
    <t>84-40 101 Street</t>
  </si>
  <si>
    <t>27Q254</t>
  </si>
  <si>
    <t>P.S. 254 - The Rosa Parks School</t>
  </si>
  <si>
    <t>Q262</t>
  </si>
  <si>
    <t>Q306</t>
  </si>
  <si>
    <t>27Q306</t>
  </si>
  <si>
    <t>New York City Academy for Discovery</t>
  </si>
  <si>
    <t>95-16 89Th Avenue</t>
  </si>
  <si>
    <t>Q273</t>
  </si>
  <si>
    <t>27Q273</t>
  </si>
  <si>
    <t>P.S. 273</t>
  </si>
  <si>
    <t>88-07 102Nd Street</t>
  </si>
  <si>
    <t>Q316</t>
  </si>
  <si>
    <t>27Q316</t>
  </si>
  <si>
    <t>Queens Explorers Elementary School</t>
  </si>
  <si>
    <t>90-07 101St Avenue</t>
  </si>
  <si>
    <t>Q335</t>
  </si>
  <si>
    <t>150-15 Raleigh Street</t>
  </si>
  <si>
    <t>Q377</t>
  </si>
  <si>
    <t>27Q377</t>
  </si>
  <si>
    <t>P.S. 377</t>
  </si>
  <si>
    <t>Q400</t>
  </si>
  <si>
    <t>Q261</t>
  </si>
  <si>
    <t>27Q261</t>
  </si>
  <si>
    <t>Voyages Prep - South Queens</t>
  </si>
  <si>
    <t>156-10 Baisley Boulevard</t>
  </si>
  <si>
    <t>Q320</t>
  </si>
  <si>
    <t>84Q320</t>
  </si>
  <si>
    <t>New Visions Charter High School for Advanced Math and Science IV</t>
  </si>
  <si>
    <t>27Q400</t>
  </si>
  <si>
    <t>August Martin High School</t>
  </si>
  <si>
    <t>Q410</t>
  </si>
  <si>
    <t>100-00 Beach Channel Drive</t>
  </si>
  <si>
    <t>27Q262</t>
  </si>
  <si>
    <t>Channel View School for Research</t>
  </si>
  <si>
    <t>Q324</t>
  </si>
  <si>
    <t>27Q324</t>
  </si>
  <si>
    <t>Rockaway Park High School for Environmental Sustainability</t>
  </si>
  <si>
    <t>Q351</t>
  </si>
  <si>
    <t>27Q351</t>
  </si>
  <si>
    <t>Rockaway Collegiate High School</t>
  </si>
  <si>
    <t>Q373</t>
  </si>
  <si>
    <t>84Q373</t>
  </si>
  <si>
    <t>New Visions Charter High School for the Humanities IV</t>
  </si>
  <si>
    <t>Q475</t>
  </si>
  <si>
    <t>27Q475</t>
  </si>
  <si>
    <t>Richmond Hill High School</t>
  </si>
  <si>
    <t>89-30 114 Street</t>
  </si>
  <si>
    <t>Q480</t>
  </si>
  <si>
    <t>27Q480</t>
  </si>
  <si>
    <t>John Adams High School</t>
  </si>
  <si>
    <t>101-01 Rockaway Boulevard</t>
  </si>
  <si>
    <t>Q593</t>
  </si>
  <si>
    <t>Q047</t>
  </si>
  <si>
    <t>27Q047</t>
  </si>
  <si>
    <t>P.S. 047 Chris Galas</t>
  </si>
  <si>
    <t>140 Beach 112 Street</t>
  </si>
  <si>
    <t>Q650</t>
  </si>
  <si>
    <t>94-06 104Th Street</t>
  </si>
  <si>
    <t>27Q650</t>
  </si>
  <si>
    <t>High School for Construction Trades, Engineering and Architecture</t>
  </si>
  <si>
    <t>Q884</t>
  </si>
  <si>
    <t>Q065</t>
  </si>
  <si>
    <t>27Q065</t>
  </si>
  <si>
    <t>P.S. 65 - The Raymond York Elementary School</t>
  </si>
  <si>
    <t>103-22 99 Street</t>
  </si>
  <si>
    <t>28</t>
  </si>
  <si>
    <t>Q003</t>
  </si>
  <si>
    <t>Q303</t>
  </si>
  <si>
    <t>28Q303</t>
  </si>
  <si>
    <t>The Academy for Excellence through the Arts</t>
  </si>
  <si>
    <t>108-55 69 Avenue</t>
  </si>
  <si>
    <t>Q008</t>
  </si>
  <si>
    <t>28Q008</t>
  </si>
  <si>
    <t>J.H.S. 008 Richard S. Grossley</t>
  </si>
  <si>
    <t>108-35 167 Street</t>
  </si>
  <si>
    <t>Q284</t>
  </si>
  <si>
    <t>28Q284</t>
  </si>
  <si>
    <t>York Early College Academy</t>
  </si>
  <si>
    <t>28Q287</t>
  </si>
  <si>
    <t>The Emerson School</t>
  </si>
  <si>
    <t>Q040</t>
  </si>
  <si>
    <t>28Q040</t>
  </si>
  <si>
    <t>P.S. 040 Samuel Huntington</t>
  </si>
  <si>
    <t>109-20 Union Hall Street</t>
  </si>
  <si>
    <t>Q312</t>
  </si>
  <si>
    <t>28Q312</t>
  </si>
  <si>
    <t>Jamaica Children's School</t>
  </si>
  <si>
    <t>Q050</t>
  </si>
  <si>
    <t>28Q050</t>
  </si>
  <si>
    <t>P.S. 050 Talfourd Lawn Elementary School</t>
  </si>
  <si>
    <t>143-26 101 Avenue</t>
  </si>
  <si>
    <t>Q055</t>
  </si>
  <si>
    <t>28Q055</t>
  </si>
  <si>
    <t>P.S. 055 Maure</t>
  </si>
  <si>
    <t>131-10 97 Avenue</t>
  </si>
  <si>
    <t>Q072</t>
  </si>
  <si>
    <t>28Q072</t>
  </si>
  <si>
    <t>Catherine &amp; Count Basie Middle School 72</t>
  </si>
  <si>
    <t>133-25 Guy R Brewer Boulevard</t>
  </si>
  <si>
    <t>28Q332</t>
  </si>
  <si>
    <t>Redwood Middle School</t>
  </si>
  <si>
    <t>Q080</t>
  </si>
  <si>
    <t>28Q080</t>
  </si>
  <si>
    <t>PS 80  The Thurgood Marshall Magnet School of Multimedia and Communication</t>
  </si>
  <si>
    <t>171-05 137Th Avenue</t>
  </si>
  <si>
    <t>Q082</t>
  </si>
  <si>
    <t>28Q082</t>
  </si>
  <si>
    <t>P.S. 082 Hammond</t>
  </si>
  <si>
    <t>88-02 144 Street</t>
  </si>
  <si>
    <t>Q117</t>
  </si>
  <si>
    <t>28Q117</t>
  </si>
  <si>
    <t>P.S. 117 J. Keld / Briarwood School</t>
  </si>
  <si>
    <t>85-15 143 Street</t>
  </si>
  <si>
    <t>Q139</t>
  </si>
  <si>
    <t>28Q139</t>
  </si>
  <si>
    <t>P.S. 139 Rego Park</t>
  </si>
  <si>
    <t>93-06 63 Drive</t>
  </si>
  <si>
    <t>Q142</t>
  </si>
  <si>
    <t>142-10 Linden Boulevard</t>
  </si>
  <si>
    <t>Q144</t>
  </si>
  <si>
    <t>28Q144</t>
  </si>
  <si>
    <t>P.S. 144 Col Jeromus Remsen</t>
  </si>
  <si>
    <t>69-20 Juno Street</t>
  </si>
  <si>
    <t>Q161</t>
  </si>
  <si>
    <t>101-33 124 Street</t>
  </si>
  <si>
    <t>28Q161</t>
  </si>
  <si>
    <t>P.S. 161 Arthur Ashe School</t>
  </si>
  <si>
    <t>Q175</t>
  </si>
  <si>
    <t>28Q175</t>
  </si>
  <si>
    <t>P.S. 175 The Lynn Gross Discovery School</t>
  </si>
  <si>
    <t>64-35 102 Street</t>
  </si>
  <si>
    <t>Q190</t>
  </si>
  <si>
    <t>68-17 Austin Street</t>
  </si>
  <si>
    <t>28Q190</t>
  </si>
  <si>
    <t>J.H.S. 190 Russell Sage</t>
  </si>
  <si>
    <t>Q196</t>
  </si>
  <si>
    <t>28Q196</t>
  </si>
  <si>
    <t>P.S. 196 Grand Central Parkway</t>
  </si>
  <si>
    <t>71-25 113 Street</t>
  </si>
  <si>
    <t>Q217</t>
  </si>
  <si>
    <t>28Q217</t>
  </si>
  <si>
    <t>J.H.S. 217 Robert A. Van Wyck</t>
  </si>
  <si>
    <t>85-05 144 Street</t>
  </si>
  <si>
    <t>Q276</t>
  </si>
  <si>
    <t>Q048</t>
  </si>
  <si>
    <t>28Q048</t>
  </si>
  <si>
    <t>David N. Dinkins School</t>
  </si>
  <si>
    <t>108-29 155 Street</t>
  </si>
  <si>
    <t>153-27 88Th Avenue</t>
  </si>
  <si>
    <t>Q182</t>
  </si>
  <si>
    <t>28Q182</t>
  </si>
  <si>
    <t>P.S. 182 Samantha Smith</t>
  </si>
  <si>
    <t>88-08 164Th Street</t>
  </si>
  <si>
    <t>Q349</t>
  </si>
  <si>
    <t>28Q349</t>
  </si>
  <si>
    <t>The Queens School for Leadership and Excellence</t>
  </si>
  <si>
    <t>Q358</t>
  </si>
  <si>
    <t>28Q358</t>
  </si>
  <si>
    <t>M.S. 358</t>
  </si>
  <si>
    <t>Q440</t>
  </si>
  <si>
    <t>28Q440</t>
  </si>
  <si>
    <t>Forest Hills High School</t>
  </si>
  <si>
    <t>67-01 110 Street</t>
  </si>
  <si>
    <t>Q505</t>
  </si>
  <si>
    <t>28Q505</t>
  </si>
  <si>
    <t>Hillcrest High School</t>
  </si>
  <si>
    <t>160-05 Highland Avenue</t>
  </si>
  <si>
    <t>Q620</t>
  </si>
  <si>
    <t>28Q620</t>
  </si>
  <si>
    <t>Thomas A. Edison Career and Technical Education High School</t>
  </si>
  <si>
    <t>165-65 84 Avenue</t>
  </si>
  <si>
    <t>Q680</t>
  </si>
  <si>
    <t>Q896</t>
  </si>
  <si>
    <t>28Q896</t>
  </si>
  <si>
    <t>Young Women's Leadership School, Queens</t>
  </si>
  <si>
    <t>150-91 87 Road</t>
  </si>
  <si>
    <t>Q686</t>
  </si>
  <si>
    <t>Q167</t>
  </si>
  <si>
    <t>28Q167</t>
  </si>
  <si>
    <t>Metropolitan Expeditionary Learning School</t>
  </si>
  <si>
    <t>91-30 Metropolitan Avenue</t>
  </si>
  <si>
    <t>28Q686</t>
  </si>
  <si>
    <t xml:space="preserve">Queens Metropolitan High School </t>
  </si>
  <si>
    <t>Q690</t>
  </si>
  <si>
    <t>28Q690</t>
  </si>
  <si>
    <t>High School for Law Enforcement and Public Safety</t>
  </si>
  <si>
    <t>116-25 Guy R Brewer Boulevard</t>
  </si>
  <si>
    <t>Q695</t>
  </si>
  <si>
    <t>28Q680</t>
  </si>
  <si>
    <t>Queens Gateway to Health Sciences Secondary School</t>
  </si>
  <si>
    <t>160-20 Goethals Avenue</t>
  </si>
  <si>
    <t>Q774</t>
  </si>
  <si>
    <t>Q687</t>
  </si>
  <si>
    <t>28Q687</t>
  </si>
  <si>
    <t>Queens High School for the Sciences at York College</t>
  </si>
  <si>
    <t>94-50 159 Street</t>
  </si>
  <si>
    <t>29</t>
  </si>
  <si>
    <t>Q015</t>
  </si>
  <si>
    <t>29Q015</t>
  </si>
  <si>
    <t>P.S. 015 Jackie Robinson</t>
  </si>
  <si>
    <t>121-15 Lucas Street</t>
  </si>
  <si>
    <t>Q033</t>
  </si>
  <si>
    <t>29Q033</t>
  </si>
  <si>
    <t>P.S. 033 Edward M. Funk</t>
  </si>
  <si>
    <t>91-37 222 Street</t>
  </si>
  <si>
    <t>Q035</t>
  </si>
  <si>
    <t>29Q035</t>
  </si>
  <si>
    <t>P.S. 035 Nathaniel Woodhull</t>
  </si>
  <si>
    <t>191-02 90 Avenue</t>
  </si>
  <si>
    <t>Q095</t>
  </si>
  <si>
    <t>29Q095</t>
  </si>
  <si>
    <t>P.S. 095 Eastwood</t>
  </si>
  <si>
    <t>Q037</t>
  </si>
  <si>
    <t>29Q037</t>
  </si>
  <si>
    <t>Cynthia Jenkins School</t>
  </si>
  <si>
    <t>179-37 137 Avenue</t>
  </si>
  <si>
    <t>Q059</t>
  </si>
  <si>
    <t>29Q059</t>
  </si>
  <si>
    <t>I.S. 059 Springfield Gardens</t>
  </si>
  <si>
    <t>132-55 Ridgedale Street</t>
  </si>
  <si>
    <t>Q339</t>
  </si>
  <si>
    <t>84Q339</t>
  </si>
  <si>
    <t>Success Academy Charter School - Springfield Gardens - New York 6</t>
  </si>
  <si>
    <t>Q118</t>
  </si>
  <si>
    <t>29Q118</t>
  </si>
  <si>
    <t>P.S. 118 Lorraine Hansberry</t>
  </si>
  <si>
    <t>190-20 109 Road</t>
  </si>
  <si>
    <t>Q131</t>
  </si>
  <si>
    <t>29Q131</t>
  </si>
  <si>
    <t>P.S. 131 Abigail Adams</t>
  </si>
  <si>
    <t>170-21 84 Avenue</t>
  </si>
  <si>
    <t>Q134</t>
  </si>
  <si>
    <t>29Q134</t>
  </si>
  <si>
    <t>P.S. 134 Hollis</t>
  </si>
  <si>
    <t>203-02 109 Avenue</t>
  </si>
  <si>
    <t>Q135</t>
  </si>
  <si>
    <t>29Q135</t>
  </si>
  <si>
    <t>The Bellaire School</t>
  </si>
  <si>
    <t>207-11 89 Avenue</t>
  </si>
  <si>
    <t>Q138</t>
  </si>
  <si>
    <t>251-11 Weller Avenue</t>
  </si>
  <si>
    <t>29Q138</t>
  </si>
  <si>
    <t>P.S./M.S. 138 Sunrise</t>
  </si>
  <si>
    <t>Q176</t>
  </si>
  <si>
    <t>29Q176</t>
  </si>
  <si>
    <t>P.S. 176 Cambria Heights</t>
  </si>
  <si>
    <t>120-45 235 Street</t>
  </si>
  <si>
    <t>Q181</t>
  </si>
  <si>
    <t>29Q181</t>
  </si>
  <si>
    <t>P.S. 181 Brookfield</t>
  </si>
  <si>
    <t>148-15 230 Street</t>
  </si>
  <si>
    <t>Q195</t>
  </si>
  <si>
    <t>29Q195</t>
  </si>
  <si>
    <t>P.S. 195 William Haberle</t>
  </si>
  <si>
    <t>253-50 149 Avenue</t>
  </si>
  <si>
    <t>Q238</t>
  </si>
  <si>
    <t>88-15 182 Street</t>
  </si>
  <si>
    <t>29Q238</t>
  </si>
  <si>
    <t>I.S. 238 - Susan B. Anthony Academy</t>
  </si>
  <si>
    <t>Q251</t>
  </si>
  <si>
    <t>29Q251</t>
  </si>
  <si>
    <t>P.S. 251 Queens</t>
  </si>
  <si>
    <t>144-51 Arthur Street</t>
  </si>
  <si>
    <t>Q263</t>
  </si>
  <si>
    <t>222-14 Jamaica Avenue</t>
  </si>
  <si>
    <t>Q295</t>
  </si>
  <si>
    <t>29Q295</t>
  </si>
  <si>
    <t>P.S./I.S. 295</t>
  </si>
  <si>
    <t>Q268</t>
  </si>
  <si>
    <t>92-07 175 Street</t>
  </si>
  <si>
    <t>29Q268</t>
  </si>
  <si>
    <t>P.S./I.S. 268</t>
  </si>
  <si>
    <t>Q270</t>
  </si>
  <si>
    <t>233-15 Merrick Boulevard</t>
  </si>
  <si>
    <t>29Q270</t>
  </si>
  <si>
    <t>The Gordon Parks School</t>
  </si>
  <si>
    <t>Q420</t>
  </si>
  <si>
    <t>Q248</t>
  </si>
  <si>
    <t>29Q248</t>
  </si>
  <si>
    <t>Queens Preparatory Academy</t>
  </si>
  <si>
    <t>143-10 Springfield Boulevard</t>
  </si>
  <si>
    <t>Q265</t>
  </si>
  <si>
    <t>29Q265</t>
  </si>
  <si>
    <t>Excelsior Preparatory High School</t>
  </si>
  <si>
    <t>Q272</t>
  </si>
  <si>
    <t>29Q272</t>
  </si>
  <si>
    <t>George Washington Carver High School for the Sciences</t>
  </si>
  <si>
    <t>Q283</t>
  </si>
  <si>
    <t>29Q283</t>
  </si>
  <si>
    <t>Preparatory Academy for Writers: A College Board School</t>
  </si>
  <si>
    <t>Q490</t>
  </si>
  <si>
    <t>Q243</t>
  </si>
  <si>
    <t>29Q243</t>
  </si>
  <si>
    <t>Institute for Health Professions at Cambria Heights</t>
  </si>
  <si>
    <t>207- 01 116Th  Avenue</t>
  </si>
  <si>
    <t>29Q313</t>
  </si>
  <si>
    <t>Benjamin Franklin High School for Finance &amp; Information Technology</t>
  </si>
  <si>
    <t>Q492</t>
  </si>
  <si>
    <t>29Q492</t>
  </si>
  <si>
    <t>Mathematics, Science Research and Technology Magnet High School</t>
  </si>
  <si>
    <t>Q498</t>
  </si>
  <si>
    <t>29Q498</t>
  </si>
  <si>
    <t>Health, Arts, Robotics, and Technology High School</t>
  </si>
  <si>
    <t>Q633</t>
  </si>
  <si>
    <t>Q327</t>
  </si>
  <si>
    <t>29Q327</t>
  </si>
  <si>
    <t>Eagle Academy for Young Men III</t>
  </si>
  <si>
    <t>171-10 Linden Boulevard</t>
  </si>
  <si>
    <t>30</t>
  </si>
  <si>
    <t>Q002</t>
  </si>
  <si>
    <t>30Q002</t>
  </si>
  <si>
    <t>P.S. 002 Alfred Zimberg</t>
  </si>
  <si>
    <t>75-10 21 Avenue</t>
  </si>
  <si>
    <t>Q010</t>
  </si>
  <si>
    <t>30Q010</t>
  </si>
  <si>
    <t>I.S. 010 Horace Greeley</t>
  </si>
  <si>
    <t>45-11 31St Ave</t>
  </si>
  <si>
    <t>Q011</t>
  </si>
  <si>
    <t>30Q011</t>
  </si>
  <si>
    <t>P.S. 011 Kathryn Phelan</t>
  </si>
  <si>
    <t>54-25 Skillman Avenue</t>
  </si>
  <si>
    <t>Q017</t>
  </si>
  <si>
    <t>30Q017</t>
  </si>
  <si>
    <t>P.S. 017 Henry David Thoreau</t>
  </si>
  <si>
    <t>28-37 29 Street</t>
  </si>
  <si>
    <t>Q300</t>
  </si>
  <si>
    <t>30Q300</t>
  </si>
  <si>
    <t>The 30th Avenue School (G&amp;T Citywide)</t>
  </si>
  <si>
    <t>Q069</t>
  </si>
  <si>
    <t>30Q069</t>
  </si>
  <si>
    <t>P.S. 069 Jackson Heights</t>
  </si>
  <si>
    <t>77-02 37 Avenue</t>
  </si>
  <si>
    <t>Q070</t>
  </si>
  <si>
    <t>30-44 43Rd Street</t>
  </si>
  <si>
    <t>30Q070</t>
  </si>
  <si>
    <t>P.S. 070</t>
  </si>
  <si>
    <t>Q076</t>
  </si>
  <si>
    <t>30Q076</t>
  </si>
  <si>
    <t>P.S. 076 William Hallet</t>
  </si>
  <si>
    <t>36-36 10 Street</t>
  </si>
  <si>
    <t>Q112</t>
  </si>
  <si>
    <t>30Q112</t>
  </si>
  <si>
    <t>P.S. 112 Dutch Kills</t>
  </si>
  <si>
    <t>25-05 37 Avenue</t>
  </si>
  <si>
    <t>Q145</t>
  </si>
  <si>
    <t>30Q145</t>
  </si>
  <si>
    <t>I.S. 145 Joseph Pulitzer</t>
  </si>
  <si>
    <t>33-34 80 Street</t>
  </si>
  <si>
    <t>Q148</t>
  </si>
  <si>
    <t>30Q148</t>
  </si>
  <si>
    <t>P.S. 148 Queens</t>
  </si>
  <si>
    <t>89-02 32 Avenue</t>
  </si>
  <si>
    <t>Q149</t>
  </si>
  <si>
    <t>30Q149</t>
  </si>
  <si>
    <t>P.S. 149 Christa McAuliffe</t>
  </si>
  <si>
    <t>93-11 34 Avenue</t>
  </si>
  <si>
    <t>Q150</t>
  </si>
  <si>
    <t>30Q150</t>
  </si>
  <si>
    <t>P.S. 150 Queens</t>
  </si>
  <si>
    <t>40-01 43 Avenue</t>
  </si>
  <si>
    <t>Q152</t>
  </si>
  <si>
    <t>30Q152</t>
  </si>
  <si>
    <t>P.S. 152 Gwendoline N. Alleyne School</t>
  </si>
  <si>
    <t>33-52 62 Street</t>
  </si>
  <si>
    <t>Q166</t>
  </si>
  <si>
    <t>30Q166</t>
  </si>
  <si>
    <t>P.S. 166 Henry Gradstein</t>
  </si>
  <si>
    <t>33-09 35 Avenue</t>
  </si>
  <si>
    <t>Q212</t>
  </si>
  <si>
    <t>30Q212</t>
  </si>
  <si>
    <t>P.S. 212</t>
  </si>
  <si>
    <t>34-25 82 Street</t>
  </si>
  <si>
    <t>Q222</t>
  </si>
  <si>
    <t>30Q222</t>
  </si>
  <si>
    <t>P.S. Q222 - Fire Fighter Christopher A. Santora School</t>
  </si>
  <si>
    <t>86-15 37 Avenue</t>
  </si>
  <si>
    <t>Q227</t>
  </si>
  <si>
    <t>30Q227</t>
  </si>
  <si>
    <t>I.S. 227 Louis Armstrong</t>
  </si>
  <si>
    <t>32-02 Junction Boulevard</t>
  </si>
  <si>
    <t>Q228</t>
  </si>
  <si>
    <t>30Q228</t>
  </si>
  <si>
    <t>The Ivan Lafayette Early Childhood School of the Arts</t>
  </si>
  <si>
    <t>32-63 93 Street</t>
  </si>
  <si>
    <t>Q230</t>
  </si>
  <si>
    <t>30Q230</t>
  </si>
  <si>
    <t>I.S. 230</t>
  </si>
  <si>
    <t>73-10 34 Avenue</t>
  </si>
  <si>
    <t>Q234</t>
  </si>
  <si>
    <t>30Q234</t>
  </si>
  <si>
    <t>P.S. 234</t>
  </si>
  <si>
    <t>30-14 30 Street</t>
  </si>
  <si>
    <t>Q235</t>
  </si>
  <si>
    <t>30Q235</t>
  </si>
  <si>
    <t>Academy for New Americans</t>
  </si>
  <si>
    <t>Q292</t>
  </si>
  <si>
    <t>Q092</t>
  </si>
  <si>
    <t>30Q092</t>
  </si>
  <si>
    <t>P.S. 092 Harry T. Stewart Sr.</t>
  </si>
  <si>
    <t>99-01 34 Avenue</t>
  </si>
  <si>
    <t>30Q361</t>
  </si>
  <si>
    <t>The Woodside Community School</t>
  </si>
  <si>
    <t>39-07 57Th Street</t>
  </si>
  <si>
    <t>Q384</t>
  </si>
  <si>
    <t>30Q384</t>
  </si>
  <si>
    <t>Hunters Point Elementary School</t>
  </si>
  <si>
    <t>1-35 57 Avenue</t>
  </si>
  <si>
    <t>Q398</t>
  </si>
  <si>
    <t>30Q398</t>
  </si>
  <si>
    <t>The Hector Figueroa School</t>
  </si>
  <si>
    <t>69-01 34Th Avenue</t>
  </si>
  <si>
    <t>Q404</t>
  </si>
  <si>
    <t>1-50 51St Avenue</t>
  </si>
  <si>
    <t>Q291</t>
  </si>
  <si>
    <t>30Q291</t>
  </si>
  <si>
    <t>Hunters Point Community Middle School</t>
  </si>
  <si>
    <t>Q301</t>
  </si>
  <si>
    <t>30Q301</t>
  </si>
  <si>
    <t>Academy for Careers in Television and Film</t>
  </si>
  <si>
    <t>Q452</t>
  </si>
  <si>
    <t>Q450</t>
  </si>
  <si>
    <t>30Q450</t>
  </si>
  <si>
    <t>Long Island City High School</t>
  </si>
  <si>
    <t>14-30 Broadway</t>
  </si>
  <si>
    <t>Q570</t>
  </si>
  <si>
    <t>Q501</t>
  </si>
  <si>
    <t>30Q501</t>
  </si>
  <si>
    <t>Frank Sinatra School of the Arts High School</t>
  </si>
  <si>
    <t>35-12 35Th Avenue</t>
  </si>
  <si>
    <t>Q575</t>
  </si>
  <si>
    <t>30Q575</t>
  </si>
  <si>
    <t>Academy of American Studies</t>
  </si>
  <si>
    <t>40-11 28 Street</t>
  </si>
  <si>
    <t>Q725</t>
  </si>
  <si>
    <t>Q502</t>
  </si>
  <si>
    <t>30Q502</t>
  </si>
  <si>
    <t>Information Technology High School</t>
  </si>
  <si>
    <t>21-16 44Th Road</t>
  </si>
  <si>
    <t>Q739</t>
  </si>
  <si>
    <t>Q286</t>
  </si>
  <si>
    <t>30Q286</t>
  </si>
  <si>
    <t>Young Women's Leadership School, Astoria</t>
  </si>
  <si>
    <t>23-15 Newtown Avenue</t>
  </si>
  <si>
    <t>Q798</t>
  </si>
  <si>
    <t>Q580</t>
  </si>
  <si>
    <t>30Q580</t>
  </si>
  <si>
    <t>Baccalaureate School for Global Education</t>
  </si>
  <si>
    <t>34-12 36 Avenue</t>
  </si>
  <si>
    <t>Q868</t>
  </si>
  <si>
    <t>Q078</t>
  </si>
  <si>
    <t>30Q078</t>
  </si>
  <si>
    <t>P.S./I.S. 78Q</t>
  </si>
  <si>
    <t>48-09 Center Boulevard</t>
  </si>
  <si>
    <t>Q885</t>
  </si>
  <si>
    <t>35-59 81St Street</t>
  </si>
  <si>
    <t>Q705</t>
  </si>
  <si>
    <t>84Q705</t>
  </si>
  <si>
    <t>Renaissance Charter School</t>
  </si>
  <si>
    <t>31</t>
  </si>
  <si>
    <t>Staten Island</t>
  </si>
  <si>
    <t>R002</t>
  </si>
  <si>
    <t>31R002</t>
  </si>
  <si>
    <t>I.S. R002 George L. Egbert</t>
  </si>
  <si>
    <t>333 Midland Avenue</t>
  </si>
  <si>
    <t>R037</t>
  </si>
  <si>
    <t>75R037</t>
  </si>
  <si>
    <t>The David Marquis School of the Arts</t>
  </si>
  <si>
    <t>R003</t>
  </si>
  <si>
    <t>31R003</t>
  </si>
  <si>
    <t>P.S. 003 The Margaret Gioiosa School</t>
  </si>
  <si>
    <t>80 South Goff Avenue</t>
  </si>
  <si>
    <t>R004</t>
  </si>
  <si>
    <t>31R004</t>
  </si>
  <si>
    <t>P.S. 004 Maurice Wollin</t>
  </si>
  <si>
    <t>200 Nedra Lane</t>
  </si>
  <si>
    <t>R005</t>
  </si>
  <si>
    <t>31R005</t>
  </si>
  <si>
    <t>P.S. 005 Huguenot</t>
  </si>
  <si>
    <t>348 Deisius Street</t>
  </si>
  <si>
    <t>R006</t>
  </si>
  <si>
    <t>31R006</t>
  </si>
  <si>
    <t>P.S. 6 Corporal Allan F. Kivlehan School</t>
  </si>
  <si>
    <t>555 Page Avenue</t>
  </si>
  <si>
    <t>R373</t>
  </si>
  <si>
    <t>75R373</t>
  </si>
  <si>
    <t>P.S. R373</t>
  </si>
  <si>
    <t>R007</t>
  </si>
  <si>
    <t>31R007</t>
  </si>
  <si>
    <t>I.S. 007 Elias Bernstein</t>
  </si>
  <si>
    <t>1270 Huguenot Avenue</t>
  </si>
  <si>
    <t>R025</t>
  </si>
  <si>
    <t>75R025</t>
  </si>
  <si>
    <t>South Richmond High School I.S./P.S. 25</t>
  </si>
  <si>
    <t>R011</t>
  </si>
  <si>
    <t>31R011</t>
  </si>
  <si>
    <t>P.S. 11 Thomas Dongan School</t>
  </si>
  <si>
    <t>51 Jefferson Street</t>
  </si>
  <si>
    <t>R013</t>
  </si>
  <si>
    <t>31R013</t>
  </si>
  <si>
    <t>P.S. 013 M. L. Lindemeyer</t>
  </si>
  <si>
    <t>191 Vermont Avenue</t>
  </si>
  <si>
    <t>R014</t>
  </si>
  <si>
    <t>R078</t>
  </si>
  <si>
    <t>31R078</t>
  </si>
  <si>
    <t>P.S. 78</t>
  </si>
  <si>
    <t>35 Hill Street</t>
  </si>
  <si>
    <t>R018</t>
  </si>
  <si>
    <t>31R018</t>
  </si>
  <si>
    <t>P.S. 018 John G. Whittier</t>
  </si>
  <si>
    <t>221 Broadway</t>
  </si>
  <si>
    <t>R019</t>
  </si>
  <si>
    <t>31R019</t>
  </si>
  <si>
    <t>P.S. 019 The Curtis School</t>
  </si>
  <si>
    <t>780 Post Avenue</t>
  </si>
  <si>
    <t>R020</t>
  </si>
  <si>
    <t>31R020</t>
  </si>
  <si>
    <t>P.S. 020 Port Richmond</t>
  </si>
  <si>
    <t>161 Park Avenue</t>
  </si>
  <si>
    <t>R021</t>
  </si>
  <si>
    <t>31R021</t>
  </si>
  <si>
    <t>P.S. 21 Margaret Emery-Elm Park</t>
  </si>
  <si>
    <t>168 Hooker Place</t>
  </si>
  <si>
    <t>R022</t>
  </si>
  <si>
    <t>31R022</t>
  </si>
  <si>
    <t>P.S. 022 Graniteville</t>
  </si>
  <si>
    <t>1860 Forest Avenue</t>
  </si>
  <si>
    <t>R024</t>
  </si>
  <si>
    <t>31R024</t>
  </si>
  <si>
    <t>I.S. 024 Myra S. Barnes</t>
  </si>
  <si>
    <t>750 Durant Avenue</t>
  </si>
  <si>
    <t>R721</t>
  </si>
  <si>
    <t>75R721</t>
  </si>
  <si>
    <t>The Richard H. Hungerford School</t>
  </si>
  <si>
    <t>R030</t>
  </si>
  <si>
    <t>31R030</t>
  </si>
  <si>
    <t>P.S. 030 Westerleigh</t>
  </si>
  <si>
    <t>200 Wardwell Avenue</t>
  </si>
  <si>
    <t>R032</t>
  </si>
  <si>
    <t>31R032</t>
  </si>
  <si>
    <t>P.S. 032 The Gifford School</t>
  </si>
  <si>
    <t>232 Barlow Avenue</t>
  </si>
  <si>
    <t>R034</t>
  </si>
  <si>
    <t>528 Academy Avenue</t>
  </si>
  <si>
    <t>31R034</t>
  </si>
  <si>
    <t>I.S. 034 Tottenville</t>
  </si>
  <si>
    <t>R036</t>
  </si>
  <si>
    <t>31R036</t>
  </si>
  <si>
    <t>P.S. 036 J. C. Drumgoole</t>
  </si>
  <si>
    <t>255 Ionia Avenue</t>
  </si>
  <si>
    <t>R039</t>
  </si>
  <si>
    <t>31R039</t>
  </si>
  <si>
    <t>P.S. 39 Francis J. Murphy Jr.</t>
  </si>
  <si>
    <t>99 Macfarland Avenue</t>
  </si>
  <si>
    <t>R040</t>
  </si>
  <si>
    <t>91 Henderson Avenue</t>
  </si>
  <si>
    <t>R042</t>
  </si>
  <si>
    <t>31R042</t>
  </si>
  <si>
    <t>P.S. 042 Eltingville</t>
  </si>
  <si>
    <t>380 Genesee Avenue</t>
  </si>
  <si>
    <t>R043</t>
  </si>
  <si>
    <t>R047</t>
  </si>
  <si>
    <t>31R047</t>
  </si>
  <si>
    <t>CSI High School for International Studies</t>
  </si>
  <si>
    <t>100 Essex Drive</t>
  </si>
  <si>
    <t>R063</t>
  </si>
  <si>
    <t>31R063</t>
  </si>
  <si>
    <t>Marsh Avenue School for Expeditionary Learning</t>
  </si>
  <si>
    <t>R064</t>
  </si>
  <si>
    <t>31R064</t>
  </si>
  <si>
    <t>Gaynor McCown Expeditionary Learning School</t>
  </si>
  <si>
    <t>R044</t>
  </si>
  <si>
    <t>31R044</t>
  </si>
  <si>
    <t>P.S. 044 Thomas C. Brown</t>
  </si>
  <si>
    <t>80 Maple Parkway</t>
  </si>
  <si>
    <t>R045</t>
  </si>
  <si>
    <t>31R045</t>
  </si>
  <si>
    <t>P.S. 045 John Tyler</t>
  </si>
  <si>
    <t>58 Lawrence Avenue</t>
  </si>
  <si>
    <t>R048</t>
  </si>
  <si>
    <t>R009</t>
  </si>
  <si>
    <t>31R009</t>
  </si>
  <si>
    <t>Naples Street Elementary School</t>
  </si>
  <si>
    <t>1055 Targee Street</t>
  </si>
  <si>
    <t>R051</t>
  </si>
  <si>
    <t>31R051</t>
  </si>
  <si>
    <t>I.S. 051 Edwin Markham</t>
  </si>
  <si>
    <t>80 Willowbrook Road</t>
  </si>
  <si>
    <t>R052</t>
  </si>
  <si>
    <t>31R052</t>
  </si>
  <si>
    <t>P.S. 052 John C. Thompson</t>
  </si>
  <si>
    <t>450 Buel Avenue</t>
  </si>
  <si>
    <t>R055</t>
  </si>
  <si>
    <t>31R055</t>
  </si>
  <si>
    <t>P.S. 055 Henry M. Boehm</t>
  </si>
  <si>
    <t>54 Osborne Street</t>
  </si>
  <si>
    <t>R056</t>
  </si>
  <si>
    <t>31R056</t>
  </si>
  <si>
    <t>P.S. 56 The Louis Desario School</t>
  </si>
  <si>
    <t>250 Kramer Avenue</t>
  </si>
  <si>
    <t>R057</t>
  </si>
  <si>
    <t>31R057</t>
  </si>
  <si>
    <t>P.S. 057 Hubert H. Humphrey</t>
  </si>
  <si>
    <t>140 Palma Drive</t>
  </si>
  <si>
    <t>R058</t>
  </si>
  <si>
    <t>31R058</t>
  </si>
  <si>
    <t>Space Shuttle Columbia School</t>
  </si>
  <si>
    <t>77 Marsh Avenue</t>
  </si>
  <si>
    <t>R059</t>
  </si>
  <si>
    <t>31R059</t>
  </si>
  <si>
    <t>The Harbor View School</t>
  </si>
  <si>
    <t>300 Richmond Terrace</t>
  </si>
  <si>
    <t>R060</t>
  </si>
  <si>
    <t>31R060</t>
  </si>
  <si>
    <t>P.S. 060 Alice Austen</t>
  </si>
  <si>
    <t>55 Merrill Avenue</t>
  </si>
  <si>
    <t>R061</t>
  </si>
  <si>
    <t>445 Castleton Avenue</t>
  </si>
  <si>
    <t>31R061</t>
  </si>
  <si>
    <t>I.S. 061 William A Morris</t>
  </si>
  <si>
    <t>R062</t>
  </si>
  <si>
    <t>31R062</t>
  </si>
  <si>
    <t>The Kathleen Grimm School for Leadership and Sustainability</t>
  </si>
  <si>
    <t>644 Bloomingdale Road</t>
  </si>
  <si>
    <t>R066</t>
  </si>
  <si>
    <t>R068</t>
  </si>
  <si>
    <t>31R068</t>
  </si>
  <si>
    <t>Port Richmond School for Visionary Learning</t>
  </si>
  <si>
    <t>1625 Forest Avenue</t>
  </si>
  <si>
    <t>R069</t>
  </si>
  <si>
    <t>31R069</t>
  </si>
  <si>
    <t>P.S. 069 Daniel D. Tompkins</t>
  </si>
  <si>
    <t>144 Keating Place</t>
  </si>
  <si>
    <t>R071</t>
  </si>
  <si>
    <t>31R048</t>
  </si>
  <si>
    <t>P.S. 048 William G. Wilcox</t>
  </si>
  <si>
    <t>1050 Targee Street</t>
  </si>
  <si>
    <t>R072</t>
  </si>
  <si>
    <t>31R072</t>
  </si>
  <si>
    <t>I.S. 072 Rocco Laurie</t>
  </si>
  <si>
    <t>33 Ferndale Avenue</t>
  </si>
  <si>
    <t>R075</t>
  </si>
  <si>
    <t>455 Huguenot Avenue</t>
  </si>
  <si>
    <t>31R075</t>
  </si>
  <si>
    <t>I.S. 075 Frank D. Paulo</t>
  </si>
  <si>
    <t>R086</t>
  </si>
  <si>
    <t>715 L Ocean Terrace</t>
  </si>
  <si>
    <t>R435</t>
  </si>
  <si>
    <t>465 New Dorp Lane</t>
  </si>
  <si>
    <t>R440</t>
  </si>
  <si>
    <t>31R440</t>
  </si>
  <si>
    <t>New Dorp High School</t>
  </si>
  <si>
    <t>R605</t>
  </si>
  <si>
    <t>31R605</t>
  </si>
  <si>
    <t>Staten Island Technical High School</t>
  </si>
  <si>
    <t>485 Clawson Street</t>
  </si>
  <si>
    <t>R445</t>
  </si>
  <si>
    <t>85 St Josephs Avenue</t>
  </si>
  <si>
    <t>31R445</t>
  </si>
  <si>
    <t>Port Richmond High School</t>
  </si>
  <si>
    <t>R450</t>
  </si>
  <si>
    <t>105 Hamilton Avenue</t>
  </si>
  <si>
    <t>31R450</t>
  </si>
  <si>
    <t>Curtis High School</t>
  </si>
  <si>
    <t>R455</t>
  </si>
  <si>
    <t>100 Luten Avenue</t>
  </si>
  <si>
    <t>31R455</t>
  </si>
  <si>
    <t>Tottenville High School</t>
  </si>
  <si>
    <t>R460</t>
  </si>
  <si>
    <t>31R460</t>
  </si>
  <si>
    <t>Susan E. Wagner High School</t>
  </si>
  <si>
    <t>1200 Manor Road</t>
  </si>
  <si>
    <t>R600</t>
  </si>
  <si>
    <t>31R600</t>
  </si>
  <si>
    <t>Ralph R. McKee Career and Technical Education High School</t>
  </si>
  <si>
    <t>101 Belmont Place</t>
  </si>
  <si>
    <t>R829</t>
  </si>
  <si>
    <t>R065</t>
  </si>
  <si>
    <t>31R065</t>
  </si>
  <si>
    <t>P.S. 65 The Academy of Innovative Learning</t>
  </si>
  <si>
    <t>98 Grant Street</t>
  </si>
  <si>
    <t>R840</t>
  </si>
  <si>
    <t>15 Fairfield Street</t>
  </si>
  <si>
    <t>R861</t>
  </si>
  <si>
    <t>280 Regis Drive</t>
  </si>
  <si>
    <t>31R861</t>
  </si>
  <si>
    <t>Staten Island School of Civic Leadership</t>
  </si>
  <si>
    <t>R880</t>
  </si>
  <si>
    <t>715 Ocean Terrace</t>
  </si>
  <si>
    <t>R076</t>
  </si>
  <si>
    <t>84R076</t>
  </si>
  <si>
    <t>Bridge Preparatory Charter School</t>
  </si>
  <si>
    <t>R080</t>
  </si>
  <si>
    <t>31R080</t>
  </si>
  <si>
    <t>The Michael J. Petrides School</t>
  </si>
  <si>
    <t>Code</t>
  </si>
  <si>
    <t>City</t>
  </si>
  <si>
    <t>K</t>
  </si>
  <si>
    <t>M</t>
  </si>
  <si>
    <t>R</t>
  </si>
  <si>
    <t>X</t>
  </si>
  <si>
    <t>Q</t>
  </si>
  <si>
    <t>O</t>
  </si>
  <si>
    <t>Out of City</t>
  </si>
  <si>
    <t>Last Updated:</t>
  </si>
  <si>
    <t>BAP URL</t>
  </si>
  <si>
    <t>BAP Full URL</t>
  </si>
  <si>
    <t xml:space="preserve">07X179         </t>
  </si>
  <si>
    <t>ACADEMY OF EXPLORATORY ARTS</t>
  </si>
  <si>
    <t>468 EAST 140 STREET</t>
  </si>
  <si>
    <t>https://nycdoe.sharepoint.com/:w:/s/BAP/ETJ6jCi8yj5Fsmp8lsK6EOsBiRlCjpFrswFUYQfWjWEiiQ</t>
  </si>
  <si>
    <t xml:space="preserve">75X352         </t>
  </si>
  <si>
    <t>THE VIDA BOGART SCHOOL FOR ALL CHILDREN</t>
  </si>
  <si>
    <t xml:space="preserve">07X369         </t>
  </si>
  <si>
    <t>YOUNG LEADERS ELEMENTARY SCHOOL</t>
  </si>
  <si>
    <t xml:space="preserve">07X065         </t>
  </si>
  <si>
    <t>P.S. 065 MOTHER HALE ACADEMY</t>
  </si>
  <si>
    <t>677 EAST 141 STREET</t>
  </si>
  <si>
    <t>https://nycdoe.sharepoint.com/:w:/s/BAP/ETqUxfLwMLJPhKska00Np-AB4ZRQeOFodJQXirCDBGXoog</t>
  </si>
  <si>
    <t xml:space="preserve">84X491         </t>
  </si>
  <si>
    <t>ACADEMIC LEADERSHIP CHARTER SCHOOL</t>
  </si>
  <si>
    <t>X139</t>
  </si>
  <si>
    <t>X224</t>
  </si>
  <si>
    <t xml:space="preserve">07X224         </t>
  </si>
  <si>
    <t>P.S./I.S. 224</t>
  </si>
  <si>
    <t>345 BROOK AVENUE</t>
  </si>
  <si>
    <t>https://nycdoe.sharepoint.com/:w:/s/BAP/ETyKqF29li1NlBmovM0m3D0BoGFdJTTBdO4pPXEYM8AJXw</t>
  </si>
  <si>
    <t>X334</t>
  </si>
  <si>
    <t xml:space="preserve">07X334         </t>
  </si>
  <si>
    <t>INTERNATIONAL COMMUNITY HIGH SCHOOL</t>
  </si>
  <si>
    <t>X343</t>
  </si>
  <si>
    <t xml:space="preserve">07X343         </t>
  </si>
  <si>
    <t>ACADEMY OF APPLIED MATHEMATICS AND TECHNOLOGY</t>
  </si>
  <si>
    <t xml:space="preserve">07X031         </t>
  </si>
  <si>
    <t>P.S./M.S. 031 THE WILLIAM LLOYD GARRISON</t>
  </si>
  <si>
    <t>250 EAST 156 STREET</t>
  </si>
  <si>
    <t>https://nycdoe.sharepoint.com/:w:/s/BAP/ESKAyjKkrohBrpnHG4ra0wsBjb4dRj4frAWKrFTxvLY97Q</t>
  </si>
  <si>
    <t xml:space="preserve">75X168         </t>
  </si>
  <si>
    <t xml:space="preserve">84X704         </t>
  </si>
  <si>
    <t>KIPP ACADEMY CHARTER SCHOOL</t>
  </si>
  <si>
    <t>X154</t>
  </si>
  <si>
    <t xml:space="preserve">07X154         </t>
  </si>
  <si>
    <t>P.S. 154 JONATHAN D. HYATT</t>
  </si>
  <si>
    <t>333 EAST 135 STREET</t>
  </si>
  <si>
    <t>https://nycdoe.sharepoint.com/:w:/s/BAP/ETEQCsXpH7RLp6yCo5Lh6tkBPT_7bub4E6KyZkmVhhKJSw</t>
  </si>
  <si>
    <t>X364</t>
  </si>
  <si>
    <t xml:space="preserve">84X364         </t>
  </si>
  <si>
    <t>SOUTH BRONX CLASSICAL CHARTER SCHOOL II</t>
  </si>
  <si>
    <t>Q950</t>
  </si>
  <si>
    <t xml:space="preserve">79Q950         </t>
  </si>
  <si>
    <t>PATHWAYS TO GRADUATION</t>
  </si>
  <si>
    <t>470 JACKSON AVENUE</t>
  </si>
  <si>
    <t>https://nycdoe.sharepoint.com/:w:/s/BAP/EV4uZBykX7FKklYC02Pz6PcBK7KixLH8x9WZzt_DZqhhsA</t>
  </si>
  <si>
    <t xml:space="preserve">84X615         </t>
  </si>
  <si>
    <t>UNIVERSITY PREP CHARTER MIDDLE SCHOOL</t>
  </si>
  <si>
    <t xml:space="preserve">75X754         </t>
  </si>
  <si>
    <t>J. M. RAPPORT SCHOOL CAREER DEVELOPMENT</t>
  </si>
  <si>
    <t xml:space="preserve">75X017         </t>
  </si>
  <si>
    <t>750 CONCOURSE VILLAGE WEST</t>
  </si>
  <si>
    <t>https://nycdoe.sharepoint.com/:w:/s/BAP/EdUiihksNBRLq00zSsALy34BWhshrcAeY6VhYFOpXJsdoQ</t>
  </si>
  <si>
    <t xml:space="preserve">84X389         </t>
  </si>
  <si>
    <t>BRONX GLOBAL LEARNING INSTITUTE FOR GIRLS CHARTER SCHOOL</t>
  </si>
  <si>
    <t>X642</t>
  </si>
  <si>
    <t xml:space="preserve">07X642         </t>
  </si>
  <si>
    <t>SOUTH BRONX LITERACY ACADEMY</t>
  </si>
  <si>
    <t>X157</t>
  </si>
  <si>
    <t xml:space="preserve">07X157         </t>
  </si>
  <si>
    <t>P.S. 157 GROVE HILL</t>
  </si>
  <si>
    <t>757 CAULDWELL AVENUE</t>
  </si>
  <si>
    <t>https://nycdoe.sharepoint.com/:w:/s/BAP/EYvVLLVEEjVJn21Dw_7qY1IBNjgdlcmJ1eskW4Cdz6c23g</t>
  </si>
  <si>
    <t xml:space="preserve">07X161         </t>
  </si>
  <si>
    <t>P.S. 161 JUAN PONCE DE LEON SCHOOL</t>
  </si>
  <si>
    <t>628 TINTON AVENUE</t>
  </si>
  <si>
    <t>https://nycdoe.sharepoint.com/:w:/s/BAP/EXPhd8cz6vZOgUhRl2Xx7k4B33coucX5SguhJE4gCsYGag</t>
  </si>
  <si>
    <t>X643</t>
  </si>
  <si>
    <t xml:space="preserve">75X643         </t>
  </si>
  <si>
    <t>P.S. X643</t>
  </si>
  <si>
    <t xml:space="preserve">84X393         </t>
  </si>
  <si>
    <t>UNIVERSITY PREP CHARTER HIGH SCHOOL</t>
  </si>
  <si>
    <t>600 SAINT ANN'S AVENUE</t>
  </si>
  <si>
    <t>https://nycdoe.sharepoint.com/:w:/s/BAP/ETcsVfGfUVlCs-WZKQyMmzcBSvwvAjkFl9O9XT_Wy5umsg</t>
  </si>
  <si>
    <t xml:space="preserve">07X500         </t>
  </si>
  <si>
    <t>HOSTOS-LINCOLN ACADEMY OF SCIENCE</t>
  </si>
  <si>
    <t xml:space="preserve">07X584         </t>
  </si>
  <si>
    <t xml:space="preserve">75X811         </t>
  </si>
  <si>
    <t>339 MORRIS AVENUE</t>
  </si>
  <si>
    <t>https://nycdoe.sharepoint.com/:w:/s/BAP/ERhSUMbs0p9DvU5uQFjyFTYB_5OlilkJVlz2roXqR8ROtA</t>
  </si>
  <si>
    <t xml:space="preserve">84X493         </t>
  </si>
  <si>
    <t>SUCCESS ACADEMY CHARTER SCHOOL - BRONX 1</t>
  </si>
  <si>
    <t xml:space="preserve">07X551         </t>
  </si>
  <si>
    <t>THE URBAN ASSEMBLY BRONX ACADEMY OF LETTERS</t>
  </si>
  <si>
    <t>778 FOREST AVENUE</t>
  </si>
  <si>
    <t>https://nycdoe.sharepoint.com/:w:/s/BAP/ERhUZBs1yFRDqhUMJZN157oBM2qaKqIKjTArIBtfrTGb8A</t>
  </si>
  <si>
    <t xml:space="preserve">07X296         </t>
  </si>
  <si>
    <t>SOUTH BRONX ACADEMY FOR APPLIED MEDIA</t>
  </si>
  <si>
    <t xml:space="preserve">07X298         </t>
  </si>
  <si>
    <t>ACADEMY OF PUBLIC RELATIONS</t>
  </si>
  <si>
    <t xml:space="preserve">07X379         </t>
  </si>
  <si>
    <t>JILL CHAIFETZ TRANSFER HIGH SCHOOL</t>
  </si>
  <si>
    <t>X470</t>
  </si>
  <si>
    <t>X473</t>
  </si>
  <si>
    <t xml:space="preserve">07X473         </t>
  </si>
  <si>
    <t>MOTT HAVEN VILLAGE PREPARATORY HIGH SCHOOL</t>
  </si>
  <si>
    <t>701 ST. ANNS AVENUE</t>
  </si>
  <si>
    <t>https://nycdoe.sharepoint.com/:w:/s/BAP/EYSFmlvw69VEm4Xf1Aiy83IBiYR1Ipa-pq9VAZkM5FUFhA</t>
  </si>
  <si>
    <t>X495</t>
  </si>
  <si>
    <t xml:space="preserve">07X495         </t>
  </si>
  <si>
    <t>UNIVERSITY HEIGHTS SECONDARY SCHOOL</t>
  </si>
  <si>
    <t xml:space="preserve">07X381         </t>
  </si>
  <si>
    <t>BRONX HAVEN HIGH SCHOOL</t>
  </si>
  <si>
    <t>333 EAST 151 STREET</t>
  </si>
  <si>
    <t>https://nycdoe.sharepoint.com/:w:/s/BAP/EXwnomyqQZNDuD-CBS1FuF8BEW1sG8jRqNasXCgjmKz1jw</t>
  </si>
  <si>
    <t xml:space="preserve">07X522         </t>
  </si>
  <si>
    <t>BRONX DESIGN AND CONSTRUCTION ACADEMY</t>
  </si>
  <si>
    <t xml:space="preserve">07X600         </t>
  </si>
  <si>
    <t>ALFRED E. SMITH CAREER AND TECHNICAL EDUCATION HIGH SCHOOL</t>
  </si>
  <si>
    <t xml:space="preserve">07X259         </t>
  </si>
  <si>
    <t>H.E.R.O. HIGH (HEALTH, EDUCATION, AND RESEARCH OCCUPATIONS HIGH SCHOOL)</t>
  </si>
  <si>
    <t>455 SOUTHERN BLVD</t>
  </si>
  <si>
    <t>https://nycdoe.sharepoint.com/:w:/s/BAP/EUuBiVpIv3hBlgfUojG2mzcB5xpY83YNfum9jIPePeMfyA</t>
  </si>
  <si>
    <t xml:space="preserve">07X557         </t>
  </si>
  <si>
    <t>MOTT HAVEN COMMUNITY HIGH SCHOOL</t>
  </si>
  <si>
    <t>M359</t>
  </si>
  <si>
    <t xml:space="preserve">93M359         </t>
  </si>
  <si>
    <t>DREAM PROGRAM</t>
  </si>
  <si>
    <t>730 CONCOURSE VILLAGE WEST</t>
  </si>
  <si>
    <t>https://nycdoe.sharepoint.com/:w:/s/BAP/EaRNIEgs60hPivIL38Op0WsBS8730-4FjoqvhlcB3F7vMA</t>
  </si>
  <si>
    <t xml:space="preserve">75X188         </t>
  </si>
  <si>
    <t xml:space="preserve">07X527         </t>
  </si>
  <si>
    <t>BRONX LEADERSHIP ACADEMY II HIGH SCHOOL</t>
  </si>
  <si>
    <t xml:space="preserve">07X548         </t>
  </si>
  <si>
    <t>CAREERS IN SPORTS HIGH SCHOOL</t>
  </si>
  <si>
    <t xml:space="preserve">07X625         </t>
  </si>
  <si>
    <t>BRONX LEGACY HIGH SCHOOL</t>
  </si>
  <si>
    <t xml:space="preserve">07X427         </t>
  </si>
  <si>
    <t>COMMUNITY SCHOOL FOR SOCIAL JUSTICE</t>
  </si>
  <si>
    <t>350 GERARD AVENUE</t>
  </si>
  <si>
    <t>https://nycdoe.sharepoint.com/:w:/s/BAP/EUNQSRVlaLxAoMoj_kbrUykBoR7nltt02BPCMXj_HU4tnA</t>
  </si>
  <si>
    <t xml:space="preserve">07X670         </t>
  </si>
  <si>
    <t>HEALTH OPPORTUNITIES HIGH SCHOOL</t>
  </si>
  <si>
    <t xml:space="preserve">08X014         </t>
  </si>
  <si>
    <t>P.S. X014 SENATOR JOHN CALANDRA</t>
  </si>
  <si>
    <t>3047 BRUCKNER BOULEVARD</t>
  </si>
  <si>
    <t>https://nycdoe.sharepoint.com/:w:/s/BAP/ESCunIkgbE1Bijbc89ed8H8Bsyd_b0186lPP1dqcSOe2Og</t>
  </si>
  <si>
    <t xml:space="preserve">08X036         </t>
  </si>
  <si>
    <t>P.S. 036 UNIONPORT</t>
  </si>
  <si>
    <t>1070 CASTLE HILL AVENUE</t>
  </si>
  <si>
    <t>https://nycdoe.sharepoint.com/:w:/s/BAP/EWyyHU67zjBMozm5yo1Kd8gBbNLOeofIx3Uj5jTi1vBxIg</t>
  </si>
  <si>
    <t xml:space="preserve">08X048         </t>
  </si>
  <si>
    <t>P.S. 048 JOSEPH R. DRAKE</t>
  </si>
  <si>
    <t>1290 SPOFFORD AVENUE</t>
  </si>
  <si>
    <t>https://nycdoe.sharepoint.com/:w:/s/BAP/EaBFQPZn-nFBjgcD-h7MIRwBuDSx1_3vi3aFm9TI0m58zA</t>
  </si>
  <si>
    <t xml:space="preserve">08X302         </t>
  </si>
  <si>
    <t>M.S. 302 LUISA DESSUS CRUZ</t>
  </si>
  <si>
    <t>681 KELLY STREET</t>
  </si>
  <si>
    <t>https://nycdoe.sharepoint.com/:w:/s/BAP/EXz0ET2i38RJq7rACWCxDA0B0l_eNERxg6AD1ADZa_hMFw</t>
  </si>
  <si>
    <t xml:space="preserve">84X487         </t>
  </si>
  <si>
    <t>GIRLS PREPARATORY CHARTER SCHOOL OF THE BRONX</t>
  </si>
  <si>
    <t xml:space="preserve">75X010         </t>
  </si>
  <si>
    <t>888 REV J A POLITE AVE</t>
  </si>
  <si>
    <t>https://nycdoe.sharepoint.com/:w:/s/BAP/Eb5NFwYIBqVBpdolh0OAGdMBnAFCCY36znGnmg3y3bemyA</t>
  </si>
  <si>
    <t xml:space="preserve">08X333         </t>
  </si>
  <si>
    <t>THE LONGWOOD ACADEMY OF DISCOVERY</t>
  </si>
  <si>
    <t xml:space="preserve">08X072         </t>
  </si>
  <si>
    <t>P.S. 072 DR. WILLIAM DORNEY</t>
  </si>
  <si>
    <t>2951 DEWEY AVENUE</t>
  </si>
  <si>
    <t>https://nycdoe.sharepoint.com/:w:/s/BAP/EdKr_AAcjgFGswRYz6GgpTABWR0TsSkQWb_ylxVYEu1oZA</t>
  </si>
  <si>
    <t xml:space="preserve">84X345         </t>
  </si>
  <si>
    <t>LEADERS IN OUR NEIGHBORHOOD CHARTER SCHOOL</t>
  </si>
  <si>
    <t>730 BRYANT AVENUE</t>
  </si>
  <si>
    <t>https://nycdoe.sharepoint.com/:w:/s/BAP/EakJs7u3_8VJgEPNO3w5tCABjBVHYNyXBQ3ZKrMsFfd9Fw</t>
  </si>
  <si>
    <t xml:space="preserve">08X424         </t>
  </si>
  <si>
    <t>BRONX ACADEMY FOR MULTI-MEDIA</t>
  </si>
  <si>
    <t>2750 LAFAYETTE AVENUE</t>
  </si>
  <si>
    <t>https://nycdoe.sharepoint.com/:w:/s/BAP/EQuUMs8o-tVChDUwKjgKA1QBSXLv61dRvTcsm24weljjJQ</t>
  </si>
  <si>
    <t xml:space="preserve">08X101         </t>
  </si>
  <si>
    <t>M.S. X101 EDWARD R. BYRNE</t>
  </si>
  <si>
    <t xml:space="preserve">08X304         </t>
  </si>
  <si>
    <t>P.S. 304 EARLY CHILDHOOD SCHOOL</t>
  </si>
  <si>
    <t xml:space="preserve">75X012         </t>
  </si>
  <si>
    <t>P.S. X012 LEWIS AND CLARK SCHOOL</t>
  </si>
  <si>
    <t>1111 PUGSLEY AVENUE</t>
  </si>
  <si>
    <t>https://nycdoe.sharepoint.com/:w:/s/BAP/Edu4YCDmAdJNlVE5493odP8BjDzItTVFhC7gv9SVnqn6aA</t>
  </si>
  <si>
    <t xml:space="preserve">08X119         </t>
  </si>
  <si>
    <t>THE DR. EMMETT W. BASSETT SCHOOL</t>
  </si>
  <si>
    <t xml:space="preserve">08X562         </t>
  </si>
  <si>
    <t>PUGSLEY PREPARATORY ACADEMY</t>
  </si>
  <si>
    <t xml:space="preserve">08X131         </t>
  </si>
  <si>
    <t>J.H.S. 131 ALBERT EINSTEIN</t>
  </si>
  <si>
    <t>885 BOLTON AVENUE</t>
  </si>
  <si>
    <t>https://nycdoe.sharepoint.com/:w:/s/BAP/ESbEwyznayZKmG5wQjv7Mb4BTxiY2C5hkTNKdPCczCoGWA</t>
  </si>
  <si>
    <t xml:space="preserve">08X448         </t>
  </si>
  <si>
    <t>SOUNDVIEW ACADEMY FOR CULTURE AND SCHOLARSHIP</t>
  </si>
  <si>
    <t xml:space="preserve">84X464         </t>
  </si>
  <si>
    <t>SUCCESS ACADEMY CHARTER SCHOOL - BRONX 4</t>
  </si>
  <si>
    <t xml:space="preserve">08X152         </t>
  </si>
  <si>
    <t>P.S. 152 EVERGREEN</t>
  </si>
  <si>
    <t>1007 EVERGREEN AVENUE</t>
  </si>
  <si>
    <t>https://nycdoe.sharepoint.com/:w:/s/BAP/EdO2e1qENwhAlxbWvntm4r0BauMKKTFyME4wvfbb3Y7gjQ</t>
  </si>
  <si>
    <t>456 WHITE PLAINS ROAD</t>
  </si>
  <si>
    <t>https://nycdoe.sharepoint.com/:w:/s/BAP/EW6GVOFJnqlNleGT_TJzJGMBqJtHtBXxPfOo4yDbUu6miQ</t>
  </si>
  <si>
    <t xml:space="preserve">08X282         </t>
  </si>
  <si>
    <t>WOMEN'S ACADEMY OF EXCELLENCE</t>
  </si>
  <si>
    <t xml:space="preserve">08X367         </t>
  </si>
  <si>
    <t>ARCHIMEDES ACADEMY FOR MATH, SCIENCE AND TECHNOLOGY APPLICATIONS</t>
  </si>
  <si>
    <t xml:space="preserve">08X375         </t>
  </si>
  <si>
    <t>THE BRONX MATHEMATICS PREPARATORY SCHOOL</t>
  </si>
  <si>
    <t xml:space="preserve">08X371         </t>
  </si>
  <si>
    <t>URBAN INSTITUTE OF MATHEMATICS</t>
  </si>
  <si>
    <t>650 HOLLYWOOD AVENUE</t>
  </si>
  <si>
    <t>https://nycdoe.sharepoint.com/:w:/s/BAP/EUUfE8-dq3ZCm-b5qjW28IQByV-yZA_QiiSL0TSTtls7lA</t>
  </si>
  <si>
    <t xml:space="preserve">08X392         </t>
  </si>
  <si>
    <t>BRONX DELTA SCHOOL</t>
  </si>
  <si>
    <t xml:space="preserve">08X467         </t>
  </si>
  <si>
    <t>MOTT HALL COMMUNITY SCHOOL</t>
  </si>
  <si>
    <t xml:space="preserve">08X583         </t>
  </si>
  <si>
    <t>1028 WHITE PLAINS ROAD</t>
  </si>
  <si>
    <t>https://nycdoe.sharepoint.com/:w:/s/BAP/EUgAnupij61Hg6ivD9zssy8BVzDJuoQZqWx7UeFLhbUaDA</t>
  </si>
  <si>
    <t xml:space="preserve">75X186         </t>
  </si>
  <si>
    <t>P186X WALTER J. DAMROSCH SCHOOL</t>
  </si>
  <si>
    <t>928 SIMPSON STREET</t>
  </si>
  <si>
    <t>https://nycdoe.sharepoint.com/:w:/s/BAP/ERhjR5Zz2wZJhLzDEMALfCoBsdzEhjulaikKPW4G3PhPOg</t>
  </si>
  <si>
    <t xml:space="preserve">08X269         </t>
  </si>
  <si>
    <t>BRONX STUDIO SCHOOL FOR WRITERS AND ARTISTS</t>
  </si>
  <si>
    <t>1980 LAFAYETTE AVENUE</t>
  </si>
  <si>
    <t>https://nycdoe.sharepoint.com/:w:/s/BAP/EcnfaZ-JOBpGvfT-LfHqxYAByuVJgx6VBslEutmGDJfteQ</t>
  </si>
  <si>
    <t xml:space="preserve">08X312         </t>
  </si>
  <si>
    <t>MILLENNIUM ART ACADEMY</t>
  </si>
  <si>
    <t xml:space="preserve">08X376         </t>
  </si>
  <si>
    <t>ANTONIA PANTOJA PREPARATORY ACADEMY: A COLLEGE BOARD SCHOOL</t>
  </si>
  <si>
    <t xml:space="preserve">08X377         </t>
  </si>
  <si>
    <t>BRONX COMMUNITY HIGH SCHOOL</t>
  </si>
  <si>
    <t xml:space="preserve">08X432         </t>
  </si>
  <si>
    <t>BRONX BRIDGES HIGH SCHOOL</t>
  </si>
  <si>
    <t xml:space="preserve">08X452         </t>
  </si>
  <si>
    <t>GOTHAM COLLABORATIVE HIGH SCHOOL</t>
  </si>
  <si>
    <t xml:space="preserve">08X561         </t>
  </si>
  <si>
    <t>BRONX COMPASS HIGH SCHOOL</t>
  </si>
  <si>
    <t xml:space="preserve">84X202         </t>
  </si>
  <si>
    <t>UNITED CHARTER HIGH SCHOOL FOR ADVANCED MATH AND SCIENCE LL</t>
  </si>
  <si>
    <t>900 TINTON AVENUE</t>
  </si>
  <si>
    <t>https://nycdoe.sharepoint.com/:w:/s/BAP/EVJ7F0fi779Egsu4uFIA08IBjDv2niEwz5bgAssNUI8beQ</t>
  </si>
  <si>
    <t xml:space="preserve">84X208         </t>
  </si>
  <si>
    <t>UNITED CHARTER HIGH SCHOOL FOR THE HUMANITIES II</t>
  </si>
  <si>
    <t>X823</t>
  </si>
  <si>
    <t>X196</t>
  </si>
  <si>
    <t xml:space="preserve">12X196         </t>
  </si>
  <si>
    <t>P.S. 196</t>
  </si>
  <si>
    <t>1025 MORRISON AVENUE</t>
  </si>
  <si>
    <t>https://nycdoe.sharepoint.com/:w:/s/BAP/EUlr5LYTyqdFpD52WpTRUu8BxV_bh7GvhoP2BnLpcqaiTw</t>
  </si>
  <si>
    <t>X840</t>
  </si>
  <si>
    <t>916 EAGLE AVENUE</t>
  </si>
  <si>
    <t>https://nycdoe.sharepoint.com/:w:/s/BAP/EWdM-9wP7nZImbGCUo10HKgBNSXt0rhXhlQNZYmvJDdZMg</t>
  </si>
  <si>
    <t xml:space="preserve">08X537         </t>
  </si>
  <si>
    <t>BRONX ARENA HIGH SCHOOL</t>
  </si>
  <si>
    <t>1440 STORY AVENUE</t>
  </si>
  <si>
    <t>https://nycdoe.sharepoint.com/:w:/s/BAP/EU-9x7MckIVEso4NMJ4JzNUBMMpCrAszgWX5znfmL2BeiA</t>
  </si>
  <si>
    <t xml:space="preserve">84X730         </t>
  </si>
  <si>
    <t>BRONX CHARTER SCHOOL FOR THE ARTS</t>
  </si>
  <si>
    <t xml:space="preserve">09X011         </t>
  </si>
  <si>
    <t>P.S. 011 HIGHBRIDGE</t>
  </si>
  <si>
    <t>1257 OGDEN AVENUE</t>
  </si>
  <si>
    <t>https://nycdoe.sharepoint.com/:w:/s/BAP/EYC1kyL4ISBPhQZNTawSrrwBI7WYNp_qUh9CdxZStLhecA</t>
  </si>
  <si>
    <t xml:space="preserve">09X022         </t>
  </si>
  <si>
    <t>J.H.S. 022 JORDAN L. MOTT</t>
  </si>
  <si>
    <t>270 EAST 167 STREET</t>
  </si>
  <si>
    <t>https://nycdoe.sharepoint.com/:w:/s/BAP/EVXva3IzBGFJsoYukq9jGUkBrSbT7cLUkoOPAM3LkBMVBw</t>
  </si>
  <si>
    <t xml:space="preserve">09X323         </t>
  </si>
  <si>
    <t>BRONX WRITING ACADEMY</t>
  </si>
  <si>
    <t xml:space="preserve">84X494         </t>
  </si>
  <si>
    <t>SUCCESS ACADEMY CHARTER SCHOOL - BRONX 2</t>
  </si>
  <si>
    <t xml:space="preserve">09X232         </t>
  </si>
  <si>
    <t>1700 MACOMBS ROAD</t>
  </si>
  <si>
    <t>https://nycdoe.sharepoint.com/:w:/s/BAP/EaVaQN88XE1KlxXGoHrOABwBfTrIZKX4SNtHu_rQR79vsw</t>
  </si>
  <si>
    <t xml:space="preserve">09X303         </t>
  </si>
  <si>
    <t>I.S. X303 LEADERSHIP &amp; COMMUNITY SERVICE</t>
  </si>
  <si>
    <t xml:space="preserve">09X365         </t>
  </si>
  <si>
    <t>ACADEMY FOR LANGUAGE AND TECHNOLOGY</t>
  </si>
  <si>
    <t xml:space="preserve">09X443         </t>
  </si>
  <si>
    <t>THE FAMILY SCHOOL</t>
  </si>
  <si>
    <t>1116 SHERIDAN AVENUE</t>
  </si>
  <si>
    <t>https://nycdoe.sharepoint.com/:w:/s/BAP/ET3RHO3FKDVBgZ2N9AzXrcMBVuOzjyWIvihzB8PkbavbSQ</t>
  </si>
  <si>
    <t xml:space="preserve">09X457         </t>
  </si>
  <si>
    <t>SHERIDAN ACADEMY FOR YOUNG LEADERS</t>
  </si>
  <si>
    <t>X104</t>
  </si>
  <si>
    <t>1449 SHAKESPEARE AVENUE</t>
  </si>
  <si>
    <t>https://nycdoe.sharepoint.com/:w:/s/BAP/EWxQIYBBw9dGry_WijrRXCUBds2Omd7q5ZOjMlq43-Vf7g</t>
  </si>
  <si>
    <t>X199</t>
  </si>
  <si>
    <t xml:space="preserve">09X199         </t>
  </si>
  <si>
    <t>P.S. 199X - THE SHAKESPEARE SCHOOL</t>
  </si>
  <si>
    <t>X109</t>
  </si>
  <si>
    <t xml:space="preserve">09X109         </t>
  </si>
  <si>
    <t>P.S. 109 SEDGWICK</t>
  </si>
  <si>
    <t>1771 POPHAM AVENUE</t>
  </si>
  <si>
    <t>https://nycdoe.sharepoint.com/:w:/s/BAP/EY7lj_VzHwFIsOf3bGWg-UYBM3d6xlTdiJZ344FUkc7aTA</t>
  </si>
  <si>
    <t>X117</t>
  </si>
  <si>
    <t>1865 MORRIS AVENUE</t>
  </si>
  <si>
    <t>https://nycdoe.sharepoint.com/:w:/s/BAP/EebjwBgVJaxAlBAkdp5BmkQBFhny4I1r6fLtCWX9ODNPzw</t>
  </si>
  <si>
    <t xml:space="preserve">09X117         </t>
  </si>
  <si>
    <t>I.S. 117 JOSEPH H. WADE</t>
  </si>
  <si>
    <t>X568</t>
  </si>
  <si>
    <t xml:space="preserve">09X568         </t>
  </si>
  <si>
    <t>YOUNG WOMEN'S LEADERSHIP SCHOOL OF THE BRONX</t>
  </si>
  <si>
    <t xml:space="preserve">09X132         </t>
  </si>
  <si>
    <t>P.S. 132 GARRET A. MORGAN</t>
  </si>
  <si>
    <t>1245 WASHINGTON AVENUE</t>
  </si>
  <si>
    <t>https://nycdoe.sharepoint.com/:w:/s/BAP/EU-WK4WOSRpDiWbttiwGxEkBJ_JloGYmgzfQIO34mz-BtA</t>
  </si>
  <si>
    <t xml:space="preserve">09X313         </t>
  </si>
  <si>
    <t>I.S. 313 SCHOOL OF LEADERSHIP DEVELOPMENT</t>
  </si>
  <si>
    <t>1600 WEBSTER AVENUE</t>
  </si>
  <si>
    <t>https://nycdoe.sharepoint.com/:w:/s/BAP/EcuBhFGcB-5Cs56EJPYMcSEB4grABFmBJqEahAhQ9jbB-A</t>
  </si>
  <si>
    <t xml:space="preserve">09X339         </t>
  </si>
  <si>
    <t xml:space="preserve">75X469         </t>
  </si>
  <si>
    <t>THE BRONX SCHOOL FOR CONTINUOUS LEARNERS</t>
  </si>
  <si>
    <t>X148</t>
  </si>
  <si>
    <t>X215</t>
  </si>
  <si>
    <t xml:space="preserve">09X215         </t>
  </si>
  <si>
    <t>KAPPA</t>
  </si>
  <si>
    <t>3630 THIRD AVENUE</t>
  </si>
  <si>
    <t>https://nycdoe.sharepoint.com/:w:/s/BAP/ERCZBqa-3N1BpiFSVGaiHOcB1HTHg7pyKqKSnFUWXp_Ufw</t>
  </si>
  <si>
    <t>X219</t>
  </si>
  <si>
    <t xml:space="preserve">09X219         </t>
  </si>
  <si>
    <t>I.S. 219 NEW VENTURE SCHOOL</t>
  </si>
  <si>
    <t>X517</t>
  </si>
  <si>
    <t xml:space="preserve">09X517         </t>
  </si>
  <si>
    <t>FREDERICK DOUGLASS ACADEMY III SECONDARY SCHOOL</t>
  </si>
  <si>
    <t xml:space="preserve">09X324         </t>
  </si>
  <si>
    <t>BRONX EARLY COLLEGE ACADEMY FOR TEACHING &amp; LEARNING</t>
  </si>
  <si>
    <t>250 EAST 164 STREET</t>
  </si>
  <si>
    <t>https://nycdoe.sharepoint.com/:w:/s/BAP/Eb6GfUZOFcZPvIGG1bEYR5kBzTTOROFp9zE4CZCggzKheg</t>
  </si>
  <si>
    <t xml:space="preserve">09X449         </t>
  </si>
  <si>
    <t>GRANT AVENUE ELEMENTARY SCHOOL</t>
  </si>
  <si>
    <t xml:space="preserve">09X454         </t>
  </si>
  <si>
    <t>SCIENCE AND TECHNOLOGY ACADEMY: A MOTT HALL SCHOOL</t>
  </si>
  <si>
    <t>X171</t>
  </si>
  <si>
    <t>X004</t>
  </si>
  <si>
    <t xml:space="preserve">09X004         </t>
  </si>
  <si>
    <t>P.S./M.S. 004 CROTONA PARK WEST</t>
  </si>
  <si>
    <t>1717 FULTON AVENUE</t>
  </si>
  <si>
    <t>https://nycdoe.sharepoint.com/:w:/s/BAP/EQHD4Ko05MVIoLXFZYWOC_ABUFSSNUanPLVCw-6VyD-X0Q</t>
  </si>
  <si>
    <t>X172</t>
  </si>
  <si>
    <t>1399 OGDEN AVE</t>
  </si>
  <si>
    <t>https://nycdoe.sharepoint.com/:w:/s/BAP/Ea98sXT3L05LiyJxyh7n0XEBqFWPsq9oLIT0tOwIjH22zQ</t>
  </si>
  <si>
    <t xml:space="preserve">09X236         </t>
  </si>
  <si>
    <t>P.S. 236 LANGSTON HUGHES</t>
  </si>
  <si>
    <t>1871 WALTON AVENUE</t>
  </si>
  <si>
    <t>https://nycdoe.sharepoint.com/:w:/s/BAP/ERL3Mc9YDmJDj_SEzYKE5mUBlmSyGJEUdEHpVQnh4vRJlg</t>
  </si>
  <si>
    <t xml:space="preserve">09X229         </t>
  </si>
  <si>
    <t>I.S. 229 ROLAND PATTERSON</t>
  </si>
  <si>
    <t>275 HARLEM RIVER PARK BRIDGE</t>
  </si>
  <si>
    <t>https://nycdoe.sharepoint.com/:w:/s/BAP/EdFPs-LzmYNBgfBFH09okCIBC3eciXpqxutICSSPm7wQnQ</t>
  </si>
  <si>
    <t xml:space="preserve">09X274         </t>
  </si>
  <si>
    <t>THE NEW AMERICAN ACADEMY AT ROBERTO CLEMENTE STATE PARK</t>
  </si>
  <si>
    <t xml:space="preserve">09X218         </t>
  </si>
  <si>
    <t>P.S./I.S. 218 RAFAEL HERNANDEZ DUAL LANGUAGE MAGNET SCHOOL</t>
  </si>
  <si>
    <t>1220 GERARD AVENUE</t>
  </si>
  <si>
    <t>https://nycdoe.sharepoint.com/:w:/s/BAP/EeVwZDuwVx5ImdJ3z2jCKccBGNI71cPAOR96GHHlxcTVsw</t>
  </si>
  <si>
    <t>1501 JEROME AVENUE</t>
  </si>
  <si>
    <t>https://nycdoe.sharepoint.com/:w:/s/BAP/EeRn77K6CwBNhtTPlsIM8jYBj_SYqeKyNwXTdmU371_KUQ</t>
  </si>
  <si>
    <t xml:space="preserve">09X327         </t>
  </si>
  <si>
    <t>COMPREHENSIVE MODEL SCHOOL PROJECT M.S. 327</t>
  </si>
  <si>
    <t xml:space="preserve">09X555         </t>
  </si>
  <si>
    <t>MOUNT EDEN CHILDREN'S ACADEMY</t>
  </si>
  <si>
    <t xml:space="preserve">09X361         </t>
  </si>
  <si>
    <t>THE HIGHBRIDGE GREEN SCHOOL</t>
  </si>
  <si>
    <t>200 WEST 167 STREET</t>
  </si>
  <si>
    <t>https://nycdoe.sharepoint.com/:w:/s/BAP/EWPqQb6Aw7hNulLpWhFWhdkBL5AhGfrd6YTzJc64KfNFEA</t>
  </si>
  <si>
    <t xml:space="preserve">09X204         </t>
  </si>
  <si>
    <t>P.S. 204 MORRIS HEIGHTS</t>
  </si>
  <si>
    <t>1780 DR. MARTIN LUTHER KING JR. BLVD</t>
  </si>
  <si>
    <t>https://nycdoe.sharepoint.com/:w:/s/BAP/ESOC7w2To_ZHtfGZjJeW0qoB565-lge8Zn1DvEj3icj-eQ</t>
  </si>
  <si>
    <t xml:space="preserve">75X723         </t>
  </si>
  <si>
    <t xml:space="preserve">09X297         </t>
  </si>
  <si>
    <t>MORRIS ACADEMY FOR COLLABORATIVE STUDIES</t>
  </si>
  <si>
    <t>1110 BOSTON ROAD</t>
  </si>
  <si>
    <t>https://nycdoe.sharepoint.com/:w:/s/BAP/EZ25paNmN49MhSrjFB2WJhoBa_409CP5L4OrWy6BZj_nYw</t>
  </si>
  <si>
    <t xml:space="preserve">09X403         </t>
  </si>
  <si>
    <t>BRONX INTERNATIONAL HIGH SCHOOL</t>
  </si>
  <si>
    <t xml:space="preserve">09X543         </t>
  </si>
  <si>
    <t>HIGH SCHOOL FOR VIOLIN AND DANCE</t>
  </si>
  <si>
    <t xml:space="preserve">09X227         </t>
  </si>
  <si>
    <t>BRONX COLLEGIATE ACADEMY</t>
  </si>
  <si>
    <t>240 EAST 172 STREET</t>
  </si>
  <si>
    <t>https://nycdoe.sharepoint.com/:w:/s/BAP/Eb_abUxEHtFMstxD5gSqFccBER-dwJOvdp55UJ6Nc3RDdA</t>
  </si>
  <si>
    <t xml:space="preserve">09X329         </t>
  </si>
  <si>
    <t>DREAMYARD PREPARATORY SCHOOL</t>
  </si>
  <si>
    <t xml:space="preserve">09X350         </t>
  </si>
  <si>
    <t>NEW DIRECTIONS SECONDARY SCHOOL</t>
  </si>
  <si>
    <t xml:space="preserve">09X412         </t>
  </si>
  <si>
    <t>BRONX HIGH SCHOOL OF BUSINESS</t>
  </si>
  <si>
    <t xml:space="preserve">09X413         </t>
  </si>
  <si>
    <t>BRONX HIGH SCHOOL FOR MEDICAL SCIENCE</t>
  </si>
  <si>
    <t xml:space="preserve">09X564         </t>
  </si>
  <si>
    <t>CLAREMONT INTERNATIONAL HS</t>
  </si>
  <si>
    <t xml:space="preserve">09X505         </t>
  </si>
  <si>
    <t>BRONX SCHOOL FOR LAW, GOVERNMENT AND JUSTICE</t>
  </si>
  <si>
    <t>244 EAST 163 STREET</t>
  </si>
  <si>
    <t>https://nycdoe.sharepoint.com/:w:/s/BAP/EQexBVKIbMhJnYlmLqWasPwBIDE3koqVb36jZ4LVL6fzbw</t>
  </si>
  <si>
    <t xml:space="preserve">09X231         </t>
  </si>
  <si>
    <t>EAGLE ACADEMY FOR YOUNG MEN</t>
  </si>
  <si>
    <t>4143 THIRD AVENUE</t>
  </si>
  <si>
    <t>https://nycdoe.sharepoint.com/:w:/s/BAP/EWcnt219-fVMiRsvyW_Ih4UBhATzAxceQs3-eSTd6hCW_w</t>
  </si>
  <si>
    <t>X468</t>
  </si>
  <si>
    <t>X644</t>
  </si>
  <si>
    <t xml:space="preserve">09X644         </t>
  </si>
  <si>
    <t>BRONX DEBATE ACADEMY</t>
  </si>
  <si>
    <t>1302 EDWARD L GRANT HIGHWAY</t>
  </si>
  <si>
    <t>https://nycdoe.sharepoint.com/:w:/s/BAP/ESonrlagoNpLjwfq_2t_vsoBxs7Fz4S1Y3JyhMjAu1DoTQ</t>
  </si>
  <si>
    <t>X717</t>
  </si>
  <si>
    <t xml:space="preserve">84X717         </t>
  </si>
  <si>
    <t>ICAHN CHARTER SCHOOL 1</t>
  </si>
  <si>
    <t>1506 BROOK AVENUE</t>
  </si>
  <si>
    <t>https://nycdoe.sharepoint.com/:w:/s/BAP/ES-vJXLADEBHkqq3yKwZqtQB-mL91TcDyRTVGNRETfxt1g</t>
  </si>
  <si>
    <t xml:space="preserve">09X525         </t>
  </si>
  <si>
    <t>BRONX LEADERSHIP ACADEMY HIGH SCHOOL</t>
  </si>
  <si>
    <t>1710 WEBSTER AVENUE</t>
  </si>
  <si>
    <t>https://nycdoe.sharepoint.com/:w:/s/BAP/EaGTWHDc0s1Ag9I5tn9p6coB0HXNJeaWDhD9RHDtnn2dHQ</t>
  </si>
  <si>
    <t>X909</t>
  </si>
  <si>
    <t>516 EAST TREMONT AVENUE</t>
  </si>
  <si>
    <t>https://nycdoe.sharepoint.com/:w:/s/BAP/EV6XyZXApqJDripbmQcKQQcB37guYmHLGNbA5Utc9fDIDw</t>
  </si>
  <si>
    <t>X927</t>
  </si>
  <si>
    <t>1455 WEBSTER AVENUE</t>
  </si>
  <si>
    <t>https://nycdoe.sharepoint.com/:w:/s/BAP/EVhMHl7TGLlEtATru374sygBob6pXhKlqOvANL9JHR8Dug</t>
  </si>
  <si>
    <t xml:space="preserve">09X241         </t>
  </si>
  <si>
    <t>URBAN ASSEMBLY SCHOOL FOR APPLIED MATH AND SCIENCE, THE</t>
  </si>
  <si>
    <t>1595 BATHGATE AVENUE</t>
  </si>
  <si>
    <t>https://nycdoe.sharepoint.com/:w:/s/BAP/EV-95d1zm2hChM1cKIqGyHgBcdTuVF8yz8fNN2Zpv6z6Lw</t>
  </si>
  <si>
    <t xml:space="preserve">09X252         </t>
  </si>
  <si>
    <t>MOTT HALL BRONX HIGH SCHOOL</t>
  </si>
  <si>
    <t xml:space="preserve">09X263         </t>
  </si>
  <si>
    <t>VALIDUS PREPARATORY ACADEMY</t>
  </si>
  <si>
    <t>X980</t>
  </si>
  <si>
    <t>1732 DAVIDSON AVENUE</t>
  </si>
  <si>
    <t>https://nycdoe.sharepoint.com/:w:/s/BAP/EQBcDxf1D4hKqBQI4rKP4cEBtBmf6VGBe3LvDOj1THU_BA</t>
  </si>
  <si>
    <t xml:space="preserve">75X176         </t>
  </si>
  <si>
    <t xml:space="preserve">10X003         </t>
  </si>
  <si>
    <t>P.S. 3 RAUL JULIA MICRO SOCIETY</t>
  </si>
  <si>
    <t>2100 LAFONTAINE AVENUE</t>
  </si>
  <si>
    <t>https://nycdoe.sharepoint.com/:w:/s/BAP/ETOisNvAh8pBh-HkSExIctQBmG0jpyy2pI4gerwTq08w_A</t>
  </si>
  <si>
    <t>230 EAST 183 STREET</t>
  </si>
  <si>
    <t>https://nycdoe.sharepoint.com/:w:/s/BAP/EUu9z1fezaxPovRyhBm17NsBj7yxc3XPV79Abo59R0zf8g</t>
  </si>
  <si>
    <t xml:space="preserve">10X009         </t>
  </si>
  <si>
    <t>P.S. 9 RYER AVENUE ELEMENTARY SCHOOL</t>
  </si>
  <si>
    <t>2195 ANDREWS AVENUE</t>
  </si>
  <si>
    <t>https://nycdoe.sharepoint.com/:w:/s/BAP/EQ8BMnaI3M1NrBG5h-xuB0kBuo8Bx3bO_ccXQppxfCR0Ag</t>
  </si>
  <si>
    <t xml:space="preserve">10X015         </t>
  </si>
  <si>
    <t>P.S. X015 INSTITUTE FOR ENVIRONMENTAL LEARNING</t>
  </si>
  <si>
    <t xml:space="preserve">10X291         </t>
  </si>
  <si>
    <t xml:space="preserve">10X020         </t>
  </si>
  <si>
    <t>PS/MS 20 P.O.GEORGE J. WERDANN, III</t>
  </si>
  <si>
    <t>3050 WEBSTER AVENUE</t>
  </si>
  <si>
    <t>https://nycdoe.sharepoint.com/:w:/s/BAP/EeAb4zYRVPxKjuXhYcdXHSIB7Z06rcgGQqQXEqWr6uHBzQ</t>
  </si>
  <si>
    <t xml:space="preserve">10X023         </t>
  </si>
  <si>
    <t>P.S. 023 THE NEW CHILDREN'S SCHOOL</t>
  </si>
  <si>
    <t>2151 WASHINGTON AVENUE</t>
  </si>
  <si>
    <t>https://nycdoe.sharepoint.com/:w:/s/BAP/Ec9n4jyHz5dCvQ8uQCsjRysBCJHYwVq7XQLwcPZSchgubw</t>
  </si>
  <si>
    <t>X032</t>
  </si>
  <si>
    <t xml:space="preserve">10X032         </t>
  </si>
  <si>
    <t>P.S. 032 BELMONT</t>
  </si>
  <si>
    <t>690 EAST 183 STREET</t>
  </si>
  <si>
    <t>https://nycdoe.sharepoint.com/:w:/s/BAP/EVrx3g2GmkBBqdPMdGS9omcBSxrm-3AYF2kW_XbX4xCnlg</t>
  </si>
  <si>
    <t>770 GROTE STREET</t>
  </si>
  <si>
    <t>https://nycdoe.sharepoint.com/:w:/s/BAP/EZ7HKsDdFGxIiGWRB6NHiOkBN-cln-W09BMfwJQxTak78Q</t>
  </si>
  <si>
    <t xml:space="preserve">10X037         </t>
  </si>
  <si>
    <t>P.S. X037 - MULTIPLE INTELLIGENCE SCHOOL</t>
  </si>
  <si>
    <t>360 WEST 230 STREET</t>
  </si>
  <si>
    <t>https://nycdoe.sharepoint.com/:w:/s/BAP/EcEjz6-ehylJrG9kw_SQnXMBzOFXkTt-TGNtg6FRDqV6Hg</t>
  </si>
  <si>
    <t>X045</t>
  </si>
  <si>
    <t>2502 LORILLARD PLACE</t>
  </si>
  <si>
    <t>https://nycdoe.sharepoint.com/:w:/s/BAP/EdYPpxsV9vlBtBBbJSPw5VsBZpdT6bKvEPPIV4a9yLzs6g</t>
  </si>
  <si>
    <t xml:space="preserve">10X045         </t>
  </si>
  <si>
    <t>THOMAS C. GIORDANO MIDDLE SCHOOL 45</t>
  </si>
  <si>
    <t xml:space="preserve">10X046         </t>
  </si>
  <si>
    <t>P.S. 046 EDGAR ALLAN POE</t>
  </si>
  <si>
    <t>2760 BRIGGS AVENUE</t>
  </si>
  <si>
    <t>https://nycdoe.sharepoint.com/:w:/s/BAP/Ea_-x7Pa-RVFlzuHdquAJ0sBo6olFB6sf8UIzma3PJBsRQ</t>
  </si>
  <si>
    <t>279 EAST 196 STREET</t>
  </si>
  <si>
    <t xml:space="preserve">10X054         </t>
  </si>
  <si>
    <t>2703 WEBSTER AVENUE</t>
  </si>
  <si>
    <t>https://nycdoe.sharepoint.com/:w:/s/BAP/EWKeew3b4rpBrVrid3oVLmUB-i37rqaEpmWkWkt8XPqDlA</t>
  </si>
  <si>
    <t xml:space="preserve">10X056         </t>
  </si>
  <si>
    <t>P.S. 056 NORWOOD HEIGHTS</t>
  </si>
  <si>
    <t>341 EAST 207 STREET</t>
  </si>
  <si>
    <t>https://nycdoe.sharepoint.com/:w:/s/BAP/Ed71jBbaz1JAg1gvcLNWihsBhcLmx1UWrhDhdjEGLxq3qw</t>
  </si>
  <si>
    <t>X059</t>
  </si>
  <si>
    <t xml:space="preserve">10X059         </t>
  </si>
  <si>
    <t>P.S. 059 THE COMMUNITY SCHOOL OF TECHNOLOGY</t>
  </si>
  <si>
    <t>2185 BATHGATE AVENUE</t>
  </si>
  <si>
    <t>https://nycdoe.sharepoint.com/:w:/s/BAP/Ebw4glPftWhNj8S80kk4hTMBcQUS3KZolBQJKFDb5gE3ig</t>
  </si>
  <si>
    <t xml:space="preserve">10X386         </t>
  </si>
  <si>
    <t>SCHOOL FOR ENVIRONMENTAL CITIZENSHIP</t>
  </si>
  <si>
    <t>125 EAST 181 STREET</t>
  </si>
  <si>
    <t>https://nycdoe.sharepoint.com/:w:/s/BAP/EV7Xwj13kJhKoAW2_rbhy08B29kbTarRmC8s8Q_qeYNoug</t>
  </si>
  <si>
    <t xml:space="preserve">10X447         </t>
  </si>
  <si>
    <t>CRESTON ACADEMY</t>
  </si>
  <si>
    <t xml:space="preserve">10X080         </t>
  </si>
  <si>
    <t>J.H.S. 080 THE MOSHOLU PARKWAY</t>
  </si>
  <si>
    <t>149 EAST MOSHOLU PKWY N</t>
  </si>
  <si>
    <t>https://nycdoe.sharepoint.com/:w:/s/BAP/ETQutMvf_pNEuKUKB_zrkxcBHj2zW42-XlUpbxCAHKf_qA</t>
  </si>
  <si>
    <t xml:space="preserve">10X280         </t>
  </si>
  <si>
    <t>P.S./M.S. 280 MOSHOLU PARKWAY</t>
  </si>
  <si>
    <t>3202 STEUBEN AVENUE</t>
  </si>
  <si>
    <t xml:space="preserve">10X085         </t>
  </si>
  <si>
    <t>P.S. 085 GREAT EXPECTATIONS</t>
  </si>
  <si>
    <t>2400 MARION AVENUE</t>
  </si>
  <si>
    <t>https://nycdoe.sharepoint.com/:w:/s/BAP/EW0VqEYSde5IvRDeATLU-9cBf7dHE-v4InumM5zr2K6dxw</t>
  </si>
  <si>
    <t xml:space="preserve">10X086         </t>
  </si>
  <si>
    <t>P.S. 086 KINGSBRIDGE HEIGHTS</t>
  </si>
  <si>
    <t>2756 RESERVOIR AVENUE</t>
  </si>
  <si>
    <t>https://nycdoe.sharepoint.com/:w:/s/BAP/EdreDHZUMs1FgqS3fNwGm4MBURTlt1aUUctebull5a0r-A</t>
  </si>
  <si>
    <t xml:space="preserve">10X095         </t>
  </si>
  <si>
    <t>P.S. 095 SHEILA MENCHER</t>
  </si>
  <si>
    <t>3961 HILLMAN AVENUE</t>
  </si>
  <si>
    <t>https://nycdoe.sharepoint.com/:w:/s/BAP/EXqOlw0ueF5KudmbwA1aoGwBcVl8BWK2TBEpw93iwScNyQ</t>
  </si>
  <si>
    <t xml:space="preserve">10X344         </t>
  </si>
  <si>
    <t>AMPARK NEIGHBORHOOD</t>
  </si>
  <si>
    <t xml:space="preserve">10X363         </t>
  </si>
  <si>
    <t>ACADEMY FOR PERSONAL LEADERSHIP AND EXCELLENCE</t>
  </si>
  <si>
    <t>120 EAST 184 STREET</t>
  </si>
  <si>
    <t>https://nycdoe.sharepoint.com/:w:/s/BAP/EYVAkKVH1ulCv6xcilCiPvUBFOHgLyHfhV8W2NdiAuvbHw</t>
  </si>
  <si>
    <t>577 EAST 179 STREET</t>
  </si>
  <si>
    <t>https://nycdoe.sharepoint.com/:w:/s/BAP/EcSCV3gKSGhCrVQk0KYMha8BEdu_ooQHrlPQZnh71JzY3A</t>
  </si>
  <si>
    <t xml:space="preserve">10X118         </t>
  </si>
  <si>
    <t>J.H.S. 118 WILLIAM W. NILES</t>
  </si>
  <si>
    <t xml:space="preserve">10X225         </t>
  </si>
  <si>
    <t>THEATRE ARTS PRODUCTION COMPANY SCHOOL</t>
  </si>
  <si>
    <t>2225 WEBSTER AVENUE</t>
  </si>
  <si>
    <t>https://nycdoe.sharepoint.com/:w:/s/BAP/EUelwVdNzl1CmLPXmtyuQnYB3BLbjq243IPOu79ltFsHkw</t>
  </si>
  <si>
    <t xml:space="preserve">10X391         </t>
  </si>
  <si>
    <t>THE ANGELO PATRI MIDDLE SCHOOL</t>
  </si>
  <si>
    <t>2190 FOLIN STREET</t>
  </si>
  <si>
    <t xml:space="preserve">10X141         </t>
  </si>
  <si>
    <t>RIVERDALE / KINGSBRIDGE ACADEMY (MIDDLE SCHOOL / HIGH SCHOOL 141)</t>
  </si>
  <si>
    <t>660 WEST 237 STREET</t>
  </si>
  <si>
    <t>https://nycdoe.sharepoint.com/:w:/s/BAP/EVthhIlQ2MhLmRWvvNBMBQgBWrff8MrwelDZvwBtanDwBA</t>
  </si>
  <si>
    <t>X143</t>
  </si>
  <si>
    <t>X237</t>
  </si>
  <si>
    <t xml:space="preserve">10X237         </t>
  </si>
  <si>
    <t>THE MARIE CURIE HIGH SCHOOL FOR MEDICINE, NURSING, AND HEALTH PROFESSIONS</t>
  </si>
  <si>
    <t>120 WEST 231 STREET</t>
  </si>
  <si>
    <t>https://nycdoe.sharepoint.com/:w:/s/BAP/ERwrXSmcRCdMlt2LVEkrCyQB9HHHyKpnSbM8Zbhw7ATMAA</t>
  </si>
  <si>
    <t>X244</t>
  </si>
  <si>
    <t xml:space="preserve">10X244         </t>
  </si>
  <si>
    <t>THE NEW SCHOOL FOR LEADERSHIP AND JOURNALISM</t>
  </si>
  <si>
    <t xml:space="preserve">10X077         </t>
  </si>
  <si>
    <t>BEDFORD PARK ELEMENTARY SCHOOL</t>
  </si>
  <si>
    <t>3177 WEBSTER AVENUE</t>
  </si>
  <si>
    <t>https://nycdoe.sharepoint.com/:w:/s/BAP/EcS-umI_XclLsfX87DxJ2G8B_V9wmdAHOuG0WWXrYHjwnQ</t>
  </si>
  <si>
    <t xml:space="preserve">10X205         </t>
  </si>
  <si>
    <t>P.S. 205 FIORELLO LAGUARDIA</t>
  </si>
  <si>
    <t>2475 SOUTHERN BOULEVARD</t>
  </si>
  <si>
    <t>https://nycdoe.sharepoint.com/:w:/s/BAP/EYd_-Ej3w9dNkR9MUKoXTnYBAadJHM8zKMEXruQu_ZxrGg</t>
  </si>
  <si>
    <t xml:space="preserve">10X209         </t>
  </si>
  <si>
    <t>313 EAST 183 STREET</t>
  </si>
  <si>
    <t>https://nycdoe.sharepoint.com/:w:/s/BAP/EZTR-mjYpPpNlOYj74hhxIcBIQFq609AsLL8woxn_mIbVQ</t>
  </si>
  <si>
    <t xml:space="preserve">10X319         </t>
  </si>
  <si>
    <t>PROVIDING URBAN LEARNERS SUCCESS IN EDUCATION HIGH SCHOOL</t>
  </si>
  <si>
    <t>560 EAST 179 STREET</t>
  </si>
  <si>
    <t>https://nycdoe.sharepoint.com/:w:/s/BAP/ETHpadBdKhlGrQP32C1czOoBh5rJUjKhCiIkM-22JLvfLA</t>
  </si>
  <si>
    <t xml:space="preserve">10X254         </t>
  </si>
  <si>
    <t>2452 WASHINGTON AVENUE</t>
  </si>
  <si>
    <t>https://nycdoe.sharepoint.com/:w:/s/BAP/EeyTEJ9FGB9Ol_f17fw-gN8B-P9zYrDkq_6leMvMS-BhOQ</t>
  </si>
  <si>
    <t xml:space="preserve">10X279         </t>
  </si>
  <si>
    <t>P.S. 279 CAPTAIN MANUEL RIVERA, JR.</t>
  </si>
  <si>
    <t>2100 WALTON AVENUE</t>
  </si>
  <si>
    <t>https://nycdoe.sharepoint.com/:w:/s/BAP/EYciaf3naQhNhASzJX58ZZcB12Qys7_O24yLmBynq0TVGQ</t>
  </si>
  <si>
    <t xml:space="preserve">10X228         </t>
  </si>
  <si>
    <t>JONAS BRONCK ACADEMY</t>
  </si>
  <si>
    <t>400 EAST FORDHAM ROAD</t>
  </si>
  <si>
    <t>https://nycdoe.sharepoint.com/:w:/s/BAP/EQas3DpNUi5Drv159BeXSSMBMARp6K-91An8nIIFIS2N-A</t>
  </si>
  <si>
    <t>40 WEST TREMONT AVENUE</t>
  </si>
  <si>
    <t>https://nycdoe.sharepoint.com/:w:/s/BAP/EfZi2A3kljhHjr4VLQ09FWMB9NdSF8WONxH1A405Vw9MNA</t>
  </si>
  <si>
    <t xml:space="preserve">10X306         </t>
  </si>
  <si>
    <t xml:space="preserve">10X331         </t>
  </si>
  <si>
    <t>THE BRONX SCHOOL OF YOUNG LEADERS</t>
  </si>
  <si>
    <t xml:space="preserve">10X340         </t>
  </si>
  <si>
    <t>25 WEST 195 STREET</t>
  </si>
  <si>
    <t>https://nycdoe.sharepoint.com/:w:/s/BAP/EdNKWqB6rUZFggAbc5_kjfMBVxTzRBojEZ3N2rXoxI8Kyw</t>
  </si>
  <si>
    <t>X347</t>
  </si>
  <si>
    <t>X033</t>
  </si>
  <si>
    <t xml:space="preserve">10X033         </t>
  </si>
  <si>
    <t>P.S. 033 TIMOTHY DWIGHT</t>
  </si>
  <si>
    <t>2400 JEROME AVENUE</t>
  </si>
  <si>
    <t>https://nycdoe.sharepoint.com/:w:/s/BAP/ES0w3lv1YuVAn2D12BJx6WcB9CA03n_Y7b_RyIN7QXKJCw</t>
  </si>
  <si>
    <t xml:space="preserve">10X360         </t>
  </si>
  <si>
    <t>2880 KINGSBRIDGE TERRACE</t>
  </si>
  <si>
    <t>https://nycdoe.sharepoint.com/:w:/s/BAP/EfK83fDrmI5Al4sd9VzH5kABdFqQUfJTIMgv7fFy3j9W9Q</t>
  </si>
  <si>
    <t>X094</t>
  </si>
  <si>
    <t xml:space="preserve">10X094         </t>
  </si>
  <si>
    <t>P.S. 094 KINGS COLLEGE SCHOOL</t>
  </si>
  <si>
    <t>268 EAST  211 STREET</t>
  </si>
  <si>
    <t>https://nycdoe.sharepoint.com/:w:/s/BAP/EYCKymSpfexPlbMrxTpt0DIBOo-gEBsr5j7AYKTFf6-6zQ</t>
  </si>
  <si>
    <t xml:space="preserve">10X368         </t>
  </si>
  <si>
    <t>IN-TECH ACADEMY (M.S. / HIGH SCHOOL 368)</t>
  </si>
  <si>
    <t>2975 TIBBETT AVENUE</t>
  </si>
  <si>
    <t>https://nycdoe.sharepoint.com/:w:/s/BAP/EQOH641De-lNjsVJ07eE9l4BT8bpanVsVvSmtBqorsoIcg</t>
  </si>
  <si>
    <t xml:space="preserve">75X721         </t>
  </si>
  <si>
    <t>P.S. X721 - STEPHEN MCSWEENEY SCHOOL</t>
  </si>
  <si>
    <t xml:space="preserve">10X268         </t>
  </si>
  <si>
    <t>KINGSBRIDGE INTERNATIONAL HIGH SCHOOL</t>
  </si>
  <si>
    <t>2780 RESERVOIR AVENUE</t>
  </si>
  <si>
    <t>https://nycdoe.sharepoint.com/:w:/s/BAP/EfAzzkW-PhNPlg3YfhwvaoQBauAq0dxjremCLVnWvKRVVg</t>
  </si>
  <si>
    <t xml:space="preserve">10X342         </t>
  </si>
  <si>
    <t>INTERNATIONAL SCHOOL FOR LIBERAL ARTS</t>
  </si>
  <si>
    <t xml:space="preserve">10X433         </t>
  </si>
  <si>
    <t>HIGH SCHOOL FOR TEACHING AND THE PROFESSIONS</t>
  </si>
  <si>
    <t xml:space="preserve">10X442         </t>
  </si>
  <si>
    <t>CELIA CRUZ BRONX HIGH SCHOOL OF MUSIC, THE</t>
  </si>
  <si>
    <t xml:space="preserve">10X549         </t>
  </si>
  <si>
    <t>DISCOVERY HIGH SCHOOL</t>
  </si>
  <si>
    <t xml:space="preserve">10X243         </t>
  </si>
  <si>
    <t>WEST BRONX ACADEMY FOR THE FUTURE</t>
  </si>
  <si>
    <t>500 EAST FORDHAM ROAD</t>
  </si>
  <si>
    <t>https://nycdoe.sharepoint.com/:w:/s/BAP/Eeued8N6ZFlIvSxifuIOregBnKinbTIRC34Lcv31NJkpfw</t>
  </si>
  <si>
    <t xml:space="preserve">10X374         </t>
  </si>
  <si>
    <t>KNOWLEDGE AND POWER PREPARATORY ACADEMY INTERNATIONAL HIGH SCHOOL (KAPPA)</t>
  </si>
  <si>
    <t xml:space="preserve">10X434         </t>
  </si>
  <si>
    <t>BELMONT PREPARATORY HIGH SCHOOL</t>
  </si>
  <si>
    <t xml:space="preserve">10X437         </t>
  </si>
  <si>
    <t>FORDHAM HIGH SCHOOL FOR THE ARTS</t>
  </si>
  <si>
    <t xml:space="preserve">10X438         </t>
  </si>
  <si>
    <t>FORDHAM LEADERSHIP ACADEMY</t>
  </si>
  <si>
    <t xml:space="preserve">10X439         </t>
  </si>
  <si>
    <t>BRONX HIGH SCHOOL FOR LAW AND COMMUNITY SERVICE</t>
  </si>
  <si>
    <t>100 WEST MOSHOLU PARKWAY SOUTH</t>
  </si>
  <si>
    <t>https://nycdoe.sharepoint.com/:w:/s/BAP/EWF0UWsw76xNjUrg6KGDAmcBtMx_jgHcVIIACiT3pjQLtA</t>
  </si>
  <si>
    <t xml:space="preserve">10X351         </t>
  </si>
  <si>
    <t>BRONX COLLABORATIVE HIGH SCHOOL</t>
  </si>
  <si>
    <t xml:space="preserve">10X353         </t>
  </si>
  <si>
    <t>WORLD VIEW HIGH SCHOOL</t>
  </si>
  <si>
    <t xml:space="preserve">10X440         </t>
  </si>
  <si>
    <t>DEWITT CLINTON HIGH SCHOOL</t>
  </si>
  <si>
    <t xml:space="preserve">10X445         </t>
  </si>
  <si>
    <t>THE BRONX HIGH SCHOOL OF SCIENCE</t>
  </si>
  <si>
    <t>75 WEST 205 STREET</t>
  </si>
  <si>
    <t>https://nycdoe.sharepoint.com/:w:/s/BAP/EW2nJwOQD6BBnEY85VXxyCoBcqOG-jPk0s-XqFdYlqN5vA</t>
  </si>
  <si>
    <t>2751 JEROME AVENUE</t>
  </si>
  <si>
    <t>https://nycdoe.sharepoint.com/:w:/s/BAP/EZxFS-Wr3CBIliMC0MIYVGUBIc4XmFCV-nW7hV5Lwz8SEw</t>
  </si>
  <si>
    <t xml:space="preserve">10X213         </t>
  </si>
  <si>
    <t>BRONX ENGINEERING AND TECHNOLOGY ACADEMY</t>
  </si>
  <si>
    <t>99 TERRACE VIEW AVENUE</t>
  </si>
  <si>
    <t>https://nycdoe.sharepoint.com/:w:/s/BAP/EfOPUnvUcxZNsuI2tSwaWjMBh_5o1wdi-s4tzKtY8El3Fg</t>
  </si>
  <si>
    <t xml:space="preserve">10X284         </t>
  </si>
  <si>
    <t>BRONX SCHOOL OF LAW AND FINANCE</t>
  </si>
  <si>
    <t xml:space="preserve">10X397         </t>
  </si>
  <si>
    <t>ENGLISH LANGUAGE LEARNERS AND INTERNATIONAL SUPPORT PREPARATORY ACADEMY (ELLIS)</t>
  </si>
  <si>
    <t xml:space="preserve">10X477         </t>
  </si>
  <si>
    <t>MARBLE HILL HIGH SCHOOL FOR INTERNATIONAL STUDIES</t>
  </si>
  <si>
    <t xml:space="preserve">84X539         </t>
  </si>
  <si>
    <t>UNITED CHARTER HIGH SCHOOL FOR ADVANCED MATH AND SCIENCE</t>
  </si>
  <si>
    <t xml:space="preserve">10X546         </t>
  </si>
  <si>
    <t>BRONX THEATRE HIGH SCHOOL</t>
  </si>
  <si>
    <t xml:space="preserve">84X553         </t>
  </si>
  <si>
    <t>UNITED CHARTER HIGH SCHOOL FOR THE HUMANITIES</t>
  </si>
  <si>
    <t xml:space="preserve">10X264         </t>
  </si>
  <si>
    <t>BRONX ACADEMY FOR SOFTWARE ENGINEERING (BASE)</t>
  </si>
  <si>
    <t>2474 CROTONA AVENUE</t>
  </si>
  <si>
    <t>https://nycdoe.sharepoint.com/:w:/s/BAP/EcZoeqGqwAtEgEc1QkwowGYBPbWPEnDRTt34qRr1Esyp2w</t>
  </si>
  <si>
    <t xml:space="preserve">10X524         </t>
  </si>
  <si>
    <t>CROTONA INTERNATIONAL HIGH SCHOOL</t>
  </si>
  <si>
    <t xml:space="preserve">10X565         </t>
  </si>
  <si>
    <t>HIGH SCHOOL FOR ENERGY AND TECHNOLOGY</t>
  </si>
  <si>
    <t xml:space="preserve">10X051         </t>
  </si>
  <si>
    <t>THE BRONX STEM AND ARTS ACADEMY</t>
  </si>
  <si>
    <t>695 EAST 182 STREET</t>
  </si>
  <si>
    <t>https://nycdoe.sharepoint.com/:w:/s/BAP/ETZRIiBF1spFpSfI_frxe5UBrAwoNbylggOpNEWsHh3CHg</t>
  </si>
  <si>
    <t>X808</t>
  </si>
  <si>
    <t>X008</t>
  </si>
  <si>
    <t xml:space="preserve">10X008         </t>
  </si>
  <si>
    <t>P.S. 008 ISAAC VARIAN</t>
  </si>
  <si>
    <t>3010 BRIGGS AVENUE</t>
  </si>
  <si>
    <t>https://nycdoe.sharepoint.com/:w:/s/BAP/ETBNiqRMQ_VJiIDeICR5yKkBAbrhw-vAnS8DI8UCacrqbg</t>
  </si>
  <si>
    <t xml:space="preserve">10X226         </t>
  </si>
  <si>
    <t>1950 SEDGWICK AVENUE</t>
  </si>
  <si>
    <t>https://nycdoe.sharepoint.com/:w:/s/BAP/EY_EaidlQ45On0SAAAuiccoBp8DywZM_3U7mEH38un0VbQ</t>
  </si>
  <si>
    <t>X827</t>
  </si>
  <si>
    <t>1910 SEDGWICK AVENUE</t>
  </si>
  <si>
    <t>https://nycdoe.sharepoint.com/:w:/s/BAP/EW0d8O9Sd61Jkn-g4MhbeC8BkHjqSD5c4cnmGpyIY2cP5A</t>
  </si>
  <si>
    <t>X832</t>
  </si>
  <si>
    <t>https://nycdoe.sharepoint.com/:w:/s/BAP/EXw9gxQWGddNi2ioYMwxfhYBGzepRs9qGqBgg2XFLrdc8w</t>
  </si>
  <si>
    <t xml:space="preserve">10X246         </t>
  </si>
  <si>
    <t>P.S. 246 POE CENTER</t>
  </si>
  <si>
    <t>2641 GRAND CONCOURSE</t>
  </si>
  <si>
    <t>https://nycdoe.sharepoint.com/:w:/s/BAP/EY7ITX8iBL1Lka5braaz3vQBI0jQJeZPLA_rumyezue6xw</t>
  </si>
  <si>
    <t xml:space="preserve">10X308         </t>
  </si>
  <si>
    <t>BRONX DANCE ACADEMY SCHOOL</t>
  </si>
  <si>
    <t>3617 BAINBRIDGE AVENUE</t>
  </si>
  <si>
    <t>https://nycdoe.sharepoint.com/:w:/s/BAP/Ed7Oq08QwrVFrEPW2vc2v9IBuTaoPX-pK6t9MhS_Im0MkQ</t>
  </si>
  <si>
    <t xml:space="preserve">84X886         </t>
  </si>
  <si>
    <t>SUCCESS ACADEMY CHARTER SCHOOL - NYC 7</t>
  </si>
  <si>
    <t>124 EAMES PLACE</t>
  </si>
  <si>
    <t>https://nycdoe.sharepoint.com/:w:/s/BAP/EYn0OHNzYZNHlFJRXCTwlT8BEqJSXZxqaitc43YyvvkKiA</t>
  </si>
  <si>
    <t xml:space="preserve">10X696         </t>
  </si>
  <si>
    <t>HIGH SCHOOL OF AMERICAN STUDIES AT LEHMAN COLLEGE</t>
  </si>
  <si>
    <t>2925 GOULDEN AVENUE</t>
  </si>
  <si>
    <t>https://nycdoe.sharepoint.com/:w:/s/BAP/ESDgjiLRHsxAsGajcRDYU7QB2JxzYVYnc8iUsVbGpj5ynA</t>
  </si>
  <si>
    <t>X932</t>
  </si>
  <si>
    <t>https://nycdoe.sharepoint.com/:w:/s/BAP/EUdeeYgPTApJtHfnDA_6-pIBXnQ0IvOHiBx-KHXDnz-uBQ</t>
  </si>
  <si>
    <t xml:space="preserve">11X019         </t>
  </si>
  <si>
    <t>P.S. 019 JUDITH K. WEISS</t>
  </si>
  <si>
    <t>311 EAST 237 STREET</t>
  </si>
  <si>
    <t>https://nycdoe.sharepoint.com/:w:/s/BAP/EaywxjXsnuFFmtPrTF2gKlUBWuzHpQzF3uLhtGixW2B7GA</t>
  </si>
  <si>
    <t>X041</t>
  </si>
  <si>
    <t xml:space="preserve">11X041         </t>
  </si>
  <si>
    <t>P.S. 041 GUN HILL ROAD</t>
  </si>
  <si>
    <t>3352 OLINVILLE AVENUE</t>
  </si>
  <si>
    <t>https://nycdoe.sharepoint.com/:w:/s/BAP/EcOJklyvKv9GhhDCAaxtnMMBKqaThsZIrNnV2q8gX2lh_Q</t>
  </si>
  <si>
    <t xml:space="preserve">11X068         </t>
  </si>
  <si>
    <t>P.S. 068 BRONX</t>
  </si>
  <si>
    <t>4011 MONTICELLO AVENUE</t>
  </si>
  <si>
    <t>https://nycdoe.sharepoint.com/:w:/s/BAP/EagkvEY_0MxOmTH7Q3Nf1gcBYsbWmn8IcjIarf6x1D9XMg</t>
  </si>
  <si>
    <t>X076</t>
  </si>
  <si>
    <t xml:space="preserve">11X076         </t>
  </si>
  <si>
    <t>P.S. 076 THE BENNINGTON SCHOOL</t>
  </si>
  <si>
    <t>900 ADEE AVENUE</t>
  </si>
  <si>
    <t>https://nycdoe.sharepoint.com/:w:/s/BAP/EZLruKvl6oVCsb7j7w4i3JQBETlw5lRoIqjQst6WZiJcgA</t>
  </si>
  <si>
    <t xml:space="preserve">11X083         </t>
  </si>
  <si>
    <t>P.S. 083 DONALD HERTZ</t>
  </si>
  <si>
    <t>950 RHINELANDER AVENUE</t>
  </si>
  <si>
    <t>https://nycdoe.sharepoint.com/:w:/s/BAP/EUiYpiolWb5PmfwFiSUHcy8BlG99JLas4BtLnbaf9LEfNA</t>
  </si>
  <si>
    <t xml:space="preserve">11X096         </t>
  </si>
  <si>
    <t>P.S. 096 RICHARD RODGERS</t>
  </si>
  <si>
    <t>2385 OLINVILLE AVENUE</t>
  </si>
  <si>
    <t>https://nycdoe.sharepoint.com/:w:/s/BAP/ESoXm0exfa5Cjlpo8V9Yw9QBhZfqaE-t1D8rV32LL2bhLw</t>
  </si>
  <si>
    <t xml:space="preserve">11X097         </t>
  </si>
  <si>
    <t>P.S. 097 BRONX</t>
  </si>
  <si>
    <t>1375 MACE AVENUE</t>
  </si>
  <si>
    <t>https://nycdoe.sharepoint.com/:w:/s/BAP/ER-K5KIBTSJIp7zmBvCwPOQB0G9ZfLtfaLQcbFiXXUQQKQ</t>
  </si>
  <si>
    <t xml:space="preserve">11X105         </t>
  </si>
  <si>
    <t>P.S. 105 SEN ABRAHAM BERNSTEIN</t>
  </si>
  <si>
    <t>725 BRADY AVENUE</t>
  </si>
  <si>
    <t>https://nycdoe.sharepoint.com/:w:/s/BAP/ESkC3WppzI5GvlDB0UYpcJ0BjfchP3jy05S4VJVqkgp0Kw</t>
  </si>
  <si>
    <t>2080 CRUGER AVENUE</t>
  </si>
  <si>
    <t xml:space="preserve">11X106         </t>
  </si>
  <si>
    <t>P.S. 106 PARKCHESTER</t>
  </si>
  <si>
    <t>1514 OLMSTEAD AVENUE</t>
  </si>
  <si>
    <t>https://nycdoe.sharepoint.com/:w:/s/BAP/ER2b3GM_xwpGh253joadCswB6gv1ZCENgVqDajyf9OTZxg</t>
  </si>
  <si>
    <t xml:space="preserve">11X111         </t>
  </si>
  <si>
    <t>P.S. 111 SETON FALLS</t>
  </si>
  <si>
    <t>3740 BAYCHESTER AVENUE</t>
  </si>
  <si>
    <t>https://nycdoe.sharepoint.com/:w:/s/BAP/EVmv2PKLJJ5HqW16E7uBxcQBrBrnKjZ5cKGy3E-2R0AXLg</t>
  </si>
  <si>
    <t xml:space="preserve">84X718         </t>
  </si>
  <si>
    <t>BRONX CHARTER SCHOOL FOR BETTER LEARNING</t>
  </si>
  <si>
    <t xml:space="preserve">11X370         </t>
  </si>
  <si>
    <t>LEADERS OF TOMORROW</t>
  </si>
  <si>
    <t>3710 BARNES AVENUE</t>
  </si>
  <si>
    <t>https://nycdoe.sharepoint.com/:w:/s/BAP/EfhCZrR1meNDvXoYkWAcV-UBQ9Ufa0ULyStjyVTNElmCpg</t>
  </si>
  <si>
    <t>1560 PURDY STREET</t>
  </si>
  <si>
    <t>https://nycdoe.sharepoint.com/:w:/s/BAP/EVHLyjLrnNZBtOhGAKnATH4BGrZ5StStNUJwJ6YAgDY9wg</t>
  </si>
  <si>
    <t xml:space="preserve">11X127         </t>
  </si>
  <si>
    <t>J.H.S. 127 THE CASTLE HILL</t>
  </si>
  <si>
    <t>1551 CASTLE HILL AVENUE</t>
  </si>
  <si>
    <t xml:space="preserve">11X567         </t>
  </si>
  <si>
    <t>LINDEN TREE ELEMENTARY SCHOOL</t>
  </si>
  <si>
    <t xml:space="preserve">11X144         </t>
  </si>
  <si>
    <t>J.H.S. 144 MICHELANGELO</t>
  </si>
  <si>
    <t>2545 GUNTHER AVENUE</t>
  </si>
  <si>
    <t>https://nycdoe.sharepoint.com/:w:/s/BAP/EehGb_2ciDJCl167dbYKtwEBUvAFKBQRe-SlYeO9l8lOcw</t>
  </si>
  <si>
    <t xml:space="preserve">84X484         </t>
  </si>
  <si>
    <t>BRONX CHARTER SCHOOL FOR BETTER LEARNING II</t>
  </si>
  <si>
    <t xml:space="preserve">11X566         </t>
  </si>
  <si>
    <t>PELHAM GARDENS MIDDLE SCHOOL</t>
  </si>
  <si>
    <t xml:space="preserve">11X153         </t>
  </si>
  <si>
    <t>P.S. 153 HELEN KELLER</t>
  </si>
  <si>
    <t>650 BAYCHESTER AVENUE</t>
  </si>
  <si>
    <t>https://nycdoe.sharepoint.com/:w:/s/BAP/ETdV54QCP2BOsVz1NjwfGbQBOpY3Mb9DRLln6bVhKxhkuw</t>
  </si>
  <si>
    <t xml:space="preserve">75X596         </t>
  </si>
  <si>
    <t xml:space="preserve">11X160         </t>
  </si>
  <si>
    <t>P.S. 160 WALT DISNEY</t>
  </si>
  <si>
    <t>4140 HUTCHINSON RIVER PARKWAY EAST</t>
  </si>
  <si>
    <t>https://nycdoe.sharepoint.com/:w:/s/BAP/EVDGdyqwHjtMiw2dQ8R8KhUB2YaJepCbJu-5hwpAGCeqBA</t>
  </si>
  <si>
    <t xml:space="preserve">84X488         </t>
  </si>
  <si>
    <t>THE EQUALITY CHARTER SCHOOL</t>
  </si>
  <si>
    <t xml:space="preserve">11X169         </t>
  </si>
  <si>
    <t>BAYCHESTER ACADEMY</t>
  </si>
  <si>
    <t>3500 EDSON AVENUE</t>
  </si>
  <si>
    <t>https://nycdoe.sharepoint.com/:w:/s/BAP/EcpeziHX8nNLnJGoXefDGSwBic__d4bwnqakMOtgkk3sQQ</t>
  </si>
  <si>
    <t>X175</t>
  </si>
  <si>
    <t xml:space="preserve">11X175         </t>
  </si>
  <si>
    <t>P.S. 175 CITY ISLAND</t>
  </si>
  <si>
    <t>200 CITY ISLAND AVENUE</t>
  </si>
  <si>
    <t>https://nycdoe.sharepoint.com/:w:/s/BAP/EVLk2KG5vXNLnitm6roTTTwBAVmMtwwvsQTMxa7ZLXCYrQ</t>
  </si>
  <si>
    <t xml:space="preserve">11X178         </t>
  </si>
  <si>
    <t>P.S. 178 - DR. SELMAN WAKSMAN</t>
  </si>
  <si>
    <t>850 BAYCHESTER AVENUE</t>
  </si>
  <si>
    <t>https://nycdoe.sharepoint.com/:w:/s/BAP/EXT7LKexbVlFi_3JBHs4H-EBs6EGHAu0F2GQG4BoAsu1Dw</t>
  </si>
  <si>
    <t xml:space="preserve">11X180         </t>
  </si>
  <si>
    <t>M.S. 180 DR. DANIEL HALE WILLIAMS</t>
  </si>
  <si>
    <t>700 BAYCHESTER AVENUE</t>
  </si>
  <si>
    <t>https://nycdoe.sharepoint.com/:w:/s/BAP/EeIBk0qojSRJpI-v_ZCidYsBTz3NIG2PdPkAqB8paDJC-g</t>
  </si>
  <si>
    <t>800 BAYCHESTER AVENUE</t>
  </si>
  <si>
    <t>https://nycdoe.sharepoint.com/:w:/s/BAP/EZH-ttEM_BRNpp-bTgfbA0YBw4orGJQiFC_rHYxmfGfBMQ</t>
  </si>
  <si>
    <t xml:space="preserve">11X181         </t>
  </si>
  <si>
    <t>I.S. 181 PABLO CASALS</t>
  </si>
  <si>
    <t xml:space="preserve">11X189         </t>
  </si>
  <si>
    <t>CORNERSTONE ACADEMY FOR SOCIAL ACTION</t>
  </si>
  <si>
    <t>3441 STEENWICK AVENUE</t>
  </si>
  <si>
    <t>https://nycdoe.sharepoint.com/:w:/s/BAP/EcA9ofOirI1Hj5xn6rogKdABM32L88RVtl-vbiPEpNkxjQ</t>
  </si>
  <si>
    <t xml:space="preserve">11X462         </t>
  </si>
  <si>
    <t>CORNERSTONE ACADEMY FOR SOCIAL ACTION MIDDLE SCHOOL (CASA)</t>
  </si>
  <si>
    <t>2365 WATERBURY AVENUE</t>
  </si>
  <si>
    <t>https://nycdoe.sharepoint.com/:w:/s/BAP/Eb_WAWTOAJ1EiR6XpR-P-bwBa2ugNP9PHKZBSCOI2UN37w</t>
  </si>
  <si>
    <t xml:space="preserve">11X194         </t>
  </si>
  <si>
    <t xml:space="preserve">11X357         </t>
  </si>
  <si>
    <t>YOUNG VOICES ACADEMY OF THE BRONX</t>
  </si>
  <si>
    <t>800 LYDIG AVENUE</t>
  </si>
  <si>
    <t>https://nycdoe.sharepoint.com/:w:/s/BAP/EdgoAfoHmzhLo-8GGUNNT40BVqD0ZBYIkad2LeCTmrxVVw</t>
  </si>
  <si>
    <t xml:space="preserve">11X270         </t>
  </si>
  <si>
    <t>ACADEMY FOR SCHOLARSHIP AND ENTREPRENEURSHIP: A COLLEGE BOARD SCHOOL</t>
  </si>
  <si>
    <t>921 EAST 228 STREET</t>
  </si>
  <si>
    <t>https://nycdoe.sharepoint.com/:w:/s/BAP/EUWvNmql0ZVBh1QGf7kQlZsBADMivbxY3FICVAo2-TK9hg</t>
  </si>
  <si>
    <t xml:space="preserve">11X513         </t>
  </si>
  <si>
    <t>NEW WORLD HIGH SCHOOL</t>
  </si>
  <si>
    <t xml:space="preserve">11X514         </t>
  </si>
  <si>
    <t>THE BRONXWOOD PREPARATORY ACADEMY</t>
  </si>
  <si>
    <t xml:space="preserve">08X293         </t>
  </si>
  <si>
    <t>RENAISSANCE HIGH SCHOOL FOR MUSICAL THEATER AND THE ARTS</t>
  </si>
  <si>
    <t>3000 EAST TREMONT AVENUE</t>
  </si>
  <si>
    <t>https://nycdoe.sharepoint.com/:w:/s/BAP/EZ75nWLFlatAjjwiTSkjRWEBWqJS78C26qWJH7sAWVYEKw</t>
  </si>
  <si>
    <t xml:space="preserve">08X320         </t>
  </si>
  <si>
    <t>PELHAM LAB HIGH SCHOOL</t>
  </si>
  <si>
    <t xml:space="preserve">08X348         </t>
  </si>
  <si>
    <t>SCHUYLERVILLE PREPARATORY HIGH SCHOOL</t>
  </si>
  <si>
    <t xml:space="preserve">08X349         </t>
  </si>
  <si>
    <t>BRONX RIVER HIGH SCHOOL</t>
  </si>
  <si>
    <t xml:space="preserve">08X405         </t>
  </si>
  <si>
    <t>HERBERT H. LEHMAN HIGH SCHOOL</t>
  </si>
  <si>
    <t xml:space="preserve">08X558         </t>
  </si>
  <si>
    <t>WESTCHESTER SQUARE ACADEMY</t>
  </si>
  <si>
    <t>925 ASTOR AVENUE</t>
  </si>
  <si>
    <t>https://nycdoe.sharepoint.com/:w:/s/BAP/EcImm7XKDhJImEZ-pioOvnkBxFGsROP_3MyDm_LBt6r3wA</t>
  </si>
  <si>
    <t xml:space="preserve">11X288         </t>
  </si>
  <si>
    <t>COLLEGIATE INSTITUTE FOR MATH AND SCIENCE</t>
  </si>
  <si>
    <t xml:space="preserve">11X299         </t>
  </si>
  <si>
    <t>ASTOR COLLEGIATE ACADEMY</t>
  </si>
  <si>
    <t xml:space="preserve">11X508         </t>
  </si>
  <si>
    <t>BRONXDALE HIGH SCHOOL</t>
  </si>
  <si>
    <t xml:space="preserve">11X509         </t>
  </si>
  <si>
    <t>HIGH SCHOOL OF LANGUAGE AND INNOVATION</t>
  </si>
  <si>
    <t xml:space="preserve">11X542         </t>
  </si>
  <si>
    <t>PELHAM PREPARATORY ACADEMY</t>
  </si>
  <si>
    <t>800 EAST GUN HILL ROAD</t>
  </si>
  <si>
    <t>https://nycdoe.sharepoint.com/:w:/s/BAP/ETOD0OOfvrZLlgbJ0gAiS9cB9kkUK9RWYRGf_mX4yPwv9A</t>
  </si>
  <si>
    <t xml:space="preserve">11X265         </t>
  </si>
  <si>
    <t>BRONX LAB SCHOOL</t>
  </si>
  <si>
    <t xml:space="preserve">11X275         </t>
  </si>
  <si>
    <t>HIGH SCHOOL OF COMPUTERS AND TECHNOLOGY</t>
  </si>
  <si>
    <t xml:space="preserve">11X290         </t>
  </si>
  <si>
    <t>BRONX ACADEMY OF HEALTH CAREERS</t>
  </si>
  <si>
    <t xml:space="preserve">11X544         </t>
  </si>
  <si>
    <t>HIGH SCHOOL FOR CONTEMPORARY ARTS</t>
  </si>
  <si>
    <t xml:space="preserve">11X545         </t>
  </si>
  <si>
    <t>BRONX AEROSPACE HIGH SCHOOL</t>
  </si>
  <si>
    <t>750 BAYCHESTER AVENUE</t>
  </si>
  <si>
    <t>https://nycdoe.sharepoint.com/:w:/s/BAP/EajNAH3CXoBNhGTR6zvvHUQB6ifxetZv9YFf73p6UyVnrg</t>
  </si>
  <si>
    <t xml:space="preserve">11X249         </t>
  </si>
  <si>
    <t>BRONX HEALTH SCIENCES HIGH SCHOOL</t>
  </si>
  <si>
    <t xml:space="preserve">11X455         </t>
  </si>
  <si>
    <t>HARRY S TRUMAN HIGH SCHOOL</t>
  </si>
  <si>
    <t xml:space="preserve">84X378         </t>
  </si>
  <si>
    <t>ICAHN CHARTER SCHOOL 2</t>
  </si>
  <si>
    <t>1640 BRONXDALE AVE</t>
  </si>
  <si>
    <t>https://nycdoe.sharepoint.com/:w:/s/BAP/EdYpHLi3cGJArHrFRuRMyRcB7Y2fS0qKHbQhIik1GfU1_Q</t>
  </si>
  <si>
    <t xml:space="preserve">11X498         </t>
  </si>
  <si>
    <t>P.S./M.S. 11X498 - VAN NEST ACADEMY</t>
  </si>
  <si>
    <t>2697 WESTCHESTER AVENUE</t>
  </si>
  <si>
    <t>https://nycdoe.sharepoint.com/:w:/s/BAP/Ec0KJn4J4GFHl3L-BrBVI04BaTNRvH6jKmcZJwjpK61fOg</t>
  </si>
  <si>
    <t xml:space="preserve">11X418         </t>
  </si>
  <si>
    <t>BRONX HIGH SCHOOL FOR THE VISUAL ARTS</t>
  </si>
  <si>
    <t>2040 ANTIN PL</t>
  </si>
  <si>
    <t>https://nycdoe.sharepoint.com/:w:/s/BAP/EZLQJtCUecVJrmB8HNWu_QIBWMz_u170vlObL6Ly8ExTgw</t>
  </si>
  <si>
    <t>X921</t>
  </si>
  <si>
    <t>X121</t>
  </si>
  <si>
    <t xml:space="preserve">11X121         </t>
  </si>
  <si>
    <t>P.S. 121 THROOP</t>
  </si>
  <si>
    <t>2750 THROOP AVENUE</t>
  </si>
  <si>
    <t>https://nycdoe.sharepoint.com/:w:/s/BAP/EV2zh-06SMJNjOhecBytPNwBpNFNbXyHfIaG9U_Vs1QRZA</t>
  </si>
  <si>
    <t>X926</t>
  </si>
  <si>
    <t>https://nycdoe.sharepoint.com/:w:/s/BAP/EZqhkId7lXdKlxDzgFzRrPcBXjr7ibjjKwpmtK08hlcgOA</t>
  </si>
  <si>
    <t>X981</t>
  </si>
  <si>
    <t>1840 BOGART AVENUE</t>
  </si>
  <si>
    <t>https://nycdoe.sharepoint.com/:w:/s/BAP/Ee9lw-yaQB9KlsjpgTbK92UBpRsOjxWZ98jdtw5Gxu_tpA</t>
  </si>
  <si>
    <t>X067</t>
  </si>
  <si>
    <t>2024 MOHEGAN AVENUE</t>
  </si>
  <si>
    <t>https://nycdoe.sharepoint.com/:w:/s/BAP/ETco3UYlB55AqBDU87_WKWUBhA3SbfComph4M5tjUaGEyA</t>
  </si>
  <si>
    <t xml:space="preserve">12X067         </t>
  </si>
  <si>
    <t>P.S. 067 MOHEGAN SCHOOL</t>
  </si>
  <si>
    <t>1434 LONGFELLOW AVENUE</t>
  </si>
  <si>
    <t>https://nycdoe.sharepoint.com/:w:/s/BAP/ET52hvelqQZCm__7saWGCeYBI9ISiy01l4rupmlx6yqO3g</t>
  </si>
  <si>
    <t>700 EAST 179 STREET</t>
  </si>
  <si>
    <t>https://nycdoe.sharepoint.com/:w:/s/BAP/ERKLjFeS-uxOsURUNKmUsikBRplsLFDZPw-r0ncq1gEypw</t>
  </si>
  <si>
    <t xml:space="preserve">12X595         </t>
  </si>
  <si>
    <t xml:space="preserve">12X248         </t>
  </si>
  <si>
    <t>METROPOLITAN HIGH SCHOOL, THE</t>
  </si>
  <si>
    <t>1180 REV. J.A. POLITE AVENUE</t>
  </si>
  <si>
    <t>https://nycdoe.sharepoint.com/:w:/s/BAP/EU0G_D8FUc1AlloJaXmAXj0BAsoO3qUkGVJN344edSO9KQ</t>
  </si>
  <si>
    <t xml:space="preserve">12X531         </t>
  </si>
  <si>
    <t>ARCHER ELEMENTARY SCHOOL</t>
  </si>
  <si>
    <t>1827 ARCHER STREET</t>
  </si>
  <si>
    <t>https://nycdoe.sharepoint.com/:w:/s/BAP/ERJJySPLjgRLkFqBUyBOkgwBeknyHJfZXRvmhGJuJJv6UQ</t>
  </si>
  <si>
    <t xml:space="preserve">12X536         </t>
  </si>
  <si>
    <t xml:space="preserve">12X691         </t>
  </si>
  <si>
    <t>BRONX LITTLE SCHOOL</t>
  </si>
  <si>
    <t xml:space="preserve">12X217         </t>
  </si>
  <si>
    <t>SCHOOL OF PERFORMING ARTS</t>
  </si>
  <si>
    <t>977 FOX STREET</t>
  </si>
  <si>
    <t>https://nycdoe.sharepoint.com/:w:/s/BAP/EeFKl5hl5DVMpUbtQ4OPz-MB84iIQmubxg-Smshjm8e0Jg</t>
  </si>
  <si>
    <t xml:space="preserve">12X341         </t>
  </si>
  <si>
    <t>ACCION ACADEMY</t>
  </si>
  <si>
    <t xml:space="preserve">84X346         </t>
  </si>
  <si>
    <t>SOUTH BRONX CLASSICAL CHARTER SCHOOL</t>
  </si>
  <si>
    <t xml:space="preserve">12X129         </t>
  </si>
  <si>
    <t>M.S. 129 ACADEMY FOR INDEPENDENT LEARNING AND LEADERSHIP</t>
  </si>
  <si>
    <t>2055 MAPES AVENUE</t>
  </si>
  <si>
    <t>https://nycdoe.sharepoint.com/:w:/s/BAP/EfNl9YScSBtCuJQgOtUvN9IB1nTztmKMDTqsdnLfvpUj6g</t>
  </si>
  <si>
    <t xml:space="preserve">12X316         </t>
  </si>
  <si>
    <t>KAPPA III</t>
  </si>
  <si>
    <t>750 JENNINGS STREET</t>
  </si>
  <si>
    <t>https://nycdoe.sharepoint.com/:w:/s/BAP/ERlkk4SxFpJMrmMDkr0mW20BA51wMXPLoGT_81Xf4Sm6Mw</t>
  </si>
  <si>
    <t xml:space="preserve">12X267         </t>
  </si>
  <si>
    <t>BRONX LATIN</t>
  </si>
  <si>
    <t>800 HOME STREET</t>
  </si>
  <si>
    <t>https://nycdoe.sharepoint.com/:w:/s/BAP/ETR-SsA7jgdBqbhGHHDFLRgBYF7Jy_9BifIMOg9xif1JYQ</t>
  </si>
  <si>
    <t xml:space="preserve">12X479         </t>
  </si>
  <si>
    <t>BRONX CAREER AND COLLEGE PREPARATORY HIGH SCHOOL</t>
  </si>
  <si>
    <t xml:space="preserve">84X482         </t>
  </si>
  <si>
    <t>DR. RICHARD IZQUIERDO HEALTH AND SCIENCE CHARTER SCHOOL</t>
  </si>
  <si>
    <t xml:space="preserve">12X214         </t>
  </si>
  <si>
    <t>1970 WEST FARMS ROAD</t>
  </si>
  <si>
    <t>https://nycdoe.sharepoint.com/:w:/s/BAP/ETXD6mZPo9dIqm4VTxJI-TwBDJEJv2oEwSBxmxUQa-y3ew</t>
  </si>
  <si>
    <t xml:space="preserve">12X383         </t>
  </si>
  <si>
    <t>EMOLIOR ACADEMY</t>
  </si>
  <si>
    <t xml:space="preserve">84X124         </t>
  </si>
  <si>
    <t>CHILDREN'S AID COLLEGE PREPARATORY CHARTER SCHOOL</t>
  </si>
  <si>
    <t>1919 PROSPECT AVENUE</t>
  </si>
  <si>
    <t>https://nycdoe.sharepoint.com/:w:/s/BAP/EbU_pOxA7yRIga33OFiZbEUB9JPsHjqkULjeCkleGTxVVQ</t>
  </si>
  <si>
    <t xml:space="preserve">12X211         </t>
  </si>
  <si>
    <t xml:space="preserve">12X318         </t>
  </si>
  <si>
    <t>I.S. X318 MATH, SCIENCE &amp; TECHNOLOGY THROUGH ARTS</t>
  </si>
  <si>
    <t>1180 TINTON AVENUE</t>
  </si>
  <si>
    <t>https://nycdoe.sharepoint.com/:w:/s/BAP/EYHfYd4rNi9Kj5ldUKA3aY8BWjnBZGvU3tGnSLUNWY6ANw</t>
  </si>
  <si>
    <t xml:space="preserve">12X463         </t>
  </si>
  <si>
    <t>URBAN SCHOLARS COMMUNITY SCHOOL</t>
  </si>
  <si>
    <t xml:space="preserve">84X587         </t>
  </si>
  <si>
    <t>NYC AUTISM CHARTER SCHOOL BRONX</t>
  </si>
  <si>
    <t>2050 PROSPECT AVENUE</t>
  </si>
  <si>
    <t>https://nycdoe.sharepoint.com/:w:/s/BAP/EasI7SuaU3NCqdySh40AUnwBHNxODWdxVMsL8uWVH-FZDQ</t>
  </si>
  <si>
    <t xml:space="preserve">12X300         </t>
  </si>
  <si>
    <t>THE SCHOOL OF SCIENCE AND APPLIED LEARNING</t>
  </si>
  <si>
    <t>X458</t>
  </si>
  <si>
    <t xml:space="preserve">12X458         </t>
  </si>
  <si>
    <t>SAMARA COMMUNITY SCHOOL</t>
  </si>
  <si>
    <t>1570 BOONE AVENUE</t>
  </si>
  <si>
    <t>https://nycdoe.sharepoint.com/:w:/s/BAP/EfWOXBIQc_RJjBLUNDYQPCoBmIkSSSl21WJQKE_DESXD9w</t>
  </si>
  <si>
    <t>X358</t>
  </si>
  <si>
    <t>1211 SOUTHERN BOULEVARD</t>
  </si>
  <si>
    <t>https://nycdoe.sharepoint.com/:w:/s/BAP/EV3kA7nfwelHqgpDGJjnPHsBGvXnTnsydsrajOHLt8p0Gw</t>
  </si>
  <si>
    <t xml:space="preserve">12X388         </t>
  </si>
  <si>
    <t>PAN AMERICAN INTERNATIONAL HIGH SCHOOL AT MONROE</t>
  </si>
  <si>
    <t>1300 BOYNTON AVENUE</t>
  </si>
  <si>
    <t>https://nycdoe.sharepoint.com/:w:/s/BAP/EZuVEmE3jApBqd5AHJiDmyABh27uHCkL_bK3FcHWnYVubg</t>
  </si>
  <si>
    <t xml:space="preserve">12X521         </t>
  </si>
  <si>
    <t>THE METROPOLITAN SOUNDVIEW HIGH SCHOOL</t>
  </si>
  <si>
    <t xml:space="preserve">12X550         </t>
  </si>
  <si>
    <t>HIGH SCHOOL OF WORLD CULTURES</t>
  </si>
  <si>
    <t xml:space="preserve">12X242         </t>
  </si>
  <si>
    <t>MOTT HALL V</t>
  </si>
  <si>
    <t>1551 EAST 172 STREET</t>
  </si>
  <si>
    <t>https://nycdoe.sharepoint.com/:w:/s/BAP/EefIIt--1e9DnS_XKVRa-PoB-uSdCd9VOJNhSadJANl5-w</t>
  </si>
  <si>
    <t xml:space="preserve">12X478         </t>
  </si>
  <si>
    <t xml:space="preserve">THE CINEMA SCHOOL </t>
  </si>
  <si>
    <t xml:space="preserve">84X185         </t>
  </si>
  <si>
    <t>PHAROS ACADEMY CHARTER SCHOOL</t>
  </si>
  <si>
    <t>1001 INTERVALE AVENUE</t>
  </si>
  <si>
    <t>https://nycdoe.sharepoint.com/:w:/s/BAP/EdU_jt9qY7NEmxlbkBepm4kBLpEHWWFnK5cVofrHr1gHxg</t>
  </si>
  <si>
    <t>X817</t>
  </si>
  <si>
    <t>1680 HOE AVENUE</t>
  </si>
  <si>
    <t>https://nycdoe.sharepoint.com/:w:/s/BAP/EbrQYu_T2fBHs1U-tjRun2UBF4a2nHD_jTeCddMmEuLCcA</t>
  </si>
  <si>
    <t xml:space="preserve">12X682         </t>
  </si>
  <si>
    <t>FANNIE LOU HAMER FREEDOM HIGH SCHOOL</t>
  </si>
  <si>
    <t>1021 JENNINGS STREET</t>
  </si>
  <si>
    <t>https://nycdoe.sharepoint.com/:w:/s/BAP/EUJP2BfMHRROjaEtlCWPHFkB7QcuoueUdwfK-V3NQdncGQ</t>
  </si>
  <si>
    <t xml:space="preserve">12X684         </t>
  </si>
  <si>
    <t>WINGS ACADEMY</t>
  </si>
  <si>
    <t>1122 EAST 180 STREET</t>
  </si>
  <si>
    <t>https://nycdoe.sharepoint.com/:w:/s/BAP/EdHiPu7Ytd5OiAvalZ9OlcsBZiv3oy8PPChG7uUZkKs9gw</t>
  </si>
  <si>
    <t>1716 SOUTHERN BOULEVARD</t>
  </si>
  <si>
    <t>https://nycdoe.sharepoint.com/:w:/s/BAP/EUgz_OZPuLpFjLf81xRODVUB4gvPJ4caBn3glXzmoVcrSw</t>
  </si>
  <si>
    <t xml:space="preserve">12X271         </t>
  </si>
  <si>
    <t>EAST BRONX ACADEMY FOR THE FUTURE</t>
  </si>
  <si>
    <t xml:space="preserve">13K008         </t>
  </si>
  <si>
    <t>THE EMILY WARREN ROEBLING SCHOOL</t>
  </si>
  <si>
    <t>37 HICKS STREET</t>
  </si>
  <si>
    <t>https://nycdoe.sharepoint.com/:w:/s/BAP/EcND188ZkchEshtucoTZg3sB7czYG_t6oQPsivH0QBpU5g</t>
  </si>
  <si>
    <t xml:space="preserve">13K009         </t>
  </si>
  <si>
    <t>PUBLIC SCHOOL 9 THE SARAH SMITH GARNET SCHOOL</t>
  </si>
  <si>
    <t>80 UNDERHILL AVENUE</t>
  </si>
  <si>
    <t>https://nycdoe.sharepoint.com/:w:/s/BAP/ES-enaRMyoZFga_Kh44JFj4Bs28QhcLCIrngVNoYr_UXAg</t>
  </si>
  <si>
    <t xml:space="preserve">13K011         </t>
  </si>
  <si>
    <t>P.S. 011 PURVIS J. BEHAN</t>
  </si>
  <si>
    <t>419 WAVERLY AVENUE</t>
  </si>
  <si>
    <t>https://nycdoe.sharepoint.com/:w:/s/BAP/Ecl4SMQNxD9JmTS6_GVxwXQB4D6Sst67yfRoatGCkcZ8PA</t>
  </si>
  <si>
    <t>K054</t>
  </si>
  <si>
    <t xml:space="preserve">13K054         </t>
  </si>
  <si>
    <t>P.S. 54 THE DETECTIVE RAFAEL RAMOS SCHOOL</t>
  </si>
  <si>
    <t>195 SANDFORD STREET</t>
  </si>
  <si>
    <t>https://nycdoe.sharepoint.com/:w:/s/BAP/EQQmrZTbx3RFmpbTswz4eMsBh_5GIQVfWhiR_JpOI8ZQxw</t>
  </si>
  <si>
    <t xml:space="preserve">13K056         </t>
  </si>
  <si>
    <t>P.S. 056 LEWIS H. LATIMER</t>
  </si>
  <si>
    <t>170 GATES AVENUE</t>
  </si>
  <si>
    <t>https://nycdoe.sharepoint.com/:w:/s/BAP/EZGObMatBHxJsEGHqNSf96UBYEIqf2ZhNMA5X5g8dP6Zmg</t>
  </si>
  <si>
    <t xml:space="preserve">13K351         </t>
  </si>
  <si>
    <t>THE URBAN ASSEMBLY UNISON SCHOOL</t>
  </si>
  <si>
    <t xml:space="preserve">75K369         </t>
  </si>
  <si>
    <t>P.S. K369 - COY L. COX SCHOOL</t>
  </si>
  <si>
    <t xml:space="preserve">13K113         </t>
  </si>
  <si>
    <t>M.S. 113 RONALD EDMONDS LEARNING CENTER</t>
  </si>
  <si>
    <t>300 ADELPHI STREET</t>
  </si>
  <si>
    <t>https://nycdoe.sharepoint.com/:w:/s/BAP/ESHJmIPi5SdCgxqrtDAVZrEB29f2FbAHClBEd1CaOokosw</t>
  </si>
  <si>
    <t xml:space="preserve">75K372         </t>
  </si>
  <si>
    <t>P.S. 372 -THE CHILDREN'S SCHOOL</t>
  </si>
  <si>
    <t xml:space="preserve">84K789         </t>
  </si>
  <si>
    <t>COMPASS CHARTER SCHOOL</t>
  </si>
  <si>
    <t>K256</t>
  </si>
  <si>
    <t xml:space="preserve">13K256         </t>
  </si>
  <si>
    <t>P.S. 256 BENJAMIN BANNEKER</t>
  </si>
  <si>
    <t>114 KOSCIUSZKO STREET</t>
  </si>
  <si>
    <t>https://nycdoe.sharepoint.com/:w:/s/BAP/EW3aJg10QF9EiyTOtGbx7XUBQ7Xb3WrvRGQQQp1ZJLVIig</t>
  </si>
  <si>
    <t>K702</t>
  </si>
  <si>
    <t xml:space="preserve">84K702         </t>
  </si>
  <si>
    <t>COMMUNITY PARTNERSHIP CHARTER SCHOOL</t>
  </si>
  <si>
    <t xml:space="preserve">75K140         </t>
  </si>
  <si>
    <t>141 MACON STREET</t>
  </si>
  <si>
    <t>https://nycdoe.sharepoint.com/:w:/s/BAP/EYZ9RJxRDfpBgufk_2GmcMABzzNsII641d7T-j_U6gXvFA</t>
  </si>
  <si>
    <t xml:space="preserve">84K517         </t>
  </si>
  <si>
    <t>UNCOMMON BED-STUY WEST CHARTER SCHOOL NYC</t>
  </si>
  <si>
    <t>K270</t>
  </si>
  <si>
    <t xml:space="preserve">13K270         </t>
  </si>
  <si>
    <t>P.S. 270 JOHANN DEKALB</t>
  </si>
  <si>
    <t>241 EMERSON PLACE</t>
  </si>
  <si>
    <t>https://nycdoe.sharepoint.com/:w:/s/BAP/EbSnR5S_U0tDjLWNG6YOovsBbxSc-Fytj_1Lx2c27JmpKw</t>
  </si>
  <si>
    <t xml:space="preserve">13K282         </t>
  </si>
  <si>
    <t>P.S. 282 PARK SLOPE</t>
  </si>
  <si>
    <t>180 6 AVENUE</t>
  </si>
  <si>
    <t>https://nycdoe.sharepoint.com/:w:/s/BAP/EYEw2ZTQqHROjv-VIX-ssJIB1Hf-vwy9POrRi2LrsXGA1A</t>
  </si>
  <si>
    <t>K305</t>
  </si>
  <si>
    <t>K492</t>
  </si>
  <si>
    <t xml:space="preserve">13K492         </t>
  </si>
  <si>
    <t>ACADEMY OF ARTS AND LETTERS</t>
  </si>
  <si>
    <t>344 MONROE STREET</t>
  </si>
  <si>
    <t>https://nycdoe.sharepoint.com/:w:/s/BAP/EXBRTXjDrQlOt6o7lZd4ivUBl5CS6JDaGyV1p6Ik8Z6yog</t>
  </si>
  <si>
    <t>283 ADAMS STREET</t>
  </si>
  <si>
    <t>https://nycdoe.sharepoint.com/:w:/s/BAP/Ed-OF_7GtJdGsICupGsFGQ0BTK1sK4USwTU1j4Jc2caqzA</t>
  </si>
  <si>
    <t xml:space="preserve">13K483         </t>
  </si>
  <si>
    <t>THE URBAN ASSEMBLY SCHOOL FOR LAW AND JUSTICE</t>
  </si>
  <si>
    <t xml:space="preserve">13K527         </t>
  </si>
  <si>
    <t>URBAN ASSEMBLY INSTITUTE OF MATH AND SCIENCE FOR YOUNG WOMEN</t>
  </si>
  <si>
    <t xml:space="preserve">13K133         </t>
  </si>
  <si>
    <t>P.S. 133 WILLIAM A. BUTLER</t>
  </si>
  <si>
    <t>610 BALTIC STREET</t>
  </si>
  <si>
    <t>https://nycdoe.sharepoint.com/:w:/s/BAP/EWtBT9_017xErhvZlExBoZIBtzQpsEr_usIWeb8cgs89BQ</t>
  </si>
  <si>
    <t xml:space="preserve">13K430         </t>
  </si>
  <si>
    <t>BROOKLYN TECHNICAL HIGH SCHOOL</t>
  </si>
  <si>
    <t>29 FT GREENE PLACE</t>
  </si>
  <si>
    <t>https://nycdoe.sharepoint.com/:w:/s/BAP/EeP1DPepMZRPq3B5_IPfbz0BoNBj8Ela9hSIqERYOFiCww</t>
  </si>
  <si>
    <t xml:space="preserve">75K371         </t>
  </si>
  <si>
    <t>P.S. 371 - LILLIAN L. RASHKIS</t>
  </si>
  <si>
    <t>832 MARCY AVENUE</t>
  </si>
  <si>
    <t>https://nycdoe.sharepoint.com/:w:/s/BAP/ET2fjjR_A7tBr0kZPUzxeFcBwbhXr6vAkB59GeJAl2iXUA</t>
  </si>
  <si>
    <t xml:space="preserve">13K553         </t>
  </si>
  <si>
    <t>BROOKLYN ACADEMY HIGH SCHOOL</t>
  </si>
  <si>
    <t>105 TECH PLACE</t>
  </si>
  <si>
    <t>https://nycdoe.sharepoint.com/:w:/s/BAP/EYd63Fvxr5RJhOyTtkuu5mwB6jH4z0T-jwEVi6xRaRGcPQ</t>
  </si>
  <si>
    <t xml:space="preserve">13K605         </t>
  </si>
  <si>
    <t>GEORGE WESTINGHOUSE CAREER AND TECHNICAL EDUCATION HIGH SCHOOL</t>
  </si>
  <si>
    <t xml:space="preserve">13K674         </t>
  </si>
  <si>
    <t>CITY POLYTECHNIC HIGH SCHOOL OF ENGINEERING, ARCHITECTURE, AND TECHNOLOGY</t>
  </si>
  <si>
    <t xml:space="preserve">13K313         </t>
  </si>
  <si>
    <t>DOCK STREET SCHOOL FOR STEAM STUDIES</t>
  </si>
  <si>
    <t>19 DOCK STREET</t>
  </si>
  <si>
    <t>https://nycdoe.sharepoint.com/:w:/s/BAP/EeBGbBuPyUNHmpXu3_xl-EgBjgX-rELNkNZoIyPiNsK0bA</t>
  </si>
  <si>
    <t>K653</t>
  </si>
  <si>
    <t>29 6 AVENUE</t>
  </si>
  <si>
    <t>https://nycdoe.sharepoint.com/:w:/s/BAP/EcHRIZXLS3JBhW0fSL8ml7EBsspCOlefxPyvbjFZo36zog</t>
  </si>
  <si>
    <t xml:space="preserve">13K915         </t>
  </si>
  <si>
    <t>BRIDGES: A SCHOOL FOR EXPLORATION AND EQUITY</t>
  </si>
  <si>
    <t>K963</t>
  </si>
  <si>
    <t xml:space="preserve">13K963         </t>
  </si>
  <si>
    <t>DESIGN WORKS HIGH SCHOOL</t>
  </si>
  <si>
    <t>K748</t>
  </si>
  <si>
    <t>K482</t>
  </si>
  <si>
    <t xml:space="preserve">13K482         </t>
  </si>
  <si>
    <t>ALBEE SQUARE MONTESSORI PUBLIC SCHOOL</t>
  </si>
  <si>
    <t>424 ALBEE SQUARE WEST</t>
  </si>
  <si>
    <t>https://nycdoe.sharepoint.com/:w:/s/BAP/ESBYWxWGUqJAvLsPLQoa1jwBY1vk9K6aatssIHe-32WBVQ</t>
  </si>
  <si>
    <t xml:space="preserve">84K508         </t>
  </si>
  <si>
    <t>ACHIEVEMENT FIRST ENDEAVOR CHARTER SCHOOL</t>
  </si>
  <si>
    <t>510 WAVERLY AVENUE</t>
  </si>
  <si>
    <t>https://nycdoe.sharepoint.com/:w:/s/BAP/EdGTJQFXWA9CnQSUQNCWKPYBm-00RCY8T_QcLHcxyGBK1g</t>
  </si>
  <si>
    <t xml:space="preserve">13K350         </t>
  </si>
  <si>
    <t>CREATORS ACADEMY</t>
  </si>
  <si>
    <t>49 FLATBUSH AVENUE EXTENSION</t>
  </si>
  <si>
    <t>https://nycdoe.sharepoint.com/:w:/s/BAP/EXcijHX1lsNAmN65TFX9mKABHT92WxJ-ZBBLGzhWGi1qkg</t>
  </si>
  <si>
    <t xml:space="preserve">13K419         </t>
  </si>
  <si>
    <t>SCIENCE SKILLS CENTER HIGH SCHOOL FOR SCIENCE, TECHNOLOGY AND THE CREATIVE ARTS</t>
  </si>
  <si>
    <t xml:space="preserve">13K439         </t>
  </si>
  <si>
    <t>BROOKLYN INTERNATIONAL HIGH SCHOOL</t>
  </si>
  <si>
    <t xml:space="preserve">13K670         </t>
  </si>
  <si>
    <t>BENJAMIN BANNEKER ACADEMY</t>
  </si>
  <si>
    <t>71-77 CLINTON AVENUE</t>
  </si>
  <si>
    <t>https://nycdoe.sharepoint.com/:w:/s/BAP/EdXZ-4ivOYBIuvXGy5kpsCYBekzIsIID88sBNaCKL86-vg</t>
  </si>
  <si>
    <t xml:space="preserve">13K595         </t>
  </si>
  <si>
    <t>BEDFORD ACADEMY HIGH SCHOOL</t>
  </si>
  <si>
    <t>1119 BEDFORD AVENUE</t>
  </si>
  <si>
    <t>https://nycdoe.sharepoint.com/:w:/s/BAP/Eb4TP64C6NdFkaGKumQHgvIBMJFPGz4_Fghau0BMvGl3EA</t>
  </si>
  <si>
    <t>K016</t>
  </si>
  <si>
    <t xml:space="preserve">14K016         </t>
  </si>
  <si>
    <t>P.S. 016 LEONARD DUNKLY</t>
  </si>
  <si>
    <t>157 WILSON STREET</t>
  </si>
  <si>
    <t>https://nycdoe.sharepoint.com/:w:/s/BAP/EdDP3H7_InRKtTFPPsZqqKYBzgrSzlHaRbSXmgUdHcURYA</t>
  </si>
  <si>
    <t>K355</t>
  </si>
  <si>
    <t xml:space="preserve">84K355         </t>
  </si>
  <si>
    <t>UNCOMMON WILLIAMSBURG CHARTER SCHOOL NYC</t>
  </si>
  <si>
    <t>K018</t>
  </si>
  <si>
    <t xml:space="preserve">14K018         </t>
  </si>
  <si>
    <t>P.S. 018 EDWARD BUSH</t>
  </si>
  <si>
    <t>101 MAUJER STREET</t>
  </si>
  <si>
    <t>https://nycdoe.sharepoint.com/:w:/s/BAP/EbdEQg66eVlLoEGTvt0KZrgBtcgD71Cmbm_aVUPawsxKKg</t>
  </si>
  <si>
    <t>K019</t>
  </si>
  <si>
    <t>K414</t>
  </si>
  <si>
    <t xml:space="preserve">14K414         </t>
  </si>
  <si>
    <t>BROOKLYN ARBOR ELEMENTARY SCHOOL</t>
  </si>
  <si>
    <t>325 SOUTH  3 STREET</t>
  </si>
  <si>
    <t>https://nycdoe.sharepoint.com/:w:/s/BAP/EViU3UzljMBIt52sKS1S6XcB_f9ZtQj13aXgGSX_ars5DQ</t>
  </si>
  <si>
    <t xml:space="preserve">14K023         </t>
  </si>
  <si>
    <t>P.S. 023 CARTER G. WOODSON</t>
  </si>
  <si>
    <t>545 WILLOUGHBY AVENUE</t>
  </si>
  <si>
    <t>https://nycdoe.sharepoint.com/:w:/s/BAP/EfoHm3YOr8NJuQyAPQMrTqUBRXIaEct1NGAu4TehibwnIg</t>
  </si>
  <si>
    <t xml:space="preserve">84K701         </t>
  </si>
  <si>
    <t>BROOKLYN CHARTER SCHOOL</t>
  </si>
  <si>
    <t xml:space="preserve">84K367         </t>
  </si>
  <si>
    <t>SUCCESS ACADEMY CHARTER SCHOOL - BED STUY 1</t>
  </si>
  <si>
    <t>70 TOMPKINS AVENUE</t>
  </si>
  <si>
    <t>https://nycdoe.sharepoint.com/:w:/s/BAP/EU3LBxNy1n9AlgE2D46rIeIBp1MKz9nusk7kiV3eXns9Lw</t>
  </si>
  <si>
    <t xml:space="preserve">75K368         </t>
  </si>
  <si>
    <t xml:space="preserve">84K037         </t>
  </si>
  <si>
    <t>BEGINNING WITH CHILDREN CHARTER SCHOOL II</t>
  </si>
  <si>
    <t>215 HEYWARD STREET</t>
  </si>
  <si>
    <t>https://nycdoe.sharepoint.com/:w:/s/BAP/ET-lZQ8DOTlMlqFH5v_0_2IBmku0QWHqW6lIvQW53pFwnQ</t>
  </si>
  <si>
    <t xml:space="preserve">14K071         </t>
  </si>
  <si>
    <t>JUAN MOREL CAMPOS SECONDARY SCHOOL</t>
  </si>
  <si>
    <t xml:space="preserve">75K141         </t>
  </si>
  <si>
    <t xml:space="preserve">14K084         </t>
  </si>
  <si>
    <t>P.S. 084 JOSE DE DIEGO</t>
  </si>
  <si>
    <t>250 BERRY STREET</t>
  </si>
  <si>
    <t>https://nycdoe.sharepoint.com/:w:/s/BAP/EY_p49TPRFZAvk6P0zO2SMEBJFJ5o3pOYo4ZcwvMUEY9wg</t>
  </si>
  <si>
    <t xml:space="preserve">14K110         </t>
  </si>
  <si>
    <t>P.S. 110 THE MONITOR</t>
  </si>
  <si>
    <t>124 MONITOR STREET</t>
  </si>
  <si>
    <t>https://nycdoe.sharepoint.com/:w:/s/BAP/Eb1yYgEfWbxEnmrSsm1mjHIBD9nNXB_NaRoZwScGrJ5cbQ</t>
  </si>
  <si>
    <t xml:space="preserve">14K120         </t>
  </si>
  <si>
    <t>P.S. 120 CARLOS TAPIA</t>
  </si>
  <si>
    <t>18 BEAVER STREET</t>
  </si>
  <si>
    <t>https://nycdoe.sharepoint.com/:w:/s/BAP/EXUi4aj8_7ZNtHYTWcDmYtEB_WASI79GOaT6SofWJdgkCg</t>
  </si>
  <si>
    <t xml:space="preserve">14K126         </t>
  </si>
  <si>
    <t>JOHN ERICSSON MIDDLE SCHOOL 126</t>
  </si>
  <si>
    <t>424 LEONARD STREET</t>
  </si>
  <si>
    <t>https://nycdoe.sharepoint.com/:w:/s/BAP/ETw-TkGQnatJi03-pzbjeucBRMdThCL9O3diWAR2iklQuQ</t>
  </si>
  <si>
    <t xml:space="preserve">84K693         </t>
  </si>
  <si>
    <t>NORTHSIDE CHARTER HIGH SCHOOL</t>
  </si>
  <si>
    <t xml:space="preserve">14K132         </t>
  </si>
  <si>
    <t>P.S. 132 THE CONSELYEA SCHOOL</t>
  </si>
  <si>
    <t>320 MANHATTAN AVENUE</t>
  </si>
  <si>
    <t>https://nycdoe.sharepoint.com/:w:/s/BAP/EecYr2dDzelKsR6dFBb0lqoB7vqCqTn5VjTxTuGqGPhEUA</t>
  </si>
  <si>
    <t>K147</t>
  </si>
  <si>
    <t xml:space="preserve">14K147         </t>
  </si>
  <si>
    <t>P.S. 147 ISAAC REMSEN</t>
  </si>
  <si>
    <t>325 BUSHWICK AVENUE</t>
  </si>
  <si>
    <t>https://nycdoe.sharepoint.com/:w:/s/BAP/EVxLTc3cmtpArwFbm7gCqmQBTa4xTm9TQrBYjZTQXA_dTw</t>
  </si>
  <si>
    <t>K614</t>
  </si>
  <si>
    <t xml:space="preserve">14K614         </t>
  </si>
  <si>
    <t>YOUNG WOMEN'S LEADERSHIP SCHOOL OF BROOKLYN</t>
  </si>
  <si>
    <t>K196</t>
  </si>
  <si>
    <t xml:space="preserve">14K196         </t>
  </si>
  <si>
    <t>P.S. 196 TEN EYCK</t>
  </si>
  <si>
    <t>207 BUSHWICK AVENUE</t>
  </si>
  <si>
    <t>https://nycdoe.sharepoint.com/:w:/s/BAP/EXG9dffrvOJBjg7IumjdXKUBuZf2jFBkexyNpK_Hdwo0KQ</t>
  </si>
  <si>
    <t>K582</t>
  </si>
  <si>
    <t xml:space="preserve">14K582         </t>
  </si>
  <si>
    <t>M.S. 582</t>
  </si>
  <si>
    <t>K250</t>
  </si>
  <si>
    <t xml:space="preserve">14K250         </t>
  </si>
  <si>
    <t>P.S. 250 GEORGE H. LINDSAY</t>
  </si>
  <si>
    <t>108 MONTROSE AVENUE</t>
  </si>
  <si>
    <t>https://nycdoe.sharepoint.com/:w:/s/BAP/EcA0eVEB8whFriD3yKxtc8EBqJAj2fJFO1_mxCqZoQHSyA</t>
  </si>
  <si>
    <t xml:space="preserve">14K257         </t>
  </si>
  <si>
    <t>P.S. 257 JOHN F. HYLAN</t>
  </si>
  <si>
    <t>60 COOK STREET</t>
  </si>
  <si>
    <t>https://nycdoe.sharepoint.com/:w:/s/BAP/EYc5JQ-RpV9HrnDN2yX6DAkBy-FXYT0ywRKJNE3nAFlFkA</t>
  </si>
  <si>
    <t xml:space="preserve">14K318         </t>
  </si>
  <si>
    <t>I.S. 318 EUGENIO MARIA DE HOSTOS</t>
  </si>
  <si>
    <t>101 WALTON STREET</t>
  </si>
  <si>
    <t>https://nycdoe.sharepoint.com/:w:/s/BAP/EQnwFe5AoWJDjDfJZJuypC8BvTcn2v0AvKlNNHIxt-gWxQ</t>
  </si>
  <si>
    <t xml:space="preserve">14K319         </t>
  </si>
  <si>
    <t>360 KEAP STREET</t>
  </si>
  <si>
    <t>https://nycdoe.sharepoint.com/:w:/s/BAP/Ect7sJYaA6tFnI0kwWSEpdwBSMMWRigZV1BF7UzWz-PnFA</t>
  </si>
  <si>
    <t>370 MARCY AVENUE</t>
  </si>
  <si>
    <t>https://nycdoe.sharepoint.com/:w:/s/BAP/EfqZ5sVOW4ZEosGQEK5vbe4Bf6wffl1SxmK1Haw65eD8og</t>
  </si>
  <si>
    <t xml:space="preserve">14K380         </t>
  </si>
  <si>
    <t>P.S. 380 JOHN WAYNE ELEMENTARY</t>
  </si>
  <si>
    <t xml:space="preserve">14K474         </t>
  </si>
  <si>
    <t>PROGRESS HIGH SCHOOL FOR PROFESSIONAL CAREERS</t>
  </si>
  <si>
    <t>850 GRAND STREET</t>
  </si>
  <si>
    <t>https://nycdoe.sharepoint.com/:w:/s/BAP/ETzQAVqDc4NHpyal7fLpEOQBbULP_j9q9RwUu1xq5DA0Kw</t>
  </si>
  <si>
    <t xml:space="preserve">14K477         </t>
  </si>
  <si>
    <t>EAST WILLIAMSBURG SCHOLARS ACADEMY</t>
  </si>
  <si>
    <t xml:space="preserve">14K478         </t>
  </si>
  <si>
    <t>THE HIGH SCHOOL FOR ENTERPRISE, BUSINESS AND TECHNOLOGY</t>
  </si>
  <si>
    <t xml:space="preserve">14K610         </t>
  </si>
  <si>
    <t>A-TECH HIGH SCHOOL</t>
  </si>
  <si>
    <t>50 BEDFORD AVENUE</t>
  </si>
  <si>
    <t>https://nycdoe.sharepoint.com/:w:/s/BAP/EeolikCxqjZHpa0F1YanxZIBgAAyzPQvqZneTsKPMV7B9A</t>
  </si>
  <si>
    <t xml:space="preserve">14K488         </t>
  </si>
  <si>
    <t>BROOKLYN PREPARATORY HIGH SCHOOL</t>
  </si>
  <si>
    <t>257 NORTH  6 STREET</t>
  </si>
  <si>
    <t>https://nycdoe.sharepoint.com/:w:/s/BAP/EdRPShyEjOZEv31bwgGHfa4BGO7UMqSvn5GEVxkGMJsGdA</t>
  </si>
  <si>
    <t xml:space="preserve">14K558         </t>
  </si>
  <si>
    <t>WILLIAMSBURG HIGH SCHOOL FOR ARCHITECTURE AND DESIGN</t>
  </si>
  <si>
    <t xml:space="preserve">14K561         </t>
  </si>
  <si>
    <t>WILLIAMSBURG PREPARATORY SCHOOL</t>
  </si>
  <si>
    <t xml:space="preserve">15K010         </t>
  </si>
  <si>
    <t>MAGNET SCHOOL OF MATH, SCIENCE AND DESIGN TECHNOLOGY</t>
  </si>
  <si>
    <t>511 7 AVENUE</t>
  </si>
  <si>
    <t>https://nycdoe.sharepoint.com/:w:/s/BAP/Ebs-bh8RaCJOmSxBGdowP8oBjsLaa3CpyDVRZs5j_AAC6w</t>
  </si>
  <si>
    <t>K015</t>
  </si>
  <si>
    <t xml:space="preserve">15K015         </t>
  </si>
  <si>
    <t>P.S. 015 PATRICK F. DALY</t>
  </si>
  <si>
    <t>71 SULLIVAN STREET</t>
  </si>
  <si>
    <t>https://nycdoe.sharepoint.com/:w:/s/BAP/ETyE_UFaTYdGg4zbJRzd4NUBng5Be2WRbNM8Bi0l2WQRQw</t>
  </si>
  <si>
    <t xml:space="preserve">15K024         </t>
  </si>
  <si>
    <t>427 38 STREET</t>
  </si>
  <si>
    <t>https://nycdoe.sharepoint.com/:w:/s/BAP/EU7b-p9QMjNJn4tR3Pg9XEEBGescFqNb_lr0ElPgnT3sjQ</t>
  </si>
  <si>
    <t xml:space="preserve">15K032         </t>
  </si>
  <si>
    <t>P.S. 032 SAMUEL MILLS SPROLE</t>
  </si>
  <si>
    <t>420 UNION STREET</t>
  </si>
  <si>
    <t>https://nycdoe.sharepoint.com/:w:/s/BAP/EWklPzO42sNEloQEb4UHZ10BL_yKJARNPyz2Qr-u5XwmGQ</t>
  </si>
  <si>
    <t xml:space="preserve">15K051         </t>
  </si>
  <si>
    <t>M.S. 51 WILLIAM ALEXANDER</t>
  </si>
  <si>
    <t>288 4 STREET</t>
  </si>
  <si>
    <t>https://nycdoe.sharepoint.com/:w:/s/BAP/Eb6V_haPNWNHpYC_0Dui564B-YIjpCOw4SZLNeRV5fcIyA</t>
  </si>
  <si>
    <t>K058</t>
  </si>
  <si>
    <t xml:space="preserve">15K058         </t>
  </si>
  <si>
    <t>P.S. 058 THE CARROLL</t>
  </si>
  <si>
    <t>330 SMITH STREET</t>
  </si>
  <si>
    <t>https://nycdoe.sharepoint.com/:w:/s/BAP/EVmz2w52CYlIqWD1WmymrMgB5WCeiRQ3FiwrZUd2dOIevA</t>
  </si>
  <si>
    <t xml:space="preserve">75K053         </t>
  </si>
  <si>
    <t>544 7 AVENUE</t>
  </si>
  <si>
    <t>https://nycdoe.sharepoint.com/:w:/s/BAP/EYSrSjjfJHVOmllBWGG_-JIB2sqthd7zjsLhhdjmCZw7xw</t>
  </si>
  <si>
    <t xml:space="preserve">15K088         </t>
  </si>
  <si>
    <t>J.H.S. 088 PETER ROUGET</t>
  </si>
  <si>
    <t>K107</t>
  </si>
  <si>
    <t xml:space="preserve">15K107         </t>
  </si>
  <si>
    <t>P.S. 107 JOHN W. KIMBALL</t>
  </si>
  <si>
    <t>1301 8 AVENUE</t>
  </si>
  <si>
    <t>https://nycdoe.sharepoint.com/:w:/s/BAP/EXAEBhtfdDpBt-g1NUe6sswB93zhO83opQoI71dy2h8JUQ</t>
  </si>
  <si>
    <t xml:space="preserve">15K130         </t>
  </si>
  <si>
    <t>P.S. 130 THE PARKSIDE</t>
  </si>
  <si>
    <t>70 OCEAN PARKWAY</t>
  </si>
  <si>
    <t>https://nycdoe.sharepoint.com/:w:/s/BAP/EdHqSfnemqBBrlq6vb6gjEwBoV0axIkkVujISARBYydu1g</t>
  </si>
  <si>
    <t>K142</t>
  </si>
  <si>
    <t>K146</t>
  </si>
  <si>
    <t xml:space="preserve">15K146         </t>
  </si>
  <si>
    <t>THE BROOKLYN NEW SCHOOL, P.S. 146</t>
  </si>
  <si>
    <t>610 HENRY STREET</t>
  </si>
  <si>
    <t>https://nycdoe.sharepoint.com/:w:/s/BAP/EciBpz7O5v5Cn4EMhuN_oaIBbOtt9p7Eab2v8tZIRCvGgg</t>
  </si>
  <si>
    <t>K448</t>
  </si>
  <si>
    <t xml:space="preserve">15K448         </t>
  </si>
  <si>
    <t>BROOKLYN COLLABORATIVE STUDIES</t>
  </si>
  <si>
    <t xml:space="preserve">15K230         </t>
  </si>
  <si>
    <t>P.S. 230 DORIS L. COHEN</t>
  </si>
  <si>
    <t>1 ALBEMARLE ROAD</t>
  </si>
  <si>
    <t>https://nycdoe.sharepoint.com/:w:/s/BAP/EU4XeQ9dvJdKjxZqnblJe2oB1UJA0ri1RibavzbBwuU1ZA</t>
  </si>
  <si>
    <t xml:space="preserve">15K261         </t>
  </si>
  <si>
    <t>P.S. 261 ZIPPORIAH MILLS</t>
  </si>
  <si>
    <t>314 PACIFIC STREET</t>
  </si>
  <si>
    <t>https://nycdoe.sharepoint.com/:w:/s/BAP/EdArwNv9BgpCjL3VBEHoilIBMulTuR0EwO85SA56UhdGZg</t>
  </si>
  <si>
    <t xml:space="preserve">15K442         </t>
  </si>
  <si>
    <t>M.S. 442 CARROLL GARDENS SCHOOL FOR INNOVATION</t>
  </si>
  <si>
    <t>500 19 STREET</t>
  </si>
  <si>
    <t>https://nycdoe.sharepoint.com/:w:/s/BAP/ETeAz3QGiqFKkxhN9kiJqDUB7l2MBXmavUiYOpzpsG3tMg</t>
  </si>
  <si>
    <t xml:space="preserve">84K129         </t>
  </si>
  <si>
    <t>SUCCESS ACADEMY CHARTER SCHOOL - COBBLE HILL</t>
  </si>
  <si>
    <t>284 BALTIC STREET</t>
  </si>
  <si>
    <t>https://nycdoe.sharepoint.com/:w:/s/BAP/EeNn43r3Gc1AtioSIychIe4B4mlwzT4KwWE_ebaOybQe6g</t>
  </si>
  <si>
    <t xml:space="preserve">15K429         </t>
  </si>
  <si>
    <t>DIGITAL ARTS AND CINEMA TECHNOLOGY HIGH SCHOOL</t>
  </si>
  <si>
    <t xml:space="preserve">15K497         </t>
  </si>
  <si>
    <t>THE BOERUM HILL SCHOOL FOR INTERNATIONAL STUDIES</t>
  </si>
  <si>
    <t xml:space="preserve">15K321         </t>
  </si>
  <si>
    <t>P.S. 321 WILLIAM PENN</t>
  </si>
  <si>
    <t>180 7 AVENUE</t>
  </si>
  <si>
    <t>https://nycdoe.sharepoint.com/:w:/s/BAP/Ef7MIi-PPFZMt9z2yMSDqVkBveyz57nVGAkWTXm7Ss1jfA</t>
  </si>
  <si>
    <t xml:space="preserve">22K889         </t>
  </si>
  <si>
    <t>21 HINCKLEY PLACE</t>
  </si>
  <si>
    <t>https://nycdoe.sharepoint.com/:w:/s/BAP/EVp0bmp0FERIr93vi4CbydcBD9ZcAfuybKFqE0E5w_n-kw</t>
  </si>
  <si>
    <t xml:space="preserve">22K890         </t>
  </si>
  <si>
    <t>K347</t>
  </si>
  <si>
    <t>763 PRESIDENT STREET</t>
  </si>
  <si>
    <t>https://nycdoe.sharepoint.com/:w:/s/BAP/EbfZfXnoGt5GlsYbTL17aq4BHD7qbv5Q-LUNIeL9WX3pEQ</t>
  </si>
  <si>
    <t>713 CATON AVENUE</t>
  </si>
  <si>
    <t>https://nycdoe.sharepoint.com/:w:/s/BAP/EesPuxxfSu9Hh7VM4ulRgDUB5oD9-D5uTEk6u6K3VLnhZg</t>
  </si>
  <si>
    <t xml:space="preserve">15K839         </t>
  </si>
  <si>
    <t xml:space="preserve">15K462         </t>
  </si>
  <si>
    <t>JOHN JAY SCHOOL FOR LAW</t>
  </si>
  <si>
    <t>237 7 AVENUE</t>
  </si>
  <si>
    <t>https://nycdoe.sharepoint.com/:w:/s/BAP/EV3R3N7AgTBPi9_GZXkVKkYBBLvKMJ6SK-ZOOPpC90gpzA</t>
  </si>
  <si>
    <t xml:space="preserve">15K463         </t>
  </si>
  <si>
    <t>CYBERARTS STUDIO ACADEMY</t>
  </si>
  <si>
    <t xml:space="preserve">15K464         </t>
  </si>
  <si>
    <t>PARK SLOPE COLLEGIATE</t>
  </si>
  <si>
    <t xml:space="preserve">15K684         </t>
  </si>
  <si>
    <t>MILLENNIUM BROOKLYN HS</t>
  </si>
  <si>
    <t>K557</t>
  </si>
  <si>
    <t>K516</t>
  </si>
  <si>
    <t xml:space="preserve">15K516         </t>
  </si>
  <si>
    <t>SUNSET PARK AVENUES ELEMENTARY SCHOOL</t>
  </si>
  <si>
    <t>4308 4 AVENUE</t>
  </si>
  <si>
    <t>https://nycdoe.sharepoint.com/:w:/s/BAP/EeApMFujEPJJudcS4TLVyUIBW9y5lgcozJc0VJ78sBatWA</t>
  </si>
  <si>
    <t>153 35 STREET</t>
  </si>
  <si>
    <t>https://nycdoe.sharepoint.com/:w:/s/BAP/EYNejqIbwZNLoPQ1x-gnJ3sB9Sp4Lh0gkjWQgFutlN_Xfw</t>
  </si>
  <si>
    <t xml:space="preserve">15K667         </t>
  </si>
  <si>
    <t>SUNSET PARK HIGH SCHOOL</t>
  </si>
  <si>
    <t>K456</t>
  </si>
  <si>
    <t xml:space="preserve">15K456         </t>
  </si>
  <si>
    <t>THE ELIZABETH JENNINGS SCHOOL FOR BOLD EXPLORERS</t>
  </si>
  <si>
    <t>485 STATE STREET</t>
  </si>
  <si>
    <t>https://nycdoe.sharepoint.com/:w:/s/BAP/Ebklsljc2A9AmRIQGUcr714Bm-TgfVVN6J6DNmcwQLlbzw</t>
  </si>
  <si>
    <t>K592</t>
  </si>
  <si>
    <t xml:space="preserve">15K592         </t>
  </si>
  <si>
    <t>KHALIL GIBRAN INTERNATIONAL ACADEMY</t>
  </si>
  <si>
    <t>382 SCHERMERHORN STREET</t>
  </si>
  <si>
    <t xml:space="preserve">75K753         </t>
  </si>
  <si>
    <t>P.S. K753 - SCHOOL FOR CAREER DEVELOPMENT</t>
  </si>
  <si>
    <t xml:space="preserve">15K447         </t>
  </si>
  <si>
    <t>THE EXPLORATORY SCHOOL</t>
  </si>
  <si>
    <t>345 DEAN STREET</t>
  </si>
  <si>
    <t>https://nycdoe.sharepoint.com/:w:/s/BAP/Ef6_Gew_2mhIpiQLA9JMiusBhp0Zf1XaRYoc1phgDA7IwA</t>
  </si>
  <si>
    <t xml:space="preserve">15K656         </t>
  </si>
  <si>
    <t>BROOKLYN HIGH SCHOOL OF THE ARTS</t>
  </si>
  <si>
    <t>500 PACIFIC STREET</t>
  </si>
  <si>
    <t>https://nycdoe.sharepoint.com/:w:/s/BAP/Ea6wTYVpRCNFkfeQhhjg78sBavPdlztKnANh3TerQgakTA</t>
  </si>
  <si>
    <t xml:space="preserve">15K958         </t>
  </si>
  <si>
    <t>836-841 5 AVENUE</t>
  </si>
  <si>
    <t>https://nycdoe.sharepoint.com/:w:/s/BAP/ESYm0fmnz2lBugH-fz5I2NQBiClYtmZw72zwdC3dxs4_Eg</t>
  </si>
  <si>
    <t xml:space="preserve">15K896         </t>
  </si>
  <si>
    <t>THE SCHOOL OF CREATIVITY AND INNOVATION</t>
  </si>
  <si>
    <t>736 48 STREET</t>
  </si>
  <si>
    <t>https://nycdoe.sharepoint.com/:w:/s/BAP/EZIQ5F_EmzVFupNxopQENakB1vZtXLNFOkt70iZYR7yH2g</t>
  </si>
  <si>
    <t>K710</t>
  </si>
  <si>
    <t>197 9 STREET</t>
  </si>
  <si>
    <t>https://nycdoe.sharepoint.com/:w:/s/BAP/EUi1xj4P9ilPjvKWc5YFJxQB_YZCN3syXJ6afw_KG8Xymw</t>
  </si>
  <si>
    <t>K730</t>
  </si>
  <si>
    <t>4513 8 AVENUE</t>
  </si>
  <si>
    <t>https://nycdoe.sharepoint.com/:w:/s/BAP/EbJj1WzZ0r5FvkNXCrFmSfgBEuHBWo6rgTmBokrO_Gv3OQ</t>
  </si>
  <si>
    <t>131 UNION STREET</t>
  </si>
  <si>
    <t>https://nycdoe.sharepoint.com/:w:/s/BAP/ERNB0qnGWrZLupUuydgNFKwB_Kq1ejGVby3gaW9hplQHYA</t>
  </si>
  <si>
    <t xml:space="preserve">75K373         </t>
  </si>
  <si>
    <t>P.S. 373 - BROOKLYN TRANSITION CENTER</t>
  </si>
  <si>
    <t>347 BALTIC STREET</t>
  </si>
  <si>
    <t>https://nycdoe.sharepoint.com/:w:/s/BAP/EdOo47S98-JJq4W__khaNEkBYojjCVAXLPc1Xx_ZeoeXyQ</t>
  </si>
  <si>
    <t xml:space="preserve">15K519         </t>
  </si>
  <si>
    <t>COBBLE HILL SCHOOL OF AMERICAN STUDIES</t>
  </si>
  <si>
    <t xml:space="preserve">15K698         </t>
  </si>
  <si>
    <t>SOUTH BROOKLYN COMMUNITY HIGH SCHOOL</t>
  </si>
  <si>
    <t>173 CONOVER STREET</t>
  </si>
  <si>
    <t>https://nycdoe.sharepoint.com/:w:/s/BAP/ESFdp3ncXWtMl69EVkMDVgwBIF9Xi_PWBXYXYd8FpcphgA</t>
  </si>
  <si>
    <t>K871</t>
  </si>
  <si>
    <t>67-69 SCHERMERHORN STREET</t>
  </si>
  <si>
    <t>https://nycdoe.sharepoint.com/:w:/s/BAP/EbmGCcCCgYBMpAsGkTlw3KIBhBN3H0jS3dEM6dgTA2HY1g</t>
  </si>
  <si>
    <t>K881</t>
  </si>
  <si>
    <t>K001</t>
  </si>
  <si>
    <t xml:space="preserve">15K001         </t>
  </si>
  <si>
    <t>P.S. 001 THE BERGEN</t>
  </si>
  <si>
    <t>309 47 STREET</t>
  </si>
  <si>
    <t>https://nycdoe.sharepoint.com/:w:/s/BAP/EfAzUAOXT-BHrWbHE7GzsZwBTwtl9jXuQl1dnAQh1f-1oQ</t>
  </si>
  <si>
    <t>https://nycdoe.sharepoint.com/:w:/s/BAP/EZLOo4vNv6hPuwE8p93w_w4B_CeQRWyjeGUz-q_tqdqNBA</t>
  </si>
  <si>
    <t>K908</t>
  </si>
  <si>
    <t>425 MCDONALD AVENUE</t>
  </si>
  <si>
    <t>https://nycdoe.sharepoint.com/:w:/s/BAP/ET_UWmsjkJBBnWx3UEjXG50Bdi-GUqXXk1oqWNxrIrgGyQ</t>
  </si>
  <si>
    <t xml:space="preserve">22K555         </t>
  </si>
  <si>
    <t>BROOKLYN COLLEGE ACADEMY</t>
  </si>
  <si>
    <t>350 CONEY ISLAND AVENUE</t>
  </si>
  <si>
    <t>https://nycdoe.sharepoint.com/:w:/s/BAP/EaXJLuZuABdBjiB-ToE9SlsB6HuaBVqgwHht3O5czf5hPA</t>
  </si>
  <si>
    <t xml:space="preserve">84K651         </t>
  </si>
  <si>
    <t>PAVE ACADEMY CHARTER SCHOOL</t>
  </si>
  <si>
    <t>732 HENRY STREET</t>
  </si>
  <si>
    <t>https://nycdoe.sharepoint.com/:w:/s/BAP/EVoJtJNVeHZFrKvzTpNv13MBFbD4MZIXEqEEShBNRKax4g</t>
  </si>
  <si>
    <t>K005</t>
  </si>
  <si>
    <t xml:space="preserve">16K005         </t>
  </si>
  <si>
    <t>P.S. 005 DR. RONALD MCNAIR</t>
  </si>
  <si>
    <t>820 HANCOCK STREET</t>
  </si>
  <si>
    <t>https://nycdoe.sharepoint.com/:w:/s/BAP/EX_vvqjHb85NjxwUlpxQvksBwf9oiR4VAjk5O6g4uvpgog</t>
  </si>
  <si>
    <t xml:space="preserve">16K026         </t>
  </si>
  <si>
    <t>P.S. 026 JESSE OWENS</t>
  </si>
  <si>
    <t>1014 LAFAYETTE AVENUE</t>
  </si>
  <si>
    <t>https://nycdoe.sharepoint.com/:w:/s/BAP/EXEMQOf2MX1KpBOwwBWi2z8BpQD3aZDUU2u72uNPXaIz3A</t>
  </si>
  <si>
    <t xml:space="preserve">16K681         </t>
  </si>
  <si>
    <t>MADIBA PREP MIDDLE SCHOOL</t>
  </si>
  <si>
    <t xml:space="preserve">16K035         </t>
  </si>
  <si>
    <t>M.S. 035 STEPHEN DECATUR</t>
  </si>
  <si>
    <t>272 MACDONOUGH STREET</t>
  </si>
  <si>
    <t>https://nycdoe.sharepoint.com/:w:/s/BAP/EVHZzDJHQvpNtz0qX1yZp74BI7SDqAaWaGpFLK46PnAo_g</t>
  </si>
  <si>
    <t xml:space="preserve">16K628         </t>
  </si>
  <si>
    <t>BROOKLYN BROWNSTONE SCHOOL</t>
  </si>
  <si>
    <t xml:space="preserve">75K004         </t>
  </si>
  <si>
    <t>990 DEKALB AVENUE</t>
  </si>
  <si>
    <t>https://nycdoe.sharepoint.com/:w:/s/BAP/Ebf5mmDhs4hHvn3w7qqf9sUBQrGxi_dfZkvbujh3B7Gthw</t>
  </si>
  <si>
    <t xml:space="preserve">16K081         </t>
  </si>
  <si>
    <t>P.S. 081 THADDEUS STEVENS</t>
  </si>
  <si>
    <t>K262</t>
  </si>
  <si>
    <t xml:space="preserve">16K262         </t>
  </si>
  <si>
    <t>P.S. 262 EL HAJJ MALIK EL SHABAZZ ELEMENTARY SCHOOL</t>
  </si>
  <si>
    <t>500 MACON STREET</t>
  </si>
  <si>
    <t>https://nycdoe.sharepoint.com/:w:/s/BAP/ETuPPg6E_H9MrA5yphjBTAkB2kugyW2p342cgTKeZDcqyQ</t>
  </si>
  <si>
    <t xml:space="preserve">84K406         </t>
  </si>
  <si>
    <t>EMBER CHARTER SCHOOL FOR MINDFUL EDUCATION, INNOVATION AND TRANSFORMATION</t>
  </si>
  <si>
    <t xml:space="preserve">16K308         </t>
  </si>
  <si>
    <t>P.S. 308 CLARA CARDWELL</t>
  </si>
  <si>
    <t>616 QUINCY STREET</t>
  </si>
  <si>
    <t>https://nycdoe.sharepoint.com/:w:/s/BAP/EYfIKjNeqeJLizMFauo17osBTmNaA9axe3E2mX504JvmhQ</t>
  </si>
  <si>
    <t xml:space="preserve">16K267         </t>
  </si>
  <si>
    <t>M.S. 267 MATH, SCIENCE &amp; TECHNOLOGY</t>
  </si>
  <si>
    <t>800 GATES AVENUE</t>
  </si>
  <si>
    <t>https://nycdoe.sharepoint.com/:w:/s/BAP/EcSit3RVPEFAq-UJ0FgnT64BOURt7pB3YbUVsbnkvlPvVw</t>
  </si>
  <si>
    <t xml:space="preserve">84K648         </t>
  </si>
  <si>
    <t>UNCOMMON BED-STUY EAST CHARTER SCHOOL NYC</t>
  </si>
  <si>
    <t xml:space="preserve">84K649         </t>
  </si>
  <si>
    <t>LA CIMA CHARTER SCHOOL</t>
  </si>
  <si>
    <t xml:space="preserve">16K335         </t>
  </si>
  <si>
    <t>P.S. 335 GRANVILLE T. WOODS</t>
  </si>
  <si>
    <t>130 ROCHESTER AVENUE</t>
  </si>
  <si>
    <t>https://nycdoe.sharepoint.com/:w:/s/BAP/Eds2toLr7HFOuU4QXECSZuABBsznC5ExeAoLwPlEs9p2iw</t>
  </si>
  <si>
    <t xml:space="preserve">16K898         </t>
  </si>
  <si>
    <t>THE BROOKLYN GREEN SCHOOL</t>
  </si>
  <si>
    <t xml:space="preserve">16K455         </t>
  </si>
  <si>
    <t>BOYS AND GIRLS HIGH SCHOOL</t>
  </si>
  <si>
    <t>1700 FULTON STREET</t>
  </si>
  <si>
    <t>https://nycdoe.sharepoint.com/:w:/s/BAP/EVEB_pd5nntOltQNnjIajsQBvvAyocrWl9NXqgogBZZVDA</t>
  </si>
  <si>
    <t xml:space="preserve">16K669         </t>
  </si>
  <si>
    <t>RESEARCH AND SERVICE HIGH SCHOOL</t>
  </si>
  <si>
    <t xml:space="preserve">16K765         </t>
  </si>
  <si>
    <t>NELSON MANDELA HIGH SCHOOL</t>
  </si>
  <si>
    <t xml:space="preserve">84K593         </t>
  </si>
  <si>
    <t>UNCOMMON EXCELLENCE BOYS CHARTER SCHOOL NYC</t>
  </si>
  <si>
    <t>225 PATCHEN AVENUE</t>
  </si>
  <si>
    <t>https://nycdoe.sharepoint.com/:w:/s/BAP/EUGZsrcv-_pLh8DOFwA-AjMB-hTPM5puSctk4do7gwGf3g</t>
  </si>
  <si>
    <t xml:space="preserve">16K498         </t>
  </si>
  <si>
    <t>BROOKLYN HIGH SCHOOL FOR LAW AND TECHNOLOGY</t>
  </si>
  <si>
    <t>1396 BROADWAY</t>
  </si>
  <si>
    <t>https://nycdoe.sharepoint.com/:w:/s/BAP/EUl413Cug55DhdLPHBelkmUBpUzcEayg14Mr_ys8fXFUcQ</t>
  </si>
  <si>
    <t xml:space="preserve">17K002         </t>
  </si>
  <si>
    <t>PARKSIDE PREPARATORY ACADEMY</t>
  </si>
  <si>
    <t>655 PARKSIDE AVENUE</t>
  </si>
  <si>
    <t>https://nycdoe.sharepoint.com/:w:/s/BAP/ERQlDwTKeYZNu495TGdQELUBVtk0i-g3-zNCTHkYxx3fBA</t>
  </si>
  <si>
    <t xml:space="preserve">84K704         </t>
  </si>
  <si>
    <t>EXPLORE CHARTER SCHOOL</t>
  </si>
  <si>
    <t xml:space="preserve">17K006         </t>
  </si>
  <si>
    <t>NORMA ADAMS CLEMONS ACADEMY</t>
  </si>
  <si>
    <t>43 SNYDER AVENUE</t>
  </si>
  <si>
    <t>https://nycdoe.sharepoint.com/:w:/s/BAP/Ea3P_PBBuxJKiRoHzGXUv6UBDhQApSTiWdYLEEvqjn02uw</t>
  </si>
  <si>
    <t>K353</t>
  </si>
  <si>
    <t xml:space="preserve">17K353         </t>
  </si>
  <si>
    <t>THE ACADEMY FOR COLLABORATIVE EXPLORATION</t>
  </si>
  <si>
    <t>443 ST MARKS AVENUE</t>
  </si>
  <si>
    <t>https://nycdoe.sharepoint.com/:w:/s/BAP/ETKWDnLNaKBImU5CAoVasL0BXKl7TKMpe--jk4z57_84Hg</t>
  </si>
  <si>
    <t xml:space="preserve">17K705         </t>
  </si>
  <si>
    <t>BROOKLYN ARTS AND SCIENCE ELEMENTARY SCHOOL</t>
  </si>
  <si>
    <t>K061</t>
  </si>
  <si>
    <t xml:space="preserve">17K061         </t>
  </si>
  <si>
    <t>M.S. 061 DR. GLADSTONE H. ATWELL</t>
  </si>
  <si>
    <t>400 EMPIRE BOULEVARD</t>
  </si>
  <si>
    <t>https://nycdoe.sharepoint.com/:w:/s/BAP/EYpgYK6RjtRKuQaSTaiM__gBC3LvcPUQu0gjaGXwhj5jvA</t>
  </si>
  <si>
    <t xml:space="preserve">17K092         </t>
  </si>
  <si>
    <t>P.S. 092 ADRIAN HEGEMAN</t>
  </si>
  <si>
    <t>601 PARKSIDE AVENUE</t>
  </si>
  <si>
    <t>https://nycdoe.sharepoint.com/:w:/s/BAP/ESrHQZEzuRdLhBTRxrJ3zzQBdakuGZ3Jv-eRAqhAjr6yUA</t>
  </si>
  <si>
    <t xml:space="preserve">17K138         </t>
  </si>
  <si>
    <t>THE DR. JEAN PIERRE-LOUIS SCHOOL OF EXCELLENCE</t>
  </si>
  <si>
    <t>760 PROSPECT PLACE</t>
  </si>
  <si>
    <t>https://nycdoe.sharepoint.com/:w:/s/BAP/EZ_lIh64_O9NvHTTdKRsytYBabcXob6kKzkOXeCqPzb7jQ</t>
  </si>
  <si>
    <t xml:space="preserve">84K756         </t>
  </si>
  <si>
    <t>SUCCESS ACADEMY CHARTER SCHOOL - PROSPECT HEIGHTS</t>
  </si>
  <si>
    <t>K167</t>
  </si>
  <si>
    <t xml:space="preserve">75K396         </t>
  </si>
  <si>
    <t>SID MILLER ACADEMY</t>
  </si>
  <si>
    <t>1025 EASTERN PARKWAY</t>
  </si>
  <si>
    <t>https://nycdoe.sharepoint.com/:w:/s/BAP/EdGr9NpJMmJKplpgjCplfVwBvkfRzTtqBZZpv04xlrpa8Q</t>
  </si>
  <si>
    <t>K532</t>
  </si>
  <si>
    <t xml:space="preserve">17K532         </t>
  </si>
  <si>
    <t>NEW BRIDGES ELEMENTARY</t>
  </si>
  <si>
    <t xml:space="preserve">17K181         </t>
  </si>
  <si>
    <t>P.S. 181 BROOKLYN</t>
  </si>
  <si>
    <t>1023 NEW YORK AVENUE</t>
  </si>
  <si>
    <t>https://nycdoe.sharepoint.com/:w:/s/BAP/EdyjK9oaLxZAqwdvZFZBCq0BNPEnSjmsO73z6t4ehuZrxw</t>
  </si>
  <si>
    <t>K189</t>
  </si>
  <si>
    <t xml:space="preserve">17K189         </t>
  </si>
  <si>
    <t>P.S. 189 THE BILINGUAL CENTER</t>
  </si>
  <si>
    <t>1100 EAST NEW YORK AVENUE</t>
  </si>
  <si>
    <t>https://nycdoe.sharepoint.com/:w:/s/BAP/ETCW26cZiY5IpY77S1AN0aUBgyn9BuBvvFcgfBTE87HT3g</t>
  </si>
  <si>
    <t>K210</t>
  </si>
  <si>
    <t>K394</t>
  </si>
  <si>
    <t xml:space="preserve">17K394         </t>
  </si>
  <si>
    <t>M.S. K394</t>
  </si>
  <si>
    <t>188 ROCHESTER AVENUE</t>
  </si>
  <si>
    <t>https://nycdoe.sharepoint.com/:w:/s/BAP/EYFJmDhz6IpGrDUpuVvznYcBhsL953ovo0nUkh34XrgfyA</t>
  </si>
  <si>
    <t>K742</t>
  </si>
  <si>
    <t xml:space="preserve">84K742         </t>
  </si>
  <si>
    <t>EXPLORE EMPOWER CHARTER SCHOOL</t>
  </si>
  <si>
    <t>K969</t>
  </si>
  <si>
    <t xml:space="preserve">17K969         </t>
  </si>
  <si>
    <t>CENTRAL BROOKLYN LITERACY ACADEMY (CBLA)</t>
  </si>
  <si>
    <t xml:space="preserve">17K246         </t>
  </si>
  <si>
    <t>M.S. 246 WALT WHITMAN</t>
  </si>
  <si>
    <t>72 VERONICA PLACE</t>
  </si>
  <si>
    <t>https://nycdoe.sharepoint.com/:w:/s/BAP/EVuRcmB44MdBgySHI5DDoRsBDk7kpVQ16ugYtORUfN-x4Q</t>
  </si>
  <si>
    <t xml:space="preserve">84K741         </t>
  </si>
  <si>
    <t>SUCCESS ACADEMY CHARTER SCHOOL - CROWN HEIGHTS</t>
  </si>
  <si>
    <t xml:space="preserve">17K249         </t>
  </si>
  <si>
    <t>P.S. 249 THE CATON</t>
  </si>
  <si>
    <t>18 MARLBOROUGH ROAD</t>
  </si>
  <si>
    <t>https://nycdoe.sharepoint.com/:w:/s/BAP/ETIjVE0Cb59NnpNuBEkg3b4B-7sFq2GzTiipuTmoCSy0gA</t>
  </si>
  <si>
    <t xml:space="preserve">17K289         </t>
  </si>
  <si>
    <t>P.S. 289 GEORGE V. BROWER</t>
  </si>
  <si>
    <t>900 ST MARKS AVENUE</t>
  </si>
  <si>
    <t>https://nycdoe.sharepoint.com/:w:/s/BAP/EZOS0kDdY09LtCFUSu3RCrkBdZ4EElovHcwyWkOqVg0K0A</t>
  </si>
  <si>
    <t>K316</t>
  </si>
  <si>
    <t xml:space="preserve">17K316         </t>
  </si>
  <si>
    <t>P.S. 316 ELIJAH STROUD</t>
  </si>
  <si>
    <t>750 CLASSON AVENUE</t>
  </si>
  <si>
    <t>https://nycdoe.sharepoint.com/:w:/s/BAP/ER8qRyH0TxNKjG5dEWdVuo8B9fWjMrtvEo25Cjho5kegjw</t>
  </si>
  <si>
    <t>K390</t>
  </si>
  <si>
    <t>K354</t>
  </si>
  <si>
    <t xml:space="preserve">17K354         </t>
  </si>
  <si>
    <t>THE SCHOOL OF INTEGRATED LEARNING</t>
  </si>
  <si>
    <t>1224 PARK PLACE</t>
  </si>
  <si>
    <t>https://nycdoe.sharepoint.com/:w:/s/BAP/EaBpWz7p7TxOqZObmh1TMeUBZY0o3TdJNla5INb7XVcvCQ</t>
  </si>
  <si>
    <t>K357</t>
  </si>
  <si>
    <t xml:space="preserve">84K357         </t>
  </si>
  <si>
    <t>KIPP ALWAYS MENTALLY PREPARED CHARTER SCHOOL</t>
  </si>
  <si>
    <t xml:space="preserve">84K356         </t>
  </si>
  <si>
    <t>ACHIEVEMENT FIRST CROWN HEIGHTS CHARTER SCHOOL</t>
  </si>
  <si>
    <t>790 EAST NEW YORK AVENUE</t>
  </si>
  <si>
    <t>https://nycdoe.sharepoint.com/:w:/s/BAP/EbdqMDlBGOpItMCL3HIKAJ4BIeLUxysp0QCfdvEPnh5kaA</t>
  </si>
  <si>
    <t xml:space="preserve">17K722         </t>
  </si>
  <si>
    <t>NEW HEIGHTS MIDDLE SCHOOL</t>
  </si>
  <si>
    <t xml:space="preserve">17K397         </t>
  </si>
  <si>
    <t>P.S. 397 FOSTER-LAURIE</t>
  </si>
  <si>
    <t>490 FENIMORE STREET</t>
  </si>
  <si>
    <t>https://nycdoe.sharepoint.com/:w:/s/BAP/EbtFWUpEztVHqNuuE-ABUskBhQS-zyrTO1B92s3uNb7EBw</t>
  </si>
  <si>
    <t xml:space="preserve">17K398         </t>
  </si>
  <si>
    <t>P.S. 398 WALTER WEAVER</t>
  </si>
  <si>
    <t>60 EAST  94 STREET</t>
  </si>
  <si>
    <t>https://nycdoe.sharepoint.com/:w:/s/BAP/EVTgoxkHpWpDjJy_NHDwOx4BZ8lP6FDUiykLbvRWJrFKeg</t>
  </si>
  <si>
    <t xml:space="preserve">17K770         </t>
  </si>
  <si>
    <t>P.S. 770 NEW AMERICAN ACADEMY</t>
  </si>
  <si>
    <t xml:space="preserve">17K399         </t>
  </si>
  <si>
    <t>P.S. 399 STANLEY EUGENE CLARK</t>
  </si>
  <si>
    <t>2707 ALBEMARLE ROAD</t>
  </si>
  <si>
    <t>https://nycdoe.sharepoint.com/:w:/s/BAP/EeFYpVc5JvZIu7-HGGako8oBUiJLkU9o4uZcjG5RHCJ1TA</t>
  </si>
  <si>
    <t>K434</t>
  </si>
  <si>
    <t>1485 PACIFIC STREET</t>
  </si>
  <si>
    <t>https://nycdoe.sharepoint.com/:w:/s/BAP/EcCqBct4cm1FgKVvMXdTf1MBjbimTTxU-xKMIdqON0oOpQ</t>
  </si>
  <si>
    <t>K712</t>
  </si>
  <si>
    <t xml:space="preserve">84K712         </t>
  </si>
  <si>
    <t>UNCOMMON EXCELLENCE GIRLS CHARTER SCHOOL NYC</t>
  </si>
  <si>
    <t xml:space="preserve">17K524         </t>
  </si>
  <si>
    <t>INTERNATIONAL HIGH SCHOOL AT PROSPECT HEIGHTS</t>
  </si>
  <si>
    <t>883 CLASSON AVENUE</t>
  </si>
  <si>
    <t>https://nycdoe.sharepoint.com/:w:/s/BAP/ERKRcMdCBV9CnUO5wHX14psB_NI1aVZ34tGywLwAYOSPLQ</t>
  </si>
  <si>
    <t xml:space="preserve">17K528         </t>
  </si>
  <si>
    <t>THE HIGH SCHOOL FOR GLOBAL CITIZENSHIP</t>
  </si>
  <si>
    <t xml:space="preserve">17K547         </t>
  </si>
  <si>
    <t>BROOKLYN ACADEMY OF SCIENCE AND THE ENVIRONMENT</t>
  </si>
  <si>
    <t xml:space="preserve">17K548         </t>
  </si>
  <si>
    <t>BROOKLYN SCHOOL FOR MUSIC &amp; THEATRE</t>
  </si>
  <si>
    <t xml:space="preserve">17K382         </t>
  </si>
  <si>
    <t>ACADEMY FOR COLLEGE PREPARATION AND CAREER EXPLORATION: A COLLEGE BOARD SCHOOL</t>
  </si>
  <si>
    <t>911 FLATBUSH AVENUE</t>
  </si>
  <si>
    <t>https://nycdoe.sharepoint.com/:w:/s/BAP/EYLP_eUcd9ZOtvc0PLLPGxcBGVbvXlqLby2tP_XeKHIUXg</t>
  </si>
  <si>
    <t xml:space="preserve">17K408         </t>
  </si>
  <si>
    <t>ACADEMY OF HOSPITALITY AND TOURISM</t>
  </si>
  <si>
    <t xml:space="preserve">17K537         </t>
  </si>
  <si>
    <t>HIGH SCHOOL FOR YOUTH AND COMMUNITY DEVELOPMENT AT ERASMUS</t>
  </si>
  <si>
    <t xml:space="preserve">17K539         </t>
  </si>
  <si>
    <t>HIGH SCHOOL FOR SERVICE &amp; LEARNING AT ERASMUS</t>
  </si>
  <si>
    <t xml:space="preserve">17K543         </t>
  </si>
  <si>
    <t>SCIENCE, TECHNOLOGY AND RESEARCH EARLY COLLEGE HIGH SCHOOL AT ERASMUS</t>
  </si>
  <si>
    <t>K470</t>
  </si>
  <si>
    <t xml:space="preserve">75K036         </t>
  </si>
  <si>
    <t>600 KINGSTON AVENUE</t>
  </si>
  <si>
    <t>https://nycdoe.sharepoint.com/:w:/s/BAP/EYl1nk1VrhxNhyMZ3RB0AqcBdcOpp1eL0QmonwZwQOMuJA</t>
  </si>
  <si>
    <t>K546</t>
  </si>
  <si>
    <t xml:space="preserve">17K546         </t>
  </si>
  <si>
    <t>HIGH SCHOOL FOR PUBLIC SERVICE: HEROES OF TOMORROW</t>
  </si>
  <si>
    <t>K745</t>
  </si>
  <si>
    <t xml:space="preserve">17K745         </t>
  </si>
  <si>
    <t>BROOKLYN INSTITUTE FOR LIBERAL ARTS</t>
  </si>
  <si>
    <t xml:space="preserve">17K590         </t>
  </si>
  <si>
    <t>MEDGAR EVERS COLLEGE PREPARATORY SCHOOL</t>
  </si>
  <si>
    <t>1186 CARROLL STREET</t>
  </si>
  <si>
    <t>https://nycdoe.sharepoint.com/:w:/s/BAP/EbJoaE7icfNPi_aKXn9zTisBnTiro45YWNNhm_DatKp7tw</t>
  </si>
  <si>
    <t xml:space="preserve">17K600         </t>
  </si>
  <si>
    <t>CLARA BARTON HIGH SCHOOL</t>
  </si>
  <si>
    <t>901 CLASSON AVENUE</t>
  </si>
  <si>
    <t>https://nycdoe.sharepoint.com/:w:/s/BAP/Eany3iExQXBKogDV3xg22gMBSy4_-WRJ3S1wDgnKe0-yNg</t>
  </si>
  <si>
    <t xml:space="preserve">17K122         </t>
  </si>
  <si>
    <t>PATHWAYS IN TECHNOLOGY EARLY COLLEGE HIGH SCHOOL (P-TECH)</t>
  </si>
  <si>
    <t>150 ALBANY AVENUE</t>
  </si>
  <si>
    <t>https://nycdoe.sharepoint.com/:w:/s/BAP/ESUnVDMvftBOluoslGtlRjMBnNdhLXq2eUQcHNoehiG4jw</t>
  </si>
  <si>
    <t xml:space="preserve">17K751         </t>
  </si>
  <si>
    <t>ACADEMY FOR HEALTH CAREERS</t>
  </si>
  <si>
    <t>K877</t>
  </si>
  <si>
    <t>35 SNYDER AVENUE</t>
  </si>
  <si>
    <t>https://nycdoe.sharepoint.com/:w:/s/BAP/ERrFT3myWzNOlt3nLzn6jDUB8JJ6YZFddtMkxEpDyT2txA</t>
  </si>
  <si>
    <t xml:space="preserve">17K568         </t>
  </si>
  <si>
    <t>BROWNSVILLE ACADEMY HIGH SCHOOL</t>
  </si>
  <si>
    <t>1150 EAST NEW YORK AVENUE</t>
  </si>
  <si>
    <t>https://nycdoe.sharepoint.com/:w:/s/BAP/EUIzK-t04DZEsx3CRs1Xq84BJdrxB6UfYJW8asvbkAHUAQ</t>
  </si>
  <si>
    <t xml:space="preserve">17K646         </t>
  </si>
  <si>
    <t>ASPIRATIONS DIPLOMA PLUS HIGH SCHOOL</t>
  </si>
  <si>
    <t>561 GRAND AVENUE</t>
  </si>
  <si>
    <t>https://nycdoe.sharepoint.com/:w:/s/BAP/ERVfQLolTZxMoh5e1kP7BeYBxNYSqeqQUVqzf98nAU5Zaw</t>
  </si>
  <si>
    <t xml:space="preserve">13K594         </t>
  </si>
  <si>
    <t>GOTHAM PROFESSIONAL ARTS ACADEMY</t>
  </si>
  <si>
    <t xml:space="preserve">18K066         </t>
  </si>
  <si>
    <t>845 EAST  96 STREET</t>
  </si>
  <si>
    <t>https://nycdoe.sharepoint.com/:w:/s/BAP/EUe1Ki0WRf1MgLdSNF4cKZ8BPL8MLN1K45m0rPOze5haAA</t>
  </si>
  <si>
    <t xml:space="preserve">75K771         </t>
  </si>
  <si>
    <t xml:space="preserve">18K114         </t>
  </si>
  <si>
    <t>P.S. 114 RYDER ELEMENTARY</t>
  </si>
  <si>
    <t>1077 REMSEN AVENUE</t>
  </si>
  <si>
    <t>https://nycdoe.sharepoint.com/:w:/s/BAP/ETbt3QLY8lhMsT2wR_92WrUBEb8nFT6JU8caqz4W8nJ2vw</t>
  </si>
  <si>
    <t xml:space="preserve">84K379         </t>
  </si>
  <si>
    <t>EXPLORE EXCEL CHARTER SCHOOL</t>
  </si>
  <si>
    <t xml:space="preserve">18K115         </t>
  </si>
  <si>
    <t>P.S. 115 DANIEL MUCATEL SCHOOL</t>
  </si>
  <si>
    <t>1500 EAST  92 STREET</t>
  </si>
  <si>
    <t>https://nycdoe.sharepoint.com/:w:/s/BAP/EcrmvlFTTGpCubob1icX31IBnBDO0CbJgc7Yb7m6arsz1A</t>
  </si>
  <si>
    <t>K135</t>
  </si>
  <si>
    <t xml:space="preserve">18K135         </t>
  </si>
  <si>
    <t>P.S. 135 SHELDON A. BROOKNER</t>
  </si>
  <si>
    <t>684 LINDEN BOULEVARD</t>
  </si>
  <si>
    <t>https://nycdoe.sharepoint.com/:w:/s/BAP/EUNdOwfDfYFBkYTEplicTBkB-dMKMWTfuqE4lBDDj-IEvA</t>
  </si>
  <si>
    <t>K208</t>
  </si>
  <si>
    <t>4801 AVENUE D</t>
  </si>
  <si>
    <t>https://nycdoe.sharepoint.com/:w:/s/BAP/Ece-fVJ8elxCljFc2LfuJGkBomo53qPJs1ZQKe6vHwtUDQ</t>
  </si>
  <si>
    <t xml:space="preserve">18K208         </t>
  </si>
  <si>
    <t>P.S. 208 ELSA EBELING</t>
  </si>
  <si>
    <t xml:space="preserve">18K211         </t>
  </si>
  <si>
    <t>I.S. 211 JOHN WILSON</t>
  </si>
  <si>
    <t>1001 EAST 100 STREET</t>
  </si>
  <si>
    <t>https://nycdoe.sharepoint.com/:w:/s/BAP/EdKdW6Az5OJGn0kW0fyMH5IBqIgUea2nySa6LEk6SfsEVQ</t>
  </si>
  <si>
    <t xml:space="preserve">84K724         </t>
  </si>
  <si>
    <t>UNCOMMON CANARSIE CHARTER SCHOOL NYC</t>
  </si>
  <si>
    <t>K219</t>
  </si>
  <si>
    <t xml:space="preserve">18K219         </t>
  </si>
  <si>
    <t>P.S. 219 KENNEDY-KING</t>
  </si>
  <si>
    <t>1060 CLARKSON AVENUE</t>
  </si>
  <si>
    <t>https://nycdoe.sharepoint.com/:w:/s/BAP/EY3I24rVP85JiPQNG9612-ABMS_51_2zVnPBrxcp0OAc6g</t>
  </si>
  <si>
    <t>K956</t>
  </si>
  <si>
    <t xml:space="preserve">84K956         </t>
  </si>
  <si>
    <t>LAMAD ACADEMY CHARTER SCHOOL</t>
  </si>
  <si>
    <t>K232</t>
  </si>
  <si>
    <t>K581</t>
  </si>
  <si>
    <t xml:space="preserve">18K581         </t>
  </si>
  <si>
    <t>THE MIDDLE SCHOOL OF MEDIA, LAW AND FINE ARTS</t>
  </si>
  <si>
    <t>905 WINTHROP STREET</t>
  </si>
  <si>
    <t>https://nycdoe.sharepoint.com/:w:/s/BAP/EV_YfRYmW01FohJCUPe9Bf0B_h7JN8HBkmnlE9-QtzgaEw</t>
  </si>
  <si>
    <t xml:space="preserve">84K608         </t>
  </si>
  <si>
    <t>UNCOMMON KINGS CHARTER SCHOOL NYC</t>
  </si>
  <si>
    <t xml:space="preserve">18K233         </t>
  </si>
  <si>
    <t>P.S. 233 LANGSTON HUGHES</t>
  </si>
  <si>
    <t>9301 AVENUE B</t>
  </si>
  <si>
    <t>https://nycdoe.sharepoint.com/:w:/s/BAP/EQKLLJG4Ud1EkJpDzzFDEIwBm0LKuovc5rTMoiog6TZdMA</t>
  </si>
  <si>
    <t xml:space="preserve">84K736         </t>
  </si>
  <si>
    <t>NEW AMERICAN ACADEMY CHARTER SCHOOL</t>
  </si>
  <si>
    <t xml:space="preserve">18K235         </t>
  </si>
  <si>
    <t>P.S. 235 JANICE MARIE KNIGHT SCHOOL</t>
  </si>
  <si>
    <t>525 LENOX ROAD</t>
  </si>
  <si>
    <t>https://nycdoe.sharepoint.com/:w:/s/BAP/EZ7Aryk9DvZChsqRFLUFw7UBjd862CDRx-dNniuhK9U0VA</t>
  </si>
  <si>
    <t xml:space="preserve">18K244         </t>
  </si>
  <si>
    <t>P.S. 244 RICHARD R. GREEN</t>
  </si>
  <si>
    <t>5404 TILDEN AVENUE</t>
  </si>
  <si>
    <t>https://nycdoe.sharepoint.com/:w:/s/BAP/EQy2jGYIzE1KhOZHHxrjTw8B2KGmpWJRgaTlF5JCAYjdtQ</t>
  </si>
  <si>
    <t xml:space="preserve">18K763         </t>
  </si>
  <si>
    <t>BROOKLYN SCIENCE AND ENGINEERING ACADEMY</t>
  </si>
  <si>
    <t xml:space="preserve">18K588         </t>
  </si>
  <si>
    <t>MIDDLE SCHOOL FOR ART AND PHILOSOPHY</t>
  </si>
  <si>
    <t>1084 LENOX ROAD</t>
  </si>
  <si>
    <t>https://nycdoe.sharepoint.com/:w:/s/BAP/EYUoORoyvrhEqMKmYAID87QBIgGcDk_cwXUV2eBzz3dqLA</t>
  </si>
  <si>
    <t>K272</t>
  </si>
  <si>
    <t xml:space="preserve">18K272         </t>
  </si>
  <si>
    <t>P.S. 272 CURTIS ESTABROOK</t>
  </si>
  <si>
    <t>101-24 SEAVIEW AVENUE</t>
  </si>
  <si>
    <t>https://nycdoe.sharepoint.com/:w:/s/BAP/EVbZ6DYe2pxLvr0eguBQsWMBxuQ4F3BGsM-eRz2DR8QKPw</t>
  </si>
  <si>
    <t>K276</t>
  </si>
  <si>
    <t xml:space="preserve">18K276         </t>
  </si>
  <si>
    <t>P.S. 276 LOUIS MARSHALL</t>
  </si>
  <si>
    <t>1070 EAST  83 STREET</t>
  </si>
  <si>
    <t>https://nycdoe.sharepoint.com/:w:/s/BAP/EZ_zefYNSFlPrTULdDDioGUBaEFriAvzasNk8jiQoskx7w</t>
  </si>
  <si>
    <t xml:space="preserve">18K279         </t>
  </si>
  <si>
    <t>P.S. 279 HERMAN SCHREIBER</t>
  </si>
  <si>
    <t>1070 EAST 104 STREET</t>
  </si>
  <si>
    <t>https://nycdoe.sharepoint.com/:w:/s/BAP/EQ9uUT_rZcJEjEJUbBNzEVIBhazSWknBZKlrYppt-YjHuQ</t>
  </si>
  <si>
    <t xml:space="preserve">18K366         </t>
  </si>
  <si>
    <t xml:space="preserve">THE SCIENCE AND MEDICINE MIDDLE SCHOOL </t>
  </si>
  <si>
    <t>965 EAST 107 STREET</t>
  </si>
  <si>
    <t>https://nycdoe.sharepoint.com/:w:/s/BAP/EVfwtg26QixNnkaeQgifOvMBKH19oeuMIO5ooJPWeB4_qw</t>
  </si>
  <si>
    <t xml:space="preserve">18K563         </t>
  </si>
  <si>
    <t>IT TAKES A VILLAGE ACADEMY</t>
  </si>
  <si>
    <t>5800 TILDEN AVENUE</t>
  </si>
  <si>
    <t>https://nycdoe.sharepoint.com/:w:/s/BAP/EbVBYxcKmthAg2DJWANXLwkBYQ-gLHi9UzWfjysMYRLRWA</t>
  </si>
  <si>
    <t xml:space="preserve">18K569         </t>
  </si>
  <si>
    <t>KURT HAHN EXPEDITIONARY LEARNING SCHOOL</t>
  </si>
  <si>
    <t xml:space="preserve">18K629         </t>
  </si>
  <si>
    <t>CULTURAL ACADEMY FOR THE ARTS AND SCIENCES</t>
  </si>
  <si>
    <t>K500</t>
  </si>
  <si>
    <t>K617</t>
  </si>
  <si>
    <t xml:space="preserve">18K617         </t>
  </si>
  <si>
    <t>HIGH SCHOOL FOR INNOVATION IN ADVERTISING AND MEDIA</t>
  </si>
  <si>
    <t>1600 ROCKAWAY PARKWAY</t>
  </si>
  <si>
    <t>https://nycdoe.sharepoint.com/:w:/s/BAP/EcMHXyseaaBKrFTihNPdeqABMADnSATgj22vtKruYTG4Fw</t>
  </si>
  <si>
    <t>K633</t>
  </si>
  <si>
    <t xml:space="preserve">18K633         </t>
  </si>
  <si>
    <t>HIGH SCHOOL FOR MEDICAL PROFESSIONS</t>
  </si>
  <si>
    <t>K642</t>
  </si>
  <si>
    <t xml:space="preserve">18K642         </t>
  </si>
  <si>
    <t>URBAN ACTION ACADEMY</t>
  </si>
  <si>
    <t xml:space="preserve">18K566         </t>
  </si>
  <si>
    <t>BROOKLYN COMMUNITY HIGH SCHOOL FOR EXCELLENCE AND EQUITY</t>
  </si>
  <si>
    <t>6565 FLATLANDS AVENUE</t>
  </si>
  <si>
    <t>https://nycdoe.sharepoint.com/:w:/s/BAP/ERc4IXOPBIlIvZftfJJSNHEBaIZxde_ONg7Nuja7CjMlKg</t>
  </si>
  <si>
    <t xml:space="preserve">18K567         </t>
  </si>
  <si>
    <t>BROOKLYN THEATRE ARTS HIGH SCHOOL</t>
  </si>
  <si>
    <t xml:space="preserve">18K576         </t>
  </si>
  <si>
    <t>VICTORY COLLEGIATE HIGH SCHOOL</t>
  </si>
  <si>
    <t xml:space="preserve">18K578         </t>
  </si>
  <si>
    <t>BROOKLYN BRIDGE ACADEMY</t>
  </si>
  <si>
    <t xml:space="preserve">18K637         </t>
  </si>
  <si>
    <t>ACADEMY FOR CONSERVATION AND THE ENVIRONMENT</t>
  </si>
  <si>
    <t xml:space="preserve">84K775         </t>
  </si>
  <si>
    <t>UNCOMMON BROWNSVILLE NORTH CHARTER SCHOOL NYC</t>
  </si>
  <si>
    <t>K835</t>
  </si>
  <si>
    <t>https://nycdoe.sharepoint.com/:w:/s/BAP/Eb0Q5zKAXh5AnkXHTlZm3FkB23pgF-a7a91mzl6e88S6jQ</t>
  </si>
  <si>
    <t xml:space="preserve">19K007         </t>
  </si>
  <si>
    <t>P.S. 007 ABRAHAM LINCOLN</t>
  </si>
  <si>
    <t>858 JAMAICA AVENUE</t>
  </si>
  <si>
    <t>https://nycdoe.sharepoint.com/:w:/s/BAP/ES2EbSMoiZVCj67TLmX8_wcBynLlDpVlninta8q6e4hF9g</t>
  </si>
  <si>
    <t xml:space="preserve">19K013         </t>
  </si>
  <si>
    <t>P.S. 013 ROBERTO CLEMENTE</t>
  </si>
  <si>
    <t>557 PENNSYLVANIA AVENUE</t>
  </si>
  <si>
    <t>https://nycdoe.sharepoint.com/:w:/s/BAP/EW5YpGQ8Sh5KusRa2Pj0CS4BsdIjCg8xMLnvFAiHa5B0kg</t>
  </si>
  <si>
    <t xml:space="preserve">84K358         </t>
  </si>
  <si>
    <t>ACHIEVEMENT FIRST EAST NEW YORK CHARTER SCHOOL</t>
  </si>
  <si>
    <t>557 GRANVILLE PAYNE AVENUE</t>
  </si>
  <si>
    <t>605 SHEPHERD AVENUE</t>
  </si>
  <si>
    <t>https://nycdoe.sharepoint.com/:w:/s/BAP/EQM0WH042ctAgYGIMgXKWO4BtH5fznWMYEfMm8B4e4fDYQ</t>
  </si>
  <si>
    <t xml:space="preserve">19K677         </t>
  </si>
  <si>
    <t>EAST NEW YORK ELEMENTARY SCHOOL OF EXCELLENCE</t>
  </si>
  <si>
    <t xml:space="preserve">19K678         </t>
  </si>
  <si>
    <t>EAST NEW YORK MIDDLE SCHOOL OF EXCELLENCE</t>
  </si>
  <si>
    <t>K158</t>
  </si>
  <si>
    <t xml:space="preserve">19K158         </t>
  </si>
  <si>
    <t>P.S. 158 WARWICK</t>
  </si>
  <si>
    <t>400 ASHFORD STREET</t>
  </si>
  <si>
    <t>https://nycdoe.sharepoint.com/:w:/s/BAP/EXjmwSMtyaxCq4mq-ENOY2oB2nOpaSiONSlK6dNjso6_Kg</t>
  </si>
  <si>
    <t xml:space="preserve">19K654         </t>
  </si>
  <si>
    <t>VAN SICLEN COMMUNITY MIDDLE SCHOOL</t>
  </si>
  <si>
    <t>800 VAN SICLEN AVE</t>
  </si>
  <si>
    <t>https://nycdoe.sharepoint.com/:w:/s/BAP/EZpRkPYwK0ZJqcs2jjAGDB8B2ogn0pIbD3MUHnCQV9XHzA</t>
  </si>
  <si>
    <t xml:space="preserve">84K788         </t>
  </si>
  <si>
    <t>ACHIEVEMENT FIRST LINDEN CHARTER SCHOOL</t>
  </si>
  <si>
    <t xml:space="preserve">19K953         </t>
  </si>
  <si>
    <t>THE EAST NEW YORK ARTS AND CIVICS HIGH SCHOOL</t>
  </si>
  <si>
    <t xml:space="preserve">19K190         </t>
  </si>
  <si>
    <t>P.S. 190 SHEFFIELD</t>
  </si>
  <si>
    <t>590 SHEFFIELD AVENUE</t>
  </si>
  <si>
    <t>https://nycdoe.sharepoint.com/:w:/s/BAP/ER97onv6_MxFobYAANsWfikB7zAm_8xe1zYJTREUZQK_vg</t>
  </si>
  <si>
    <t xml:space="preserve">19K907         </t>
  </si>
  <si>
    <t>LEGACY SCHOOL OF THE ARTS</t>
  </si>
  <si>
    <t>K202</t>
  </si>
  <si>
    <t xml:space="preserve">19K202         </t>
  </si>
  <si>
    <t>P.S. 202 ERNEST S. JENKYNS</t>
  </si>
  <si>
    <t>982 HEGEMAN AVENUE</t>
  </si>
  <si>
    <t>https://nycdoe.sharepoint.com/:w:/s/BAP/EZ1yT2yKteBNqZhsDQ3TSsABi8Fzy-fd0RuiO5GCPuZQXg</t>
  </si>
  <si>
    <t>K680</t>
  </si>
  <si>
    <t xml:space="preserve">84K680         </t>
  </si>
  <si>
    <t>ACHIEVEMENT FIRST ASPIRE CHARTER SCHOOL</t>
  </si>
  <si>
    <t>K218</t>
  </si>
  <si>
    <t xml:space="preserve">19K218         </t>
  </si>
  <si>
    <t>J.H.S. 218 JAMES P. SINNOTT</t>
  </si>
  <si>
    <t>370 FOUNTAIN AVENUE</t>
  </si>
  <si>
    <t>https://nycdoe.sharepoint.com/:w:/s/BAP/EU-4d5-L5UZOoUGmCsfoBMQBv7gLkWKwRe-y2vaA7BYugA</t>
  </si>
  <si>
    <t>K683</t>
  </si>
  <si>
    <t xml:space="preserve">19K683         </t>
  </si>
  <si>
    <t>SCHOOL FOR CLASSICS HIGH SCHOOL</t>
  </si>
  <si>
    <t>757 WORTMAN AVENUE</t>
  </si>
  <si>
    <t>https://nycdoe.sharepoint.com/:w:/s/BAP/EUEgPKhFR3NHkc8LtS8ugOMBjLp38tFCi_H-8edHEV3MvQ</t>
  </si>
  <si>
    <t xml:space="preserve">19K224         </t>
  </si>
  <si>
    <t>P.S. 224 HALE A. WOODRUFF</t>
  </si>
  <si>
    <t xml:space="preserve">19K290         </t>
  </si>
  <si>
    <t>P.S. 290 JUAN MOREL CAMPOS</t>
  </si>
  <si>
    <t>135 SCHENCK AVENUE</t>
  </si>
  <si>
    <t>https://nycdoe.sharepoint.com/:w:/s/BAP/EW3Kwos6yw1IjxHxah3XdHQB9tYoLszdkY-EVGz_MbfUpg</t>
  </si>
  <si>
    <t xml:space="preserve">19K661         </t>
  </si>
  <si>
    <t>VISTA ACADEMY</t>
  </si>
  <si>
    <t>350 LINWOOD STREET</t>
  </si>
  <si>
    <t>https://nycdoe.sharepoint.com/:w:/s/BAP/EV0aoTKjKLRDsHnZQaYslW4BYPvTlGegNrjCR7-pbyttVw</t>
  </si>
  <si>
    <t xml:space="preserve">19K662         </t>
  </si>
  <si>
    <t>LIBERTY AVENUE MIDDLE SCHOOL</t>
  </si>
  <si>
    <t xml:space="preserve">84K774         </t>
  </si>
  <si>
    <t>ACHIEVEMENT FIRST APOLLO CHARTER SCHOOL</t>
  </si>
  <si>
    <t>K345</t>
  </si>
  <si>
    <t>111 BERRIMAN STREET</t>
  </si>
  <si>
    <t>https://nycdoe.sharepoint.com/:w:/s/BAP/ETKxR0qHTQpJmLNR4SqY0wgBvFVN3vi2S2gWqXyUIVoiBg</t>
  </si>
  <si>
    <t xml:space="preserve">19K345         </t>
  </si>
  <si>
    <t>P.S. 345 PATROLMAN ROBERT BOLDEN</t>
  </si>
  <si>
    <t xml:space="preserve">19K346         </t>
  </si>
  <si>
    <t>P.S. 346 ABE STARK</t>
  </si>
  <si>
    <t>1400 PENNSYLVANIA AVENUE</t>
  </si>
  <si>
    <t>https://nycdoe.sharepoint.com/:w:/s/BAP/Ec0valYF_RxJrV0ohSI4nKwBGFeZdMmBXMpWujtL6FaZcQ</t>
  </si>
  <si>
    <t xml:space="preserve">19K452         </t>
  </si>
  <si>
    <t>FREDERICK DOUGLASS ACADEMY VIII MIDDLE SCHOOL</t>
  </si>
  <si>
    <t xml:space="preserve">19K583         </t>
  </si>
  <si>
    <t>MULTICULTURAL HIGH SCHOOL</t>
  </si>
  <si>
    <t>999 JAMAICA AVENUE</t>
  </si>
  <si>
    <t>https://nycdoe.sharepoint.com/:w:/s/BAP/EcxONJLKVYJEvfM_V2Su4ZcBVLt3TygyXlTze8W2HOhfVQ</t>
  </si>
  <si>
    <t xml:space="preserve">19K618         </t>
  </si>
  <si>
    <t>ACADEMY OF INNOVATIVE TECHNOLOGY</t>
  </si>
  <si>
    <t xml:space="preserve">19K639         </t>
  </si>
  <si>
    <t>BROOKLYN LAB SCHOOL</t>
  </si>
  <si>
    <t xml:space="preserve">19K659         </t>
  </si>
  <si>
    <t>CYPRESS HILLS COLLEGIATE PREPARATORY SCHOOL</t>
  </si>
  <si>
    <t xml:space="preserve">19K764         </t>
  </si>
  <si>
    <t>THE URBAN ASSEMBLY SCHOOL FOR COLLABORATIVE HEALTHCARE</t>
  </si>
  <si>
    <t>1065 ELTON STREET</t>
  </si>
  <si>
    <t>https://nycdoe.sharepoint.com/:w:/s/BAP/Eeixrz858TlIop78YPPGscMBogfJseCf6Gp12KjzdHzWqA</t>
  </si>
  <si>
    <t xml:space="preserve">19K404         </t>
  </si>
  <si>
    <t>ACADEMY FOR YOUNG WRITERS</t>
  </si>
  <si>
    <t xml:space="preserve">19K422         </t>
  </si>
  <si>
    <t>SPRING CREEK COMMUNITY SCHOOL</t>
  </si>
  <si>
    <t xml:space="preserve">75K077         </t>
  </si>
  <si>
    <t>760 VAN SICLEN AVENUE</t>
  </si>
  <si>
    <t>https://nycdoe.sharepoint.com/:w:/s/BAP/EYewSkCifNBAgooZSLY5tlgB3tlM4fZmJKAnM_43AzGZBw</t>
  </si>
  <si>
    <t xml:space="preserve">19K409         </t>
  </si>
  <si>
    <t>EAST NEW YORK FAMILY ACADEMY</t>
  </si>
  <si>
    <t xml:space="preserve">19K615         </t>
  </si>
  <si>
    <t>TRANSIT TECH CAREER AND TECHNICAL EDUCATION HIGH SCHOOL</t>
  </si>
  <si>
    <t>1 WELLS STREET</t>
  </si>
  <si>
    <t>https://nycdoe.sharepoint.com/:w:/s/BAP/ERN8I_IwVU5NpvsGeBQoi8MBx-Fni6D_2oEaXJLFzmMWjw</t>
  </si>
  <si>
    <t xml:space="preserve">19K660         </t>
  </si>
  <si>
    <t>W. H. MAXWELL CAREER AND TECHNICAL EDUCATION HIGH SCHOOL</t>
  </si>
  <si>
    <t>145 PENNSYLVANIA AVENUE</t>
  </si>
  <si>
    <t>https://nycdoe.sharepoint.com/:w:/s/BAP/ESevf_3TWc5FhspFiID2KSYBaLsMZqGEPKWKeuZWLVs3oA</t>
  </si>
  <si>
    <t>76 DINSMORE PLACE</t>
  </si>
  <si>
    <t>https://nycdoe.sharepoint.com/:w:/s/BAP/EaWJP9Q9ERZHnu5jFp4hKcsBHtg0Ezyb5qBSfUXPA2VkuQ</t>
  </si>
  <si>
    <t xml:space="preserve">19K935         </t>
  </si>
  <si>
    <t xml:space="preserve">19K938         </t>
  </si>
  <si>
    <t>696 JAMAICA AVENUE</t>
  </si>
  <si>
    <t>https://nycdoe.sharepoint.com/:w:/s/BAP/EdUEHx9RtRlPpJBCPm8qOzQBo1Kf0qQFYh7eLgT3_NEDNA</t>
  </si>
  <si>
    <t xml:space="preserve">19K065         </t>
  </si>
  <si>
    <t xml:space="preserve">19K089         </t>
  </si>
  <si>
    <t>P.S. 089 CYPRESS HILLS</t>
  </si>
  <si>
    <t>265 WARWICK STREET</t>
  </si>
  <si>
    <t>https://nycdoe.sharepoint.com/:w:/s/BAP/ETlU8tqJTYNMt1F7luwB81oBV24ke8L3IHnW9ZjKgXp64A</t>
  </si>
  <si>
    <t>2045 LINDEN BOULEVARD</t>
  </si>
  <si>
    <t>https://nycdoe.sharepoint.com/:w:/s/BAP/EW9Vr3MM68lGgKOqyoqCh_wB7U39G832LtmRqimPalorXA</t>
  </si>
  <si>
    <t>K893</t>
  </si>
  <si>
    <t>1965 LINDEN BOULEVARD</t>
  </si>
  <si>
    <t>https://nycdoe.sharepoint.com/:w:/s/BAP/EXFUneKrY41LgW6ggTAvlDMB4rlpi3XIBtKf9r4gCNrcsg</t>
  </si>
  <si>
    <t>K413</t>
  </si>
  <si>
    <t xml:space="preserve">20K413         </t>
  </si>
  <si>
    <t>JOANNE SEMINARA SCHOOL OF LAW AND MEDICINE</t>
  </si>
  <si>
    <t>280 SENATOR STREET</t>
  </si>
  <si>
    <t>https://nycdoe.sharepoint.com/:w:/s/BAP/EXJL-WsFSkFLsfSnID0-LpsBkb1LEcOgjZ0PlnXkbb2YvA</t>
  </si>
  <si>
    <t xml:space="preserve">20K062         </t>
  </si>
  <si>
    <t>J.H.S. 062 DITMAS</t>
  </si>
  <si>
    <t>700 CORTELYOU ROAD</t>
  </si>
  <si>
    <t>https://nycdoe.sharepoint.com/:w:/s/BAP/Eb-wZ4wgn19PkNVgrzxOvBYBaV_sF3r_X8kpeZkZB8C4fw</t>
  </si>
  <si>
    <t xml:space="preserve">75K370         </t>
  </si>
  <si>
    <t xml:space="preserve">20K069         </t>
  </si>
  <si>
    <t>P.S. 69 VINCENT D. GRIPPO SCHOOL</t>
  </si>
  <si>
    <t>6302 9 AVENUE</t>
  </si>
  <si>
    <t>https://nycdoe.sharepoint.com/:w:/s/BAP/ESL-8dbpFllDgVpG88XGJoEBwPxdODSoVx03hlaq7zvfDg</t>
  </si>
  <si>
    <t>K102</t>
  </si>
  <si>
    <t xml:space="preserve">20K102         </t>
  </si>
  <si>
    <t>P.S. 102 THE BAYVIEW</t>
  </si>
  <si>
    <t>211 72 STREET</t>
  </si>
  <si>
    <t>https://nycdoe.sharepoint.com/:w:/s/BAP/EW6CYgoXcxBCoZpdO7c_sAsBFQHyVCAc17OJ5C0tYa4zKw</t>
  </si>
  <si>
    <t>K104</t>
  </si>
  <si>
    <t xml:space="preserve">20K104         </t>
  </si>
  <si>
    <t>P.S./I.S. 104 THE FORT HAMILTON SCHOOL</t>
  </si>
  <si>
    <t>9115 5 AVENUE</t>
  </si>
  <si>
    <t>https://nycdoe.sharepoint.com/:w:/s/BAP/Eb8K0TD47gNMt05q04M1kYMB3FnKnTBbUzP3bUPRr95d7w</t>
  </si>
  <si>
    <t xml:space="preserve">20K127         </t>
  </si>
  <si>
    <t>P.S. 127 MCKINLEY PARK</t>
  </si>
  <si>
    <t>7805 7 AVENUE</t>
  </si>
  <si>
    <t>https://nycdoe.sharepoint.com/:w:/s/BAP/EStc0MTE99NDtb51guyr0E8BQcbqls2CNhybH-orMqlBMA</t>
  </si>
  <si>
    <t xml:space="preserve">20K160         </t>
  </si>
  <si>
    <t>P.S. 160 WILLIAM T. SAMPSON</t>
  </si>
  <si>
    <t>5105 FORT HAMILTON PARKWAY</t>
  </si>
  <si>
    <t>https://nycdoe.sharepoint.com/:w:/s/BAP/EWxPXy_5ItdOhNMLn8yZBzsBOGzfxRxFiSNkXE01pQus4w</t>
  </si>
  <si>
    <t xml:space="preserve">20K170         </t>
  </si>
  <si>
    <t>RALPH A. FABRIZIO SCHOOL</t>
  </si>
  <si>
    <t>619 72 STREET</t>
  </si>
  <si>
    <t>https://nycdoe.sharepoint.com/:w:/s/BAP/EUtqMhcL82BKhN7FzVkp0JsBa9iCv8T38jQvhn0PYLlsyw</t>
  </si>
  <si>
    <t xml:space="preserve">20K176         </t>
  </si>
  <si>
    <t>P.S. 176 OVINGTON</t>
  </si>
  <si>
    <t>1225 69 STREET</t>
  </si>
  <si>
    <t>https://nycdoe.sharepoint.com/:w:/s/BAP/EdJ74Go2MwlNhuGhrEjUVaMBNjKat77vEvP6MWw4PmZMnQ</t>
  </si>
  <si>
    <t>K192</t>
  </si>
  <si>
    <t>4715 18 AVENUE</t>
  </si>
  <si>
    <t>https://nycdoe.sharepoint.com/:w:/s/BAP/EaGOH6k5tQxOtln5a2r3cGQB23KE-mOp7iBCRq68UgRVjg</t>
  </si>
  <si>
    <t xml:space="preserve">20K192         </t>
  </si>
  <si>
    <t>P.S. 192 - THE MAGNET SCHOOL FOR MATH AND SCIENCE INQUIRY</t>
  </si>
  <si>
    <t>K200</t>
  </si>
  <si>
    <t xml:space="preserve">20K200         </t>
  </si>
  <si>
    <t>P.S. 200 BENSON SCHOOL</t>
  </si>
  <si>
    <t>1940 BENSON AVENUE</t>
  </si>
  <si>
    <t>https://nycdoe.sharepoint.com/:w:/s/BAP/ET1ZGkytoVdKgBSdNsCAvOoBLaeqsuyQCsnx-Fex9dOtkw</t>
  </si>
  <si>
    <t xml:space="preserve">20K201         </t>
  </si>
  <si>
    <t>THE MADELEINE BRENNAN SCHOOL</t>
  </si>
  <si>
    <t>8010 12 AVENUE</t>
  </si>
  <si>
    <t>https://nycdoe.sharepoint.com/:w:/s/BAP/Ef2E-D3m5dRChF-PVeQFcwgB3_QicvkfIDKuuiCWKU0Kxw</t>
  </si>
  <si>
    <t xml:space="preserve">20K204         </t>
  </si>
  <si>
    <t>P.S. 204 VINCE LOMBARDI</t>
  </si>
  <si>
    <t>8101 15 AVENUE</t>
  </si>
  <si>
    <t>https://nycdoe.sharepoint.com/:w:/s/BAP/EWWkHgSFaH1EnefFt3QzQRwBswXSEdsbfllDlNlfAoe_gw</t>
  </si>
  <si>
    <t xml:space="preserve">20K205         </t>
  </si>
  <si>
    <t>P.S. 205 CLARION</t>
  </si>
  <si>
    <t>6701 20 AVENUE</t>
  </si>
  <si>
    <t>https://nycdoe.sharepoint.com/:w:/s/BAP/EcrAxGJJpeZIv2L-_LBvMFcBJaaYPdx2mmRkpZzQLugCNw</t>
  </si>
  <si>
    <t xml:space="preserve">20K223         </t>
  </si>
  <si>
    <t>J.H.S. 223 THE MONTAUK</t>
  </si>
  <si>
    <t>4200 16 AVENUE</t>
  </si>
  <si>
    <t>https://nycdoe.sharepoint.com/:w:/s/BAP/ETDrhxkfINJJvgII5EyUCMABLY8m-3uzfljf8ZRXPQRIzw</t>
  </si>
  <si>
    <t xml:space="preserve">20K609         </t>
  </si>
  <si>
    <t>URBAN ASSEMBLY SCHOOL FOR LEADERSHIP AND EMPOWERMENT</t>
  </si>
  <si>
    <t xml:space="preserve">20K227         </t>
  </si>
  <si>
    <t>J.H.S. 227 EDWARD B. SHALLOW</t>
  </si>
  <si>
    <t>6500 16 AVENUE</t>
  </si>
  <si>
    <t>https://nycdoe.sharepoint.com/:w:/s/BAP/ERZAoTscMF5KhQEbyWSDwpUBRNui9yV5r1bp7W6c9Tm2vg</t>
  </si>
  <si>
    <t xml:space="preserve">20K229         </t>
  </si>
  <si>
    <t>P.S. 229 DYKER</t>
  </si>
  <si>
    <t>1400 BENSON AVENUE</t>
  </si>
  <si>
    <t>https://nycdoe.sharepoint.com/:w:/s/BAP/Eauqy4Z2tyVCvpyRB-LnsHgBev2zSQQfgqcNE6EeYaUyWg</t>
  </si>
  <si>
    <t>K247</t>
  </si>
  <si>
    <t xml:space="preserve">20K247         </t>
  </si>
  <si>
    <t>P.S. 247 BROOKLYN</t>
  </si>
  <si>
    <t>7000 21 AVENUE</t>
  </si>
  <si>
    <t>https://nycdoe.sharepoint.com/:w:/s/BAP/EX_vjkypPL1MsnWMmXuqBQsBJAzHpOs8m-DPWIV3EXhB-w</t>
  </si>
  <si>
    <t xml:space="preserve">20K259         </t>
  </si>
  <si>
    <t>J.H.S. 259 WILLIAM MCKINLEY</t>
  </si>
  <si>
    <t>7305 FT HAMILTON PARKWAY</t>
  </si>
  <si>
    <t>https://nycdoe.sharepoint.com/:w:/s/BAP/Ea_V0P3812dNjqwHqjOLntYBvZf0a_w0d1vrvVej6Gom6g</t>
  </si>
  <si>
    <t xml:space="preserve">75K231         </t>
  </si>
  <si>
    <t>371 89 STREET</t>
  </si>
  <si>
    <t>https://nycdoe.sharepoint.com/:w:/s/BAP/EVOh3BjEDC5HqGZJeoo6UpgBW2Yc2wwgES47lI_9QHYVew</t>
  </si>
  <si>
    <t xml:space="preserve">20K264         </t>
  </si>
  <si>
    <t>P.S. 264 BAY RIDGE ELEMENTARY SCHOOL FOR THE ARTS</t>
  </si>
  <si>
    <t xml:space="preserve">20K310         </t>
  </si>
  <si>
    <t>THE SCHOOL FOR FUTURE LEADERS</t>
  </si>
  <si>
    <t>942 62 STREET</t>
  </si>
  <si>
    <t>https://nycdoe.sharepoint.com/:w:/s/BAP/ER_yeO1ORntCuR5IxcThSTQBCGHWqiFZSi18-tBHPFw53w</t>
  </si>
  <si>
    <t xml:space="preserve">20K503         </t>
  </si>
  <si>
    <t>P.S. 503: THE SCHOOL OF DISCOVERY</t>
  </si>
  <si>
    <t>330 59 STREET</t>
  </si>
  <si>
    <t>https://nycdoe.sharepoint.com/:w:/s/BAP/EWJt3c5TI5FHrOjwCMIAItMB6WOKCtQLLNdqQlAX2u2hlw</t>
  </si>
  <si>
    <t xml:space="preserve">20K506         </t>
  </si>
  <si>
    <t>P.S. 506: THE SCHOOL OF JOURNALISM &amp; TECHNOLOGY</t>
  </si>
  <si>
    <t>K322</t>
  </si>
  <si>
    <t>650 86 STREET</t>
  </si>
  <si>
    <t>https://nycdoe.sharepoint.com/:w:/s/BAP/EZ5OwGImICVLt0vRHDUaDzwBxnRVruf67FkLOn22TZgumA</t>
  </si>
  <si>
    <t>K407</t>
  </si>
  <si>
    <t xml:space="preserve">20K407         </t>
  </si>
  <si>
    <t>SCHOOL OF TECHNOLOGY, ARTS, AND RESEARCH</t>
  </si>
  <si>
    <t xml:space="preserve">20K030         </t>
  </si>
  <si>
    <t>P.S./I.S. 30 MARY WHITE OVINGTON</t>
  </si>
  <si>
    <t>7002 4 AVENUE</t>
  </si>
  <si>
    <t>https://nycdoe.sharepoint.com/:w:/s/BAP/EXhDqTmP0ttInIxlrBGgwcMBn3Yt0TKEa97LCTNtLn1yiw</t>
  </si>
  <si>
    <t>337 74 STREET</t>
  </si>
  <si>
    <t>https://nycdoe.sharepoint.com/:w:/s/BAP/EVAwry42wP1KtznEQP4C7wMBU8TBP7TU7eGat3iAo9_Pew</t>
  </si>
  <si>
    <t>1601 80 STREET</t>
  </si>
  <si>
    <t>https://nycdoe.sharepoint.com/:w:/s/BAP/EWLeiTfldhpHlDcRIBRn6VgBRoQcEqavSXJViftAS6OvAg</t>
  </si>
  <si>
    <t xml:space="preserve">20K445         </t>
  </si>
  <si>
    <t>NEW UTRECHT HIGH SCHOOL</t>
  </si>
  <si>
    <t>1514 72 STREET</t>
  </si>
  <si>
    <t>https://nycdoe.sharepoint.com/:w:/s/BAP/EW-5qurd_U9Gh6A-St4ky-wBnlGv-yf3XXQyvM8cGZaJ-Q</t>
  </si>
  <si>
    <t>350 67 STREET</t>
  </si>
  <si>
    <t>https://nycdoe.sharepoint.com/:w:/s/BAP/EUEzohI0dHRIhsnUA9gAqaEBN_XSQtKBAV3XdcZcPR9JzA</t>
  </si>
  <si>
    <t xml:space="preserve">20K485         </t>
  </si>
  <si>
    <t>HIGH SCHOOL OF TELECOMMUNICATION ARTS AND TECHNOLOGY</t>
  </si>
  <si>
    <t xml:space="preserve">20K490         </t>
  </si>
  <si>
    <t>FORT HAMILTON HIGH SCHOOL</t>
  </si>
  <si>
    <t>8301 SHORE ROAD</t>
  </si>
  <si>
    <t>https://nycdoe.sharepoint.com/:w:/s/BAP/EQws6F14bdJLlHjxOCxq0nsBKYIUTHMnV_AonEgnEX3y7Q</t>
  </si>
  <si>
    <t>K521</t>
  </si>
  <si>
    <t>1057 52 STREET</t>
  </si>
  <si>
    <t>https://nycdoe.sharepoint.com/:w:/s/BAP/EZ7xiiBX9-BPmYE0zIrLFtUB9jpf173lI0r-3erzkmSlNQ</t>
  </si>
  <si>
    <t>K676</t>
  </si>
  <si>
    <t xml:space="preserve">20K331         </t>
  </si>
  <si>
    <t>THE DETECTIVE WENJIAN LIU SCHOOL OF CIVICS AND ENTREPRENEURSHIP</t>
  </si>
  <si>
    <t>6312 13 AVENUE</t>
  </si>
  <si>
    <t>https://nycdoe.sharepoint.com/:w:/s/BAP/EXzupsEqv7tJuSSS4B_E0NYB8AwsuxsGjKl7Eb71n_oVlQ</t>
  </si>
  <si>
    <t xml:space="preserve">20K936         </t>
  </si>
  <si>
    <t>MS 936 ARTS OFF 3RD</t>
  </si>
  <si>
    <t>270 59 STREET</t>
  </si>
  <si>
    <t>https://nycdoe.sharepoint.com/:w:/s/BAP/EYphslRlZTdDvGG1JRzodHABTq-VZk4ZQSWaIzFTB_rRRQ</t>
  </si>
  <si>
    <t xml:space="preserve">20K939         </t>
  </si>
  <si>
    <t>SUNSET SCHOOL OF CULTURAL LEARNING</t>
  </si>
  <si>
    <t xml:space="preserve">20K163         </t>
  </si>
  <si>
    <t>P.S. 163 BATH BEACH</t>
  </si>
  <si>
    <t>109 BAY 14 STREET</t>
  </si>
  <si>
    <t>https://nycdoe.sharepoint.com/:w:/s/BAP/EYjTsptH1z5PhF4JUNYlYFMBwPi5ChwMPYm6K8dJZYtLmQ</t>
  </si>
  <si>
    <t xml:space="preserve">20K971         </t>
  </si>
  <si>
    <t>SCHOOL OF MATH, SCIENCE, AND HEALTHY LIVING</t>
  </si>
  <si>
    <t>6214 4 AVENUE</t>
  </si>
  <si>
    <t>https://nycdoe.sharepoint.com/:w:/s/BAP/EQA8H7WBVwlBlwakENSJyd8Bww40vdX2jueS1WHe-juaBg</t>
  </si>
  <si>
    <t>K043</t>
  </si>
  <si>
    <t>K098</t>
  </si>
  <si>
    <t xml:space="preserve">21K098         </t>
  </si>
  <si>
    <t>I.S. 98 BAY ACADEMY</t>
  </si>
  <si>
    <t>1401 EMMONS AVENUE</t>
  </si>
  <si>
    <t>https://nycdoe.sharepoint.com/:w:/s/BAP/ERne6IMy0AtIjcb9NtoTHPkBDjdRUGwEYd-d3KVdtPJ76Q</t>
  </si>
  <si>
    <t xml:space="preserve">21K090         </t>
  </si>
  <si>
    <t>P.S. 90 EDNA COHEN SCHOOL</t>
  </si>
  <si>
    <t>2840 WEST  12 STREET</t>
  </si>
  <si>
    <t>https://nycdoe.sharepoint.com/:w:/s/BAP/EZmL5nAGI4hGsRdGravcmKsBVu8XIjZIFoJ0WtRtR2h2uQ</t>
  </si>
  <si>
    <t>K095</t>
  </si>
  <si>
    <t xml:space="preserve">21K095         </t>
  </si>
  <si>
    <t>P.S. 095 THE GRAVESEND</t>
  </si>
  <si>
    <t>345 VAN SICKLEN STREET</t>
  </si>
  <si>
    <t>https://nycdoe.sharepoint.com/:w:/s/BAP/ETqlI64EMb9Ll90Fb2Pkzj8BD8t5I5XJTLveq_qRcWVgaw</t>
  </si>
  <si>
    <t xml:space="preserve">21K096         </t>
  </si>
  <si>
    <t>I.S. 096 SETH LOW</t>
  </si>
  <si>
    <t>99 AVENUE P</t>
  </si>
  <si>
    <t>https://nycdoe.sharepoint.com/:w:/s/BAP/EbvpaV3IHM9PnRdmr5LtUJsBdCmJVtdyU6UCsLbddw6rKA</t>
  </si>
  <si>
    <t xml:space="preserve">84K772         </t>
  </si>
  <si>
    <t>SUCCESS ACADEMY CHARTER SCHOOL - BENSONHURST</t>
  </si>
  <si>
    <t xml:space="preserve">21K097         </t>
  </si>
  <si>
    <t>P.S. 97 THE HIGHLAWN</t>
  </si>
  <si>
    <t>1855 STILLWELL AVENUE</t>
  </si>
  <si>
    <t>https://nycdoe.sharepoint.com/:w:/s/BAP/EZ08NM08pYpFtLlY-bN-5dQBalcAGmRbGE5VXqZkgoV1uA</t>
  </si>
  <si>
    <t xml:space="preserve">21K101         </t>
  </si>
  <si>
    <t>P.S. 101 THE VERRAZANO</t>
  </si>
  <si>
    <t>8696 24 AVENUE</t>
  </si>
  <si>
    <t>https://nycdoe.sharepoint.com/:w:/s/BAP/EcgqtcTODrNPik6aQbO62_QBvBwi_sGVbXjlibGC7W2t_Q</t>
  </si>
  <si>
    <t>K121</t>
  </si>
  <si>
    <t xml:space="preserve">21K121         </t>
  </si>
  <si>
    <t>P.S. 121 NELSON A. ROCKEFELLER</t>
  </si>
  <si>
    <t>5301 20 AVENUE</t>
  </si>
  <si>
    <t>https://nycdoe.sharepoint.com/:w:/s/BAP/EdNnZMDmd39Amstfr90VcPsB6hFx7jTwCkQ6QIUaUJkaNQ</t>
  </si>
  <si>
    <t>K177</t>
  </si>
  <si>
    <t xml:space="preserve">21K177         </t>
  </si>
  <si>
    <t>P.S. 177 THE MARLBORO</t>
  </si>
  <si>
    <t>346 AVENUE P</t>
  </si>
  <si>
    <t>https://nycdoe.sharepoint.com/:w:/s/BAP/EVg8UlOTeR9JtGkSNY0JSmMBga0-44Ni60Cyo-Lrb2Jo3Q</t>
  </si>
  <si>
    <t xml:space="preserve">21K188         </t>
  </si>
  <si>
    <t>P.S. 188 MICHAEL E. BERDY</t>
  </si>
  <si>
    <t>3314 NEPTUNE AVENUE</t>
  </si>
  <si>
    <t>https://nycdoe.sharepoint.com/:w:/s/BAP/EYvVsWmPrSlCkkCadSSPNB0BZ0eJ625DzwnPN4NcRPs1Dg</t>
  </si>
  <si>
    <t>K199</t>
  </si>
  <si>
    <t xml:space="preserve">21K199         </t>
  </si>
  <si>
    <t>P.S. 199 FREDERICK WACHTEL</t>
  </si>
  <si>
    <t>1100 ELM AVENUE</t>
  </si>
  <si>
    <t>https://nycdoe.sharepoint.com/:w:/s/BAP/EQ21V2b_91REsLchAEn8sgIBWEUxi1prvKurIBMgfzmCQQ</t>
  </si>
  <si>
    <t>K209</t>
  </si>
  <si>
    <t xml:space="preserve">21K209         </t>
  </si>
  <si>
    <t>P.S. 209 MARGARET MEAD</t>
  </si>
  <si>
    <t>2609 EAST  7 STREET</t>
  </si>
  <si>
    <t>https://nycdoe.sharepoint.com/:w:/s/BAP/EVqSVQHCn_JFjOTkbBAJO10BUEL0uQAHRbVLori4c4QNaw</t>
  </si>
  <si>
    <t>K212</t>
  </si>
  <si>
    <t xml:space="preserve">21K212         </t>
  </si>
  <si>
    <t>P.S. 212 LADY DEBORAH MOODY</t>
  </si>
  <si>
    <t>87 BAY  49 STREET</t>
  </si>
  <si>
    <t>https://nycdoe.sharepoint.com/:w:/s/BAP/Eb_f7TYgiLNNvx2-HNjnnBcBf0OMT9QvWqrTUJbUD0HI0A</t>
  </si>
  <si>
    <t xml:space="preserve">21K215         </t>
  </si>
  <si>
    <t>P.S. 215 MORRIS H. WEISS</t>
  </si>
  <si>
    <t>415 AVENUE S</t>
  </si>
  <si>
    <t>https://nycdoe.sharepoint.com/:w:/s/BAP/ERhev1x5VGJHvdiAb5cKcnIBM75ZN-_s6ECtUhBncRlrLA</t>
  </si>
  <si>
    <t>K216</t>
  </si>
  <si>
    <t xml:space="preserve">21K216         </t>
  </si>
  <si>
    <t>P.S. 216 ARTURO TOSCANINI</t>
  </si>
  <si>
    <t>350 AVENUE X</t>
  </si>
  <si>
    <t>https://nycdoe.sharepoint.com/:w:/s/BAP/ETq6iaPvKCVNtDB2QEm4068BcVvF7cQCqIycERSB0Rd9cQ</t>
  </si>
  <si>
    <t xml:space="preserve">21K225         </t>
  </si>
  <si>
    <t>P.S. K225 - THE EILEEN E. ZAGLIN</t>
  </si>
  <si>
    <t>1075 OCEAN VIEW AVENUE</t>
  </si>
  <si>
    <t>https://nycdoe.sharepoint.com/:w:/s/BAP/ET7sB5-cqcxCl-hnPMxF1MMBxnkRXj3r_-9Xbgyi2C0Pmw</t>
  </si>
  <si>
    <t xml:space="preserve">21K226         </t>
  </si>
  <si>
    <t>P.S. 226 ALFRED DE B. MASON</t>
  </si>
  <si>
    <t>6006 23 AVENUE</t>
  </si>
  <si>
    <t>https://nycdoe.sharepoint.com/:w:/s/BAP/ESulgZUp0f5InkRqD96PiUQBqe_2gij_TS7XQaXPGX7jSg</t>
  </si>
  <si>
    <t xml:space="preserve">21K228         </t>
  </si>
  <si>
    <t>I.S. 228 DAVID A. BOODY</t>
  </si>
  <si>
    <t>228 AVENUE S</t>
  </si>
  <si>
    <t>https://nycdoe.sharepoint.com/:w:/s/BAP/EaZccFphpKdAli_a9prbBkMBuBvFrRH1J_aJFX9oVQ0x6A</t>
  </si>
  <si>
    <t>50 AVENUE P</t>
  </si>
  <si>
    <t>https://nycdoe.sharepoint.com/:w:/s/BAP/EbkOaFdYGK5AlhddVTXqM9MBc8XA_cHRYY9ubhkegz-1Pg</t>
  </si>
  <si>
    <t xml:space="preserve">20K682         </t>
  </si>
  <si>
    <t>THE ACADEMY OF TALENTED SCHOLARS</t>
  </si>
  <si>
    <t xml:space="preserve">20K686         </t>
  </si>
  <si>
    <t>BROOKLYN SCHOOL OF INQUIRY</t>
  </si>
  <si>
    <t>1633 EAST  8 STREET</t>
  </si>
  <si>
    <t>https://nycdoe.sharepoint.com/:w:/s/BAP/EYHmyTluoTVMrfmC210-rCMBYy2ejcQNRktturCB7W8X-A</t>
  </si>
  <si>
    <t xml:space="preserve">21K238         </t>
  </si>
  <si>
    <t>P.S. 238 ANNE SULLIVAN</t>
  </si>
  <si>
    <t>K253</t>
  </si>
  <si>
    <t xml:space="preserve">21K253         </t>
  </si>
  <si>
    <t>P.S. 253</t>
  </si>
  <si>
    <t>2953 BRIGHTON 6 STREET</t>
  </si>
  <si>
    <t>https://nycdoe.sharepoint.com/:w:/s/BAP/EXEaq9aAERdHlh1c6O-WYn8BBywt5LVPTaHIRGBiaP847g</t>
  </si>
  <si>
    <t xml:space="preserve">21K281         </t>
  </si>
  <si>
    <t>I.S. 281 JOSEPH B CAVALLARO</t>
  </si>
  <si>
    <t>8787 24 AVENUE</t>
  </si>
  <si>
    <t>https://nycdoe.sharepoint.com/:w:/s/BAP/EZqBK0vzJyxFjNSF95HrCgYBLitHues_jRmC8FaFYVwYuQ</t>
  </si>
  <si>
    <t xml:space="preserve">84K744         </t>
  </si>
  <si>
    <t>CONEY ISLAND PREPARATORY PUBLIC CHARTER SCHOOL</t>
  </si>
  <si>
    <t>K288</t>
  </si>
  <si>
    <t xml:space="preserve">21K288         </t>
  </si>
  <si>
    <t>P.S. 288 THE SHIRLEY TANYHILL</t>
  </si>
  <si>
    <t>2950 WEST  25 STREET</t>
  </si>
  <si>
    <t>https://nycdoe.sharepoint.com/:w:/s/BAP/EUo2gFuGOutGiZ1saVjLCpIBlhGR02mxk0Lhiov5HjHtNA</t>
  </si>
  <si>
    <t xml:space="preserve">21K303         </t>
  </si>
  <si>
    <t>I.S. 303 HERBERT S. EISENBERG</t>
  </si>
  <si>
    <t>501 WEST AVENUE</t>
  </si>
  <si>
    <t>https://nycdoe.sharepoint.com/:w:/s/BAP/EQPPXkf9vmlLkbabUMOIueUB2zj0xYUr8G-fjJmCwzuzqg</t>
  </si>
  <si>
    <t xml:space="preserve">21K344         </t>
  </si>
  <si>
    <t>RACHEL CARSON HIGH SCHOOL FOR COASTAL STUDIES</t>
  </si>
  <si>
    <t>521 WEST AVENUE</t>
  </si>
  <si>
    <t xml:space="preserve">21K329         </t>
  </si>
  <si>
    <t>P.S. 329 SURFSIDE</t>
  </si>
  <si>
    <t>2929 WEST  30 STREET</t>
  </si>
  <si>
    <t>https://nycdoe.sharepoint.com/:w:/s/BAP/ERT1aIPzlBJCv3CbDfn16JIBlYQuKKA5dEttC-D9a9r0Qw</t>
  </si>
  <si>
    <t>3000 WEST 1 STREET</t>
  </si>
  <si>
    <t>https://nycdoe.sharepoint.com/:w:/s/BAP/EWqi8gh5F6tIu7Tv0xQ9jbcBYcRSA2qjJU8AMlTqPuVPwA</t>
  </si>
  <si>
    <t xml:space="preserve">21K337         </t>
  </si>
  <si>
    <t>INTERNATIONAL HIGH SCHOOL AT LAFAYETTE</t>
  </si>
  <si>
    <t>2630 BENSON AVENUE</t>
  </si>
  <si>
    <t>https://nycdoe.sharepoint.com/:w:/s/BAP/EQMAyEoeohxFi1un1lFQwwoBGrOAfj6fCrrs2WmuFl1QZg</t>
  </si>
  <si>
    <t xml:space="preserve">21K348         </t>
  </si>
  <si>
    <t>HIGH SCHOOL OF SPORTS MANAGEMENT</t>
  </si>
  <si>
    <t xml:space="preserve">21K468         </t>
  </si>
  <si>
    <t>KINGSBOROUGH EARLY COLLEGE SCHOOL</t>
  </si>
  <si>
    <t xml:space="preserve">21K559         </t>
  </si>
  <si>
    <t>LIFE ACADEMY HIGH SCHOOL FOR BUSINESS AND TECHNOLOGY</t>
  </si>
  <si>
    <t xml:space="preserve">21K572         </t>
  </si>
  <si>
    <t>LEADERS HIGH SCHOOL</t>
  </si>
  <si>
    <t>2800 OCEAN PARKWAY</t>
  </si>
  <si>
    <t>https://nycdoe.sharepoint.com/:w:/s/BAP/EeiwxgR6EoxNmpNFVxbBBiEBshGzroUgmI2D7_BCFW9_uw</t>
  </si>
  <si>
    <t xml:space="preserve">21K410         </t>
  </si>
  <si>
    <t>ABRAHAM LINCOLN HIGH SCHOOL</t>
  </si>
  <si>
    <t xml:space="preserve">21K525         </t>
  </si>
  <si>
    <t>EDWARD R. MURROW HIGH SCHOOL</t>
  </si>
  <si>
    <t>1600 AVENUE L</t>
  </si>
  <si>
    <t>https://nycdoe.sharepoint.com/:w:/s/BAP/ERyoIQjTjbJHra8ivPiYuAgBmkkPYgQTdYQhqXpxcShsOw</t>
  </si>
  <si>
    <t xml:space="preserve">75K811         </t>
  </si>
  <si>
    <t>P.S. K811 CONNIE LEKAS SCHOOL</t>
  </si>
  <si>
    <t>25 BRIGHTON 4 ROAD</t>
  </si>
  <si>
    <t>https://nycdoe.sharepoint.com/:w:/s/BAP/EYNaNZDRGFdJvLjHhXwdhhsBac6i2UB1SdnNSh9sJYSDYg</t>
  </si>
  <si>
    <t xml:space="preserve">21K620         </t>
  </si>
  <si>
    <t>WILLIAM E. GRADY CAREER AND TECHNICAL EDUCATION HIGH SCHOOL</t>
  </si>
  <si>
    <t>K690</t>
  </si>
  <si>
    <t xml:space="preserve">21K690         </t>
  </si>
  <si>
    <t>BROOKLYN STUDIO SECONDARY SCHOOL</t>
  </si>
  <si>
    <t>8310 21 AVENUE</t>
  </si>
  <si>
    <t>https://nycdoe.sharepoint.com/:w:/s/BAP/ERSTqLa5yFFNjDubKWaTIKUBx9A2yX6GGd5csO2t8on0cA</t>
  </si>
  <si>
    <t xml:space="preserve">75K721         </t>
  </si>
  <si>
    <t>P.S. K721 - BROOKLYN OCCUPATIONAL TRAINING CENTER</t>
  </si>
  <si>
    <t>64 AVENUE X</t>
  </si>
  <si>
    <t>https://nycdoe.sharepoint.com/:w:/s/BAP/EQWFDtV0EXBDm0Bxb1ES29gBLTgl1vb2dLWTfvAZ_U2ajA</t>
  </si>
  <si>
    <t>K728</t>
  </si>
  <si>
    <t xml:space="preserve">21K728         </t>
  </si>
  <si>
    <t>LIBERATION DIPLOMA PLUS</t>
  </si>
  <si>
    <t>2865 WEST 19 STREET</t>
  </si>
  <si>
    <t>https://nycdoe.sharepoint.com/:w:/s/BAP/Ec-4zVo56NNNjKnDtr8iLW4BEPx6pHyh21GPRY-rcdb20g</t>
  </si>
  <si>
    <t xml:space="preserve">22K014         </t>
  </si>
  <si>
    <t>J.H.S. 014 SHELL BANK</t>
  </si>
  <si>
    <t>2424 BATCHELDER STREET</t>
  </si>
  <si>
    <t>https://nycdoe.sharepoint.com/:w:/s/BAP/EZbVo6QRBndBm4x4n2btWL0BiCaIkqmbBTGq_nzIURxmKw</t>
  </si>
  <si>
    <t xml:space="preserve">22K152         </t>
  </si>
  <si>
    <t>SCHOOL OF SCIENCE &amp; TECHNOLOGY</t>
  </si>
  <si>
    <t>725 EAST  23 STREET</t>
  </si>
  <si>
    <t>https://nycdoe.sharepoint.com/:w:/s/BAP/ESPi12tsJntAnK0-LTl2-zgBeM4AovN8sP_N-lHR69DWwA</t>
  </si>
  <si>
    <t xml:space="preserve">22K315         </t>
  </si>
  <si>
    <t>2310 GLENWOOD ROAD</t>
  </si>
  <si>
    <t xml:space="preserve">22K195         </t>
  </si>
  <si>
    <t>P.S. 195 MANHATTAN BEACH</t>
  </si>
  <si>
    <t>131 IRWIN STREET</t>
  </si>
  <si>
    <t>https://nycdoe.sharepoint.com/:w:/s/BAP/EZcQu4haQtxCtBJxDKlqK3sBpcdHKOLpp_YbFm8txCVJEQ</t>
  </si>
  <si>
    <t>K197</t>
  </si>
  <si>
    <t xml:space="preserve">22K197         </t>
  </si>
  <si>
    <t>P.S. 197 - THE KINGS HIGHWAY ACADEMY</t>
  </si>
  <si>
    <t>1599 EAST  22 STREET</t>
  </si>
  <si>
    <t>https://nycdoe.sharepoint.com/:w:/s/BAP/EdCYL7aYXHdEqLDdYuPAxT4BmdbHpisJMkJrvAN1dICFJA</t>
  </si>
  <si>
    <t xml:space="preserve">22K198         </t>
  </si>
  <si>
    <t>P.S. 198 BROOKLYN</t>
  </si>
  <si>
    <t>4105 FARRAGUT ROAD</t>
  </si>
  <si>
    <t>https://nycdoe.sharepoint.com/:w:/s/BAP/EXrY1vgPS2BBliw07rI_ll4BgiSMZHSBMCXBl391yy4EZQ</t>
  </si>
  <si>
    <t>K203</t>
  </si>
  <si>
    <t xml:space="preserve">22K203         </t>
  </si>
  <si>
    <t>P.S. 203 FLOYD BENNETT SCHOOL</t>
  </si>
  <si>
    <t>5101 AVENUE M</t>
  </si>
  <si>
    <t>https://nycdoe.sharepoint.com/:w:/s/BAP/ETW_ErGVCY1MsgEkeM5pVTMB_ycLPvAZWm6wlIW7EAm-pQ</t>
  </si>
  <si>
    <t>K206</t>
  </si>
  <si>
    <t xml:space="preserve">22K206         </t>
  </si>
  <si>
    <t>P.S. 206 JOSEPH F LAMB</t>
  </si>
  <si>
    <t>2200 GRAVESEND NECK ROAD</t>
  </si>
  <si>
    <t>https://nycdoe.sharepoint.com/:w:/s/BAP/EZHetv13ZypKqwB3jsJM3TQBoCog2zhSYDHN6Zwvx9iXiA</t>
  </si>
  <si>
    <t>K207</t>
  </si>
  <si>
    <t xml:space="preserve">22K207         </t>
  </si>
  <si>
    <t>P.S. 207 ELIZABETH G. LEARY</t>
  </si>
  <si>
    <t>4011 FILLMORE AVENUE</t>
  </si>
  <si>
    <t>https://nycdoe.sharepoint.com/:w:/s/BAP/EXUGODykOKpLrAtn-tUJmdkB1TnV_1ORygqVjEZev4mJTw</t>
  </si>
  <si>
    <t xml:space="preserve">22K217         </t>
  </si>
  <si>
    <t>P.S. 217 COLONEL DAVID MARCUS SCHOOL</t>
  </si>
  <si>
    <t>1100 NEWKIRK AVENUE</t>
  </si>
  <si>
    <t>https://nycdoe.sharepoint.com/:w:/s/BAP/ERbNqGpYZnZEmlQeZ6b5SjYBLQSULryfAydfzoi6xaKBtA</t>
  </si>
  <si>
    <t xml:space="preserve">22K222         </t>
  </si>
  <si>
    <t>P.S. 222 KATHERINE R. SNYDER</t>
  </si>
  <si>
    <t>3301 QUENTIN ROAD</t>
  </si>
  <si>
    <t>https://nycdoe.sharepoint.com/:w:/s/BAP/Ee-NA60MBuBFsKb1LWryIP4ByhQZC3HohHDtK1-Y2V3o3Q</t>
  </si>
  <si>
    <t xml:space="preserve">22K234         </t>
  </si>
  <si>
    <t>J.H.S. 234 ARTHUR W. CUNNINGHAM</t>
  </si>
  <si>
    <t>1875 EAST  17 STREET</t>
  </si>
  <si>
    <t>https://nycdoe.sharepoint.com/:w:/s/BAP/EaPBbaLoLghHtup3n0mnex4BUS4YGnHbX-Th3uaP063teA</t>
  </si>
  <si>
    <t>K236</t>
  </si>
  <si>
    <t xml:space="preserve">22K236         </t>
  </si>
  <si>
    <t>P.S. 236 MILL BASIN</t>
  </si>
  <si>
    <t>6302 AVENUE U</t>
  </si>
  <si>
    <t>https://nycdoe.sharepoint.com/:w:/s/BAP/EVVnlub5iUlIlx9NQqFMDTwB-_3CjMX7KIcUcADPmdK2PQ</t>
  </si>
  <si>
    <t>K251</t>
  </si>
  <si>
    <t xml:space="preserve">22K251         </t>
  </si>
  <si>
    <t>P.S. 251 PAERDEGAT</t>
  </si>
  <si>
    <t>1037 EAST  54 STREET</t>
  </si>
  <si>
    <t>https://nycdoe.sharepoint.com/:w:/s/BAP/Eexnb-a-ATpIvpDOeZI6cMcBnCxGX-laUtiyVPLcf12P8g</t>
  </si>
  <si>
    <t xml:space="preserve">22K254         </t>
  </si>
  <si>
    <t>P.S. 254 DAG HAMMARSKJOLD</t>
  </si>
  <si>
    <t>2469 EAST 18 STREET</t>
  </si>
  <si>
    <t>https://nycdoe.sharepoint.com/:w:/s/BAP/EfR-PAtH3rlFrDIOgagKbpMB9QP2p6R6Mdg42LEPjUXQxQ</t>
  </si>
  <si>
    <t xml:space="preserve">22K361         </t>
  </si>
  <si>
    <t>P.S. 361 EAST FLATBUSH EARLY CHILDHOOD SCHOOL</t>
  </si>
  <si>
    <t>1957 NOSTRAND AVENUE</t>
  </si>
  <si>
    <t>https://nycdoe.sharepoint.com/:w:/s/BAP/EY8v-wi5Ma1MlN7j1bMcfmABv_2Wp9QmoY1KLpNIoFVh4w</t>
  </si>
  <si>
    <t>K277</t>
  </si>
  <si>
    <t xml:space="preserve">22K277         </t>
  </si>
  <si>
    <t>P.S. 277 GERRITSEN BEACH</t>
  </si>
  <si>
    <t>2529 GERRITSEN AVENUE</t>
  </si>
  <si>
    <t>https://nycdoe.sharepoint.com/:w:/s/BAP/EQk1g67CHHdGjSmTrbTFycUBovjfmjHgYTX3BaANoTQOyQ</t>
  </si>
  <si>
    <t>2525 HARING STREET</t>
  </si>
  <si>
    <t>https://nycdoe.sharepoint.com/:w:/s/BAP/ESry4VtwKKVIiEqqswEl5IsBnsPgqf3-pHxuXcRx7C2kKA</t>
  </si>
  <si>
    <t xml:space="preserve">22K312         </t>
  </si>
  <si>
    <t>P.S. 312 BERGEN BEACH</t>
  </si>
  <si>
    <t>7103 AVENUE T</t>
  </si>
  <si>
    <t>https://nycdoe.sharepoint.com/:w:/s/BAP/EYsyKkB6lhRJpvbqtfwIcVsBV1wGUqFyHQGO13OL90gwcg</t>
  </si>
  <si>
    <t>1001 EAST  45 STREET</t>
  </si>
  <si>
    <t>https://nycdoe.sharepoint.com/:w:/s/BAP/ERG1CTre4DZIrEazQIsxZewBl9_S_YQbphn2dtrfCpA96A</t>
  </si>
  <si>
    <t xml:space="preserve">22K109         </t>
  </si>
  <si>
    <t xml:space="preserve">22K425         </t>
  </si>
  <si>
    <t>JAMES MADISON HIGH SCHOOL</t>
  </si>
  <si>
    <t>3787 BEDFORD AVENUE</t>
  </si>
  <si>
    <t>https://nycdoe.sharepoint.com/:w:/s/BAP/EW4wneEEBSlKgZh9puswglIBFox3K-Z7w3He3xUg_e2lMg</t>
  </si>
  <si>
    <t xml:space="preserve">22K611         </t>
  </si>
  <si>
    <t>ORIGINS HIGH SCHOOL</t>
  </si>
  <si>
    <t>3000 AVENUE X</t>
  </si>
  <si>
    <t>https://nycdoe.sharepoint.com/:w:/s/BAP/EQchxPESBN9Lg3Gz5kQzZHkBPZ0neyjsLVTrb-_-yB8FAg</t>
  </si>
  <si>
    <t xml:space="preserve">22K630         </t>
  </si>
  <si>
    <t>PROFESSIONAL PATHWAYS HIGH SCHOOL</t>
  </si>
  <si>
    <t xml:space="preserve">84K738         </t>
  </si>
  <si>
    <t>UNITED CHARTER HIGH SCHOOL FOR ADVANCED MATH AND SCIENCE LLL</t>
  </si>
  <si>
    <t>K752</t>
  </si>
  <si>
    <t xml:space="preserve">84K752         </t>
  </si>
  <si>
    <t>SUCCESS ACADEMY CHARTER SCHOOL - SHEEPSHEAD BAY</t>
  </si>
  <si>
    <t>1830 SHORE BOULEVARD</t>
  </si>
  <si>
    <t>https://nycdoe.sharepoint.com/:w:/s/BAP/EYTINdw5rqFGsFjeU1Fcy1QB1SB7Lf2IdVP2gfnJruZF-A</t>
  </si>
  <si>
    <t xml:space="preserve">22K535         </t>
  </si>
  <si>
    <t>LEON M. GOLDSTEIN HIGH SCHOOL FOR THE SCIENCES</t>
  </si>
  <si>
    <t>2900 BEDFORD AVENUE</t>
  </si>
  <si>
    <t>https://nycdoe.sharepoint.com/:w:/s/BAP/EdUv6EZ3pGlHueFSasFiNogBDZVNSL4y7gE0zY8WDAWSIg</t>
  </si>
  <si>
    <t>K405</t>
  </si>
  <si>
    <t xml:space="preserve">22K405         </t>
  </si>
  <si>
    <t>MIDWOOD HIGH SCHOOL</t>
  </si>
  <si>
    <t>2886 BEDFORD AVENUE</t>
  </si>
  <si>
    <t>https://nycdoe.sharepoint.com/:w:/s/BAP/EdEh28g2wVtNsbMiCN3kGc8BES7tGw5sa_caNSE1Lff02g</t>
  </si>
  <si>
    <t xml:space="preserve">17K012         </t>
  </si>
  <si>
    <t>DR. JACQUELINE PEEK-DAVIS SCHOOL</t>
  </si>
  <si>
    <t>430 HOWARD AVENUE</t>
  </si>
  <si>
    <t>https://nycdoe.sharepoint.com/:w:/s/BAP/ETeee4zF7JlAkkqHerqs5WQBt1tHxRo2eR7yJRAan3mxzQ</t>
  </si>
  <si>
    <t xml:space="preserve">17K484         </t>
  </si>
  <si>
    <t>RONALD EDMONDS LEARNING CENTER II</t>
  </si>
  <si>
    <t xml:space="preserve">23K041         </t>
  </si>
  <si>
    <t>P.S. 041 FRANCIS WHITE</t>
  </si>
  <si>
    <t>411 THATFORD AVENUE</t>
  </si>
  <si>
    <t>https://nycdoe.sharepoint.com/:w:/s/BAP/EVdCwVxyK_NMjzKDLdoHbYcBeWFO6NWEw4SrhXBb6w_r_A</t>
  </si>
  <si>
    <t xml:space="preserve">23K522         </t>
  </si>
  <si>
    <t>MOTT HALL IV</t>
  </si>
  <si>
    <t xml:space="preserve">23K493         </t>
  </si>
  <si>
    <t>BROOKLYN COLLEGIATE: A COLLEGE BOARD SCHOOL</t>
  </si>
  <si>
    <t>2021 BERGEN STREET</t>
  </si>
  <si>
    <t>https://nycdoe.sharepoint.com/:w:/s/BAP/ET8kNDIVdhVKtkOuxS5kvrEBpZFnW8_pw-hX_6QbqZ0AsA</t>
  </si>
  <si>
    <t xml:space="preserve">84K626         </t>
  </si>
  <si>
    <t>ACHIEVEMENT FIRST BROWNSVILLE CHARTER SCHOOL</t>
  </si>
  <si>
    <t>K137</t>
  </si>
  <si>
    <t xml:space="preserve">23K137         </t>
  </si>
  <si>
    <t>P.S. 137 RACHEL JEAN MITCHELL</t>
  </si>
  <si>
    <t>121 SARATOGA AVENUE</t>
  </si>
  <si>
    <t>https://nycdoe.sharepoint.com/:w:/s/BAP/ETBvYNXymt5EuJZRtwGxbY8BrDs-HumALd_IAdg6ehLIgQ</t>
  </si>
  <si>
    <t>K150</t>
  </si>
  <si>
    <t>364 SACKMAN STREET</t>
  </si>
  <si>
    <t>https://nycdoe.sharepoint.com/:w:/s/BAP/EdYIa28useFKp2QOLSd_pkoBr2_42mfGCs5WAHyNazgzAA</t>
  </si>
  <si>
    <t xml:space="preserve">23K150         </t>
  </si>
  <si>
    <t>P.S. 150 CHRISTOPHER</t>
  </si>
  <si>
    <t xml:space="preserve">23K514         </t>
  </si>
  <si>
    <t>FREDERICK DOUGLASS ACADEMY VII HIGH SCHOOL</t>
  </si>
  <si>
    <t>226 BRISTOL STREET</t>
  </si>
  <si>
    <t>https://nycdoe.sharepoint.com/:w:/s/BAP/EXcUE-LLiZ5DtvXEb75LOQ4BvHcrEdhQAPAHIdmmAVUdcA</t>
  </si>
  <si>
    <t xml:space="preserve">23K697         </t>
  </si>
  <si>
    <t>LEGACY LEADERSHIP HIGH SCHOOL</t>
  </si>
  <si>
    <t>K178</t>
  </si>
  <si>
    <t>2163 DEAN STREET</t>
  </si>
  <si>
    <t>https://nycdoe.sharepoint.com/:w:/s/BAP/EQhH9C-LKMlCkywzWgx1jQEBc0hxM_dYD_tWQXwN9jvusg</t>
  </si>
  <si>
    <t xml:space="preserve">23K178         </t>
  </si>
  <si>
    <t>P.S. 178 SAINT CLAIR MCKELWAY</t>
  </si>
  <si>
    <t>K184</t>
  </si>
  <si>
    <t xml:space="preserve">23K184         </t>
  </si>
  <si>
    <t>P.S. 184 NEWPORT</t>
  </si>
  <si>
    <t>273 NEWPORT STREET</t>
  </si>
  <si>
    <t>https://nycdoe.sharepoint.com/:w:/s/BAP/ESLNxXgk2VZKmVkcnlgmnEcBkJcsw66Xvuc0201CaBYI2A</t>
  </si>
  <si>
    <t xml:space="preserve">23K323         </t>
  </si>
  <si>
    <t>210 CHESTER STREET</t>
  </si>
  <si>
    <t>https://nycdoe.sharepoint.com/:w:/s/BAP/Efx54ZxDAkRBhF69zR7U-dUBjU7bujTdSC7hxt7JAm4GDA</t>
  </si>
  <si>
    <t xml:space="preserve">23K327         </t>
  </si>
  <si>
    <t>P.S. 327 DR. ROSE B. ENGLISH</t>
  </si>
  <si>
    <t xml:space="preserve">23K671         </t>
  </si>
  <si>
    <t>MOTT HALL BRIDGES ACADEMY</t>
  </si>
  <si>
    <t>K271</t>
  </si>
  <si>
    <t>K644</t>
  </si>
  <si>
    <t xml:space="preserve">23K644         </t>
  </si>
  <si>
    <t>EAGLE ACADEMY FOR YOUNG MEN II</t>
  </si>
  <si>
    <t>1137 HERKIMER STREET</t>
  </si>
  <si>
    <t>https://nycdoe.sharepoint.com/:w:/s/BAP/Ea7rNh_rfDBCkaoYIxZXgGABLC3VKRFztdsFsnv07NZT8g</t>
  </si>
  <si>
    <t>K777</t>
  </si>
  <si>
    <t xml:space="preserve">84K777         </t>
  </si>
  <si>
    <t>UNCOMMON CROWN HEIGHTS CHARTER SCHOOL NYC</t>
  </si>
  <si>
    <t xml:space="preserve">23K518         </t>
  </si>
  <si>
    <t>KAPPA V (KNOWLEDGE AND POWER PREPARATORY ACADEMY)</t>
  </si>
  <si>
    <t>985 ROCKAWAY AVENUE</t>
  </si>
  <si>
    <t>https://nycdoe.sharepoint.com/:w:/s/BAP/EaGoUDwGD_ZEoaCERrerGRcB9-2CG_nERrwLnO4AohpvrQ</t>
  </si>
  <si>
    <t xml:space="preserve">23K643         </t>
  </si>
  <si>
    <t>BROOKLYN DEMOCRACY ACADEMY</t>
  </si>
  <si>
    <t xml:space="preserve">23K647         </t>
  </si>
  <si>
    <t>METROPOLITAN DIPLOMA PLUS HIGH SCHOOL</t>
  </si>
  <si>
    <t xml:space="preserve">84K711         </t>
  </si>
  <si>
    <t>UNCOMMON BROWNSVILLE SOUTH CHARTER SCHOOL NYC</t>
  </si>
  <si>
    <t>K284</t>
  </si>
  <si>
    <t xml:space="preserve">23K284         </t>
  </si>
  <si>
    <t>THE GREGORY JOCKO JACKSON SCHOOL OF SPORTS, ART, AND TECHNOLOGY</t>
  </si>
  <si>
    <t>213 OSBORN STREET</t>
  </si>
  <si>
    <t>https://nycdoe.sharepoint.com/:w:/s/BAP/ERGLlzGFJ61MscMZMSAcB1YB84P0OHt_0l9CscgW5xnMNA</t>
  </si>
  <si>
    <t xml:space="preserve">23K298         </t>
  </si>
  <si>
    <t>P.S. 298 DR. BETTY SHABAZZ</t>
  </si>
  <si>
    <t>85 WATKINS STREET</t>
  </si>
  <si>
    <t>https://nycdoe.sharepoint.com/:w:/s/BAP/EYrLzJYhtnFAjBCCDZnrghwBzdguT5mAU-p1mzs8-dCCPg</t>
  </si>
  <si>
    <t xml:space="preserve">23K363         </t>
  </si>
  <si>
    <t>BROWNSVILLE COLLABORATIVE MIDDLE SCHOOL</t>
  </si>
  <si>
    <t>111 BRISTOL STREET</t>
  </si>
  <si>
    <t>https://nycdoe.sharepoint.com/:w:/s/BAP/EWJV8nqfpwhFmqlrO7hSIZYBsU80tpy3Tq9pFVEUC42iqg</t>
  </si>
  <si>
    <t xml:space="preserve">23K401         </t>
  </si>
  <si>
    <t>CHRISTOPHER AVENUE COMMUNITY SCHOOL</t>
  </si>
  <si>
    <t>51 CHRISTOPHER AVENUE</t>
  </si>
  <si>
    <t>https://nycdoe.sharepoint.com/:w:/s/BAP/EVvzxfGt_UZHpjJUUITlGTMBhjk7JYr_TwO1IUndUuQsog</t>
  </si>
  <si>
    <t xml:space="preserve">23K156         </t>
  </si>
  <si>
    <t>P.S. 156 WAVERLY</t>
  </si>
  <si>
    <t>104 SUTTER AVENUE</t>
  </si>
  <si>
    <t>https://nycdoe.sharepoint.com/:w:/s/BAP/EbMhxmB5sABKnF4CDfAwSkoBTOFQOIFcw6dEdEk7eQ-qJQ</t>
  </si>
  <si>
    <t xml:space="preserve">23K392         </t>
  </si>
  <si>
    <t>110 CHESTER STREET</t>
  </si>
  <si>
    <t>https://nycdoe.sharepoint.com/:w:/s/BAP/EdXl8ToLJqJCvj3W3hgsccMBDP0AKrnATQILhKjq-XpJoQ</t>
  </si>
  <si>
    <t xml:space="preserve">32K145         </t>
  </si>
  <si>
    <t>P.S. 145 ANDREW JACKSON</t>
  </si>
  <si>
    <t>100 NOLL STREET</t>
  </si>
  <si>
    <t>https://nycdoe.sharepoint.com/:w:/s/BAP/ESxSJp0hx49MihZKzOFkxQ4BzZgA8QtE7zloXX9JgPgIuw</t>
  </si>
  <si>
    <t>K151</t>
  </si>
  <si>
    <t xml:space="preserve">32K151         </t>
  </si>
  <si>
    <t>P.S. 151 LYNDON B. JOHNSON</t>
  </si>
  <si>
    <t>763 KNICKERBOCKER AVENUE</t>
  </si>
  <si>
    <t>https://nycdoe.sharepoint.com/:w:/s/BAP/EdZFo4DnpOVMpkVQ5yDW8wcB7rr7nsXTM2fPGALx1Xv0Ww</t>
  </si>
  <si>
    <t xml:space="preserve">32K162         </t>
  </si>
  <si>
    <t>J.H.S. 162 THE WILLOUGHBY</t>
  </si>
  <si>
    <t>1390 WILLOUGHBY AVENUE</t>
  </si>
  <si>
    <t>https://nycdoe.sharepoint.com/:w:/s/BAP/EeeBI9ifvuJOuHAJaxyIihABb0Eg3Xq3H2U-slC6J3yspg</t>
  </si>
  <si>
    <t>K274</t>
  </si>
  <si>
    <t xml:space="preserve">32K274         </t>
  </si>
  <si>
    <t>P.S. 274 KOSCIUSKO</t>
  </si>
  <si>
    <t>800 BUSHWICK AVENUE</t>
  </si>
  <si>
    <t>https://nycdoe.sharepoint.com/:w:/s/BAP/EbuTpxD9kpxEhbmX1R1LOeMBF_A1vrYLN4KWq_SwYwYP0A</t>
  </si>
  <si>
    <t xml:space="preserve">32K291         </t>
  </si>
  <si>
    <t>J.H.S. 291 ROLAND HAYES</t>
  </si>
  <si>
    <t>231 PALMETTO STREET</t>
  </si>
  <si>
    <t>https://nycdoe.sharepoint.com/:w:/s/BAP/EYBwe1meym1BrJGjgvkFKlcBIsS19ggdezGwjDmFu7kUlg</t>
  </si>
  <si>
    <t xml:space="preserve">32K564         </t>
  </si>
  <si>
    <t>BUSHWICK COMMUNITY HIGH SCHOOL</t>
  </si>
  <si>
    <t xml:space="preserve">84K733         </t>
  </si>
  <si>
    <t>MATH, ENGINEERING, AND SCIENCE ACADEMY CHARTER HIGH SCHOOL</t>
  </si>
  <si>
    <t>K296</t>
  </si>
  <si>
    <t>125 COVERT STREET</t>
  </si>
  <si>
    <t>https://nycdoe.sharepoint.com/:w:/s/BAP/EZtpzZpKxMNHsxs827o15K4BxajY41D11trA7odSQkEc3A</t>
  </si>
  <si>
    <t xml:space="preserve">84K538         </t>
  </si>
  <si>
    <t>ACHIEVEMENT FIRST BUSHWICK CHARTER SCHOOL</t>
  </si>
  <si>
    <t>K562</t>
  </si>
  <si>
    <t xml:space="preserve">32K562         </t>
  </si>
  <si>
    <t>EVERGREEN MIDDLE SCHOOL FOR URBAN EXPLORATION</t>
  </si>
  <si>
    <t>K376</t>
  </si>
  <si>
    <t xml:space="preserve">32K376         </t>
  </si>
  <si>
    <t>194 HARMAN STREET</t>
  </si>
  <si>
    <t>https://nycdoe.sharepoint.com/:w:/s/BAP/ETwl-nsgtd5LpaoQVrlH5D8BLG_fe0e4MOr7eLmuHqxNsA</t>
  </si>
  <si>
    <t xml:space="preserve">32K377         </t>
  </si>
  <si>
    <t>P.S. 377 ALEJANDRINA B. DE GAUTIER</t>
  </si>
  <si>
    <t>200 WOODBINE STREET</t>
  </si>
  <si>
    <t>https://nycdoe.sharepoint.com/:w:/s/BAP/ETH8To5Qai9Cl6-y1MkKTNcBVyG8XGkSF7Ym6iZRGq0eig</t>
  </si>
  <si>
    <t xml:space="preserve">84K784         </t>
  </si>
  <si>
    <t>ACHIEVEMENT FIRST NORTH BROOKLYN PREPARATORY CHARTER SCHOOL</t>
  </si>
  <si>
    <t xml:space="preserve">32K383         </t>
  </si>
  <si>
    <t>J.H.S. 383 PHILIPPA SCHUYLER</t>
  </si>
  <si>
    <t>1300 GREENE AVENUE</t>
  </si>
  <si>
    <t>https://nycdoe.sharepoint.com/:w:/s/BAP/EUX7X4QW2HlLkyRhbptPwaMBOFHMQoYuMwRRcnqqodDLYQ</t>
  </si>
  <si>
    <t>242 COOPER STREET</t>
  </si>
  <si>
    <t>https://nycdoe.sharepoint.com/:w:/s/BAP/EfMal6Wbt1JOp7_-To3EtdoB3N2DpKxjku_EMJ9xe7wblw</t>
  </si>
  <si>
    <t xml:space="preserve">32K384         </t>
  </si>
  <si>
    <t>P.S. /I.S. 384 FRANCES E. CARTER</t>
  </si>
  <si>
    <t xml:space="preserve">32K168         </t>
  </si>
  <si>
    <t>THE BROOKLYN SCHOOL FOR MATH AND RESEARCH</t>
  </si>
  <si>
    <t>400 IRVING AVENUE</t>
  </si>
  <si>
    <t>https://nycdoe.sharepoint.com/:w:/s/BAP/Eeqn83BEAGZOs04ZuF11L28B9xTjiir--jZFSfqPKVEp1Q</t>
  </si>
  <si>
    <t xml:space="preserve">32K403         </t>
  </si>
  <si>
    <t>ACADEMY FOR EXCELLENCE IN LEADERSHIP</t>
  </si>
  <si>
    <t xml:space="preserve">32K549         </t>
  </si>
  <si>
    <t>THE BROOKLYN SCHOOL FOR SOCIAL JUSTICE</t>
  </si>
  <si>
    <t xml:space="preserve">32K552         </t>
  </si>
  <si>
    <t>THE ACADEMY OF URBAN PLANNING AND ENGINEERING</t>
  </si>
  <si>
    <t xml:space="preserve">32K554         </t>
  </si>
  <si>
    <t>ALL CITY LEADERSHIP SECONDARY SCHOOL</t>
  </si>
  <si>
    <t>321 PALMETTO STREET</t>
  </si>
  <si>
    <t>https://nycdoe.sharepoint.com/:w:/s/BAP/Ee1V-fHmBYdLuhA-mNOQGLsBk2wkjW_ep2G9V2vxQwqY6A</t>
  </si>
  <si>
    <t>K779</t>
  </si>
  <si>
    <t>1474 GATES AVENUE</t>
  </si>
  <si>
    <t>https://nycdoe.sharepoint.com/:w:/s/BAP/EVEmbH9lAAxPifhhtT2MNjIBydtrTi98E06tM4oe3fJtQA</t>
  </si>
  <si>
    <t>K865</t>
  </si>
  <si>
    <t xml:space="preserve">32K556         </t>
  </si>
  <si>
    <t>BUSHWICK LEADERS HIGH SCHOOL FOR ACADEMIC EXCELLENCE</t>
  </si>
  <si>
    <t>797 BUSHWICK AVENUE</t>
  </si>
  <si>
    <t>https://nycdoe.sharepoint.com/:w:/s/BAP/EWcbuyd6Ec5Ku0yhLmHwu4sBdzAtO8Z6lVFkJ69dfqxXJg</t>
  </si>
  <si>
    <t xml:space="preserve">32K545         </t>
  </si>
  <si>
    <t>EBC HIGH SCHOOL FOR PUBLIC SERVICE - BUSHWICK</t>
  </si>
  <si>
    <t>1155 DEKALB AVENUE</t>
  </si>
  <si>
    <t>https://nycdoe.sharepoint.com/:w:/s/BAP/ERHal_VEr7hKhrNO_v67SYABO5FzWanngfgcnz_2AVVlkw</t>
  </si>
  <si>
    <t xml:space="preserve">01M015         </t>
  </si>
  <si>
    <t>P.S. 015 ROBERTO CLEMENTE</t>
  </si>
  <si>
    <t>333 EAST  4 STREET</t>
  </si>
  <si>
    <t>https://nycdoe.sharepoint.com/:w:/s/BAP/EWPyV8OOED1BixiuE3P7MKsBfUyt9kxioXQ6sx8fBJTD_A</t>
  </si>
  <si>
    <t xml:space="preserve">75M094         </t>
  </si>
  <si>
    <t xml:space="preserve">01M020         </t>
  </si>
  <si>
    <t>P.S. 020 ANNA SILVER</t>
  </si>
  <si>
    <t>166 ESSEX STREET</t>
  </si>
  <si>
    <t>https://nycdoe.sharepoint.com/:w:/s/BAP/Edy95kaeXY5BkM6H4YlIfPYBrUyBZwDLrJ-9-Et8LoUTbA</t>
  </si>
  <si>
    <t xml:space="preserve">01M378         </t>
  </si>
  <si>
    <t>SCHOOL FOR GLOBAL LEADERS</t>
  </si>
  <si>
    <t>145 STANTON STREET</t>
  </si>
  <si>
    <t>https://nycdoe.sharepoint.com/:w:/s/BAP/EfU3EO2__ZdEtWvkxH0LJXgBLVC4scTcbXZ2ip2DC7RxFw</t>
  </si>
  <si>
    <t xml:space="preserve">01M515         </t>
  </si>
  <si>
    <t>LOWER EAST SIDE PREPARATORY HIGH SCHOOL</t>
  </si>
  <si>
    <t xml:space="preserve">01M034         </t>
  </si>
  <si>
    <t>P.S. 034 FRANKLIN D. ROOSEVELT</t>
  </si>
  <si>
    <t>730 EAST  12 STREET</t>
  </si>
  <si>
    <t>https://nycdoe.sharepoint.com/:w:/s/BAP/Ea04UwfsWU9EvnVUqZ-q5AIBQank-keUNh8YHkXM8_bOaA</t>
  </si>
  <si>
    <t xml:space="preserve">84M080         </t>
  </si>
  <si>
    <t>MANHATTAN CHARTER SCHOOL II</t>
  </si>
  <si>
    <t>220 HENRY STREET</t>
  </si>
  <si>
    <t>https://nycdoe.sharepoint.com/:w:/s/BAP/EYsQOMxiPYFJjo6WRBNHdC4BQczY_HxOAHJYuPIPxrA_Rw</t>
  </si>
  <si>
    <t xml:space="preserve">01M292         </t>
  </si>
  <si>
    <t>ORCHARD COLLEGIATE ACADEMY</t>
  </si>
  <si>
    <t xml:space="preserve">01M332         </t>
  </si>
  <si>
    <t>UNIVERSITY NEIGHBORHOOD MIDDLE SCHOOL</t>
  </si>
  <si>
    <t xml:space="preserve">01M450         </t>
  </si>
  <si>
    <t>EAST SIDE COMMUNITY SCHOOL</t>
  </si>
  <si>
    <t>420 EAST 12 STREET</t>
  </si>
  <si>
    <t>https://nycdoe.sharepoint.com/:w:/s/BAP/EXub58B1zshEnY9tbijAOZMB9gckfbX88iwTn0-UIC5HDg</t>
  </si>
  <si>
    <t>M063</t>
  </si>
  <si>
    <t xml:space="preserve">01M063         </t>
  </si>
  <si>
    <t>THE STAR ACADEMY - P.S.63</t>
  </si>
  <si>
    <t>121 EAST  3 STREET</t>
  </si>
  <si>
    <t>https://nycdoe.sharepoint.com/:w:/s/BAP/ERskWFMP-mBMoKQHZrvSpP8B7SIBVeokGml0m2mw-9NlIQ</t>
  </si>
  <si>
    <t>M363</t>
  </si>
  <si>
    <t xml:space="preserve">01M363         </t>
  </si>
  <si>
    <t>NEIGHBORHOOD SCHOOL</t>
  </si>
  <si>
    <t xml:space="preserve">01M696         </t>
  </si>
  <si>
    <t>BARD HIGH SCHOOL EARLY COLLEGE</t>
  </si>
  <si>
    <t>525 EAST HOUSTON STREET</t>
  </si>
  <si>
    <t>https://nycdoe.sharepoint.com/:w:/s/BAP/EbPCVf70LaVKidhJbh3sYiEBikL_lpCA_GVp3m-Nv9hJlw</t>
  </si>
  <si>
    <t>M110</t>
  </si>
  <si>
    <t xml:space="preserve">01M110         </t>
  </si>
  <si>
    <t>P.S. 110 FLORENCE NIGHTINGALE</t>
  </si>
  <si>
    <t>285 DELANCY STREET</t>
  </si>
  <si>
    <t>https://nycdoe.sharepoint.com/:w:/s/BAP/Ecb1_9mhwddBkSDj7KSzFHEBJqLOC6k_vNkRev7j6ICvVg</t>
  </si>
  <si>
    <t xml:space="preserve">01M134         </t>
  </si>
  <si>
    <t>P.S. 134 HENRIETTA SZOLD</t>
  </si>
  <si>
    <t>293 EAST BROADWAY</t>
  </si>
  <si>
    <t>https://nycdoe.sharepoint.com/:w:/s/BAP/EYFjmBHRWcxKuHIr-7T3w9UBrqX6PM2rNIPjWp4YH9CLeg</t>
  </si>
  <si>
    <t xml:space="preserve">01M184         </t>
  </si>
  <si>
    <t>P.S. 184M SHUANG WEN</t>
  </si>
  <si>
    <t>327 CHERRY STREET</t>
  </si>
  <si>
    <t>https://nycdoe.sharepoint.com/:w:/s/BAP/EZ635Y7VKUlLitrZuywkIXEBx29RypWHG-2Yw5rNF1Y-7Q</t>
  </si>
  <si>
    <t>M140</t>
  </si>
  <si>
    <t xml:space="preserve">01M140         </t>
  </si>
  <si>
    <t>P.S. 140 NATHAN STRAUS</t>
  </si>
  <si>
    <t>123 RIDGE STREET</t>
  </si>
  <si>
    <t>https://nycdoe.sharepoint.com/:w:/s/BAP/EcT9SqOFBRZJiBF1Dol6J8YBt2Fq9Y48bApGAcXu9LjDQQ</t>
  </si>
  <si>
    <t xml:space="preserve">01M142         </t>
  </si>
  <si>
    <t>P.S. 142 AMALIA CASTRO</t>
  </si>
  <si>
    <t>100 ATTORNEY STREET</t>
  </si>
  <si>
    <t>https://nycdoe.sharepoint.com/:w:/s/BAP/EcdTY90HLw1FqKNbX_3Wjv8BYxo-Zfyo1LT469OUWNHLbQ</t>
  </si>
  <si>
    <t xml:space="preserve">84M320         </t>
  </si>
  <si>
    <t>MANHATTAN CHARTER SCHOOL</t>
  </si>
  <si>
    <t>442 EAST HOUSTON STREET</t>
  </si>
  <si>
    <t>https://nycdoe.sharepoint.com/:w:/s/BAP/ERmt54KlISFNiXKhKDsdfC0B3YNy_CDGzEj3wrJF_Pwf6A</t>
  </si>
  <si>
    <t xml:space="preserve">01M188         </t>
  </si>
  <si>
    <t>P.S. 188 THE ISLAND SCHOOL</t>
  </si>
  <si>
    <t xml:space="preserve">01M448         </t>
  </si>
  <si>
    <t>UNIVERSITY NEIGHBORHOOD HIGH SCHOOL</t>
  </si>
  <si>
    <t>200 MONROE STREET</t>
  </si>
  <si>
    <t>https://nycdoe.sharepoint.com/:w:/s/BAP/EXLU2NctRo9BmJph6JFy6bcBZGh0T5DY0oobN6kXFv0Vow</t>
  </si>
  <si>
    <t xml:space="preserve">01M458         </t>
  </si>
  <si>
    <t>FORSYTH SATELLITE ACADEMY</t>
  </si>
  <si>
    <t>198 FORSYTH STREET</t>
  </si>
  <si>
    <t>https://nycdoe.sharepoint.com/:w:/s/BAP/EZXLbjD47gRDuWA4hcN_NQ8BXL540crn_mFxg8Tv8KXR9A</t>
  </si>
  <si>
    <t xml:space="preserve">01M650         </t>
  </si>
  <si>
    <t>CASCADES HIGH SCHOOL</t>
  </si>
  <si>
    <t>M001</t>
  </si>
  <si>
    <t xml:space="preserve">02M001         </t>
  </si>
  <si>
    <t>P.S. 001 ALFRED E. SMITH</t>
  </si>
  <si>
    <t>8 HENRY STREET</t>
  </si>
  <si>
    <t>https://nycdoe.sharepoint.com/:w:/s/BAP/EQQOlI2DuG1KiZNl-YZ34ogBaXqLLrvgaMiM9MVYOwihGQ</t>
  </si>
  <si>
    <t xml:space="preserve">02M002         </t>
  </si>
  <si>
    <t>P.S. 002 MEYER LONDON</t>
  </si>
  <si>
    <t>122 HENRY STREET</t>
  </si>
  <si>
    <t>https://nycdoe.sharepoint.com/:w:/s/BAP/EbyfgctZNBxNqiM7Zeb6LBsBSJnhJv7uhjEkxsDDJ7-jyA</t>
  </si>
  <si>
    <t>M006</t>
  </si>
  <si>
    <t xml:space="preserve">02M006         </t>
  </si>
  <si>
    <t>P.S. 006 LILLIE D. BLAKE</t>
  </si>
  <si>
    <t>45 EAST  81 STREET</t>
  </si>
  <si>
    <t>https://nycdoe.sharepoint.com/:w:/s/BAP/EVksgfR9U49AnfpVTCh-04UB5flp6qqeJkZW_XyyEAZRgw</t>
  </si>
  <si>
    <t>M011</t>
  </si>
  <si>
    <t xml:space="preserve">02M011         </t>
  </si>
  <si>
    <t>P.S. 011: THE SARAH J. GARNET ELEMENTARY SCHOOL</t>
  </si>
  <si>
    <t>320 WEST  21 STREET</t>
  </si>
  <si>
    <t>https://nycdoe.sharepoint.com/:w:/s/BAP/Ecp9NCSEl3RKgNKKrr9mxLMBdKnXGgsJ5_mEwoCbaIauIw</t>
  </si>
  <si>
    <t xml:space="preserve">02M033         </t>
  </si>
  <si>
    <t>P.S. 033 CHELSEA PREP</t>
  </si>
  <si>
    <t>281 9 AVENUE</t>
  </si>
  <si>
    <t>https://nycdoe.sharepoint.com/:w:/s/BAP/EcAivcOalORBnJBtEoxLJAEBM_UUe1S6DaAm8IRA-5FNVg</t>
  </si>
  <si>
    <t xml:space="preserve">75M226         </t>
  </si>
  <si>
    <t xml:space="preserve">02M047         </t>
  </si>
  <si>
    <t>47 THE AMERICAN SIGN LANGUAGE AND ENGLISH SECONDARY SCHOOL</t>
  </si>
  <si>
    <t>223 EAST 23 STREET</t>
  </si>
  <si>
    <t>https://nycdoe.sharepoint.com/:w:/s/BAP/Efc3Gdn6whBNigKZR4Ydre8BSyAE96jcoWJnQeIPzPi1bg</t>
  </si>
  <si>
    <t xml:space="preserve">02M347         </t>
  </si>
  <si>
    <t>THE 47 AMERICAN SIGN LANGUAGE &amp; ENGLISH LOWER SCHOOL</t>
  </si>
  <si>
    <t xml:space="preserve">75M721         </t>
  </si>
  <si>
    <t>P.S. M721 - MANHATTAN OCCUPATIONAL TRAINING CENTER</t>
  </si>
  <si>
    <t xml:space="preserve">02M151         </t>
  </si>
  <si>
    <t>YORKVILLE COMMUNITY SCHOOL</t>
  </si>
  <si>
    <t>421 EAST  88 STREET</t>
  </si>
  <si>
    <t>https://nycdoe.sharepoint.com/:w:/s/BAP/EddFPlriep5KlhFfT5QozIYBvHC7xnffPpiT-Xyedp_AHw</t>
  </si>
  <si>
    <t xml:space="preserve">02M312         </t>
  </si>
  <si>
    <t>NEW YORK CITY LAB MIDDLE SCHOOL FOR COLLABORATIVE STUDIES</t>
  </si>
  <si>
    <t>333 WEST  17 STREET</t>
  </si>
  <si>
    <t>https://nycdoe.sharepoint.com/:w:/s/BAP/EadpZZ75BHRGoBvgGDN_JAABZG0cKfc9Kfb7OI4q9F2LJg</t>
  </si>
  <si>
    <t xml:space="preserve">02M412         </t>
  </si>
  <si>
    <t>N.Y.C. LAB SCHOOL FOR COLLABORATIVE STUDIES</t>
  </si>
  <si>
    <t xml:space="preserve">02M414         </t>
  </si>
  <si>
    <t>N.Y.C. MUSEUM SCHOOL</t>
  </si>
  <si>
    <t xml:space="preserve">02M089         </t>
  </si>
  <si>
    <t>201 WARREN STREET</t>
  </si>
  <si>
    <t>https://nycdoe.sharepoint.com/:w:/s/BAP/Ed5HIdX3IKBIuB5HWNffx4YBQMou1B-jIb9htJtwZTdgDg</t>
  </si>
  <si>
    <t xml:space="preserve">02M289         </t>
  </si>
  <si>
    <t>M111</t>
  </si>
  <si>
    <t xml:space="preserve">02M111         </t>
  </si>
  <si>
    <t>P.S. 111 ADOLPH S. OCHS</t>
  </si>
  <si>
    <t>440 WEST  53 STREET</t>
  </si>
  <si>
    <t>https://nycdoe.sharepoint.com/:w:/s/BAP/EeE_sIlD_fJCleCYRNSTnEgBP2ldjYPC_xSy3bmKx42RoQ</t>
  </si>
  <si>
    <t xml:space="preserve">02M114         </t>
  </si>
  <si>
    <t>EAST SIDE MIDDLE SCHOOL</t>
  </si>
  <si>
    <t>331 EAST 91 STREET</t>
  </si>
  <si>
    <t>https://nycdoe.sharepoint.com/:w:/s/BAP/ETNR9bC8989Jg7jvrMi5macBocoJVh4cMRZ18eSRw7fzkA</t>
  </si>
  <si>
    <t xml:space="preserve">75M138         </t>
  </si>
  <si>
    <t xml:space="preserve">02M116         </t>
  </si>
  <si>
    <t>P.S. 116 MARY LINDLEY MURRAY</t>
  </si>
  <si>
    <t>210 EAST  33 STREET</t>
  </si>
  <si>
    <t>https://nycdoe.sharepoint.com/:w:/s/BAP/EcFybsDkiVtKn09Jg_LfkCgBsmRMxWHhn4nQwakif6nd4Q</t>
  </si>
  <si>
    <t xml:space="preserve">02M124         </t>
  </si>
  <si>
    <t>P.S. 124 YUNG WING</t>
  </si>
  <si>
    <t>40 DIVISION STREET</t>
  </si>
  <si>
    <t>https://nycdoe.sharepoint.com/:w:/s/BAP/EdRmXj1LXRBBk8TUQZTYO48BD5aOFc3EVZRM5PPR0lsnYw</t>
  </si>
  <si>
    <t xml:space="preserve">02M130         </t>
  </si>
  <si>
    <t>P.S. 130 HERNANDO DE SOTO</t>
  </si>
  <si>
    <t>143 BAXTER STREET</t>
  </si>
  <si>
    <t>https://nycdoe.sharepoint.com/:w:/s/BAP/EappMdua2-5Jnkg6KucCjHEByU4tRQYO1RcM750tAbtymw</t>
  </si>
  <si>
    <t xml:space="preserve">02M131         </t>
  </si>
  <si>
    <t>100 HESTER STREET</t>
  </si>
  <si>
    <t>https://nycdoe.sharepoint.com/:w:/s/BAP/Ef0w4nz9nulJqI_I7UvqncAB2ny_ErTe6-WDfaqudHz7UQ</t>
  </si>
  <si>
    <t xml:space="preserve">02M298         </t>
  </si>
  <si>
    <t>PACE HIGH SCHOOL</t>
  </si>
  <si>
    <t xml:space="preserve">02M394         </t>
  </si>
  <si>
    <t>EMMA LAZARUS HIGH SCHOOL</t>
  </si>
  <si>
    <t xml:space="preserve">02M158         </t>
  </si>
  <si>
    <t>P.S. 158 BAYARD TAYLOR</t>
  </si>
  <si>
    <t>1458 YORK AVENUE</t>
  </si>
  <si>
    <t>https://nycdoe.sharepoint.com/:w:/s/BAP/EX5B3OoY9E1Kt1xQFgvZD_ABlBJCFGPcGntBGklhkqOqQQ</t>
  </si>
  <si>
    <t xml:space="preserve">02M177         </t>
  </si>
  <si>
    <t>YORKVILLE EAST MIDDLE SCHOOL</t>
  </si>
  <si>
    <t>M167</t>
  </si>
  <si>
    <t xml:space="preserve">02M167         </t>
  </si>
  <si>
    <t>J.H.S. 167 ROBERT F. WAGNER</t>
  </si>
  <si>
    <t>220 EAST  76 STREET</t>
  </si>
  <si>
    <t>https://nycdoe.sharepoint.com/:w:/s/BAP/EbYFyIUjidFJnHTeXONx8DIBtTCWJExJ95UgnP2lIaWJbQ</t>
  </si>
  <si>
    <t xml:space="preserve">75M169         </t>
  </si>
  <si>
    <t>P.S. M169 - ROBERT F. KENNEDY</t>
  </si>
  <si>
    <t>110 EAST  88 STREET</t>
  </si>
  <si>
    <t>https://nycdoe.sharepoint.com/:w:/s/BAP/EVUDb0Ejt4BFqggeB2O_koYBtlyy24HeJK4tEqaUi43lGg</t>
  </si>
  <si>
    <t xml:space="preserve">02M183         </t>
  </si>
  <si>
    <t>P.S. 183 ROBERT L. STEVENSON</t>
  </si>
  <si>
    <t>419 EAST  66 STREET</t>
  </si>
  <si>
    <t>https://nycdoe.sharepoint.com/:w:/s/BAP/EZhCzMJJ0OdBnP8d8aYVLCwB3JFwd_PCCCNWLYbgRoK2EQ</t>
  </si>
  <si>
    <t>M198</t>
  </si>
  <si>
    <t>M077</t>
  </si>
  <si>
    <t xml:space="preserve">02M077         </t>
  </si>
  <si>
    <t>P.S. 77 LOWER LAB SCHOOL</t>
  </si>
  <si>
    <t>1700 3 AVENUE</t>
  </si>
  <si>
    <t>https://nycdoe.sharepoint.com/:w:/s/BAP/EepCG2e1bslMpf-wiZ0qO6YBeRPBoW79yljSmoNQ-3EXbQ</t>
  </si>
  <si>
    <t xml:space="preserve">02M198         </t>
  </si>
  <si>
    <t>P.S. 198 ISIDOR E. IDA STRAUS</t>
  </si>
  <si>
    <t xml:space="preserve">02M234         </t>
  </si>
  <si>
    <t>P.S. 234 INDEPENDENCE SCHOOL</t>
  </si>
  <si>
    <t>292 GREENWICH STREET</t>
  </si>
  <si>
    <t>https://nycdoe.sharepoint.com/:w:/s/BAP/ETvZgY803vVPj5kxeHwO5IwBudIG4oxVgk-IwhtLOaGOGw</t>
  </si>
  <si>
    <t xml:space="preserve">02M267         </t>
  </si>
  <si>
    <t>EAST SIDE ELEMENTARY SCHOOL, PS 267</t>
  </si>
  <si>
    <t>213 EAST 63 STREET</t>
  </si>
  <si>
    <t>https://nycdoe.sharepoint.com/:w:/s/BAP/EYnFlXRQo1ZJtHK9btiG7IgBGrzAIBOuN9WOyu4BPmo-Jw</t>
  </si>
  <si>
    <t xml:space="preserve">02M217         </t>
  </si>
  <si>
    <t>P.S./I.S. 217 ROOSEVELT ISLAND</t>
  </si>
  <si>
    <t>645 MAIN STREET</t>
  </si>
  <si>
    <t>https://nycdoe.sharepoint.com/:w:/s/BAP/EXhKZeUYyX9Ama0ZEzrqxsgBY6fDOIipA2v_GFOK-qTcdg</t>
  </si>
  <si>
    <t>55 BATTERY PLACE</t>
  </si>
  <si>
    <t>https://nycdoe.sharepoint.com/:w:/s/BAP/EQZZzgho_DVAm95CGgONaOMBLElkRf_a9E_0G-xF9FWR7w</t>
  </si>
  <si>
    <t xml:space="preserve">02M276         </t>
  </si>
  <si>
    <t>BATTERY PARK CITY SCHOOL</t>
  </si>
  <si>
    <t>425 EAST 35 STREET</t>
  </si>
  <si>
    <t>https://nycdoe.sharepoint.com/:w:/s/BAP/EaA4ejYlg3tDlTWoQgCY6kIB5K3PD1-t2j2NmVyHF0KE7g</t>
  </si>
  <si>
    <t xml:space="preserve">02M281         </t>
  </si>
  <si>
    <t>THE RIVER SCHOOL</t>
  </si>
  <si>
    <t xml:space="preserve">02M316         </t>
  </si>
  <si>
    <t>URBAN ASSEMBLY SCHOOL OF BUSINESS FOR YOUNG WOMEN, THE</t>
  </si>
  <si>
    <t>26 BROADWAY</t>
  </si>
  <si>
    <t>https://nycdoe.sharepoint.com/:w:/s/BAP/EXmm6dwj5VdJkLvyMmFOyQQBCgDAKYQw9_IyEJgz3f9FHQ</t>
  </si>
  <si>
    <t xml:space="preserve">02M580         </t>
  </si>
  <si>
    <t>RICHARD R. GREEN HIGH SCHOOL OF TEACHING</t>
  </si>
  <si>
    <t>7 BEAVER STREET</t>
  </si>
  <si>
    <t xml:space="preserve">02M896         </t>
  </si>
  <si>
    <t>LOWER MANHATTAN COMMUNITY MIDDLE SCHOOL</t>
  </si>
  <si>
    <t xml:space="preserve">02M297         </t>
  </si>
  <si>
    <t>75 MORTON STREET</t>
  </si>
  <si>
    <t>https://nycdoe.sharepoint.com/:w:/s/BAP/EX-JhhCly-FKu4lkxWUYe6wBHB9JDvDq_9JQFKdBDADeIw</t>
  </si>
  <si>
    <t xml:space="preserve">75M751         </t>
  </si>
  <si>
    <t>MANHATTAN SCHOOL FOR CAREER DEVELOPMENT</t>
  </si>
  <si>
    <t xml:space="preserve">02M051         </t>
  </si>
  <si>
    <t>P.S. 051 ELIAS HOWE</t>
  </si>
  <si>
    <t>525 WEST 44 STREET</t>
  </si>
  <si>
    <t>https://nycdoe.sharepoint.com/:w:/s/BAP/EStrrievQIRJouDS30xOmPQBVYjdr6mTnh6L2cSZZCjJ1g</t>
  </si>
  <si>
    <t>590 SIXTH AVENUE</t>
  </si>
  <si>
    <t>https://nycdoe.sharepoint.com/:w:/s/BAP/EebWffIBe2BBnaLa5WhRpCYBRSoas5-vOX_JWzI8YyAQGg</t>
  </si>
  <si>
    <t xml:space="preserve">02M340         </t>
  </si>
  <si>
    <t>SIXTH AVENUE ELEMENTARY SCHOOL</t>
  </si>
  <si>
    <t>64 WEST 17 STREET</t>
  </si>
  <si>
    <t xml:space="preserve">02M343         </t>
  </si>
  <si>
    <t>THE PECK SLIP SCHOOL</t>
  </si>
  <si>
    <t>1 PECK SLIP</t>
  </si>
  <si>
    <t>https://nycdoe.sharepoint.com/:w:/s/BAP/EXRzI6U8omdBmCheSaj7zJIB69BVPeHjX7uu9SxTvs-x1w</t>
  </si>
  <si>
    <t>M390</t>
  </si>
  <si>
    <t>408 EAST 67 STREET</t>
  </si>
  <si>
    <t>https://nycdoe.sharepoint.com/:w:/s/BAP/EaZWsVX_gPxMmiOKqoe6JvwBADdq4UgIK1HwWyjZiYgHmw</t>
  </si>
  <si>
    <t xml:space="preserve">02M313         </t>
  </si>
  <si>
    <t>JAMES BALDWIN SCHOOL, THE: A SCHOOL FOR EXPEDITIONARY LEARNING</t>
  </si>
  <si>
    <t>351 WEST  18 STREET</t>
  </si>
  <si>
    <t>https://nycdoe.sharepoint.com/:w:/s/BAP/EaxI8uO78wBGn4Z1xrKUV38B44e-j4JrqTacJUy0IMI9og</t>
  </si>
  <si>
    <t xml:space="preserve">02M392         </t>
  </si>
  <si>
    <t>MANHATTAN BUSINESS ACADEMY</t>
  </si>
  <si>
    <t xml:space="preserve">02M419         </t>
  </si>
  <si>
    <t>LANDMARK HIGH SCHOOL</t>
  </si>
  <si>
    <t xml:space="preserve">02M422         </t>
  </si>
  <si>
    <t>QUEST TO LEARN</t>
  </si>
  <si>
    <t xml:space="preserve">02M437         </t>
  </si>
  <si>
    <t>HUDSON HIGH SCHOOL OF LEARNING TECHNOLOGIES</t>
  </si>
  <si>
    <t xml:space="preserve">02M605         </t>
  </si>
  <si>
    <t>HUMANITIES PREPARATORY ACADEMY</t>
  </si>
  <si>
    <t>M445</t>
  </si>
  <si>
    <t>M294</t>
  </si>
  <si>
    <t xml:space="preserve">02M294         </t>
  </si>
  <si>
    <t>ESSEX STREET ACADEMY</t>
  </si>
  <si>
    <t>350 GRAND STREET</t>
  </si>
  <si>
    <t>https://nycdoe.sharepoint.com/:w:/s/BAP/Eb8WU5NNO4dEpkUD6hLxqzAB2tpJf5wFJU1dz8TBCDX4mw</t>
  </si>
  <si>
    <t>M305</t>
  </si>
  <si>
    <t xml:space="preserve">02M305         </t>
  </si>
  <si>
    <t>URBAN ASSEMBLY ACADEMY OF GOVERNMENT AND LAW, THE</t>
  </si>
  <si>
    <t>M308</t>
  </si>
  <si>
    <t xml:space="preserve">02M308         </t>
  </si>
  <si>
    <t>LOWER MANHATTAN ARTS ACADEMY</t>
  </si>
  <si>
    <t>M543</t>
  </si>
  <si>
    <t xml:space="preserve">02M543         </t>
  </si>
  <si>
    <t>NEW DESIGN HIGH SCHOOL</t>
  </si>
  <si>
    <t>M545</t>
  </si>
  <si>
    <t xml:space="preserve">02M545         </t>
  </si>
  <si>
    <t>HIGH SCHOOL FOR DUAL LANGUAGE AND ASIAN STUDIES</t>
  </si>
  <si>
    <t xml:space="preserve">02M550         </t>
  </si>
  <si>
    <t>LIBERTY HIGH SCHOOL ACADEMY FOR NEWCOMERS</t>
  </si>
  <si>
    <t>250 WEST  18 STREET</t>
  </si>
  <si>
    <t>https://nycdoe.sharepoint.com/:w:/s/BAP/EdvbWeQtsCNMoI8B7A91XWQB89E3_ryGS78DhO0ExMW2_w</t>
  </si>
  <si>
    <t xml:space="preserve">84M174         </t>
  </si>
  <si>
    <t>SUCCESS ACADEMY CHARTER SCHOOL - UNION SQUARE</t>
  </si>
  <si>
    <t>40 IRVING PLACE</t>
  </si>
  <si>
    <t>https://nycdoe.sharepoint.com/:w:/s/BAP/ERxY8nzMbvBCmpehbTYuvwwBAWjFCZHNXflvWb-qkCDLBQ</t>
  </si>
  <si>
    <t xml:space="preserve">02M374         </t>
  </si>
  <si>
    <t>GRAMERCY ARTS HIGH SCHOOL</t>
  </si>
  <si>
    <t xml:space="preserve">02M399         </t>
  </si>
  <si>
    <t>THE HIGH SCHOOL FOR LANGUAGE AND DIPLOMACY</t>
  </si>
  <si>
    <t xml:space="preserve">02M438         </t>
  </si>
  <si>
    <t>INTERNATIONAL HIGH SCHOOL AT UNION SQUARE</t>
  </si>
  <si>
    <t xml:space="preserve">02M533         </t>
  </si>
  <si>
    <t>UNION SQUARE ACADEMY FOR HEALTH SCIENCES</t>
  </si>
  <si>
    <t xml:space="preserve">02M546         </t>
  </si>
  <si>
    <t>ACADEMY FOR SOFTWARE ENGINEERING</t>
  </si>
  <si>
    <t xml:space="preserve">02M150         </t>
  </si>
  <si>
    <t>28-42 TRINITY PLACE</t>
  </si>
  <si>
    <t>https://nycdoe.sharepoint.com/:w:/s/BAP/EehELiS40LtEooGiFnU4BDYBjYUtGGEk4pS3fpIBjalpkA</t>
  </si>
  <si>
    <t>345 CHAMBERS STREET</t>
  </si>
  <si>
    <t>https://nycdoe.sharepoint.com/:w:/s/BAP/EVCT_3NBxINAvXp0fD6w_S8BRZJcLYISmzxK5N6hewsSFA</t>
  </si>
  <si>
    <t xml:space="preserve">02M475         </t>
  </si>
  <si>
    <t>STUYVESANT HIGH SCHOOL</t>
  </si>
  <si>
    <t xml:space="preserve">02M225         </t>
  </si>
  <si>
    <t>ELLA BAKER SCHOOL</t>
  </si>
  <si>
    <t>317 EAST  67 STREET</t>
  </si>
  <si>
    <t>https://nycdoe.sharepoint.com/:w:/s/BAP/EWIk72gNpWBImgzqmZ_bngIBq_7mFEdvHyO-UyX72sCQcA</t>
  </si>
  <si>
    <t xml:space="preserve">02M449         </t>
  </si>
  <si>
    <t>VANGUARD HIGH SCHOOL</t>
  </si>
  <si>
    <t xml:space="preserve">02M459         </t>
  </si>
  <si>
    <t>MANHATTAN INTERNATIONAL HIGH SCHOOL</t>
  </si>
  <si>
    <t xml:space="preserve">02M519         </t>
  </si>
  <si>
    <t>TALENT UNLIMITED HIGH SCHOOL</t>
  </si>
  <si>
    <t xml:space="preserve">02M565         </t>
  </si>
  <si>
    <t>URBAN ACADEMY LABORATORY HIGH SCHOOL</t>
  </si>
  <si>
    <t xml:space="preserve">02M529         </t>
  </si>
  <si>
    <t>JACQUELINE KENNEDY ONASSIS HIGH SCHOOL</t>
  </si>
  <si>
    <t>120 WEST  46 STREET</t>
  </si>
  <si>
    <t>https://nycdoe.sharepoint.com/:w:/s/BAP/Eciupx0BAC1Hnk5Z7PFVhZEBOgAEUxFGcDqgpH_B0ZPhMA</t>
  </si>
  <si>
    <t xml:space="preserve">02M059         </t>
  </si>
  <si>
    <t>P.S. 059 BEEKMAN HILL INTERNATIONAL</t>
  </si>
  <si>
    <t>231-249 EAST 56 STREET</t>
  </si>
  <si>
    <t>https://nycdoe.sharepoint.com/:w:/s/BAP/Edy02w4b-s1MvvE2oTytzOcBfjLDP5284p4oIh1XNAkUPQ</t>
  </si>
  <si>
    <t xml:space="preserve">02M630         </t>
  </si>
  <si>
    <t>ART AND DESIGN HIGH SCHOOL</t>
  </si>
  <si>
    <t xml:space="preserve">02M135         </t>
  </si>
  <si>
    <t>THE URBAN ASSEMBLY EARLY COLLEGE HIGH SCHOOL OF EMERGENCY MEDICINE</t>
  </si>
  <si>
    <t>411 PEARL STREET</t>
  </si>
  <si>
    <t>https://nycdoe.sharepoint.com/:w:/s/BAP/EbWeo5AXbcNJv_h8rPS5OK8BQEsefca4_DgA7qIfusGMJw</t>
  </si>
  <si>
    <t xml:space="preserve">02M280         </t>
  </si>
  <si>
    <t>MANHATTAN EARLY COLLEGE SCHOOL FOR MARKETING AND MEDIA ARTS</t>
  </si>
  <si>
    <t xml:space="preserve">02M282         </t>
  </si>
  <si>
    <t>URBAN ASSEMBLY MAKER ACADEMY</t>
  </si>
  <si>
    <t xml:space="preserve">02M520         </t>
  </si>
  <si>
    <t>MURRY BERGTRAUM HIGH SCHOOL FOR BUSINESS CAREERS</t>
  </si>
  <si>
    <t>525 WEST 50 STREET</t>
  </si>
  <si>
    <t>https://nycdoe.sharepoint.com/:w:/s/BAP/ERa-F16YollNgbeYqpgjwaABwdmt9Kz_Fo6R77bEqV2I2w</t>
  </si>
  <si>
    <t xml:space="preserve">02M288         </t>
  </si>
  <si>
    <t>FOOD AND FINANCE HIGH SCHOOL</t>
  </si>
  <si>
    <t xml:space="preserve">02M296         </t>
  </si>
  <si>
    <t>HIGH SCHOOL OF HOSPITALITY MANAGEMENT</t>
  </si>
  <si>
    <t xml:space="preserve">02M300         </t>
  </si>
  <si>
    <t>URBAN ASSEMBLY SCHOOL OF DESIGN AND CONSTRUCTION, THE</t>
  </si>
  <si>
    <t xml:space="preserve">02M303         </t>
  </si>
  <si>
    <t>FACING HISTORY SCHOOL, THE</t>
  </si>
  <si>
    <t xml:space="preserve">02M542         </t>
  </si>
  <si>
    <t>MANHATTAN BRIDGES HIGH SCHOOL</t>
  </si>
  <si>
    <t xml:space="preserve">02M600         </t>
  </si>
  <si>
    <t>THE HIGH SCHOOL OF FASHION INDUSTRIES</t>
  </si>
  <si>
    <t>225 WEST  24 STREET</t>
  </si>
  <si>
    <t>https://nycdoe.sharepoint.com/:w:/s/BAP/ETNekfGXCM1EihXe_QlKbQQBvh6mOr7yZKeeTShH-A42AA</t>
  </si>
  <si>
    <t xml:space="preserve">84M351         </t>
  </si>
  <si>
    <t>SUCCESS ACADEMY CHARTER SCHOOL - HARLEM 1</t>
  </si>
  <si>
    <t>111 EAST 33 STREET</t>
  </si>
  <si>
    <t>https://nycdoe.sharepoint.com/:w:/s/BAP/ESI7H0DXe6dCjL53dJrnLq0BOpd4i3ce3gZjDpiA-8_y4w</t>
  </si>
  <si>
    <t xml:space="preserve">02M427         </t>
  </si>
  <si>
    <t>MANHATTAN ACADEMY FOR ARTS &amp; LANGUAGE</t>
  </si>
  <si>
    <t xml:space="preserve">02M432         </t>
  </si>
  <si>
    <t>MURRAY HILL ACADEMY</t>
  </si>
  <si>
    <t xml:space="preserve">02M500         </t>
  </si>
  <si>
    <t>UNITY CENTER FOR URBAN TECHNOLOGIES</t>
  </si>
  <si>
    <t xml:space="preserve">02M139         </t>
  </si>
  <si>
    <t>STEPHEN T. MATHER BUILDING ARTS &amp; CRAFTSMANSHIP HIGH SCHOOL</t>
  </si>
  <si>
    <t>439 WEST 49 STREET</t>
  </si>
  <si>
    <t>https://nycdoe.sharepoint.com/:w:/s/BAP/EfkMShLrzOdMgwfY-FoERXgBNwACijrwk7d59zy43P2asg</t>
  </si>
  <si>
    <t xml:space="preserve">84M170         </t>
  </si>
  <si>
    <t>SUCCESS ACADEMY CHARTER SCHOOL - HELL'S KITCHEN</t>
  </si>
  <si>
    <t xml:space="preserve">02M393         </t>
  </si>
  <si>
    <t xml:space="preserve">BUSINESS OF SPORTS SCHOOL </t>
  </si>
  <si>
    <t xml:space="preserve">02M507         </t>
  </si>
  <si>
    <t>URBAN ASSEMBLY GATEWAY SCHOOL FOR TECHNOLOGY</t>
  </si>
  <si>
    <t xml:space="preserve">02M560         </t>
  </si>
  <si>
    <t>HIGH SCHOOL M560 - CITY AS SCHOOL</t>
  </si>
  <si>
    <t>16 CLARKSON STREET</t>
  </si>
  <si>
    <t>https://nycdoe.sharepoint.com/:w:/s/BAP/EQF50cw7vk5KrRv03qQmW8UBLo-gXTdIz4F2N4T5OJGHhw</t>
  </si>
  <si>
    <t>250 WEST HOUSTON STREET</t>
  </si>
  <si>
    <t>127 EAST  22 STREET</t>
  </si>
  <si>
    <t>https://nycdoe.sharepoint.com/:w:/s/BAP/EaZTl-sg-vRAkiuPWL6zcloBqXfiRVjj5E6fwrtD42E7PA</t>
  </si>
  <si>
    <t xml:space="preserve">02M413         </t>
  </si>
  <si>
    <t>SCHOOL OF THE FUTURE HIGH SCHOOL</t>
  </si>
  <si>
    <t xml:space="preserve">02M575         </t>
  </si>
  <si>
    <t>MANHATTAN COMPREHENSIVE NIGHT AND DAY HIGH SCHOOL</t>
  </si>
  <si>
    <t>240 2 AVENUE</t>
  </si>
  <si>
    <t>https://nycdoe.sharepoint.com/:w:/s/BAP/ERY-QANGQCpPjG0XOHHIZqQB6XROXfUimHb0wDCDJYXfRw</t>
  </si>
  <si>
    <t xml:space="preserve">02M586         </t>
  </si>
  <si>
    <t>HARVEY MILK HIGH SCHOOL</t>
  </si>
  <si>
    <t>2-10 ASTOR PLACE</t>
  </si>
  <si>
    <t>https://nycdoe.sharepoint.com/:w:/s/BAP/EQHZenEtLChCsGssbAIgq6sBnXbgNMqAYEtZrzk-usLWCA</t>
  </si>
  <si>
    <t>75 BROAD STREET</t>
  </si>
  <si>
    <t>https://nycdoe.sharepoint.com/:w:/s/BAP/EQGwaC1rIoJDgL-ct5WUYUcBbsfdVVYJhp6-qBcOTyHQ5A</t>
  </si>
  <si>
    <t xml:space="preserve">02M418         </t>
  </si>
  <si>
    <t>MILLENNIUM HIGH SCHOOL</t>
  </si>
  <si>
    <t>M827</t>
  </si>
  <si>
    <t>500 8 AVENUE</t>
  </si>
  <si>
    <t>https://nycdoe.sharepoint.com/:w:/s/BAP/EUDcW2rO0g5Bm1SMxOLS9I8BRx-Tky5dUKIfevPj4tS21Q</t>
  </si>
  <si>
    <t xml:space="preserve">02M489         </t>
  </si>
  <si>
    <t>HIGH SCHOOL OF ECONOMICS AND FINANCE</t>
  </si>
  <si>
    <t>100 TRINITY PLACE</t>
  </si>
  <si>
    <t>https://nycdoe.sharepoint.com/:w:/s/BAP/EcYznEmTMKhHqx_Tu4cWhrABDgFkFrFBKm13_pDoRmS4vw</t>
  </si>
  <si>
    <t xml:space="preserve">02M400         </t>
  </si>
  <si>
    <t>HIGH SCHOOL FOR ENVIRONMENTAL STUDIES</t>
  </si>
  <si>
    <t>444 WEST 56 STREET</t>
  </si>
  <si>
    <t>https://nycdoe.sharepoint.com/:w:/s/BAP/ERz9JjDQ5DZNpmNA4VO91MQBAVQKKULHcBVTX0GTeGCo5Q</t>
  </si>
  <si>
    <t xml:space="preserve">02M544         </t>
  </si>
  <si>
    <t>INDEPENDENCE HIGH SCHOOL</t>
  </si>
  <si>
    <t>850 10 AVENUE</t>
  </si>
  <si>
    <t>M843</t>
  </si>
  <si>
    <t>200 CHAMBERS STREET</t>
  </si>
  <si>
    <t>https://nycdoe.sharepoint.com/:w:/s/BAP/EWCDsTDotVNFnUa5WlyHUOsBPkC9oI1PawzougrK5OhFjg</t>
  </si>
  <si>
    <t>M844</t>
  </si>
  <si>
    <t>400 FIRST AVENUE</t>
  </si>
  <si>
    <t>https://nycdoe.sharepoint.com/:w:/s/BAP/EU5uvq6s5GpPrkp0u12guxoBMoagWOABki5-Blw5XjQMZA</t>
  </si>
  <si>
    <t xml:space="preserve">02M416         </t>
  </si>
  <si>
    <t>ELEANOR ROOSEVELT HIGH SCHOOL</t>
  </si>
  <si>
    <t>411 EAST 76 STREET</t>
  </si>
  <si>
    <t>https://nycdoe.sharepoint.com/:w:/s/BAP/EfY-QZTKtahFnIsLFaax-40BBoZQn9xqXYkCyhoACEYneg</t>
  </si>
  <si>
    <t>10 EAST 15 STREET</t>
  </si>
  <si>
    <t>https://nycdoe.sharepoint.com/:w:/s/BAP/Ef28dzH94pROs4gcZ4gWMr8B2heMffuyEr-HJCvU17N2sw</t>
  </si>
  <si>
    <t xml:space="preserve">02M260         </t>
  </si>
  <si>
    <t>THE CLINTON SCHOOL</t>
  </si>
  <si>
    <t xml:space="preserve">02M411         </t>
  </si>
  <si>
    <t>BARUCH COLLEGE CAMPUS HIGH SCHOOL</t>
  </si>
  <si>
    <t>55 EAST  25 STREET</t>
  </si>
  <si>
    <t>https://nycdoe.sharepoint.com/:w:/s/BAP/ERTB5JllCVRKrywK2drf6KoBVqJms-UBJ73-DGgyDEK8lQ</t>
  </si>
  <si>
    <t>M875</t>
  </si>
  <si>
    <t>12 WEST  12 STREET</t>
  </si>
  <si>
    <t>https://nycdoe.sharepoint.com/:w:/s/BAP/EYwXVjQOcyJEg17s56eMPRAB_nuf-mP8_2T0hUoMicuYqg</t>
  </si>
  <si>
    <t xml:space="preserve">02M551         </t>
  </si>
  <si>
    <t>URBAN ASSEMBLY NEW YORK HARBOR SCHOOL</t>
  </si>
  <si>
    <t>10 SOUTH STREET, SLIP 7</t>
  </si>
  <si>
    <t>https://nycdoe.sharepoint.com/:w:/s/BAP/EcJPkHod9gVIgU089B1Od0MBzJkbm0xPKxey5cIezAs3og</t>
  </si>
  <si>
    <t>M883</t>
  </si>
  <si>
    <t>M534</t>
  </si>
  <si>
    <t xml:space="preserve">02M534         </t>
  </si>
  <si>
    <t>HARVEST COLLEGIATE HIGH SCHOOL</t>
  </si>
  <si>
    <t>34 WEST  14 STREET</t>
  </si>
  <si>
    <t>https://nycdoe.sharepoint.com/:w:/s/BAP/EYeE5-zlN7ZBsZu0UPl6roEBRC6WOaabTwfjZT3M1OhBug</t>
  </si>
  <si>
    <t>M395</t>
  </si>
  <si>
    <t xml:space="preserve">02M395         </t>
  </si>
  <si>
    <t>A SCHOOL WITHOUT WALLS</t>
  </si>
  <si>
    <t>90 TRINITY PLACE</t>
  </si>
  <si>
    <t>https://nycdoe.sharepoint.com/:w:/s/BAP/Ebxyvgqs42ZDlmbQumoXKO4BE5b_P_r3pVaSlYic1DQTpw</t>
  </si>
  <si>
    <t xml:space="preserve">02M425         </t>
  </si>
  <si>
    <t>LEADERSHIP AND PUBLIC SERVICE HIGH SCHOOL</t>
  </si>
  <si>
    <t xml:space="preserve">02M531         </t>
  </si>
  <si>
    <t>REPERTORY COMPANY HIGH SCHOOL FOR THEATRE ARTS</t>
  </si>
  <si>
    <t>123 WEST  43 STREET</t>
  </si>
  <si>
    <t>https://nycdoe.sharepoint.com/:w:/s/BAP/EdusnGs7a_BPkMeiFMUoYhgBpCUBcjbJE-2NI4lStbbcSw</t>
  </si>
  <si>
    <t xml:space="preserve">75M035         </t>
  </si>
  <si>
    <t>522 WEST 44 STREET</t>
  </si>
  <si>
    <t>https://nycdoe.sharepoint.com/:w:/s/BAP/ES-s0S3qCFtAqlNQ5L3sZjwBX-ous7XsvNaNehfcpt_8-g</t>
  </si>
  <si>
    <t xml:space="preserve">03M479         </t>
  </si>
  <si>
    <t>BEACON HIGH SCHOOL</t>
  </si>
  <si>
    <t xml:space="preserve">02M570         </t>
  </si>
  <si>
    <t>SATELLITE ACADEMY HIGH SCHOOL</t>
  </si>
  <si>
    <t>120 WEST  30 STREET</t>
  </si>
  <si>
    <t>https://nycdoe.sharepoint.com/:w:/s/BAP/EUGQJUPBZfRHp1kGTBRwQaUBc51Rw94dh6GWWv779CuXnQ</t>
  </si>
  <si>
    <t>12 SPRUCE STREET</t>
  </si>
  <si>
    <t>https://nycdoe.sharepoint.com/:w:/s/BAP/Eai2c0eLgeZMj1ELAqlnnDUBmfLYi3_CmzNymL2oV3g9Aw</t>
  </si>
  <si>
    <t xml:space="preserve">02M397         </t>
  </si>
  <si>
    <t>SPRUCE STREET SCHOOL</t>
  </si>
  <si>
    <t xml:space="preserve">03M009         </t>
  </si>
  <si>
    <t>P.S. 009 SARAH ANDERSON</t>
  </si>
  <si>
    <t>100 WEST  84 STREET</t>
  </si>
  <si>
    <t>https://nycdoe.sharepoint.com/:w:/s/BAP/ES7rUr8uPoZIquftgzKmXFsBGg5XF_4vcC_5KiG6Hp5u8Q</t>
  </si>
  <si>
    <t xml:space="preserve">03M243         </t>
  </si>
  <si>
    <t>M.S. 243 CENTER SCHOOL</t>
  </si>
  <si>
    <t xml:space="preserve">03M245         </t>
  </si>
  <si>
    <t>M.S. M245 THE COMPUTER SCHOOL</t>
  </si>
  <si>
    <t>100 WEST  77 STREET</t>
  </si>
  <si>
    <t>https://nycdoe.sharepoint.com/:w:/s/BAP/EVWnqe8duKtHu_mlfnmCyHEBjMAgwW3mhAeLk025Fv1kcg</t>
  </si>
  <si>
    <t xml:space="preserve">03M247         </t>
  </si>
  <si>
    <t>M.S. M247 DUAL LANGUAGE MIDDLE SCHOOL</t>
  </si>
  <si>
    <t xml:space="preserve">03M334         </t>
  </si>
  <si>
    <t>THE ANDERSON SCHOOL</t>
  </si>
  <si>
    <t>M054</t>
  </si>
  <si>
    <t xml:space="preserve">03M054         </t>
  </si>
  <si>
    <t>J.H.S. 054 BOOKER T. WASHINGTON</t>
  </si>
  <si>
    <t>104 WEST 108 STREET</t>
  </si>
  <si>
    <t>https://nycdoe.sharepoint.com/:w:/s/BAP/ERQQa321O6hEogc65URgyR4BaXM0lCifAverinkg_Vqcpw</t>
  </si>
  <si>
    <t xml:space="preserve">03M075         </t>
  </si>
  <si>
    <t>P.S. 075 EMILY DICKINSON</t>
  </si>
  <si>
    <t>309 WEST 95 STREET</t>
  </si>
  <si>
    <t>https://nycdoe.sharepoint.com/:w:/s/BAP/ESw5mMFMHCRKlLHrgtjHlo0B1NYZPPwwF_Q4oxEVLz4O8Q</t>
  </si>
  <si>
    <t xml:space="preserve">03M084         </t>
  </si>
  <si>
    <t>P.S. 084 LILLIAN WEBER</t>
  </si>
  <si>
    <t>32 WEST  92 STREET</t>
  </si>
  <si>
    <t>https://nycdoe.sharepoint.com/:w:/s/BAP/ER79Wl8zFaJPv8csdNJTA60BlG1Ica8sZDH2vJDeMaa2Sw</t>
  </si>
  <si>
    <t>215 WEST 114 STREET</t>
  </si>
  <si>
    <t>https://nycdoe.sharepoint.com/:w:/s/BAP/EaZypAEBG4dNniMzvSqbOPQBDBrPtKz8azu9DNUvUVj1zQ</t>
  </si>
  <si>
    <t xml:space="preserve">03M415         </t>
  </si>
  <si>
    <t>WADLEIGH SECONDARY SCHOOL FOR THE PERFORMING &amp; VISUAL ARTS</t>
  </si>
  <si>
    <t xml:space="preserve">03M860         </t>
  </si>
  <si>
    <t>FREDERICK DOUGLASS ACADEMY II SECONDARY SCHOOL</t>
  </si>
  <si>
    <t xml:space="preserve">03M241         </t>
  </si>
  <si>
    <t>STEM INSTITUTE OF MANHATTAN</t>
  </si>
  <si>
    <t>240 WEST 113 STREET</t>
  </si>
  <si>
    <t>https://nycdoe.sharepoint.com/:w:/s/BAP/EXyr8Bdoy6NPisRgB1mL-aMBozJmYtnmgu-V45yilJdfVg</t>
  </si>
  <si>
    <t xml:space="preserve">84M279         </t>
  </si>
  <si>
    <t>OPPORTUNITY CHARTER SCHOOL</t>
  </si>
  <si>
    <t xml:space="preserve">84M386         </t>
  </si>
  <si>
    <t>SUCCESS ACADEMY CHARTER SCHOOL - HARLEM 4</t>
  </si>
  <si>
    <t xml:space="preserve">03M256         </t>
  </si>
  <si>
    <t>LAFAYETTE ACADEMY</t>
  </si>
  <si>
    <t>154 WEST  93 STREET</t>
  </si>
  <si>
    <t>https://nycdoe.sharepoint.com/:w:/s/BAP/Eb9hhE4y_JlLtQgLICKNA8YBcI56TUoHBJCpCnMcMAnrXw</t>
  </si>
  <si>
    <t xml:space="preserve">03M258         </t>
  </si>
  <si>
    <t>COMMUNITY ACTION SCHOOL - MS 258</t>
  </si>
  <si>
    <t xml:space="preserve">03M333         </t>
  </si>
  <si>
    <t>P.S. 333 MANHATTAN SCHOOL FOR CHILDREN</t>
  </si>
  <si>
    <t xml:space="preserve">03M242         </t>
  </si>
  <si>
    <t>P.S. 242 - THE YOUNG DIPLOMATS MAGNET ACADEMY</t>
  </si>
  <si>
    <t>134 WEST 122 STREET</t>
  </si>
  <si>
    <t>https://nycdoe.sharepoint.com/:w:/s/BAP/ESe0Ruk3GqJBm9Y-tqQsRAYB3hsC73pKQjna6yZ4TBAZ2g</t>
  </si>
  <si>
    <t xml:space="preserve">84M861         </t>
  </si>
  <si>
    <t>FUTURE LEADERS INSTITUTE CHARTER SCHOOL</t>
  </si>
  <si>
    <t xml:space="preserve">03M145         </t>
  </si>
  <si>
    <t>P.S. 145, THE BLOOMINGDALE SCHOOL</t>
  </si>
  <si>
    <t>150 WEST 105 STREET</t>
  </si>
  <si>
    <t>https://nycdoe.sharepoint.com/:w:/s/BAP/ERGCZRcgzJJMu7QFI0C2xw0BlsTn_gDRE_OljnnGJtNH1A</t>
  </si>
  <si>
    <t xml:space="preserve">03M149         </t>
  </si>
  <si>
    <t>P.S. 149 SOJOURNER TRUTH</t>
  </si>
  <si>
    <t>34 WEST 118 STREET</t>
  </si>
  <si>
    <t>https://nycdoe.sharepoint.com/:w:/s/BAP/EcbKHXpvAJxNqSk6XjrimR8BqEiB7qlyEz18RiYt2oZ9jA</t>
  </si>
  <si>
    <t xml:space="preserve">75M811         </t>
  </si>
  <si>
    <t>P.S. M811 - MICKEY MANTLE SCHOOL</t>
  </si>
  <si>
    <t xml:space="preserve">03M163         </t>
  </si>
  <si>
    <t>P.S. 163 ALFRED E. SMITH</t>
  </si>
  <si>
    <t>163 WEST  97 STREET</t>
  </si>
  <si>
    <t>https://nycdoe.sharepoint.com/:w:/s/BAP/ER9ZgodPenNChneTGOQVVmQB6nua9P-n_HXBhAzGSw4U9g</t>
  </si>
  <si>
    <t xml:space="preserve">03M165         </t>
  </si>
  <si>
    <t>P.S. 165 ROBERT E. SIMON</t>
  </si>
  <si>
    <t>234 WEST 109 STREET</t>
  </si>
  <si>
    <t>https://nycdoe.sharepoint.com/:w:/s/BAP/EZNK322lw9xAqYoocahAjp4B6bpw-ZQKJcYymJ7CTH6ofQ</t>
  </si>
  <si>
    <t xml:space="preserve">03M166         </t>
  </si>
  <si>
    <t>P.S. 166 THE RICHARD RODGERS SCHOOL OF THE ARTS AND TECHNOLOGY</t>
  </si>
  <si>
    <t>132 WEST  89 STREET</t>
  </si>
  <si>
    <t>https://nycdoe.sharepoint.com/:w:/s/BAP/EQmoDazO8s1KuVHAxqVq_YEBKUOVYtCj1srcytO_f191yg</t>
  </si>
  <si>
    <t xml:space="preserve">03M180         </t>
  </si>
  <si>
    <t>P.S. 180 HUGO NEWMAN</t>
  </si>
  <si>
    <t>370 WEST 120 STREET</t>
  </si>
  <si>
    <t>https://nycdoe.sharepoint.com/:w:/s/BAP/EViY2KOc26hBl3PDTy0MJBMBZLFSx9r6e7ioJsXNFRVwwA</t>
  </si>
  <si>
    <t xml:space="preserve">03M452         </t>
  </si>
  <si>
    <t>210 WEST  61 STREET</t>
  </si>
  <si>
    <t>https://nycdoe.sharepoint.com/:w:/s/BAP/EY57qSTaWBpKmYOMT3S1l_MBP-EnyRjFsWs3hKk8XUcajw</t>
  </si>
  <si>
    <t xml:space="preserve">03M199         </t>
  </si>
  <si>
    <t>P.S. 199 JESSE ISIDOR STRAUS</t>
  </si>
  <si>
    <t>270 WEST  70 STREET</t>
  </si>
  <si>
    <t>https://nycdoe.sharepoint.com/:w:/s/BAP/EbnmrNWnxi9Khbbqz76tvskBtRZSt752aBtoUtNdtowj2A</t>
  </si>
  <si>
    <t>41 WEST 117 STREET</t>
  </si>
  <si>
    <t>https://nycdoe.sharepoint.com/:w:/s/BAP/EYvA6QcLeSpFv06CWjl8hiUBoBA9sVqvdTFeUe_myIoABw</t>
  </si>
  <si>
    <t xml:space="preserve">03M191         </t>
  </si>
  <si>
    <t>THE RIVERSIDE SCHOOL FOR MAKERS AND ARTISTS</t>
  </si>
  <si>
    <t>300 WEST 61 STREET</t>
  </si>
  <si>
    <t>https://nycdoe.sharepoint.com/:w:/s/BAP/EXzqHVJVAyJFiNG4H1IEw-UBJN6bk52Y9u2b-fLu7UslBA</t>
  </si>
  <si>
    <t xml:space="preserve">03M402         </t>
  </si>
  <si>
    <t>THE URBAN ASSEMBLY SCHOOL FOR GREEN CAREERS</t>
  </si>
  <si>
    <t>145 WEST  84 STREET</t>
  </si>
  <si>
    <t>https://nycdoe.sharepoint.com/:w:/s/BAP/EYylwdWVzZRBmOwGLQXQI5QBdRbk9Uyn7JSB57uV_dUtvg</t>
  </si>
  <si>
    <t xml:space="preserve">03M403         </t>
  </si>
  <si>
    <t>THE GLOBAL LEARNING COLLABORATIVE</t>
  </si>
  <si>
    <t xml:space="preserve">03M404         </t>
  </si>
  <si>
    <t>INNOVATION DIPLOMA PLUS</t>
  </si>
  <si>
    <t xml:space="preserve">03M417         </t>
  </si>
  <si>
    <t>FRANK MCCOURT HIGH SCHOOL</t>
  </si>
  <si>
    <t xml:space="preserve">84M523         </t>
  </si>
  <si>
    <t>SUCCESS ACADEMY CHARTER SCHOOL - UPPER WEST</t>
  </si>
  <si>
    <t xml:space="preserve">03M485         </t>
  </si>
  <si>
    <t>FIORELLO H. LAGUARDIA HIGH SCHOOL OF MUSIC &amp; ART AND PERFORMING ARTS</t>
  </si>
  <si>
    <t>100 AMSTERDAM AVENUE</t>
  </si>
  <si>
    <t>https://nycdoe.sharepoint.com/:w:/s/BAP/EV_gUrEwXg9AjySjLTyS3nMB8HaozPzjUxgsacOcviKEKQ</t>
  </si>
  <si>
    <t xml:space="preserve">03M307         </t>
  </si>
  <si>
    <t>URBAN ASSEMBLY SCHOOL FOR MEDIA STUDIES, THE</t>
  </si>
  <si>
    <t>122 AMSTERDAM AVENUE</t>
  </si>
  <si>
    <t>https://nycdoe.sharepoint.com/:w:/s/BAP/ETbYk3FdqY9Ctu4P4T2BeFEBWU2swvs2NtpUu_YmB5aB1g</t>
  </si>
  <si>
    <t xml:space="preserve">03M492         </t>
  </si>
  <si>
    <t>HIGH SCHOOL FOR LAW, ADVOCACY AND COMMUNITY JUSTICE</t>
  </si>
  <si>
    <t xml:space="preserve">03M494         </t>
  </si>
  <si>
    <t>HIGH SCHOOL OF ARTS AND TECHNOLOGY</t>
  </si>
  <si>
    <t xml:space="preserve">03M541         </t>
  </si>
  <si>
    <t>MANHATTAN / HUNTER SCIENCE HIGH SCHOOL</t>
  </si>
  <si>
    <t xml:space="preserve">03M859         </t>
  </si>
  <si>
    <t>SPECIAL MUSIC SCHOOL</t>
  </si>
  <si>
    <t xml:space="preserve">03M610         </t>
  </si>
  <si>
    <t>YOUNG WOMEN'S LEADERSHIP SCHOOL</t>
  </si>
  <si>
    <t>140 WEST 102 STREET</t>
  </si>
  <si>
    <t>https://nycdoe.sharepoint.com/:w:/s/BAP/EXR7jVIHh3ZKum4j-FPumvMBTKKHXD1JVk4Ta_wPERXeoQ</t>
  </si>
  <si>
    <t xml:space="preserve">03M291         </t>
  </si>
  <si>
    <t>WEST END SECONDARY SCHOOL</t>
  </si>
  <si>
    <t>227-243 WEST 61 STREET</t>
  </si>
  <si>
    <t>https://nycdoe.sharepoint.com/:w:/s/BAP/Ebn1GTr4gjFOr-hWqK9ofwoBgo2L6k5Ty4rxorcl_tTTpw</t>
  </si>
  <si>
    <t>466 WEST END AVENUE</t>
  </si>
  <si>
    <t>https://nycdoe.sharepoint.com/:w:/s/BAP/EdGKCG8Z2mBGrFtkl-uA9i8B5Jm3dMCVMq8t1zi8OlekUg</t>
  </si>
  <si>
    <t>129 WEST  67 STREET</t>
  </si>
  <si>
    <t>https://nycdoe.sharepoint.com/:w:/s/BAP/EVisNvos1TlBtR_qnASSWZMBu0G-3cAlKf8Y8kuMHn21rg</t>
  </si>
  <si>
    <t xml:space="preserve">04M007         </t>
  </si>
  <si>
    <t>P.S. 007 SAMUEL STERN</t>
  </si>
  <si>
    <t>160 EAST 120 STREET</t>
  </si>
  <si>
    <t>https://nycdoe.sharepoint.com/:w:/s/BAP/EebgCp1LD8lEkyJQdco30ckBlxzVqOLQSSWV2MKoIlrZOA</t>
  </si>
  <si>
    <t>M013</t>
  </si>
  <si>
    <t>M168</t>
  </si>
  <si>
    <t xml:space="preserve">84M168         </t>
  </si>
  <si>
    <t>EAST HARLEM SCHOLARS ACADEMY CHARTER SCHOOL II</t>
  </si>
  <si>
    <t>1573 MADISON AVENUE</t>
  </si>
  <si>
    <t>https://nycdoe.sharepoint.com/:w:/s/BAP/EQKLydvyZgtLu2Shpu_mO_4ByzSQBZXBs6KwauqZqmf9gA</t>
  </si>
  <si>
    <t>M497</t>
  </si>
  <si>
    <t xml:space="preserve">04M497         </t>
  </si>
  <si>
    <t>CENTRAL PARK EAST I</t>
  </si>
  <si>
    <t>M555</t>
  </si>
  <si>
    <t xml:space="preserve">04M555         </t>
  </si>
  <si>
    <t>CENTRAL PARK EAST HIGH SCHOOL</t>
  </si>
  <si>
    <t xml:space="preserve">84M337         </t>
  </si>
  <si>
    <t>NYC AUTISM CHARTER SCHOOL EAST HARLEM</t>
  </si>
  <si>
    <t>433 EAST 100 STREET</t>
  </si>
  <si>
    <t>https://nycdoe.sharepoint.com/:w:/s/BAP/EV8XVYP-3KhEg5WEsqj-LzAB4zrco5eM_UeIK2pQspuTmg</t>
  </si>
  <si>
    <t xml:space="preserve">84M382         </t>
  </si>
  <si>
    <t>DREAM CHARTER SCHOOL EAST HARLEM</t>
  </si>
  <si>
    <t xml:space="preserve">04M964         </t>
  </si>
  <si>
    <t>CENTRAL PARK EAST II</t>
  </si>
  <si>
    <t>M072</t>
  </si>
  <si>
    <t xml:space="preserve">04M072         </t>
  </si>
  <si>
    <t>THE LEXINGTON ACADEMY</t>
  </si>
  <si>
    <t>131 EAST 104 STREET</t>
  </si>
  <si>
    <t>https://nycdoe.sharepoint.com/:w:/s/BAP/EbuWziSaZ8NPkBLTj6zhG4gBtXtYspMZtnI7YI3h6NW3tw</t>
  </si>
  <si>
    <t xml:space="preserve">04M083         </t>
  </si>
  <si>
    <t>P.S. 083 LUIS MUNOZ RIVERA</t>
  </si>
  <si>
    <t>219 EAST 109 STREET</t>
  </si>
  <si>
    <t>https://nycdoe.sharepoint.com/:w:/s/BAP/ERlYZSeSswJFtxg3jj5lg0cBw9Hw7OzdGbDM0WlYOiv4gQ</t>
  </si>
  <si>
    <t xml:space="preserve">04M182         </t>
  </si>
  <si>
    <t>THE BILINGUAL BICULTURAL SCHOOL</t>
  </si>
  <si>
    <t>M096</t>
  </si>
  <si>
    <t xml:space="preserve">04M096         </t>
  </si>
  <si>
    <t>P.S. 096 JOSEPH LANZETTA</t>
  </si>
  <si>
    <t>216 EAST 120 STREET</t>
  </si>
  <si>
    <t>https://nycdoe.sharepoint.com/:w:/s/BAP/EU10Wa97JrFHlF-nTEuvip8BXae2QbIn2OWFFYxa8V7y9A</t>
  </si>
  <si>
    <t>141 EAST 111 STREET</t>
  </si>
  <si>
    <t>https://nycdoe.sharepoint.com/:w:/s/BAP/EcW-PR9wSXJOhHEm0pWOPz0BqlUZOkY3z9FzgoTFh-U11g</t>
  </si>
  <si>
    <t xml:space="preserve">04M375         </t>
  </si>
  <si>
    <t>MOSAIC PREPARATORY ACADEMY</t>
  </si>
  <si>
    <t xml:space="preserve">84M385         </t>
  </si>
  <si>
    <t>SUCCESS ACADEMY CHARTER SCHOOL - HARLEM 3</t>
  </si>
  <si>
    <t>M102</t>
  </si>
  <si>
    <t xml:space="preserve">04M102         </t>
  </si>
  <si>
    <t>P.S. 102 JACQUES CARTIER</t>
  </si>
  <si>
    <t>315 EAST 113 STREET</t>
  </si>
  <si>
    <t>https://nycdoe.sharepoint.com/:w:/s/BAP/EZSLdVAyK6ZNiga4RdDly-UB8_pG8PcyYs_jhl6wzf0KbQ</t>
  </si>
  <si>
    <t xml:space="preserve">04M680         </t>
  </si>
  <si>
    <t>HERITAGE SCHOOL, THE</t>
  </si>
  <si>
    <t>1680 LEXINGTON AVENUE</t>
  </si>
  <si>
    <t>https://nycdoe.sharepoint.com/:w:/s/BAP/EXSAu4eUmBpOpwH096zhFFABVxrC0gy_xAux7tmX6Xwh_g</t>
  </si>
  <si>
    <t>M112</t>
  </si>
  <si>
    <t xml:space="preserve">04M112         </t>
  </si>
  <si>
    <t>P.S. 112 JOSE CELSO BARBOSA</t>
  </si>
  <si>
    <t>535 EAST 119 STREET</t>
  </si>
  <si>
    <t>https://nycdoe.sharepoint.com/:w:/s/BAP/EY2YatofxGlGp9NxGCQ3HOYBUwsZSQEiAzyvaiIs-kgiBw</t>
  </si>
  <si>
    <t xml:space="preserve">04M012         </t>
  </si>
  <si>
    <t>TAG YOUNG SCHOLARS</t>
  </si>
  <si>
    <t>240 EAST 109 STREET</t>
  </si>
  <si>
    <t>https://nycdoe.sharepoint.com/:w:/s/BAP/ES7BZ0tdcHpDi7X4SB_ohAcB1OW__oltd3a-losSqFJxZA</t>
  </si>
  <si>
    <t xml:space="preserve">04M372         </t>
  </si>
  <si>
    <t>ESPERANZA PREPARATORY MAGNET SCHOOL</t>
  </si>
  <si>
    <t>M121</t>
  </si>
  <si>
    <t>M038</t>
  </si>
  <si>
    <t xml:space="preserve">04M038         </t>
  </si>
  <si>
    <t>P.S. 38 ROBERTO CLEMENTE</t>
  </si>
  <si>
    <t>232 EAST 103 STREET</t>
  </si>
  <si>
    <t>https://nycdoe.sharepoint.com/:w:/s/BAP/EYr8Kj26DD9DkT7VwxyndM8BxJhUlMJvMDPePt6gIFm2Hw</t>
  </si>
  <si>
    <t xml:space="preserve">04M146         </t>
  </si>
  <si>
    <t>P.S. 146 ANN M. SHORT</t>
  </si>
  <si>
    <t>421 EAST 106 STREET</t>
  </si>
  <si>
    <t>https://nycdoe.sharepoint.com/:w:/s/BAP/EelR_tk78BlDgxiTx3YaxlgBlbWiHgr-F9qta4i2wDMb5g</t>
  </si>
  <si>
    <t>M155</t>
  </si>
  <si>
    <t xml:space="preserve">04M155         </t>
  </si>
  <si>
    <t>P.S. 155 WILLIAM PACA</t>
  </si>
  <si>
    <t>319 EAST 117 STREET</t>
  </si>
  <si>
    <t>https://nycdoe.sharepoint.com/:w:/s/BAP/EUJJBOrlBYFHmMeNaTB9yAUBk7OY13nD5dMSnJojesRu1Q</t>
  </si>
  <si>
    <t>M377</t>
  </si>
  <si>
    <t xml:space="preserve">04M377         </t>
  </si>
  <si>
    <t>RENAISSANCE SCHOOL OF THE ARTS</t>
  </si>
  <si>
    <t>M171</t>
  </si>
  <si>
    <t xml:space="preserve">04M171         </t>
  </si>
  <si>
    <t>P.S. 171 PATRICK HENRY</t>
  </si>
  <si>
    <t>19 EAST 103 STREET</t>
  </si>
  <si>
    <t>https://nycdoe.sharepoint.com/:w:/s/BAP/EbF0-lewCAlHhCXJYSeAO3YB0MFbrq2AGCbgDoBsvX63Tg</t>
  </si>
  <si>
    <t>M206</t>
  </si>
  <si>
    <t xml:space="preserve">04M206         </t>
  </si>
  <si>
    <t>P.S. 206 JOSE CELSO BARBOSA</t>
  </si>
  <si>
    <t>508 EAST 120 STREET</t>
  </si>
  <si>
    <t>https://nycdoe.sharepoint.com/:w:/s/BAP/EQoHVqw0D6dLi4Rvo_lJf38BvFl9tPQZrIpCTAd6edWmEA</t>
  </si>
  <si>
    <t>260 PLEASANT AVENUE</t>
  </si>
  <si>
    <t>https://nycdoe.sharepoint.com/:w:/s/BAP/Ec0k_FRdHWZAqiqcRCCq2E0BAn3yxJudwnvgkZKw7FKBZQ</t>
  </si>
  <si>
    <t xml:space="preserve">04M435         </t>
  </si>
  <si>
    <t>MANHATTAN CENTER FOR SCIENCE AND MATHEMATICS</t>
  </si>
  <si>
    <t xml:space="preserve">04M825         </t>
  </si>
  <si>
    <t>ISAAC NEWTON MIDDLE SCHOOL FOR MATH &amp; SCIENCE</t>
  </si>
  <si>
    <t xml:space="preserve">04M310         </t>
  </si>
  <si>
    <t>THE JUDITH S. KAYE SCHOOL</t>
  </si>
  <si>
    <t>321 EAST  96 STREET</t>
  </si>
  <si>
    <t>https://nycdoe.sharepoint.com/:w:/s/BAP/EZnH4Q4rMDlDvydg9oVcjcUBX-WynXWGeIDMqcBnqLuW1Q</t>
  </si>
  <si>
    <t>M331</t>
  </si>
  <si>
    <t xml:space="preserve">79M331         </t>
  </si>
  <si>
    <t>THE JUDITH S. KAYE SCHOOL - D79</t>
  </si>
  <si>
    <t xml:space="preserve">04M505         </t>
  </si>
  <si>
    <t>EDWARD A. REYNOLDS WEST SIDE HIGH SCHOOL</t>
  </si>
  <si>
    <t>105 EAST 106 STREET</t>
  </si>
  <si>
    <t>https://nycdoe.sharepoint.com/:w:/s/BAP/Ee1VIRC88jFIu9PjiKWnjJsBZ9aCGZP8KJdMUaiD_oXNkg</t>
  </si>
  <si>
    <t xml:space="preserve">05M499         </t>
  </si>
  <si>
    <t>FREDERICK DOUGLASS ACADEMY</t>
  </si>
  <si>
    <t>2581 7 AVENUE</t>
  </si>
  <si>
    <t>https://nycdoe.sharepoint.com/:w:/s/BAP/Ec9UGhliSY9Pokd8DMlouawBcu4naJACCp6yWc6e6V3UnA</t>
  </si>
  <si>
    <t xml:space="preserve">05M030         </t>
  </si>
  <si>
    <t>P.S. 030 HERNANDEZ/HUGHES</t>
  </si>
  <si>
    <t>144-176 EAST 128 STREET</t>
  </si>
  <si>
    <t>https://nycdoe.sharepoint.com/:w:/s/BAP/EWUSh4Ix1QpOhFpNvga5DosBjZA8ptHr1Q6DkoSvVnUPFw</t>
  </si>
  <si>
    <t xml:space="preserve">84M384         </t>
  </si>
  <si>
    <t>SUCCESS ACADEMY CHARTER SCHOOL - HARLEM 2</t>
  </si>
  <si>
    <t xml:space="preserve">05M036         </t>
  </si>
  <si>
    <t>P.S. 036 MARGARET DOUGLAS</t>
  </si>
  <si>
    <t>123 MORNINGSIDE DRIVE</t>
  </si>
  <si>
    <t>https://nycdoe.sharepoint.com/:w:/s/BAP/Eeslhnw0V-5Nu56yxzLvZHkBpz0cHV2NYFiyjwohOsvOiw</t>
  </si>
  <si>
    <t>M043</t>
  </si>
  <si>
    <t>M286</t>
  </si>
  <si>
    <t xml:space="preserve">05M286         </t>
  </si>
  <si>
    <t>URBAN ASSEMBLY ACADEMY FOR FUTURE LEADERS</t>
  </si>
  <si>
    <t>509 WEST 129 STREET</t>
  </si>
  <si>
    <t>https://nycdoe.sharepoint.com/:w:/s/BAP/ERes5GmSoR1Fgj-HH9hCatUBdJPoAmBlOoPVpBBQDhnpWg</t>
  </si>
  <si>
    <t>M369</t>
  </si>
  <si>
    <t xml:space="preserve">05M369         </t>
  </si>
  <si>
    <t>URBAN ASSEMBLY SCHOOL FOR THE PERFORMING ARTS</t>
  </si>
  <si>
    <t>X380</t>
  </si>
  <si>
    <t xml:space="preserve">84X380         </t>
  </si>
  <si>
    <t>SUCCESS ACADEMY CHARTER SCHOOL - BRONX 3</t>
  </si>
  <si>
    <t xml:space="preserve">75M079         </t>
  </si>
  <si>
    <t>P.S. M079 - HORAN SCHOOL</t>
  </si>
  <si>
    <t>55 EAST 120 STREET</t>
  </si>
  <si>
    <t>https://nycdoe.sharepoint.com/:w:/s/BAP/ERyRkftRKHNJqpb3JnBpFsMBCyyzgdigziADvk13QK5JmA</t>
  </si>
  <si>
    <t xml:space="preserve">05M092         </t>
  </si>
  <si>
    <t>P.S. 092 MARY MCLEOD BETHUNE</t>
  </si>
  <si>
    <t>222 WEST 134 STREET</t>
  </si>
  <si>
    <t>https://nycdoe.sharepoint.com/:w:/s/BAP/EfBCcVlbb9xArQkBvIo9gokBJW7DY2x5CLIWaFDqms85nA</t>
  </si>
  <si>
    <t xml:space="preserve">84M350         </t>
  </si>
  <si>
    <t>DEMOCRACY PREPARATORY CHARTER SCHOOL</t>
  </si>
  <si>
    <t xml:space="preserve">84M388         </t>
  </si>
  <si>
    <t>ST. HOPE LEADERSHIP ACADEMY CHARTER SCHOOL</t>
  </si>
  <si>
    <t xml:space="preserve">05M125         </t>
  </si>
  <si>
    <t>P.S. 125 RALPH BUNCHE</t>
  </si>
  <si>
    <t>425 WEST 123 STREET</t>
  </si>
  <si>
    <t>https://nycdoe.sharepoint.com/:w:/s/BAP/ERyfqZTdzENHhBnT8wzhtCABUv1boXWAHB71dT4oilZBCg</t>
  </si>
  <si>
    <t xml:space="preserve">05M362         </t>
  </si>
  <si>
    <t>COLUMBIA SECONDARY SCHOOL</t>
  </si>
  <si>
    <t xml:space="preserve">84M726         </t>
  </si>
  <si>
    <t>KIPP S.T.A.R. COLLEGE PREPARATORY CHARTER SCHOOL</t>
  </si>
  <si>
    <t>433 WEST 123 STREET</t>
  </si>
  <si>
    <t>M133</t>
  </si>
  <si>
    <t xml:space="preserve">05M133         </t>
  </si>
  <si>
    <t>P.S. 133 FRED R MOORE</t>
  </si>
  <si>
    <t>2121 5 AVENUE</t>
  </si>
  <si>
    <t>https://nycdoe.sharepoint.com/:w:/s/BAP/ER3QSYQ52udKmX1YUee1PRcB3GQICrmKyRSICqOmLG_3sg</t>
  </si>
  <si>
    <t>M154</t>
  </si>
  <si>
    <t xml:space="preserve">05M154         </t>
  </si>
  <si>
    <t>P.S. 154 HARRIET TUBMAN</t>
  </si>
  <si>
    <t>250 WEST 127 STREET</t>
  </si>
  <si>
    <t>https://nycdoe.sharepoint.com/:w:/s/BAP/Eb-oKy78MqdAn_gQStwWakgBftvSpiog_7LFzx9geuZx8A</t>
  </si>
  <si>
    <t xml:space="preserve">05M514         </t>
  </si>
  <si>
    <t>NEW DESIGN MIDDLE SCHOOL</t>
  </si>
  <si>
    <t>M161</t>
  </si>
  <si>
    <t xml:space="preserve">05M161         </t>
  </si>
  <si>
    <t>P.S. 161 PEDRO ALBIZU CAMPOS</t>
  </si>
  <si>
    <t>499 WEST 133 STREET</t>
  </si>
  <si>
    <t>https://nycdoe.sharepoint.com/:w:/s/BAP/EWXrFp2jWhpAqoS_NH2LzGcBI5fKdSR96WuRrWtmkp48xw</t>
  </si>
  <si>
    <t xml:space="preserve">05M175         </t>
  </si>
  <si>
    <t>P.S. 175 HENRY H GARNET</t>
  </si>
  <si>
    <t>175 WEST 134 STREET</t>
  </si>
  <si>
    <t>https://nycdoe.sharepoint.com/:w:/s/BAP/EYqIFpgINIpOmlUFfex3ExUBFDqConzHukEEJ98AJFw3sA</t>
  </si>
  <si>
    <t xml:space="preserve">84M482         </t>
  </si>
  <si>
    <t>SUCCESS ACADEMY CHARTER SCHOOL - HARLEM 5</t>
  </si>
  <si>
    <t>M194</t>
  </si>
  <si>
    <t xml:space="preserve">05M194         </t>
  </si>
  <si>
    <t>P.S. 194 COUNTEE CULLEN</t>
  </si>
  <si>
    <t>244 WEST 144 STREET</t>
  </si>
  <si>
    <t>https://nycdoe.sharepoint.com/:w:/s/BAP/EQntKEGh7SBPmN_gMFYmtE0BY0KtyC3J6hN4U5YH8pqhIg</t>
  </si>
  <si>
    <t>M709</t>
  </si>
  <si>
    <t xml:space="preserve">84M709         </t>
  </si>
  <si>
    <t>HARLEM VILLAGE ACADEMY NORTH CHARTER SCHOOL</t>
  </si>
  <si>
    <t xml:space="preserve">84M336         </t>
  </si>
  <si>
    <t>KIPP INFINITY CHARTER SCHOOL</t>
  </si>
  <si>
    <t>625 WEST 133 STREET</t>
  </si>
  <si>
    <t>https://nycdoe.sharepoint.com/:w:/s/BAP/Ed3oXdgdlLJDlq4QtQN1d_MBcrwdoQTRtJVT8ZSpYzOE6w</t>
  </si>
  <si>
    <t xml:space="preserve">05M200         </t>
  </si>
  <si>
    <t>P.S. 200- THE JAMES MCCUNE SMITH SCHOOL</t>
  </si>
  <si>
    <t>2589 7 AVENUE</t>
  </si>
  <si>
    <t>https://nycdoe.sharepoint.com/:w:/s/BAP/ETcithU_vR9IvGZO-zNazB0BRX7jUq09rXJGqBltLZy9ww</t>
  </si>
  <si>
    <t xml:space="preserve">84M702         </t>
  </si>
  <si>
    <t>SISULU-WALKER CHARTER SCHOOL OF HARLEM</t>
  </si>
  <si>
    <t>71-111 CONVENT AVE</t>
  </si>
  <si>
    <t>https://nycdoe.sharepoint.com/:w:/s/BAP/EVTBcRXQVO1JpnPMDdeCVxgBpihOxYALQYgIT76VHgECiQ</t>
  </si>
  <si>
    <t>M484</t>
  </si>
  <si>
    <t>M517</t>
  </si>
  <si>
    <t xml:space="preserve">05M517         </t>
  </si>
  <si>
    <t>TEACHERS COLLEGE COMMUNITY SCHOOL</t>
  </si>
  <si>
    <t>223-233 WEST 132 STREET</t>
  </si>
  <si>
    <t>https://nycdoe.sharepoint.com/:w:/s/BAP/ES6_V32bCSxBhzidb_KMM1oBMUqeusLX6xcno7A06YMQ2g</t>
  </si>
  <si>
    <t xml:space="preserve">05M157         </t>
  </si>
  <si>
    <t>THE URBAN ASSEMBLY SCHOOL FOR GLOBAL COMMERCE</t>
  </si>
  <si>
    <t>2005 MADISON AVENUE</t>
  </si>
  <si>
    <t>https://nycdoe.sharepoint.com/:w:/s/BAP/ERDcNQ9U-fdBm-kGXCUuLYwBUGrJHfia8aQ2xe2-kOsFnQ</t>
  </si>
  <si>
    <t xml:space="preserve">84M481         </t>
  </si>
  <si>
    <t>DEMOCRACY PREPARATORY HARLEM CHARTER SCHOOL</t>
  </si>
  <si>
    <t xml:space="preserve">84M284         </t>
  </si>
  <si>
    <t>HARLEM CHILDREN'S ZONE PROMISE ACADEMY CHARTER SCHOOL</t>
  </si>
  <si>
    <t>245 WEST 129 STREET</t>
  </si>
  <si>
    <t>https://nycdoe.sharepoint.com/:w:/s/BAP/ETGVbkhHFlpDq7LoSN0tvM8BlH0hIgYBUClZfrAryFzlfQ</t>
  </si>
  <si>
    <t xml:space="preserve">05M285         </t>
  </si>
  <si>
    <t>HARLEM RENAISSANCE HIGH SCHOOL</t>
  </si>
  <si>
    <t>22 EAST 128 STREET</t>
  </si>
  <si>
    <t>https://nycdoe.sharepoint.com/:w:/s/BAP/Ee9sgp0JHONIp3qhe7QsykgBmXRNCOBL6rrosDcAdMsglQ</t>
  </si>
  <si>
    <t>M916</t>
  </si>
  <si>
    <t>168 MORNINGSIDE AVENUE</t>
  </si>
  <si>
    <t>https://nycdoe.sharepoint.com/:w:/s/BAP/ETt1Ib1_E5FHrMYvdOPo6QsBCgQZBdfPE73yyhSVhj1eNA</t>
  </si>
  <si>
    <t xml:space="preserve">05M670         </t>
  </si>
  <si>
    <t>THURGOOD MARSHALL ACADEMY FOR LEARNING AND SOCIAL CHANGE</t>
  </si>
  <si>
    <t>200-214 WEST 135 STREET</t>
  </si>
  <si>
    <t>https://nycdoe.sharepoint.com/:w:/s/BAP/EXSl0oSHufhLnK2tr_2fvWsBHSSGpBx-4d6VzXqQqfZXvw</t>
  </si>
  <si>
    <t xml:space="preserve">06M004         </t>
  </si>
  <si>
    <t>P.S. 004 DUKE ELLINGTON</t>
  </si>
  <si>
    <t>500 WEST 160 STREET</t>
  </si>
  <si>
    <t>https://nycdoe.sharepoint.com/:w:/s/BAP/ESyyUez9yXpJixvpPTzaJQ8BKccZcpCGJXHqSXNoQFAFjg</t>
  </si>
  <si>
    <t xml:space="preserve">06M005         </t>
  </si>
  <si>
    <t>P.S. 005 ELLEN LURIE</t>
  </si>
  <si>
    <t>3703 TENTH AVENUE</t>
  </si>
  <si>
    <t>https://nycdoe.sharepoint.com/:w:/s/BAP/EWOoXRTyKL9LhbqXdK6LWsEBA3sirICq9oxLv4SrQQF28A</t>
  </si>
  <si>
    <t xml:space="preserve">06M008         </t>
  </si>
  <si>
    <t>P.S. 008 LUIS BELLIARD</t>
  </si>
  <si>
    <t>465 WEST 167 STREET</t>
  </si>
  <si>
    <t>https://nycdoe.sharepoint.com/:w:/s/BAP/EVhrjeakmZ1AoHa_mMKM6vABBX3HSgWNGP6MJG_LbQQcjQ</t>
  </si>
  <si>
    <t>M028</t>
  </si>
  <si>
    <t xml:space="preserve">06M028         </t>
  </si>
  <si>
    <t>P.S. 028 WRIGHT BROTHERS</t>
  </si>
  <si>
    <t>475 WEST 155 STREET</t>
  </si>
  <si>
    <t>https://nycdoe.sharepoint.com/:w:/s/BAP/EdBPg99Wsf9FhZjKwumB4iEBYncZVfueH2BqKbAk4UuUKA</t>
  </si>
  <si>
    <t xml:space="preserve">06M048         </t>
  </si>
  <si>
    <t>P.S. 048 P.O. MICHAEL J. BUCZEK</t>
  </si>
  <si>
    <t>4360-78 BROADWAY</t>
  </si>
  <si>
    <t>https://nycdoe.sharepoint.com/:w:/s/BAP/EbGwZfgi7a1JlBCZCrKhelABJJORmw9nds4_Dxw0zyHERA</t>
  </si>
  <si>
    <t>M052</t>
  </si>
  <si>
    <t xml:space="preserve">06M052         </t>
  </si>
  <si>
    <t>HAROLD O. LEVY SCHOOL</t>
  </si>
  <si>
    <t>650 ACADEMY STREET</t>
  </si>
  <si>
    <t>https://nycdoe.sharepoint.com/:w:/s/BAP/EeUuOiWLAXlKoTC43mz3TLEBj-R958WHsGg6LYdXHmhl-g</t>
  </si>
  <si>
    <t>M211</t>
  </si>
  <si>
    <t xml:space="preserve">06M211         </t>
  </si>
  <si>
    <t>INWOOD EARLY COLLEGE FOR HEALTH AND INFORMATION TECHNOLOGIES</t>
  </si>
  <si>
    <t>M423</t>
  </si>
  <si>
    <t xml:space="preserve">06M423         </t>
  </si>
  <si>
    <t>HIGH SCHOOL FOR EXCELLENCE AND INNOVATION</t>
  </si>
  <si>
    <t xml:space="preserve">84M068         </t>
  </si>
  <si>
    <t>KIPP NYC WASHINGTON HEIGHTS ACADEMY CHARTER SCHOOL</t>
  </si>
  <si>
    <t>21 JUMEL PLACE</t>
  </si>
  <si>
    <t>https://nycdoe.sharepoint.com/:w:/s/BAP/EU-OkTXMD0JPuc8didKMggEBzfw4Zn3wzs4i4lGL-WP_HQ</t>
  </si>
  <si>
    <t xml:space="preserve">06M319         </t>
  </si>
  <si>
    <t>M.S. 319 - MARIA TERESA</t>
  </si>
  <si>
    <t xml:space="preserve">06M324         </t>
  </si>
  <si>
    <t>M.S. 324 - PATRIA MIRABAL</t>
  </si>
  <si>
    <t xml:space="preserve">06M210         </t>
  </si>
  <si>
    <t>P.S./I.S. 210 - TWENTY-FIRST CENTURY ACADEMY FOR COMMUNITY LEADERSHIP</t>
  </si>
  <si>
    <t>501-503 WEST 152 STREET</t>
  </si>
  <si>
    <t>https://nycdoe.sharepoint.com/:w:/s/BAP/EYM3dL4TfRVLuD_GC47qcIQBq3QpzBDD_nO0xuJm86Ix7A</t>
  </si>
  <si>
    <t>512 WEST 212 STREET</t>
  </si>
  <si>
    <t>https://nycdoe.sharepoint.com/:w:/s/BAP/EYzKDQwgFhVNjvCMkFtAHaIB8vKiSDuINLs5rC7tLnmF8A</t>
  </si>
  <si>
    <t xml:space="preserve">06M098         </t>
  </si>
  <si>
    <t>P.S. 098 SHORAC KAPPOCK</t>
  </si>
  <si>
    <t xml:space="preserve">06M128         </t>
  </si>
  <si>
    <t>P.S. 128 AUDUBON</t>
  </si>
  <si>
    <t>560 WEST 169 STREET</t>
  </si>
  <si>
    <t>https://nycdoe.sharepoint.com/:w:/s/BAP/ERIjUybnVLdMkeY__KLJTosBVpD3WtrGMg_Nc7u4KPuoVA</t>
  </si>
  <si>
    <t xml:space="preserve">06M513         </t>
  </si>
  <si>
    <t>CASTLE BRIDGE SCHOOL</t>
  </si>
  <si>
    <t>M132</t>
  </si>
  <si>
    <t>M103</t>
  </si>
  <si>
    <t xml:space="preserve">06M103         </t>
  </si>
  <si>
    <t>DOS PUENTES ELEMENTARY SCHOOL</t>
  </si>
  <si>
    <t>185 WADSWORTH AVENUE</t>
  </si>
  <si>
    <t>https://nycdoe.sharepoint.com/:w:/s/BAP/EYY4Wm4nA3xJu5Jo6AOdy6MBqp_qmJdH5w-e_KRkjwJLRA</t>
  </si>
  <si>
    <t xml:space="preserve">06M132         </t>
  </si>
  <si>
    <t>P.S. 132 JUAN PABLO DUARTE</t>
  </si>
  <si>
    <t xml:space="preserve">06M143         </t>
  </si>
  <si>
    <t>J.H.S. 143 ELEANOR ROOSEVELT</t>
  </si>
  <si>
    <t>511 WEST 182 STREET</t>
  </si>
  <si>
    <t>https://nycdoe.sharepoint.com/:w:/s/BAP/EWGNioARYrVMjylch3_1Fe0BH5UR7HFOncE8MEXYmlrvSg</t>
  </si>
  <si>
    <t xml:space="preserve">06M348         </t>
  </si>
  <si>
    <t>WASHINGTON HEIGHTS EXPEDITIONARY LEARNING SCHOOL</t>
  </si>
  <si>
    <t xml:space="preserve">06M152         </t>
  </si>
  <si>
    <t>P.S. 152 DYCKMAN VALLEY</t>
  </si>
  <si>
    <t>93 NAGLE AVENUE</t>
  </si>
  <si>
    <t>https://nycdoe.sharepoint.com/:w:/s/BAP/EY2pK3iSa7ZNr_zx317NbKgBTyEaXOOEtcZxMEJXSLmhKQ</t>
  </si>
  <si>
    <t xml:space="preserve">06M153         </t>
  </si>
  <si>
    <t>P.S. 153 ADAM CLAYTON POWELL</t>
  </si>
  <si>
    <t>1750 AMSTERDAM AVENUE</t>
  </si>
  <si>
    <t>https://nycdoe.sharepoint.com/:w:/s/BAP/EbWj5y4HET9HjpgtmBFSZU8BfzzS1RLB9MGEkU5jWH9wwA</t>
  </si>
  <si>
    <t xml:space="preserve">06M368         </t>
  </si>
  <si>
    <t>THE WILLIAM LYNCH SCHOOL</t>
  </si>
  <si>
    <t xml:space="preserve">06M173         </t>
  </si>
  <si>
    <t>P.S./I.S. 173 FORT WASHINGTON SCHOOL IN THE HEIGHTS</t>
  </si>
  <si>
    <t>306 FORT WASHINGTON AVENUE</t>
  </si>
  <si>
    <t>https://nycdoe.sharepoint.com/:w:/s/BAP/EbjtKjs7hndBkeUdSCfnrSwBMzMPINtB-XHlini8nqJeMg</t>
  </si>
  <si>
    <t xml:space="preserve">06M311         </t>
  </si>
  <si>
    <t>AMISTAD DUAL LANGUAGE SCHOOL</t>
  </si>
  <si>
    <t>4862 BROADWAY</t>
  </si>
  <si>
    <t>https://nycdoe.sharepoint.com/:w:/s/BAP/EQpUkuuy1PNImYIPwtNb4OUBNgUM79yMgbdJYQvs37DNGw</t>
  </si>
  <si>
    <t xml:space="preserve">06M314         </t>
  </si>
  <si>
    <t>MUSCOTA</t>
  </si>
  <si>
    <t xml:space="preserve">06M178         </t>
  </si>
  <si>
    <t>PROFESSOR JUAN BOSCH PUBLIC SCHOOL</t>
  </si>
  <si>
    <t>12-18 ELLWOOD STREET</t>
  </si>
  <si>
    <t>https://nycdoe.sharepoint.com/:w:/s/BAP/ESY_r0ZHzY1NkCt63eysiW4BXb3RcGwIAC6lPp_OdL2g0A</t>
  </si>
  <si>
    <t>M187</t>
  </si>
  <si>
    <t xml:space="preserve">06M187         </t>
  </si>
  <si>
    <t>P.S./I.S. 187 HUDSON CLIFFS</t>
  </si>
  <si>
    <t>349 CABRINI BOULEVARD</t>
  </si>
  <si>
    <t>https://nycdoe.sharepoint.com/:w:/s/BAP/EaCS3dVhSe5Lt5J8vCc-kxsBmL8TlJNwm0oA6nomGTRVGA</t>
  </si>
  <si>
    <t>2580 AMSTERDAM AVENUE</t>
  </si>
  <si>
    <t>https://nycdoe.sharepoint.com/:w:/s/BAP/EaLWnepRF5ZOsp9bAL5dB_8BZq7-xMtaKVw7MYXPONO-_g</t>
  </si>
  <si>
    <t xml:space="preserve">06M189         </t>
  </si>
  <si>
    <t>4600 BROADWAY</t>
  </si>
  <si>
    <t>https://nycdoe.sharepoint.com/:w:/s/BAP/ESQgqgRi7clLhmVA64xCvAUBnZhJI8wWCvUdytyUXI7H8g</t>
  </si>
  <si>
    <t xml:space="preserve">06M293         </t>
  </si>
  <si>
    <t>CITY COLLEGE MAGNET SCHOOL OF THE ARTS</t>
  </si>
  <si>
    <t xml:space="preserve">06M322         </t>
  </si>
  <si>
    <t>MIDDLE SCHOOL 322</t>
  </si>
  <si>
    <t xml:space="preserve">06M366         </t>
  </si>
  <si>
    <t>WASHINGTON HEIGHTS ACADEMY</t>
  </si>
  <si>
    <t>202 SHERMAN AVE</t>
  </si>
  <si>
    <t>https://nycdoe.sharepoint.com/:w:/s/BAP/EUGMP12WDF1Evx35JVwmRJ0BFuhquOakBAD30ZwhYTYhtg</t>
  </si>
  <si>
    <t>M380</t>
  </si>
  <si>
    <t>508 WEST 153 STREET</t>
  </si>
  <si>
    <t>https://nycdoe.sharepoint.com/:w:/s/BAP/EZ_31RdbEexFsMF0n8HfS_wB3KZQBx92gou10yrVyi_T6A</t>
  </si>
  <si>
    <t xml:space="preserve">06M462         </t>
  </si>
  <si>
    <t>THE COLLEGE ACADEMY</t>
  </si>
  <si>
    <t>549 AUDUBON AVENUE</t>
  </si>
  <si>
    <t>https://nycdoe.sharepoint.com/:w:/s/BAP/EbtH51paTO9Ck-sqWfHqSqABuZcnIAPqWvCuKmVOLLlTcA</t>
  </si>
  <si>
    <t xml:space="preserve">06M463         </t>
  </si>
  <si>
    <t>HIGH SCHOOL FOR MEDIA AND COMMUNICATIONS</t>
  </si>
  <si>
    <t xml:space="preserve">06M467         </t>
  </si>
  <si>
    <t>HIGH SCHOOL FOR LAW AND PUBLIC SERVICE</t>
  </si>
  <si>
    <t xml:space="preserve">06M468         </t>
  </si>
  <si>
    <t>HIGH SCHOOL FOR HEALTH CAREERS AND SCIENCES</t>
  </si>
  <si>
    <t>M502</t>
  </si>
  <si>
    <t xml:space="preserve">06M018         </t>
  </si>
  <si>
    <t>P.S. 018 PARK TERRACE</t>
  </si>
  <si>
    <t>3761 10 AVENUE</t>
  </si>
  <si>
    <t>https://nycdoe.sharepoint.com/:w:/s/BAP/EaY5tqBn98lKkK2QsfpoXNQBqt3zfhqUp7TKH_N7xkip1A</t>
  </si>
  <si>
    <t xml:space="preserve">06M278         </t>
  </si>
  <si>
    <t>PAULA HEDBAVNY SCHOOL</t>
  </si>
  <si>
    <t xml:space="preserve">06M528         </t>
  </si>
  <si>
    <t>I.S. 528 BEA FULLER RODGERS SCHOOL</t>
  </si>
  <si>
    <t>180 WADSWORTH AVENUE</t>
  </si>
  <si>
    <t>https://nycdoe.sharepoint.com/:w:/s/BAP/EWrEYBHT7hFDt4Ncmyk-nRsBJXqoj-OgaiwR3WNlEwW86w</t>
  </si>
  <si>
    <t xml:space="preserve">06M540         </t>
  </si>
  <si>
    <t>A. PHILIP RANDOLPH CAMPUS HIGH SCHOOL</t>
  </si>
  <si>
    <t>443 WEST 135 STREET</t>
  </si>
  <si>
    <t>https://nycdoe.sharepoint.com/:w:/s/BAP/EfbUy86om65PlldM1qFZ0E0BkgW3QxcMQ2YRC-8GyLwgyg</t>
  </si>
  <si>
    <t xml:space="preserve">05M692         </t>
  </si>
  <si>
    <t>HIGH SCHOOL FOR MATHEMATICS, SCIENCE AND ENGINEERING AT CITY COLLEGE</t>
  </si>
  <si>
    <t>240 CONVENT AVE</t>
  </si>
  <si>
    <t>https://nycdoe.sharepoint.com/:w:/s/BAP/EXrthidTivNMnTKSXc2xdncBvKX-em7OpfFPhSnp6oLIgA</t>
  </si>
  <si>
    <t xml:space="preserve">06M346         </t>
  </si>
  <si>
    <t>COMMUNITY HEALTH ACADEMY OF THE HEIGHTS</t>
  </si>
  <si>
    <t>504 WEST 158 STREET</t>
  </si>
  <si>
    <t>https://nycdoe.sharepoint.com/:w:/s/BAP/Ed5egoYDrN9CuWERre1nx1wBBT7WR9ejojOOVcy3GVhyzw</t>
  </si>
  <si>
    <t xml:space="preserve">06M552         </t>
  </si>
  <si>
    <t>GREGORIO LUPERON HIGH SCHOOL FOR SCIENCE AND MATHEMATICS</t>
  </si>
  <si>
    <t>501 WEST 165 STREET</t>
  </si>
  <si>
    <t>https://nycdoe.sharepoint.com/:w:/s/BAP/Ed3g-rP3-XZCi5vVHsprlisBTTMDv_p9JNAmjix_jDzXcA</t>
  </si>
  <si>
    <t>50-40 JACOBUS STREET</t>
  </si>
  <si>
    <t>https://nycdoe.sharepoint.com/:w:/s/BAP/EdTPhLQTXZNErK3fVt-RP5MBBU8XUcNPqEFti0GnpMnoqQ</t>
  </si>
  <si>
    <t xml:space="preserve">24Q005         </t>
  </si>
  <si>
    <t>I.S. 5 - THE WALTER CROWLEY INTERMEDIATE SCHOOL</t>
  </si>
  <si>
    <t xml:space="preserve">75Q009         </t>
  </si>
  <si>
    <t xml:space="preserve">24Q007         </t>
  </si>
  <si>
    <t>P.S. 007 LOUIS F. SIMEONE</t>
  </si>
  <si>
    <t>80-55 CORNISH AVENUE</t>
  </si>
  <si>
    <t>https://nycdoe.sharepoint.com/:w:/s/BAP/ETwpTGz2NfNCkWVjvHpxFCwBMicG1H95HJr-LnY7SVZj9g</t>
  </si>
  <si>
    <t xml:space="preserve">75Q255         </t>
  </si>
  <si>
    <t>58-74 57 STREET</t>
  </si>
  <si>
    <t>https://nycdoe.sharepoint.com/:w:/s/BAP/Efng_t2O41BBt92dd2yj4TIBKQNnx2aeHPoHUaqt7ubVrg</t>
  </si>
  <si>
    <t xml:space="preserve">24Q012         </t>
  </si>
  <si>
    <t>P.S. 012 JAMES B. COLGATE</t>
  </si>
  <si>
    <t>42-00 72 STREET</t>
  </si>
  <si>
    <t>https://nycdoe.sharepoint.com/:w:/s/BAP/ERS2agjJZJxPoV9hMcr4BPsBtKs0xGDcid1aRstLiaPNcg</t>
  </si>
  <si>
    <t xml:space="preserve">24Q013         </t>
  </si>
  <si>
    <t>P.S. 013 CLEMENT C. MOORE</t>
  </si>
  <si>
    <t>55-01 94 STREET</t>
  </si>
  <si>
    <t>https://nycdoe.sharepoint.com/:w:/s/BAP/Ef7_FpXKSQFIuC2xMs70X1UBRD6pe_YUv7VuBpCRalk02w</t>
  </si>
  <si>
    <t xml:space="preserve">24Q014         </t>
  </si>
  <si>
    <t>P.S. 014 FAIRVIEW</t>
  </si>
  <si>
    <t>107-01 OTIS AVENUE</t>
  </si>
  <si>
    <t>https://nycdoe.sharepoint.com/:w:/s/BAP/EXwuFQjNuf5Ggel6VqlbPrEB8z_n-j5Pg9ccD57GT1qhgQ</t>
  </si>
  <si>
    <t xml:space="preserve">24Q019         </t>
  </si>
  <si>
    <t>P.S. 019 MARINO JEANTET</t>
  </si>
  <si>
    <t>40-10 99 STREET</t>
  </si>
  <si>
    <t>https://nycdoe.sharepoint.com/:w:/s/BAP/ETwafC1SmVpOp_eS8n0ctusBtGcA6uFyW7y-MT4s7-d_lA</t>
  </si>
  <si>
    <t xml:space="preserve">24Q028         </t>
  </si>
  <si>
    <t>P.S. 28 - THE THOMAS EMANUEL EARLY CHILDHOOD CENTER</t>
  </si>
  <si>
    <t>109-10 47 AVENUE</t>
  </si>
  <si>
    <t>https://nycdoe.sharepoint.com/:w:/s/BAP/EchRNqpWnvJBpY1kj89Sj50BGTzqu39rhykdtAiXWBjC1w</t>
  </si>
  <si>
    <t xml:space="preserve">24Q049         </t>
  </si>
  <si>
    <t>P.S. 049 DOROTHY BONAWIT KOLE</t>
  </si>
  <si>
    <t>63-60 80 STREET</t>
  </si>
  <si>
    <t>https://nycdoe.sharepoint.com/:w:/s/BAP/EXJ9KSQDIbxMpWocDnb6i28BkyILO0uohSqiTm4AQ2_vbw</t>
  </si>
  <si>
    <t>72-24 GRAND AVENUE</t>
  </si>
  <si>
    <t>https://nycdoe.sharepoint.com/:w:/s/BAP/EcYA6t1lKD9FliQ2P7Zp7icBDFNGrriEvaHYKX3fhoX6_g</t>
  </si>
  <si>
    <t xml:space="preserve">24Q058         </t>
  </si>
  <si>
    <t>P.S. 58 - THE SCHOOL OF HEROES</t>
  </si>
  <si>
    <t xml:space="preserve">24Q061         </t>
  </si>
  <si>
    <t>I.S. 061 LEONARDO DA VINCI</t>
  </si>
  <si>
    <t>98-50 50 AVENUE</t>
  </si>
  <si>
    <t>https://nycdoe.sharepoint.com/:w:/s/BAP/EZ5HzOof1mBOoOSNZpXNjOgBJ78I4L8Zjl1wn5_McZ_psA</t>
  </si>
  <si>
    <t xml:space="preserve">24Q068         </t>
  </si>
  <si>
    <t>P.S. 068 CAMBRIDGE</t>
  </si>
  <si>
    <t>59-09 SAINT FELIX AVENUE</t>
  </si>
  <si>
    <t>https://nycdoe.sharepoint.com/:w:/s/BAP/Edy0dNzEvPlJv1YnoFhR-0EBCrS3vC3Fs1Un1QPk0jJpEg</t>
  </si>
  <si>
    <t xml:space="preserve">24Q071         </t>
  </si>
  <si>
    <t>P.S. 071 FOREST</t>
  </si>
  <si>
    <t>62-85 FOREST AVENUE</t>
  </si>
  <si>
    <t>https://nycdoe.sharepoint.com/:w:/s/BAP/EczElrcegb9GhV9geUKWjboB-3iWa27ijeuSpaRLE304nw</t>
  </si>
  <si>
    <t xml:space="preserve">75Q075         </t>
  </si>
  <si>
    <t>ROBERT E. PEARY SCHOOL</t>
  </si>
  <si>
    <t xml:space="preserve">24Q073         </t>
  </si>
  <si>
    <t>I.S. 73 - THE FRANK SANSIVIERI INTERMEDIATE SCHOOL</t>
  </si>
  <si>
    <t>70-02 54 AVENUE</t>
  </si>
  <si>
    <t>https://nycdoe.sharepoint.com/:w:/s/BAP/EZ6DEerOXItBinWIgih3lzABCPTExEdI9epXSBCC7GUvmw</t>
  </si>
  <si>
    <t>Q081</t>
  </si>
  <si>
    <t xml:space="preserve">24Q081         </t>
  </si>
  <si>
    <t>P.S. 81Q JEAN PAUL RICHTER</t>
  </si>
  <si>
    <t>559 CYPRESS AVENUE</t>
  </si>
  <si>
    <t>https://nycdoe.sharepoint.com/:w:/s/BAP/EV-z4BaUG9VHn2SdC7tiWWkB3yShtrwF_TKJPiQi6n-sUA</t>
  </si>
  <si>
    <t xml:space="preserve">24Q087         </t>
  </si>
  <si>
    <t>P.S./I.S. 087 MIDDLE VILLAGE</t>
  </si>
  <si>
    <t>67-54 80 STREET</t>
  </si>
  <si>
    <t>https://nycdoe.sharepoint.com/:w:/s/BAP/EZjqjRvb0oRHl0Hy_jOOMpcBDjjemgC5dQ7V1zrHtFmN9Q</t>
  </si>
  <si>
    <t xml:space="preserve">24Q088         </t>
  </si>
  <si>
    <t>P.S. 088 SENECA</t>
  </si>
  <si>
    <t>60-85 CATALPA AVENUE</t>
  </si>
  <si>
    <t>https://nycdoe.sharepoint.com/:w:/s/BAP/ERnlwI6ZruBJvMbX-A7LrSIBJPYNiErP5WSepolzxlMR3g</t>
  </si>
  <si>
    <t xml:space="preserve">24Q089         </t>
  </si>
  <si>
    <t>P.S. 89Q: THE JOSE PERALTA SCHOOL OF DREAMERS</t>
  </si>
  <si>
    <t>85-28 BRITTON AVENUE</t>
  </si>
  <si>
    <t>https://nycdoe.sharepoint.com/:w:/s/BAP/EX63Z0GZXT1CuMKpjn06mQwB1N4qRW4XKl2wEf7zgx7f4Q</t>
  </si>
  <si>
    <t xml:space="preserve">24Q091         </t>
  </si>
  <si>
    <t>P.S. 091 RICHARD ARKWRIGHT</t>
  </si>
  <si>
    <t>68-10 CENTRAL AVE</t>
  </si>
  <si>
    <t>https://nycdoe.sharepoint.com/:w:/s/BAP/EXt51caEbXJFoV1qcX1LOV4B9tP5sgNLpkXRrXATTD1WvA</t>
  </si>
  <si>
    <t>66-56 FOREST AVENUE</t>
  </si>
  <si>
    <t>https://nycdoe.sharepoint.com/:w:/s/BAP/Ea0hBcq628xLvweX6AwYCmUBs1HYpdd0CDsG7EFqx0E3DQ</t>
  </si>
  <si>
    <t xml:space="preserve">24Q093         </t>
  </si>
  <si>
    <t>I.S. 093 RIDGEWOOD</t>
  </si>
  <si>
    <t xml:space="preserve">24Q102         </t>
  </si>
  <si>
    <t>P.S. 102 BAYVIEW</t>
  </si>
  <si>
    <t>55-24 VAN HORN STREET</t>
  </si>
  <si>
    <t>https://nycdoe.sharepoint.com/:w:/s/BAP/EUX3_BaL9HdPmKztJNNZSHUBP37jjId7fEKzFMH_iCeCTg</t>
  </si>
  <si>
    <t xml:space="preserve">24Q113         </t>
  </si>
  <si>
    <t>P.S./I.S. 113 ANTHONY J. PRANZO</t>
  </si>
  <si>
    <t>78-23 87 STREET</t>
  </si>
  <si>
    <t>https://nycdoe.sharepoint.com/:w:/s/BAP/EfvRvx5oTpdEgoKcqU3btCgBOaIfbegnFj7MLKjhX9L-3g</t>
  </si>
  <si>
    <t xml:space="preserve">24Q119         </t>
  </si>
  <si>
    <t>P.S./I.S. 119 THE GLENDALE</t>
  </si>
  <si>
    <t>74-01 78 AVENUE</t>
  </si>
  <si>
    <t>https://nycdoe.sharepoint.com/:w:/s/BAP/EXvfXn7VfNhGufpzodvf8qsBj1kDs4QLtuw9aG3dfugkGQ</t>
  </si>
  <si>
    <t xml:space="preserve">24Q125         </t>
  </si>
  <si>
    <t>I.S. 125 THOM J. MCCANN WOODSIDE</t>
  </si>
  <si>
    <t>46-02 47 AVENUE</t>
  </si>
  <si>
    <t>https://nycdoe.sharepoint.com/:w:/s/BAP/EUPXLvUWrzBFt_xrJuMi8y0BxSZv-LkPq8gpqx4Dhvn1aQ</t>
  </si>
  <si>
    <t xml:space="preserve">24Q143         </t>
  </si>
  <si>
    <t>P.S. 143 LOUIS ARMSTRONG</t>
  </si>
  <si>
    <t>34-55 112 STREET</t>
  </si>
  <si>
    <t>https://nycdoe.sharepoint.com/:w:/s/BAP/EUrwe41mrThDgnl0c1-5VbYBwr8A1mQn0fiatWSwFszuBQ</t>
  </si>
  <si>
    <t xml:space="preserve">24Q153         </t>
  </si>
  <si>
    <t>P.S. 153 MASPETH ELEM</t>
  </si>
  <si>
    <t>60-02 60 LANE</t>
  </si>
  <si>
    <t>https://nycdoe.sharepoint.com/:w:/s/BAP/ERoO36UBC-ZLphZlSoW0-LUB8o3sJxmhZ3gaaC2GvVR7Iw</t>
  </si>
  <si>
    <t xml:space="preserve">24Q199         </t>
  </si>
  <si>
    <t>P.S. 199 MAURICE A. FITZGERALD</t>
  </si>
  <si>
    <t>39-20 48 AVENUE</t>
  </si>
  <si>
    <t>https://nycdoe.sharepoint.com/:w:/s/BAP/EUnm0HCgJ-lJrWgjMrUhzxsBcb43LE00J9KPKGVHFxhfUA</t>
  </si>
  <si>
    <t xml:space="preserve">24Q229         </t>
  </si>
  <si>
    <t>P.S. 229 EMANUEL KAPLAN</t>
  </si>
  <si>
    <t>67-25 51 ROAD</t>
  </si>
  <si>
    <t>https://nycdoe.sharepoint.com/:w:/s/BAP/EfWxTLEXDDdGos-hPH9xsZ8BwVZp-5MQ3qzyMntnBnMGXg</t>
  </si>
  <si>
    <t>17-15 WEIRFIELD STREET</t>
  </si>
  <si>
    <t>https://nycdoe.sharepoint.com/:w:/s/BAP/EW2kD1GxffBCnsGCzBy40eEB29n_XPqB2EHGr2iyR4DmwA</t>
  </si>
  <si>
    <t xml:space="preserve">24Q239         </t>
  </si>
  <si>
    <t xml:space="preserve">75Q277         </t>
  </si>
  <si>
    <t>THE RIVERVIEW SCHOOL</t>
  </si>
  <si>
    <t>378 SENECA AVENUE</t>
  </si>
  <si>
    <t>https://nycdoe.sharepoint.com/:w:/s/BAP/Ee0pJffQ6O5LhMYreVqJ06sBZv-U-xXLRCZc52QgYYrrKA</t>
  </si>
  <si>
    <t xml:space="preserve">24Q305         </t>
  </si>
  <si>
    <t>LEARNERS AND LEADERS</t>
  </si>
  <si>
    <t xml:space="preserve">24Q128         </t>
  </si>
  <si>
    <t>P.S. 128 THE LORRAINE TUZZO, JUNIPER VALLEY ELEMENTARY SCHOOL</t>
  </si>
  <si>
    <t>69-10 65 DRIVE</t>
  </si>
  <si>
    <t>https://nycdoe.sharepoint.com/:w:/s/BAP/EXBZS4y4CGxJr6g-fZdaze4BjpGMuIEoX68SvqB_4FZNWg</t>
  </si>
  <si>
    <t>40-20 100 STREET</t>
  </si>
  <si>
    <t>https://nycdoe.sharepoint.com/:w:/s/BAP/EVkwPTghK4pLlpLGE4damW8B0gDxq88We7giIrnNf4TY_Q</t>
  </si>
  <si>
    <t xml:space="preserve">24Q307         </t>
  </si>
  <si>
    <t>PIONEER ACADEMY</t>
  </si>
  <si>
    <t xml:space="preserve">24Q330         </t>
  </si>
  <si>
    <t>HELEN M. MARSHALL SCHOOL</t>
  </si>
  <si>
    <t>110-08 NORTHERN BOULEVARD</t>
  </si>
  <si>
    <t>https://nycdoe.sharepoint.com/:w:/s/BAP/EZgLQby5KclLrFRTb8aKwsEBEa9j_c3gGZcLJljtf8BGgQ</t>
  </si>
  <si>
    <t>55-20 METROPOLITAN AVENUE</t>
  </si>
  <si>
    <t>https://nycdoe.sharepoint.com/:w:/s/BAP/EZvIwQUmQHREjGFNGoGInVUBl9lrTHZR6uT1OufzKFZRVw</t>
  </si>
  <si>
    <t xml:space="preserve">24Q290         </t>
  </si>
  <si>
    <t>A.C.E. ACADEMY FOR SCHOLARS AT THE GERALDINE FERRARO CAMPUS</t>
  </si>
  <si>
    <t xml:space="preserve">24Q211         </t>
  </si>
  <si>
    <t>ELM TREE ELEMENTARY SCHOOL</t>
  </si>
  <si>
    <t>50-51 98 STREET</t>
  </si>
  <si>
    <t>https://nycdoe.sharepoint.com/:w:/s/BAP/ETCoUrY8afBHoKuJ599l8qwB_lm862GtkNmIiG8hcM2jaw</t>
  </si>
  <si>
    <t>98-11 44 AVENUE</t>
  </si>
  <si>
    <t>https://nycdoe.sharepoint.com/:w:/s/BAP/EQH8XIbDIWBAlRSmQ49orgcBAsiDdLsplfbhZRgM95eFUg</t>
  </si>
  <si>
    <t xml:space="preserve">24Q311         </t>
  </si>
  <si>
    <t>CORONA ARTS &amp; SCIENCES ACADEMY</t>
  </si>
  <si>
    <t xml:space="preserve">24Q343         </t>
  </si>
  <si>
    <t>THE CHILDREN'S LAB SCHOOL</t>
  </si>
  <si>
    <t>45-45 42 STREET</t>
  </si>
  <si>
    <t>https://nycdoe.sharepoint.com/:w:/s/BAP/EYe4DzomjBZJoyjgZoBBNoYB6twaRCtAGRab3Jslv-e42g</t>
  </si>
  <si>
    <t xml:space="preserve">24Q110         </t>
  </si>
  <si>
    <t>43-18 97 PLACE</t>
  </si>
  <si>
    <t>https://nycdoe.sharepoint.com/:w:/s/BAP/EQAh70J-2BxLiuTkyfoZmbcB3XZYnEOWfhZTxK3aijfLMw</t>
  </si>
  <si>
    <t>360 SENECA AVENUE</t>
  </si>
  <si>
    <t>https://nycdoe.sharepoint.com/:w:/s/BAP/EV4nNISADKZOshHe7V_7L3kBY3OKpOnXbb1YJGDznnkGUA</t>
  </si>
  <si>
    <t>111-10 ASTORIA BOULEVARD</t>
  </si>
  <si>
    <t>https://nycdoe.sharepoint.com/:w:/s/BAP/EdV1THq75WhGmJGX2MOaR4kBhEvUBXm437DqzLwoucKcOA</t>
  </si>
  <si>
    <t xml:space="preserve">24Q419         </t>
  </si>
  <si>
    <t>MS 419</t>
  </si>
  <si>
    <t>Q456</t>
  </si>
  <si>
    <t>Q550</t>
  </si>
  <si>
    <t xml:space="preserve">24Q550         </t>
  </si>
  <si>
    <t>HIGH SCHOOL FOR ARTS AND BUSINESS</t>
  </si>
  <si>
    <t>105-25 HORACE HARDING EXPY N</t>
  </si>
  <si>
    <t>https://nycdoe.sharepoint.com/:w:/s/BAP/ERGk6dg1QA9NpW89lJOPogsBibs36OT0vvCkcJiJV9Sjzw</t>
  </si>
  <si>
    <t>21-27 HIMROD STREET</t>
  </si>
  <si>
    <t>https://nycdoe.sharepoint.com/:w:/s/BAP/EdtWs_glbFhPg7nU-ZxJ_ikBWIshJNE0DqnF3KEnkvbCCw</t>
  </si>
  <si>
    <t xml:space="preserve">24Q485         </t>
  </si>
  <si>
    <t>GROVER CLEVELAND HIGH SCHOOL</t>
  </si>
  <si>
    <t>Q503</t>
  </si>
  <si>
    <t>Q023</t>
  </si>
  <si>
    <t xml:space="preserve">75Q023         </t>
  </si>
  <si>
    <t>P.S. Q023 @ QUEENS CHILDREN CENTER</t>
  </si>
  <si>
    <t>47-09 36 STREET</t>
  </si>
  <si>
    <t>https://nycdoe.sharepoint.com/:w:/s/BAP/EWyk9mQOGdVHoz-r7rQ6IiQBgAO6Hp5ZXe_UAi_-DI7qrQ</t>
  </si>
  <si>
    <t xml:space="preserve">24Q520         </t>
  </si>
  <si>
    <t>MIDDLE COLLEGE HIGH SCHOOL AT LAGUARDIA COMMUNITY COLLEGE</t>
  </si>
  <si>
    <t>45-35 VAN DAM STREET</t>
  </si>
  <si>
    <t>https://nycdoe.sharepoint.com/:w:/s/BAP/EfA505VniedBu0cYp4TMrZ4BgOBcTTmc7dG2O7edE9YqJQ</t>
  </si>
  <si>
    <t xml:space="preserve">24Q530         </t>
  </si>
  <si>
    <t>INTERNATIONAL HIGH SCHOOL AT LAGUARDIA COMMUNITY COLLEGE</t>
  </si>
  <si>
    <t xml:space="preserve">24Q585         </t>
  </si>
  <si>
    <t>MASPETH HIGH SCHOOL</t>
  </si>
  <si>
    <t>54-40 74 STREET</t>
  </si>
  <si>
    <t>https://nycdoe.sharepoint.com/:w:/s/BAP/Ebgyq_Mz-IRHpmwK8PXSxH0BVHUO8wRnxzHaEVhB-lF1gA</t>
  </si>
  <si>
    <t xml:space="preserve">75Q721         </t>
  </si>
  <si>
    <t>JOHN F. KENNEDY JR. SCHOOL</t>
  </si>
  <si>
    <t xml:space="preserve">24Q600         </t>
  </si>
  <si>
    <t>QUEENS TECHNICAL HIGH SCHOOL</t>
  </si>
  <si>
    <t>37-02 47 AVENUE</t>
  </si>
  <si>
    <t>https://nycdoe.sharepoint.com/:w:/s/BAP/EbxNNL_nb9BLoScyAn2Iy5kBouOUehu3nq2yHRchhYU0Ww</t>
  </si>
  <si>
    <t xml:space="preserve">24Q610         </t>
  </si>
  <si>
    <t>AVIATION CAREER &amp; TECHNICAL EDUCATION HIGH SCHOOL</t>
  </si>
  <si>
    <t>45-30 36 STREET</t>
  </si>
  <si>
    <t>https://nycdoe.sharepoint.com/:w:/s/BAP/Ea6-HArJ8vFGi-4eh8eYFJMBdirC9gQok2yGtqWK7DBk0A</t>
  </si>
  <si>
    <t xml:space="preserve">24Q016         </t>
  </si>
  <si>
    <t>P.S. Q016 THE NANCY DEBENEDITTIS SCHOOL</t>
  </si>
  <si>
    <t>41-15 104 STREET</t>
  </si>
  <si>
    <t>https://nycdoe.sharepoint.com/:w:/s/BAP/EakozIo16QtLg8rqk5-Ea18BV8lklXkIhzZtekrbacRweQ</t>
  </si>
  <si>
    <t>57-12 94 STREET</t>
  </si>
  <si>
    <t>https://nycdoe.sharepoint.com/:w:/s/BAP/Ecm073C0eWVOqiXd4Ga-KiQB1WQsS0h1uIKFYx2yZCaz7Q</t>
  </si>
  <si>
    <t xml:space="preserve">24Q264         </t>
  </si>
  <si>
    <t>ACADEMY OF FINANCE AND ENTERPRISE</t>
  </si>
  <si>
    <t>30-20 THOMSON AVENUE</t>
  </si>
  <si>
    <t>https://nycdoe.sharepoint.com/:w:/s/BAP/EU7jlpDPxJRFomBQaHtpM-wBA9HP2xvaGVs0yHOI1aHoqg</t>
  </si>
  <si>
    <t xml:space="preserve">24Q267         </t>
  </si>
  <si>
    <t>HIGH SCHOOL OF APPLIED COMMUNICATION</t>
  </si>
  <si>
    <t xml:space="preserve">24Q299         </t>
  </si>
  <si>
    <t>BARD HIGH SCHOOL EARLY COLLEGE QUEENS</t>
  </si>
  <si>
    <t xml:space="preserve">24Q293         </t>
  </si>
  <si>
    <t>CIVIC LEADERSHIP ACADEMY</t>
  </si>
  <si>
    <t>45-10 94 STREET</t>
  </si>
  <si>
    <t>https://nycdoe.sharepoint.com/:w:/s/BAP/EVPjGhRr_3hBlRvLB-vTC4cBlj-1cxyRM-na3c7kabiTBg</t>
  </si>
  <si>
    <t xml:space="preserve">24Q296         </t>
  </si>
  <si>
    <t>PAN AMERICAN INTERNATIONAL HIGH SCHOOL</t>
  </si>
  <si>
    <t xml:space="preserve">24Q744         </t>
  </si>
  <si>
    <t>VOYAGES PREPARATORY</t>
  </si>
  <si>
    <t xml:space="preserve">75Q752         </t>
  </si>
  <si>
    <t>QUEENS TRANSITION CENTER</t>
  </si>
  <si>
    <t xml:space="preserve">24Q077         </t>
  </si>
  <si>
    <t>JOSEPH F. QUINN INTERMEDIATE SCHOOL 77</t>
  </si>
  <si>
    <t>976 SENECA AVENUE</t>
  </si>
  <si>
    <t>https://nycdoe.sharepoint.com/:w:/s/BAP/Eej90PRnVOtOunOqzfUe_-IBtpfnLaZf3Ew1TKtcoqUd0A</t>
  </si>
  <si>
    <t xml:space="preserve">24Q849         </t>
  </si>
  <si>
    <t>QUEENS INTERNATIONAL SECONDARY SCHOOL</t>
  </si>
  <si>
    <t>Q876</t>
  </si>
  <si>
    <t>869 CYPRESS AVENUE</t>
  </si>
  <si>
    <t>https://nycdoe.sharepoint.com/:w:/s/BAP/EWaHJnlEaiZMj7P2gajP6BgB76AGjhvCmfIXUnTJP7y9Uw</t>
  </si>
  <si>
    <t>Q877</t>
  </si>
  <si>
    <t>76-05 51 AVENUE</t>
  </si>
  <si>
    <t>https://nycdoe.sharepoint.com/:w:/s/BAP/ESwSrlXV7iVBr7KbNllKdswB8lPytLO3DapV7ZgKa0aq4w</t>
  </si>
  <si>
    <t xml:space="preserve">24Q560         </t>
  </si>
  <si>
    <t>ROBERT F. WAGNER, JR. SECONDARY SCHOOL FOR ARTS AND TECHNOLOGY</t>
  </si>
  <si>
    <t>47-07 30 PLACE</t>
  </si>
  <si>
    <t>https://nycdoe.sharepoint.com/:w:/s/BAP/Eegr-Oa14MNJsw5U65e5do0BOrvXgYGAfwiq8fMCyc8ifQ</t>
  </si>
  <si>
    <t xml:space="preserve">25Q020         </t>
  </si>
  <si>
    <t>P.S. 020 JOHN BOWNE</t>
  </si>
  <si>
    <t>142-30 BARCLAY AVENUE</t>
  </si>
  <si>
    <t>https://nycdoe.sharepoint.com/:w:/s/BAP/EamGaRq-aiRAmIKidnWiaDYBQ0bo1IcxiN3HSurf5Gr5ng</t>
  </si>
  <si>
    <t xml:space="preserve">25Q021         </t>
  </si>
  <si>
    <t>P.S. 021 EDWARD HART</t>
  </si>
  <si>
    <t>147-36 26 AVENUE</t>
  </si>
  <si>
    <t>https://nycdoe.sharepoint.com/:w:/s/BAP/EZbv61cFoLhKgBawcDTXvrYBp04CztbJxD5NGHV0wlPIKQ</t>
  </si>
  <si>
    <t>Q022</t>
  </si>
  <si>
    <t xml:space="preserve">25Q022         </t>
  </si>
  <si>
    <t>P.S. 022 THOMAS JEFFERSON</t>
  </si>
  <si>
    <t>153-33 SANFORD AVENUE</t>
  </si>
  <si>
    <t>https://nycdoe.sharepoint.com/:w:/s/BAP/EZi5v8nPFmhGt7eYiSYc3NsB4-dZJOUe6lM3567w7lPi1A</t>
  </si>
  <si>
    <t xml:space="preserve">25Q024         </t>
  </si>
  <si>
    <t>P.S. 024 ANDREW JACKSON</t>
  </si>
  <si>
    <t>45-57 UNION STREET</t>
  </si>
  <si>
    <t>https://nycdoe.sharepoint.com/:w:/s/BAP/EWQZ72IPRmNKq78FSoQXqDUBzuXzDgCup9Uz-3NxKoKyZA</t>
  </si>
  <si>
    <t xml:space="preserve">25Q025         </t>
  </si>
  <si>
    <t>I.S. 025 ADRIEN BLOCK</t>
  </si>
  <si>
    <t>34-65 192 STREET</t>
  </si>
  <si>
    <t>https://nycdoe.sharepoint.com/:w:/s/BAP/ETyXvMb-vrZCj1ltfucZGD4BKVGt6Tr821mlPCQelh6SMw</t>
  </si>
  <si>
    <t xml:space="preserve">75Q233         </t>
  </si>
  <si>
    <t xml:space="preserve">25Q285         </t>
  </si>
  <si>
    <t>WORLD JOURNALISM PREPARATORY: A COLLEGE BOARD SCHOOL</t>
  </si>
  <si>
    <t xml:space="preserve">25Q029         </t>
  </si>
  <si>
    <t>P.S. 029 QUEENS</t>
  </si>
  <si>
    <t>125-10 23 AVENUE</t>
  </si>
  <si>
    <t>https://nycdoe.sharepoint.com/:w:/s/BAP/EVwDrsfUZYVOtNk71i09BdcBCO8ijPW394ZhoadAyfiYMg</t>
  </si>
  <si>
    <t>Q032</t>
  </si>
  <si>
    <t xml:space="preserve">25Q032         </t>
  </si>
  <si>
    <t>P.S. 032 STATE STREET</t>
  </si>
  <si>
    <t>33-59 171 STREET</t>
  </si>
  <si>
    <t>https://nycdoe.sharepoint.com/:w:/s/BAP/EUg_2RGvaJVJmo7lr2TWArMBGiKnY5a6MIbD0cqWzpg9Sg</t>
  </si>
  <si>
    <t xml:space="preserve">25Q079         </t>
  </si>
  <si>
    <t>P.S. 079 FRANCIS LEWIS</t>
  </si>
  <si>
    <t>147-27 15 DRIVE</t>
  </si>
  <si>
    <t>https://nycdoe.sharepoint.com/:w:/s/BAP/EQv9aFLruzpNua9cccw3qfkB98_M_kICMhabK3ufbBvAXQ</t>
  </si>
  <si>
    <t xml:space="preserve">25Q107         </t>
  </si>
  <si>
    <t>P.S. 107 THOMAS A DOOLEY</t>
  </si>
  <si>
    <t>167-02 45 AVENUE</t>
  </si>
  <si>
    <t>https://nycdoe.sharepoint.com/:w:/s/BAP/EUAONiTvcYdNoowe4b9abP0BLW2IUU0GBe_yNyRV43FlSA</t>
  </si>
  <si>
    <t xml:space="preserve">25Q120         </t>
  </si>
  <si>
    <t>P.S. 120 QUEENS</t>
  </si>
  <si>
    <t>58-01 136 STREET</t>
  </si>
  <si>
    <t>https://nycdoe.sharepoint.com/:w:/s/BAP/ERB8Q7_T9WVBq8UYDknyyewB_LGU0IJ5Jx14MwlQ1riO1w</t>
  </si>
  <si>
    <t xml:space="preserve">25Q129         </t>
  </si>
  <si>
    <t>P.S. 129 PATRICIA LARKIN</t>
  </si>
  <si>
    <t>128-02 7 AVENUE</t>
  </si>
  <si>
    <t>https://nycdoe.sharepoint.com/:w:/s/BAP/EXh6wZUXm5xIoRcoWL7V1yIBg2mkEiKjRyR2jilKzGz0xg</t>
  </si>
  <si>
    <t xml:space="preserve">25Q154         </t>
  </si>
  <si>
    <t>P.S. 154 QUEENS</t>
  </si>
  <si>
    <t>75-02 162 STREET</t>
  </si>
  <si>
    <t>https://nycdoe.sharepoint.com/:w:/s/BAP/EVq628AoV7dKmn-PLaz35K8BP1bX99fs_B0D-VRCBjiBiw</t>
  </si>
  <si>
    <t xml:space="preserve">25Q163         </t>
  </si>
  <si>
    <t>P.S. 163 FLUSHING HEIGHTS</t>
  </si>
  <si>
    <t>159-01 59 AVENUE</t>
  </si>
  <si>
    <t>https://nycdoe.sharepoint.com/:w:/s/BAP/EeWhmOExUdxIhF0Fj14BL3oBDMUeuj5b_D64SVaPVqF4fg</t>
  </si>
  <si>
    <t>Q164</t>
  </si>
  <si>
    <t xml:space="preserve">25Q164         </t>
  </si>
  <si>
    <t>P.S. 164 QUEENS VALLEY</t>
  </si>
  <si>
    <t>138-01 77 AVENUE</t>
  </si>
  <si>
    <t>https://nycdoe.sharepoint.com/:w:/s/BAP/EQF3-oEbIvhAv3KWeQBDXa8B1r2JGL3_9tVuDL6RR42rqg</t>
  </si>
  <si>
    <t xml:space="preserve">25Q165         </t>
  </si>
  <si>
    <t>P.S. 165 EDITH K. BERGTRAUM</t>
  </si>
  <si>
    <t>70-35 150 STREET</t>
  </si>
  <si>
    <t>https://nycdoe.sharepoint.com/:w:/s/BAP/EXiddhCldgdMhQ4bCGxt21YBkapkzN-EYOuQnkvwey5o4w</t>
  </si>
  <si>
    <t xml:space="preserve">25Q250         </t>
  </si>
  <si>
    <t>I.S. 250 THE ROBERT F. KENNEDY COMMUNITY MIDDLE SCHOOL</t>
  </si>
  <si>
    <t>158-40 76 ROAD</t>
  </si>
  <si>
    <t>https://nycdoe.sharepoint.com/:w:/s/BAP/Eb7zZQa2tsRGrCBNChMJTh4By2UZeVnCJJP34Lnkahrv_Q</t>
  </si>
  <si>
    <t xml:space="preserve">25Q252         </t>
  </si>
  <si>
    <t>QUEENS SCHOOL OF INQUIRY, THE</t>
  </si>
  <si>
    <t>Q169</t>
  </si>
  <si>
    <t xml:space="preserve">25Q169         </t>
  </si>
  <si>
    <t>P.S. 169 BAY TERRACE</t>
  </si>
  <si>
    <t>212-03 23 AVENUE</t>
  </si>
  <si>
    <t>https://nycdoe.sharepoint.com/:w:/s/BAP/EQ3WVUfZHg5Kj7NigzmFd6gB8NAx8ScZ-YLXJ2te3Rdyug</t>
  </si>
  <si>
    <t>Q294</t>
  </si>
  <si>
    <t xml:space="preserve">25Q294         </t>
  </si>
  <si>
    <t>BELL ACADEMY</t>
  </si>
  <si>
    <t>Q184</t>
  </si>
  <si>
    <t xml:space="preserve">25Q184         </t>
  </si>
  <si>
    <t>P.S. 184 FLUSHING MANOR</t>
  </si>
  <si>
    <t>163-15 21 ROAD</t>
  </si>
  <si>
    <t>https://nycdoe.sharepoint.com/:w:/s/BAP/ETSh3UyYVbZLgoBtu7-MZ0YB7V_PiozlvoRFi466P6MFwA</t>
  </si>
  <si>
    <t xml:space="preserve">25Q185         </t>
  </si>
  <si>
    <t>J.H.S. 185 EDWARD BLEEKER</t>
  </si>
  <si>
    <t>147-26 25 DRIVE</t>
  </si>
  <si>
    <t>https://nycdoe.sharepoint.com/:w:/s/BAP/EQhK0yuVrlROtkVQjdrlNLABYwkeN6PGdkqgp7U2MkIEvg</t>
  </si>
  <si>
    <t>Q193</t>
  </si>
  <si>
    <t xml:space="preserve">25Q193         </t>
  </si>
  <si>
    <t>P.S. 193 ALFRED J. KENNEDY</t>
  </si>
  <si>
    <t>152-20 11 AVENUE</t>
  </si>
  <si>
    <t>https://nycdoe.sharepoint.com/:w:/s/BAP/EXBYW8vzfw9Jl5zGUdEd-CIBRM1_8GZdVl16ovFsJcjQ_g</t>
  </si>
  <si>
    <t>Q194</t>
  </si>
  <si>
    <t xml:space="preserve">25Q194         </t>
  </si>
  <si>
    <t>J.H.S. 194 WILLIAM CARR</t>
  </si>
  <si>
    <t>154-60 17 AVENUE</t>
  </si>
  <si>
    <t>https://nycdoe.sharepoint.com/:w:/s/BAP/EVm62dVhHflIsiPcp67cnkgBJuCMm8KjFbNPlbIcUSHtHQ</t>
  </si>
  <si>
    <t>Q201</t>
  </si>
  <si>
    <t xml:space="preserve">25Q201         </t>
  </si>
  <si>
    <t>P.S. 201 THE DISCOVERY SCHOOL FOR INQUIRY AND RESEARCH</t>
  </si>
  <si>
    <t>65-11 155 STREET</t>
  </si>
  <si>
    <t>https://nycdoe.sharepoint.com/:w:/s/BAP/EZZa6LLeEFlCnif24PqVPj0BVL2feYenMjB-dNP8knk_0w</t>
  </si>
  <si>
    <t xml:space="preserve">75Q177         </t>
  </si>
  <si>
    <t>16-10 UTOPIA PARKWAY</t>
  </si>
  <si>
    <t>https://nycdoe.sharepoint.com/:w:/s/BAP/Ed3txwvvdxtKp_UTWsj7BNoBJfKecSLJoKOPk5esKUz4Fg</t>
  </si>
  <si>
    <t xml:space="preserve">25Q209         </t>
  </si>
  <si>
    <t>P.S. 209 CLEARVIEW GARDENS</t>
  </si>
  <si>
    <t>Q214</t>
  </si>
  <si>
    <t xml:space="preserve">25Q214         </t>
  </si>
  <si>
    <t>P.S. 214 CADWALLADER COLDEN</t>
  </si>
  <si>
    <t>31-15 140 STREET</t>
  </si>
  <si>
    <t>https://nycdoe.sharepoint.com/:w:/s/BAP/EeUvCeSNxs1Hj7dGyRQnBVwBilqrJKtWrf2nJq_ckWubiQ</t>
  </si>
  <si>
    <t>Q219</t>
  </si>
  <si>
    <t xml:space="preserve">25Q219         </t>
  </si>
  <si>
    <t>P.S. 219 PAUL KLAPPER</t>
  </si>
  <si>
    <t>144-39 GRAVETT ROAD</t>
  </si>
  <si>
    <t>https://nycdoe.sharepoint.com/:w:/s/BAP/EYo4a1vj-0NDho9rTfKfnlcBzERqG3vv8VXAF4a7YKHRmA</t>
  </si>
  <si>
    <t xml:space="preserve">25Q237         </t>
  </si>
  <si>
    <t>46-21 COLDEN STREET</t>
  </si>
  <si>
    <t>https://nycdoe.sharepoint.com/:w:/s/BAP/EYOru0SyPYJAu9DE7_J0wbQBzC6r1_OYj32Zr16PVfspcg</t>
  </si>
  <si>
    <t xml:space="preserve">25Q281         </t>
  </si>
  <si>
    <t>EAST-WEST SCHOOL OF INTERNATIONAL STUDIES</t>
  </si>
  <si>
    <t xml:space="preserve">25Q242         </t>
  </si>
  <si>
    <t>P.S. 242 LEONARD P. STAVISKY EARLY CHILDHOOD SCHOOL</t>
  </si>
  <si>
    <t>29-66 137 STREET</t>
  </si>
  <si>
    <t>https://nycdoe.sharepoint.com/:w:/s/BAP/Eb82TOWBzSZBuCy9wi6AyDcBnw321iS3_1PwWqKBwFhPDQ</t>
  </si>
  <si>
    <t xml:space="preserve">25Q244         </t>
  </si>
  <si>
    <t>THE ACTIVE LEARNING ELEMENTARY SCHOOL</t>
  </si>
  <si>
    <t>137-20 FRANKLIN AVENUE</t>
  </si>
  <si>
    <t>https://nycdoe.sharepoint.com/:w:/s/BAP/EcjifOOBOABGnTSjg-SAtnQB5KnXRGrrgL5JtG0yl16SFA</t>
  </si>
  <si>
    <t xml:space="preserve">25Q379         </t>
  </si>
  <si>
    <t>COLLEGE POINT COLLABORATIVE</t>
  </si>
  <si>
    <t>124-06 14 AVENUE</t>
  </si>
  <si>
    <t>https://nycdoe.sharepoint.com/:w:/s/BAP/ETKvpyA1igtErcILE4xbnIIBoxKfZD-H0C0a8q-G8oLrog</t>
  </si>
  <si>
    <t xml:space="preserve">25Q425         </t>
  </si>
  <si>
    <t>JOHN BOWNE HIGH SCHOOL</t>
  </si>
  <si>
    <t>63-25 MAIN STREET</t>
  </si>
  <si>
    <t>https://nycdoe.sharepoint.com/:w:/s/BAP/Ec20RqbOkU5Kvofw-6Q0N9MB0CHO7QwKNk8ojVHgLGdL2Q</t>
  </si>
  <si>
    <t xml:space="preserve">25Q499         </t>
  </si>
  <si>
    <t>THE QUEENS COLLEGE SCHOOL FOR MATH, SCIENCE AND TECHNOLOGY</t>
  </si>
  <si>
    <t>148-20 REEVES AVENUE</t>
  </si>
  <si>
    <t>https://nycdoe.sharepoint.com/:w:/s/BAP/EWz8QT6bVFdHmosMi5Ijy6kBb2i50o6unagTta-ztlCJew</t>
  </si>
  <si>
    <t xml:space="preserve">75Q993         </t>
  </si>
  <si>
    <t>149-11 MELBOURNE AVENUE</t>
  </si>
  <si>
    <t>https://nycdoe.sharepoint.com/:w:/s/BAP/EQMELIIZpllMv7RqTBIXBCUBpoV6GlykR3epc0i2uqWY4A</t>
  </si>
  <si>
    <t xml:space="preserve">25Q525         </t>
  </si>
  <si>
    <t>TOWNSEND HARRIS HIGH SCHOOL</t>
  </si>
  <si>
    <t>Q026</t>
  </si>
  <si>
    <t xml:space="preserve">26Q026         </t>
  </si>
  <si>
    <t>P.S. 026 RUFUS KING</t>
  </si>
  <si>
    <t>195-02 69 AVENUE</t>
  </si>
  <si>
    <t>https://nycdoe.sharepoint.com/:w:/s/BAP/EaeTRGOTxZJBh8s4uu3GOksBCGWEdDduMrx6pwh-CIsyUg</t>
  </si>
  <si>
    <t xml:space="preserve">75Q224         </t>
  </si>
  <si>
    <t>Q031</t>
  </si>
  <si>
    <t xml:space="preserve">26Q031         </t>
  </si>
  <si>
    <t>P.S. 031 BAYSIDE</t>
  </si>
  <si>
    <t>211-45 46 ROAD</t>
  </si>
  <si>
    <t>https://nycdoe.sharepoint.com/:w:/s/BAP/Efdi9dKAFGZLgBL0GX9bSnoBdoIlSx2UvBR00E1pmc_cyA</t>
  </si>
  <si>
    <t xml:space="preserve">26Q041         </t>
  </si>
  <si>
    <t>P.S. 041 CROCHERON</t>
  </si>
  <si>
    <t>34-06 214 LANE</t>
  </si>
  <si>
    <t>https://nycdoe.sharepoint.com/:w:/s/BAP/ESTGPUiiHqpPt5TwjsGznZkBo8m1yQEYO3UpfhudQg-R6A</t>
  </si>
  <si>
    <t>214-43 35 AVENUE</t>
  </si>
  <si>
    <t xml:space="preserve">26Q046         </t>
  </si>
  <si>
    <t>P.S. 046 ALLEY POND</t>
  </si>
  <si>
    <t>64-45 218 STREET</t>
  </si>
  <si>
    <t>https://nycdoe.sharepoint.com/:w:/s/BAP/EaeWW1pcXWJBiVlr5s21jqgB7E_HvkfuzLcSFVzaDTXOzA</t>
  </si>
  <si>
    <t xml:space="preserve">26Q067         </t>
  </si>
  <si>
    <t>J.H.S. 067 LOUIS PASTEUR</t>
  </si>
  <si>
    <t>51-60 MARATHON PARKWAY</t>
  </si>
  <si>
    <t>https://nycdoe.sharepoint.com/:w:/s/BAP/ETlV4tHwG9xDl3NRbqrddPMBG5K8z8JtUtfYpS8RxMlqqQ</t>
  </si>
  <si>
    <t xml:space="preserve">26Q074         </t>
  </si>
  <si>
    <t>J.H.S. 074 NATHANIEL HAWTHORNE</t>
  </si>
  <si>
    <t>61-15 OCEANIA STREET</t>
  </si>
  <si>
    <t>https://nycdoe.sharepoint.com/:w:/s/BAP/EaQzBjwQSaRGq6HXzABtHcoB8eIERLMWPOShQ8Ji9arL_g</t>
  </si>
  <si>
    <t xml:space="preserve">26Q094         </t>
  </si>
  <si>
    <t>P.S. 094 DAVID D. PORTER</t>
  </si>
  <si>
    <t>41-77 LITTLE NECK PARKWAY</t>
  </si>
  <si>
    <t>https://nycdoe.sharepoint.com/:w:/s/BAP/EQqvny2VsfNMiZuBrVV35JwBsvfpuWVtQB_4B4jiFjP53Q</t>
  </si>
  <si>
    <t>Q098</t>
  </si>
  <si>
    <t xml:space="preserve">26Q098         </t>
  </si>
  <si>
    <t>P.S. 098 THE DOUGLASTON SCHOOL</t>
  </si>
  <si>
    <t>40-20 235 STREET</t>
  </si>
  <si>
    <t>https://nycdoe.sharepoint.com/:w:/s/BAP/EVDI5xrikLFGhY05zUbGxNYBacC06oEvsfd66UUx3XtCng</t>
  </si>
  <si>
    <t xml:space="preserve">26Q115         </t>
  </si>
  <si>
    <t>THE JAMES J. AMBROSE SCHOOL</t>
  </si>
  <si>
    <t>80-51 261 STREET</t>
  </si>
  <si>
    <t>https://nycdoe.sharepoint.com/:w:/s/BAP/EQnfvJFcz-1KpBsP9iaJMU0BCCcVDWgc6Jn-3QnOJKhzgg</t>
  </si>
  <si>
    <t xml:space="preserve">25Q130         </t>
  </si>
  <si>
    <t>200-01 42 AVENUE</t>
  </si>
  <si>
    <t>https://nycdoe.sharepoint.com/:w:/s/BAP/EZNx72xkiQZAueIlHRP9bDcBG8WUboXsWVCRpj-p_Focxg</t>
  </si>
  <si>
    <t xml:space="preserve">26Q158         </t>
  </si>
  <si>
    <t>M.S. 158 MARIE CURIE</t>
  </si>
  <si>
    <t>46-35 OCEANIA STREET</t>
  </si>
  <si>
    <t>https://nycdoe.sharepoint.com/:w:/s/BAP/EdOSi3_d4zNPjL48mpPaYMoBOnnd9N13Ne9hay-xKbxGWw</t>
  </si>
  <si>
    <t>Q159</t>
  </si>
  <si>
    <t xml:space="preserve">26Q159         </t>
  </si>
  <si>
    <t>P.S. 159</t>
  </si>
  <si>
    <t>205-01 33 AVENUE</t>
  </si>
  <si>
    <t>https://nycdoe.sharepoint.com/:w:/s/BAP/EdoKoePZDe5FunpTAneNNFkBTn5bhR588naX9WrqGfMz7w</t>
  </si>
  <si>
    <t>Q162</t>
  </si>
  <si>
    <t xml:space="preserve">26Q162         </t>
  </si>
  <si>
    <t>P.S. 162 JOHN GOLDEN</t>
  </si>
  <si>
    <t>201-02 53 AVENUE</t>
  </si>
  <si>
    <t>https://nycdoe.sharepoint.com/:w:/s/BAP/EYi0zuw79OBKkQpX6yzb54QBflwbCjRfUYvMddhgXQorDw</t>
  </si>
  <si>
    <t xml:space="preserve">26Q172         </t>
  </si>
  <si>
    <t>IRWIN ALTMAN MIDDLE SCHOOL 172</t>
  </si>
  <si>
    <t>81-14 257 STREET</t>
  </si>
  <si>
    <t>https://nycdoe.sharepoint.com/:w:/s/BAP/ES2uhvkPPHxEudD3YN5qdd0BsSCZ9foSuRSFla4Zp0DpVw</t>
  </si>
  <si>
    <t>Q173</t>
  </si>
  <si>
    <t xml:space="preserve">26Q173         </t>
  </si>
  <si>
    <t>P.S. 173 FRESH MEADOWS</t>
  </si>
  <si>
    <t>174-10 67 AVENUE</t>
  </si>
  <si>
    <t>https://nycdoe.sharepoint.com/:w:/s/BAP/EeaBtrpRSyZAnQtwxsEQ6zEBXfIw4MJD1fD7Nw1N-L0dtw</t>
  </si>
  <si>
    <t>56-37 188 STREET</t>
  </si>
  <si>
    <t>https://nycdoe.sharepoint.com/:w:/s/BAP/EdHjV2dquNZFvC9sHPCRukMBzRi_cgVGpbDFCY7bL9gHIQ</t>
  </si>
  <si>
    <t xml:space="preserve">75Q004         </t>
  </si>
  <si>
    <t>196-25 PECK AVENUE</t>
  </si>
  <si>
    <t>https://nycdoe.sharepoint.com/:w:/s/BAP/EStxqXqH0LBGiZPrHxcGOF4BDRsh_lQyzqEzJAuiC12Pwg</t>
  </si>
  <si>
    <t xml:space="preserve">26Q186         </t>
  </si>
  <si>
    <t>P.S. 186 CASTLEWOOD</t>
  </si>
  <si>
    <t>252-12 72 AVENUE</t>
  </si>
  <si>
    <t>https://nycdoe.sharepoint.com/:w:/s/BAP/ERQNagi1LhBIkXSKhnma3D0B-QZ6k4wlYRYB7CofJ_WZ6Q</t>
  </si>
  <si>
    <t xml:space="preserve">26Q188         </t>
  </si>
  <si>
    <t>P.S. 188 KINGSBURY</t>
  </si>
  <si>
    <t>218-12 HARTLAND AVENUE</t>
  </si>
  <si>
    <t>https://nycdoe.sharepoint.com/:w:/s/BAP/EZTqBzBc7_ZMl2-u0FMBPH8BmSdz6UKUW_OsGDGSIHEEHA</t>
  </si>
  <si>
    <t xml:space="preserve">26Q191         </t>
  </si>
  <si>
    <t>P.S. 191 MAYFLOWER</t>
  </si>
  <si>
    <t>85-15 258 STREET</t>
  </si>
  <si>
    <t>https://nycdoe.sharepoint.com/:w:/s/BAP/ERixo33Fzi9Ek719Obkq9twBbwSXCJoWHwd-BZmz_9BgsQ</t>
  </si>
  <si>
    <t>Q205</t>
  </si>
  <si>
    <t xml:space="preserve">26Q205         </t>
  </si>
  <si>
    <t>P.S. 205 ALEXANDER GRAHAM BELL</t>
  </si>
  <si>
    <t>75-25 BELL BOULEVARD</t>
  </si>
  <si>
    <t>https://nycdoe.sharepoint.com/:w:/s/BAP/EQSu52OlQ3tJo4bDZEpW4W4B26Fk5PK00YZuD6TQXc8VmQ</t>
  </si>
  <si>
    <t xml:space="preserve">29Q208         </t>
  </si>
  <si>
    <t>74-30 COMMONWEALTH BLVD</t>
  </si>
  <si>
    <t>https://nycdoe.sharepoint.com/:w:/s/BAP/ERLr4xfRBCpFm4vWDS6d5ugBsHjl2FEc20H5HmRWqfCECQ</t>
  </si>
  <si>
    <t>231-02 67 AVENUE</t>
  </si>
  <si>
    <t>https://nycdoe.sharepoint.com/:w:/s/BAP/EQzS1ee4y5hEqQp5q2sHx6sBgQScd9-F6YsHMvtiKSd7OA</t>
  </si>
  <si>
    <t xml:space="preserve">26Q213         </t>
  </si>
  <si>
    <t>P.S. 213 THE CARL ULLMAN SCHOOL</t>
  </si>
  <si>
    <t xml:space="preserve">26Q216         </t>
  </si>
  <si>
    <t>J.H.S. 216 GEORGE J. RYAN</t>
  </si>
  <si>
    <t>64-20 175 STREET</t>
  </si>
  <si>
    <t>https://nycdoe.sharepoint.com/:w:/s/BAP/EbunyBq0fBJNkuFbK1JzFQ4BVI9126V1ynSgCinTtLN1Og</t>
  </si>
  <si>
    <t>Q221</t>
  </si>
  <si>
    <t xml:space="preserve">26Q221         </t>
  </si>
  <si>
    <t>P.S. 221 THE NORTH HILLS SCHOOL</t>
  </si>
  <si>
    <t>57-40 MARATHON PARKWAY</t>
  </si>
  <si>
    <t>https://nycdoe.sharepoint.com/:w:/s/BAP/ESwgn5-nEoNGgDm1BzRxj38BYgQoRZ77OKP30FGbzibBvQ</t>
  </si>
  <si>
    <t>74-10 COMMONWEALTH BOULEVARD</t>
  </si>
  <si>
    <t>https://nycdoe.sharepoint.com/:w:/s/BAP/ERZHCNWokGBIhUBNO50mIpgBuVTs_BysGGk6jU1Qx6AQtQ</t>
  </si>
  <si>
    <t xml:space="preserve">26Q266         </t>
  </si>
  <si>
    <t xml:space="preserve">26Q376         </t>
  </si>
  <si>
    <t>210-21 48 AVENUE</t>
  </si>
  <si>
    <t>https://nycdoe.sharepoint.com/:w:/s/BAP/ESKndv8-mQxAoapkiir38sIBNcRXooG-TZgsYws4iJNIPg</t>
  </si>
  <si>
    <t xml:space="preserve">26Q390         </t>
  </si>
  <si>
    <t>THE CIVIC SCHOOL OF BAYSIDE HILLS</t>
  </si>
  <si>
    <t>56-10 214 STREET</t>
  </si>
  <si>
    <t>https://nycdoe.sharepoint.com/:w:/s/BAP/EY9_dOci-NRHuhd_oOtG0VUBbSzVvo0pFxisvSa1mj-ZwA</t>
  </si>
  <si>
    <t xml:space="preserve">26Q495         </t>
  </si>
  <si>
    <t>BAYSIDE HIGH SCHOOL</t>
  </si>
  <si>
    <t>32-24 CORPORAL KENNEDY STREET</t>
  </si>
  <si>
    <t>https://nycdoe.sharepoint.com/:w:/s/BAP/EQ7qBRVyzUlFpb4T5emwUXsBnwI_LoPXRDobMjP8mYtP3A</t>
  </si>
  <si>
    <t xml:space="preserve">75Q811         </t>
  </si>
  <si>
    <t xml:space="preserve">26Q415         </t>
  </si>
  <si>
    <t>BENJAMIN N. CARDOZO HIGH SCHOOL</t>
  </si>
  <si>
    <t>57-00 223 STREET</t>
  </si>
  <si>
    <t>https://nycdoe.sharepoint.com/:w:/s/BAP/EZsCpA0GzX1Gu0tD-FfFtJMBCRQgUWn3EBTG3hDtWX8m_g</t>
  </si>
  <si>
    <t>58-20 UTOPIA PARKWAY</t>
  </si>
  <si>
    <t>https://nycdoe.sharepoint.com/:w:/s/BAP/EbtF9-UWpIdIl0foumDcfhMBE9i-CZgJU3_-cKqR4DQVOg</t>
  </si>
  <si>
    <t xml:space="preserve">26Q430         </t>
  </si>
  <si>
    <t>FRANCIS LEWIS HIGH SCHOOL</t>
  </si>
  <si>
    <t>Q434</t>
  </si>
  <si>
    <t>https://nycdoe.sharepoint.com/:w:/s/BAP/EW3ABU6dHxNOtPOTTdKlOdAB1oudUTGGc4nV7cIQztNTzA</t>
  </si>
  <si>
    <t>230-17 HILLSIDE AVENUE</t>
  </si>
  <si>
    <t>https://nycdoe.sharepoint.com/:w:/s/BAP/ERFJZ6aCKFROin-ehx771EsBU6rs2G7oL9xVOYimIFdTXg</t>
  </si>
  <si>
    <t xml:space="preserve">26Q315         </t>
  </si>
  <si>
    <t>BUSINESS TECHNOLOGY EARLY COLLEGE HIGH SCHOOL</t>
  </si>
  <si>
    <t xml:space="preserve">26Q435         </t>
  </si>
  <si>
    <t>MARTIN VAN BUREN HIGH SCHOOL</t>
  </si>
  <si>
    <t>Q469</t>
  </si>
  <si>
    <t>221-15 58 AVENUE</t>
  </si>
  <si>
    <t>https://nycdoe.sharepoint.com/:w:/s/BAP/EZ-exhGwzGpHhEh2uujeDW4BJdqv5BMUzkYsixABo2fI3Q</t>
  </si>
  <si>
    <t xml:space="preserve">26Q566         </t>
  </si>
  <si>
    <t>QUEENS HIGH SCHOOL OF TEACHING, LIBERAL ARTS AND THE SCIENCES</t>
  </si>
  <si>
    <t>74-20 COMMONWEALTH BLVD</t>
  </si>
  <si>
    <t>https://nycdoe.sharepoint.com/:w:/s/BAP/EbEFfpHjDmhNpx4o3IbSbF8BW9RbW25wG2MtGLT4SucimA</t>
  </si>
  <si>
    <t>Q809</t>
  </si>
  <si>
    <t>221-21 CORBETT ROAD</t>
  </si>
  <si>
    <t>https://nycdoe.sharepoint.com/:w:/s/BAP/ERsSIczPKgxDh_oRIz_EM-gBWfQfKx99eVZ-C8fc1pqFfw</t>
  </si>
  <si>
    <t>61-25 MARATHON PARKWAY</t>
  </si>
  <si>
    <t>https://nycdoe.sharepoint.com/:w:/s/BAP/ESuzuJRVQlZNpZaXMPsKyAEB9PlTX9s8Vw2zk4RR_tBvlw</t>
  </si>
  <si>
    <t xml:space="preserve">27Q042         </t>
  </si>
  <si>
    <t>P.S./M.S 042 R. VERNAM</t>
  </si>
  <si>
    <t>488 BEACH  66 STREET</t>
  </si>
  <si>
    <t>https://nycdoe.sharepoint.com/:w:/s/BAP/EYfakg99jLBCuQEZcci0VuEBldnzGGO52qrgrf0HVHeY5g</t>
  </si>
  <si>
    <t xml:space="preserve">27Q043         </t>
  </si>
  <si>
    <t>160 BEACH  29 STREET</t>
  </si>
  <si>
    <t>https://nycdoe.sharepoint.com/:w:/s/BAP/ETwZnuz8wMRJq_FRIPPywZYBK9QckqGJvmtUG0SYWN9-lA</t>
  </si>
  <si>
    <t xml:space="preserve">75Q256         </t>
  </si>
  <si>
    <t xml:space="preserve">27Q051         </t>
  </si>
  <si>
    <t>87-45 117 STREET</t>
  </si>
  <si>
    <t>https://nycdoe.sharepoint.com/:w:/s/BAP/EW5kW4q5pJ1Fv41g3YAgQ_4BK1GuEoc9etGOEWIlO-fwoA</t>
  </si>
  <si>
    <t xml:space="preserve">27Q053         </t>
  </si>
  <si>
    <t>M.S. 053 BRIAN PICCOLO</t>
  </si>
  <si>
    <t>10-45 NAMEOKE STREET</t>
  </si>
  <si>
    <t>https://nycdoe.sharepoint.com/:w:/s/BAP/Eb4wJ0O4mAlMpYOyNx0mmfcBvn34Vn2elQuiPOBaUscXBw</t>
  </si>
  <si>
    <t xml:space="preserve">27Q319         </t>
  </si>
  <si>
    <t xml:space="preserve">VILLAGE ACADEMY </t>
  </si>
  <si>
    <t xml:space="preserve">84Q375         </t>
  </si>
  <si>
    <t>SUCCESS ACADEMY CHARTER SCHOOL - FAR ROCKAWAY</t>
  </si>
  <si>
    <t xml:space="preserve">27Q060         </t>
  </si>
  <si>
    <t>P.S. 060 WOODHAVEN</t>
  </si>
  <si>
    <t>91-02 88 AVENUE</t>
  </si>
  <si>
    <t>https://nycdoe.sharepoint.com/:w:/s/BAP/ETmnwbJ-coxBppW1DftSg0sBvu0d-xzve34krnagRGQkgQ</t>
  </si>
  <si>
    <t xml:space="preserve">27Q062         </t>
  </si>
  <si>
    <t>P. S. 62 - CHESTER PARK SCHOOL</t>
  </si>
  <si>
    <t>97-25 108 STREET</t>
  </si>
  <si>
    <t>https://nycdoe.sharepoint.com/:w:/s/BAP/ESNMbntqmvBBnePSYctGkGEBocFY016N8PtcrUaTeRg1tQ</t>
  </si>
  <si>
    <t xml:space="preserve">27Q063         </t>
  </si>
  <si>
    <t>P.S. 063 OLD SOUTH</t>
  </si>
  <si>
    <t>90-15 SUTTER AVENUE</t>
  </si>
  <si>
    <t>https://nycdoe.sharepoint.com/:w:/s/BAP/EWnowobswOVHpmHpClOXyBsBt8yJ6Vsg0DNj3rcL_i5g9w</t>
  </si>
  <si>
    <t xml:space="preserve">27Q064         </t>
  </si>
  <si>
    <t>P.S. 064 JOSEPH P. ADDABBO</t>
  </si>
  <si>
    <t>82-01 101 AVENUE</t>
  </si>
  <si>
    <t>https://nycdoe.sharepoint.com/:w:/s/BAP/Ee-6RdPT4x1KuBeqS-6wIjUBmS_kriJALnth0eOtKwBlKg</t>
  </si>
  <si>
    <t xml:space="preserve">27Q066         </t>
  </si>
  <si>
    <t>P.S. 066 JACQUELINE KENNEDY ONASSIS</t>
  </si>
  <si>
    <t>85-11 102 STREET</t>
  </si>
  <si>
    <t>https://nycdoe.sharepoint.com/:w:/s/BAP/EaAK01XLADtAn-_Ux0Row8IBAjcucKOI2SfweqakRsG-0A</t>
  </si>
  <si>
    <t>Q096</t>
  </si>
  <si>
    <t xml:space="preserve">27Q096         </t>
  </si>
  <si>
    <t>P.S. 096</t>
  </si>
  <si>
    <t>130-01 ROCKAWAY BOULEVARD</t>
  </si>
  <si>
    <t>https://nycdoe.sharepoint.com/:w:/s/BAP/EUP0CXY71kNNlKh2xXB8vDgB_HZRXKBG2kf0uRjxBEYj8w</t>
  </si>
  <si>
    <t xml:space="preserve">27Q097         </t>
  </si>
  <si>
    <t>P.S. 097 FOREST PARK</t>
  </si>
  <si>
    <t>85-52 85 STREET</t>
  </si>
  <si>
    <t>https://nycdoe.sharepoint.com/:w:/s/BAP/EQHwTBcYKChFpjsX57xa9vsBrAk2mXleBKaHUsXVGyEX7w</t>
  </si>
  <si>
    <t xml:space="preserve">27Q100         </t>
  </si>
  <si>
    <t>P.S. 100 GLEN MORRIS</t>
  </si>
  <si>
    <t>111-11 118 STREET</t>
  </si>
  <si>
    <t>https://nycdoe.sharepoint.com/:w:/s/BAP/EQTOmVnzsOVGnXizJ9oGBWMBNpz1IWVTuCnb_En_kJWb9g</t>
  </si>
  <si>
    <t xml:space="preserve">27Q108         </t>
  </si>
  <si>
    <t>P.S. 108 CAPTAIN VINCENT G. FOWLER</t>
  </si>
  <si>
    <t>108-10 109 AVENUE</t>
  </si>
  <si>
    <t>https://nycdoe.sharepoint.com/:w:/s/BAP/EVZtd-GThm9IrFgesZwOt6YB9MjePu9dsaiXbCDpvYKbFw</t>
  </si>
  <si>
    <t xml:space="preserve">27Q114         </t>
  </si>
  <si>
    <t>P.S./M.S. 114 BELLE HARBOR</t>
  </si>
  <si>
    <t>134-01 CRONSTON AVENUE</t>
  </si>
  <si>
    <t>https://nycdoe.sharepoint.com/:w:/s/BAP/ERzCtEobw4RFsV1esNh8FtwBWdbPQ9-iZXlU3ipFiyTmRw</t>
  </si>
  <si>
    <t xml:space="preserve">27Q124         </t>
  </si>
  <si>
    <t>P.S. 124 OSMOND A CHURCH</t>
  </si>
  <si>
    <t>129-15 150 AVENUE</t>
  </si>
  <si>
    <t>https://nycdoe.sharepoint.com/:w:/s/BAP/ETuCw2VQu9FEkuuz0Eze5WkBYknvp3H-PR8pWkTEV4D_sQ</t>
  </si>
  <si>
    <t xml:space="preserve">27Q137         </t>
  </si>
  <si>
    <t>M.S. 137 AMERICA'S SCHOOL OF HEROES</t>
  </si>
  <si>
    <t>109-15 98 STREET</t>
  </si>
  <si>
    <t>https://nycdoe.sharepoint.com/:w:/s/BAP/EVpPmKa1-axMl0oXAcaY044BuTaQH3GwLwMFHj-83XOG1w</t>
  </si>
  <si>
    <t>Q146</t>
  </si>
  <si>
    <t xml:space="preserve">27Q146         </t>
  </si>
  <si>
    <t>P.S. 146 HOWARD BEACH</t>
  </si>
  <si>
    <t>98-01 159 AVENUE</t>
  </si>
  <si>
    <t>https://nycdoe.sharepoint.com/:w:/s/BAP/EQDgQkAJxEhMiCR896xEO0IBBqV7O2gDk2DPesFYUNqxBg</t>
  </si>
  <si>
    <t>Q155</t>
  </si>
  <si>
    <t xml:space="preserve">27Q155         </t>
  </si>
  <si>
    <t>P.S. 155</t>
  </si>
  <si>
    <t>130-02 115 AVENUE</t>
  </si>
  <si>
    <t>https://nycdoe.sharepoint.com/:w:/s/BAP/EUDKAvdSpIJGkggZXJqYWx8Bu6H9yqQ-_PGK3m-KymdrRw</t>
  </si>
  <si>
    <t xml:space="preserve">27Q323         </t>
  </si>
  <si>
    <t>SCHOLARS' ACADEMY</t>
  </si>
  <si>
    <t>320 BEACH 104 STREET</t>
  </si>
  <si>
    <t>https://nycdoe.sharepoint.com/:w:/s/BAP/EaBCETf1HOFHiDS2Gg3juGgBPCusb_5_QWj3ShKpoQgWLQ</t>
  </si>
  <si>
    <t>Q183</t>
  </si>
  <si>
    <t xml:space="preserve">27Q183         </t>
  </si>
  <si>
    <t>P.S. 183 DR. RICHARD R. GREEN</t>
  </si>
  <si>
    <t>2-45 BEACH  79 STREET</t>
  </si>
  <si>
    <t>https://nycdoe.sharepoint.com/:w:/s/BAP/EXZw5I-DTf1AgMyHHG0ACYwB6Z-epAkM7AR7WVx2Ncut2w</t>
  </si>
  <si>
    <t>3-65 BEACH 56 STREET</t>
  </si>
  <si>
    <t>https://nycdoe.sharepoint.com/:w:/s/BAP/EXCYoceEPs9HhLquzhsnHtYBmfKerK3h6UuTiWpUiHODMw</t>
  </si>
  <si>
    <t xml:space="preserve">27Q333         </t>
  </si>
  <si>
    <t>GOLDIE MAPLE ACADEMY</t>
  </si>
  <si>
    <t xml:space="preserve">27Q202         </t>
  </si>
  <si>
    <t>J.H.S. 202 ROBERT H. GODDARD</t>
  </si>
  <si>
    <t>138-30 LAFAYETTE STREET</t>
  </si>
  <si>
    <t>https://nycdoe.sharepoint.com/:w:/s/BAP/EQVSefCQ13ZDmr9o-UNAJxwB943DTYM7KcxRMwZgENignQ</t>
  </si>
  <si>
    <t xml:space="preserve">27Q308         </t>
  </si>
  <si>
    <t>ROBERT H. GODDARD HIGH SCHOOL OF COMMUNICATION ARTS AND TECHNOLOGY</t>
  </si>
  <si>
    <t xml:space="preserve">27Q207         </t>
  </si>
  <si>
    <t>P.S. 207 ROCKWOOD PARK</t>
  </si>
  <si>
    <t>159-15 88 STREET</t>
  </si>
  <si>
    <t>https://nycdoe.sharepoint.com/:w:/s/BAP/EZggWGfpyg1Lkh1kjpALtrcBx6xblJBw9t0IG7BjsdhBcA</t>
  </si>
  <si>
    <t xml:space="preserve">27Q210         </t>
  </si>
  <si>
    <t>J.H.S. 210 ELIZABETH BLACKWELL</t>
  </si>
  <si>
    <t>93-11 101 AVENUE</t>
  </si>
  <si>
    <t>https://nycdoe.sharepoint.com/:w:/s/BAP/EY2XsOApa4RNifIfeYAXwAQBwH5cl_0LgRFxrxig03P2lQ</t>
  </si>
  <si>
    <t xml:space="preserve">27Q362         </t>
  </si>
  <si>
    <t>WAVE PREPARATORY ELEMENTARY SCHOOL</t>
  </si>
  <si>
    <t>535 BRIAR PLACE</t>
  </si>
  <si>
    <t>https://nycdoe.sharepoint.com/:w:/s/BAP/EVnSmH_UE05NuASHu8EDDVQBT0SWzN04bQTbu9mVLzKMgw</t>
  </si>
  <si>
    <t>125-20 SUTPHIN BOULEVARD</t>
  </si>
  <si>
    <t>https://nycdoe.sharepoint.com/:w:/s/BAP/EfQ7oWLw0q9Ds1ckiT_PCNwBALU-V1tBRZ-ONE6ho7ehtg</t>
  </si>
  <si>
    <t xml:space="preserve">27Q223         </t>
  </si>
  <si>
    <t>P.S. 223 LYNDON B. JOHNSON</t>
  </si>
  <si>
    <t>121-10 ROCKAWAY BOULEVARD</t>
  </si>
  <si>
    <t>https://nycdoe.sharepoint.com/:w:/s/BAP/EdqFHkUQDLpMjI8BwFc4tmcBUJkPl1_VR4qlNycJ3GYtRg</t>
  </si>
  <si>
    <t xml:space="preserve">27Q226         </t>
  </si>
  <si>
    <t>J.H.S. 226 VIRGIL I. GRISSOM</t>
  </si>
  <si>
    <t xml:space="preserve">27Q297         </t>
  </si>
  <si>
    <t>HAWTREE CREEK MIDDLE SCHOOL</t>
  </si>
  <si>
    <t xml:space="preserve">27Q314         </t>
  </si>
  <si>
    <t>EPIC HIGH SCHOOL - SOUTH</t>
  </si>
  <si>
    <t xml:space="preserve">27Q232         </t>
  </si>
  <si>
    <t>P.S. 232 LINDENWOOD</t>
  </si>
  <si>
    <t>153-23 83 STREET</t>
  </si>
  <si>
    <t>https://nycdoe.sharepoint.com/:w:/s/BAP/EcF-kUJahpxMrHH0FqmfBMwBa_cDw0BuogjpTDPD60LpqA</t>
  </si>
  <si>
    <t xml:space="preserve">27Q253         </t>
  </si>
  <si>
    <t>THE RANDOLPH HOLDER SCHOOL FOR SOCIAL JUSTICE</t>
  </si>
  <si>
    <t>1307 CENTRAL AVENUE</t>
  </si>
  <si>
    <t>https://nycdoe.sharepoint.com/:w:/s/BAP/EeWFQI6o6tVBlBiwX7lG4SIBk86Iu2Eq_NlbDW5h6DAeFg</t>
  </si>
  <si>
    <t>84-40 101 STREET</t>
  </si>
  <si>
    <t>https://nycdoe.sharepoint.com/:w:/s/BAP/EeAJ4uvUA9ZDtZtOX9ImfNwBYkTvYVlQ2gBIbBP_t26dYg</t>
  </si>
  <si>
    <t xml:space="preserve">27Q254         </t>
  </si>
  <si>
    <t>P.S. 254 - THE ROSA PARKS SCHOOL</t>
  </si>
  <si>
    <t xml:space="preserve">27Q306         </t>
  </si>
  <si>
    <t>NEW YORK CITY ACADEMY FOR DISCOVERY</t>
  </si>
  <si>
    <t>95-16 89 AVENUE</t>
  </si>
  <si>
    <t>https://nycdoe.sharepoint.com/:w:/s/BAP/EYhRmaEimd5KhUiui-GCxkwBARWiGn1W1q895xDMtbkjSg</t>
  </si>
  <si>
    <t xml:space="preserve">27Q273         </t>
  </si>
  <si>
    <t>88-07 102 STREET</t>
  </si>
  <si>
    <t>https://nycdoe.sharepoint.com/:w:/s/BAP/EXFeSdO__RdFmEqq4G6lBr8BBfrWelvdNhkezdvrxndlDw</t>
  </si>
  <si>
    <t xml:space="preserve">27Q316         </t>
  </si>
  <si>
    <t>QUEENS EXPLORERS ELEMENTARY SCHOOL</t>
  </si>
  <si>
    <t>90-07 101 AVENUE</t>
  </si>
  <si>
    <t>https://nycdoe.sharepoint.com/:w:/s/BAP/EUbIGEiSWnxPiATRr4HtU7wBsRMfl_vsE2T12l7e2Iarxw</t>
  </si>
  <si>
    <t>150-15 RALEIGH STREET</t>
  </si>
  <si>
    <t>https://nycdoe.sharepoint.com/:w:/s/BAP/EcsBLOgnVs5HnUFSr9airJcB7qC5f8Q2KUkX60HtmmCyrA</t>
  </si>
  <si>
    <t xml:space="preserve">27Q377         </t>
  </si>
  <si>
    <t>S.T.A.R. LEADERSHIP ACADEMY</t>
  </si>
  <si>
    <t xml:space="preserve">27Q047         </t>
  </si>
  <si>
    <t>P.S. 047 CHRIS GALAS</t>
  </si>
  <si>
    <t>9 POWER ROAD</t>
  </si>
  <si>
    <t>https://nycdoe.sharepoint.com/:w:/s/BAP/EcmXO6lQvzdHmz6wDlB18l0Bzb11qKWdhN9bumPVMnr2yg</t>
  </si>
  <si>
    <t xml:space="preserve">27Q261         </t>
  </si>
  <si>
    <t>VOYAGES PREP - SOUTH QUEENS</t>
  </si>
  <si>
    <t>156-10 BAISLEY BOULEVARD</t>
  </si>
  <si>
    <t>https://nycdoe.sharepoint.com/:w:/s/BAP/Ea-IIjZW9QRDk5wPv4QRkEkBCMrklqZosdIN7jOcFvg3Rg</t>
  </si>
  <si>
    <t xml:space="preserve">84Q320         </t>
  </si>
  <si>
    <t>UNITED CHARTER HIGH SCHOOL FOR ADVANCED MATH AND SCIENCE LV</t>
  </si>
  <si>
    <t xml:space="preserve">27Q400         </t>
  </si>
  <si>
    <t>AUGUST MARTIN HIGH SCHOOL</t>
  </si>
  <si>
    <t>100-00 BEACH CHANNEL DRIVE</t>
  </si>
  <si>
    <t>https://nycdoe.sharepoint.com/:w:/s/BAP/EQpmzsnM32FCuQpwHF5H7IUBgN43OuH7eR4Z0sNGk36aSg</t>
  </si>
  <si>
    <t xml:space="preserve">27Q262         </t>
  </si>
  <si>
    <t>CHANNEL VIEW SCHOOL FOR RESEARCH</t>
  </si>
  <si>
    <t xml:space="preserve">27Q324         </t>
  </si>
  <si>
    <t>ROCKAWAY PARK HIGH SCHOOL FOR ENVIRONMENTAL SUSTAINABILITY</t>
  </si>
  <si>
    <t xml:space="preserve">27Q351         </t>
  </si>
  <si>
    <t>ROCKAWAY COLLEGIATE HIGH SCHOOL</t>
  </si>
  <si>
    <t xml:space="preserve">84Q373         </t>
  </si>
  <si>
    <t>UNITED CHARTER HIGH SCHOOL FOR THE HUMANITIES LV</t>
  </si>
  <si>
    <t>Q438</t>
  </si>
  <si>
    <t>445 BEACH 135 STREET</t>
  </si>
  <si>
    <t>https://nycdoe.sharepoint.com/:w:/s/BAP/EUZ3XNTLPC9JiphybBO9B3gBTT-z_E2Fw1x3q9VSsadfLg</t>
  </si>
  <si>
    <t xml:space="preserve">27Q475         </t>
  </si>
  <si>
    <t>RICHMOND HILL HIGH SCHOOL</t>
  </si>
  <si>
    <t>89-30 114 STREET</t>
  </si>
  <si>
    <t>https://nycdoe.sharepoint.com/:w:/s/BAP/EQl4jWQRZftMkRnxAmAFAOUBfMmjEB_847B5dEQK1eIu2w</t>
  </si>
  <si>
    <t xml:space="preserve">27Q480         </t>
  </si>
  <si>
    <t>JOHN ADAMS HIGH SCHOOL</t>
  </si>
  <si>
    <t>101-01 ROCKAWAY BOULEVARD</t>
  </si>
  <si>
    <t>https://nycdoe.sharepoint.com/:w:/s/BAP/EXlH9OVD9RdOi-HaEaLkTKoB9_upGJi5xdv2Tq2tDrY9zw</t>
  </si>
  <si>
    <t>Q317</t>
  </si>
  <si>
    <t xml:space="preserve">27Q317         </t>
  </si>
  <si>
    <t>WATERSIDE CHILDREN'S STUDIO SCHOOL</t>
  </si>
  <si>
    <t>140 BEACH 112 STREET</t>
  </si>
  <si>
    <t>https://nycdoe.sharepoint.com/:w:/s/BAP/EWDt5GMXPJFAlD2_lmUZc4kBhyUfI8D36SI-XwSl03nBJQ</t>
  </si>
  <si>
    <t>94-06 104 STREET</t>
  </si>
  <si>
    <t>https://nycdoe.sharepoint.com/:w:/s/BAP/EfRuvK7fJ45Ch-Z1DStmKtkBQNElLiLgbVwgYfq1fYVzOA</t>
  </si>
  <si>
    <t xml:space="preserve">27Q650         </t>
  </si>
  <si>
    <t>HIGH SCHOOL FOR CONSTRUCTION TRADES, ENGINEERING AND ARCHITECTURE</t>
  </si>
  <si>
    <t>Q750</t>
  </si>
  <si>
    <t>JFK AIRPORT-BLDG #141</t>
  </si>
  <si>
    <t>https://nycdoe.sharepoint.com/:w:/s/BAP/ERzMGF-fArZKiJOyZYi3O6ABhv8CNH4vA5pCeIVcLJjCww</t>
  </si>
  <si>
    <t xml:space="preserve">27Q065         </t>
  </si>
  <si>
    <t>P.S. 65 - THE RAYMOND YORK ELEMENTARY SCHOOL</t>
  </si>
  <si>
    <t>103-22 99 STREET</t>
  </si>
  <si>
    <t>https://nycdoe.sharepoint.com/:w:/s/BAP/ET6rZsiStKdCm63xC1LAiRMBalmU3xrgrL0PrBhgj4MLDQ</t>
  </si>
  <si>
    <t>Q907</t>
  </si>
  <si>
    <t>12 MARVIN STREET</t>
  </si>
  <si>
    <t>https://nycdoe.sharepoint.com/:w:/s/BAP/EcWPMhBxTYtJmtZyCbJB3RcBvdVOAaPHL8nd1qUs09-Wng</t>
  </si>
  <si>
    <t xml:space="preserve">28Q303         </t>
  </si>
  <si>
    <t>THE ACADEMY FOR EXCELLENCE THROUGH THE ARTS</t>
  </si>
  <si>
    <t>68-60 110 STREET</t>
  </si>
  <si>
    <t>https://nycdoe.sharepoint.com/:w:/s/BAP/Ee4XXoERG3xGsNqbcX9gySsBSUXB5AR-_MTkqOboMtoa-w</t>
  </si>
  <si>
    <t xml:space="preserve">28Q008         </t>
  </si>
  <si>
    <t>J.H.S. 008 RICHARD S. GROSSLEY</t>
  </si>
  <si>
    <t>108-35 167 STREET</t>
  </si>
  <si>
    <t>https://nycdoe.sharepoint.com/:w:/s/BAP/ERSeoYw7s55Il_tm_9-lA60BsnLJn-W2evOzF8nVujR2dA</t>
  </si>
  <si>
    <t xml:space="preserve">28Q284         </t>
  </si>
  <si>
    <t>YORK EARLY COLLEGE ACADEMY</t>
  </si>
  <si>
    <t xml:space="preserve">28Q287         </t>
  </si>
  <si>
    <t>THE EMERSON SCHOOL</t>
  </si>
  <si>
    <t xml:space="preserve">28Q040         </t>
  </si>
  <si>
    <t>P.S. 040 SAMUEL HUNTINGTON</t>
  </si>
  <si>
    <t>109-20 UNION HALL STREET</t>
  </si>
  <si>
    <t>https://nycdoe.sharepoint.com/:w:/s/BAP/Ef4FekrPSYVAknr6fZWPb5AB9PStKGkcrXiVh_-zdhGVmg</t>
  </si>
  <si>
    <t xml:space="preserve">28Q312         </t>
  </si>
  <si>
    <t>JAMAICA CHILDREN'S SCHOOL</t>
  </si>
  <si>
    <t xml:space="preserve">28Q050         </t>
  </si>
  <si>
    <t>P.S. 050 TALFOURD LAWN ELEMENTARY SCHOOL</t>
  </si>
  <si>
    <t>143-26 101 AVENUE</t>
  </si>
  <si>
    <t>https://nycdoe.sharepoint.com/:w:/s/BAP/ETKz86ZrRmpNjMuOu89blU4BrLBgolh0py2ZU6xJ6HW-0g</t>
  </si>
  <si>
    <t xml:space="preserve">28Q055         </t>
  </si>
  <si>
    <t>P.S. 055 MAURE</t>
  </si>
  <si>
    <t>131-10 97 AVENUE</t>
  </si>
  <si>
    <t>https://nycdoe.sharepoint.com/:w:/s/BAP/ERjlg33rJDRAhxm4_O3sUNcBrC1S6oo_A3dROqu9FHhdZQ</t>
  </si>
  <si>
    <t xml:space="preserve">28Q072         </t>
  </si>
  <si>
    <t>CATHERINE &amp; COUNT BASIE MIDDLE SCHOOL 72</t>
  </si>
  <si>
    <t>133-25 GUY R BREWER BOULEVARD</t>
  </si>
  <si>
    <t>https://nycdoe.sharepoint.com/:w:/s/BAP/EdX2gUQYPLBIuOyvlFvxf98B54NMKq5mdfuRcnUlf1yAPw</t>
  </si>
  <si>
    <t xml:space="preserve">28Q332         </t>
  </si>
  <si>
    <t>REDWOOD MIDDLE SCHOOL</t>
  </si>
  <si>
    <t xml:space="preserve">28Q080         </t>
  </si>
  <si>
    <t>PS 80  THE THURGOOD MARSHALL MAGNET SCHOOL OF MULTIMEDIA AND COMMUNICATION</t>
  </si>
  <si>
    <t>171-05 137 AVENUE</t>
  </si>
  <si>
    <t>https://nycdoe.sharepoint.com/:w:/s/BAP/EdLzghrHGfhKklyV_y7FV10BkD-12iCCkeB68Szr1W3JSg</t>
  </si>
  <si>
    <t xml:space="preserve">28Q082         </t>
  </si>
  <si>
    <t>P.S. 082 HAMMOND</t>
  </si>
  <si>
    <t>88-02 144 STREET</t>
  </si>
  <si>
    <t>https://nycdoe.sharepoint.com/:w:/s/BAP/EdKChtSp_RVAm5487cGqpI8BH6cVv5aWrcnLZtTCT0CKxw</t>
  </si>
  <si>
    <t>Q086</t>
  </si>
  <si>
    <t xml:space="preserve">28Q086         </t>
  </si>
  <si>
    <t>P.S. Q086</t>
  </si>
  <si>
    <t>87-41 PARSONS BOULEVARD</t>
  </si>
  <si>
    <t>https://nycdoe.sharepoint.com/:w:/s/BAP/EabT4LS9Lz1FhHTA6Ja66QoBLjS7FTDe0D_8ipfreue6kQ</t>
  </si>
  <si>
    <t xml:space="preserve">28Q117         </t>
  </si>
  <si>
    <t>P.S. 117 J. KELD / BRIARWOOD SCHOOL</t>
  </si>
  <si>
    <t>85-15 143 STREET</t>
  </si>
  <si>
    <t>https://nycdoe.sharepoint.com/:w:/s/BAP/EQ0L-lmBlJ1OlNpmt3aeOBQB59edsMrfZvS41nJOLWTZyA</t>
  </si>
  <si>
    <t>Q121</t>
  </si>
  <si>
    <t xml:space="preserve">28Q121         </t>
  </si>
  <si>
    <t>P.S. 121 QUEENS</t>
  </si>
  <si>
    <t>126-10 109 AVENUE</t>
  </si>
  <si>
    <t>https://nycdoe.sharepoint.com/:w:/s/BAP/ESZzCVa-IVxNix7f_fkn07EBvoJPVz1V3xEy3Eb68TTK4w</t>
  </si>
  <si>
    <t xml:space="preserve">28Q139         </t>
  </si>
  <si>
    <t>P.S. 139 REGO PARK</t>
  </si>
  <si>
    <t>93-06 63 DRIVE</t>
  </si>
  <si>
    <t>https://nycdoe.sharepoint.com/:w:/s/BAP/EegzGJ8qIaBBp_LY-kZNMv4B1IxN4AR3vXSgpFDwHDEV-Q</t>
  </si>
  <si>
    <t>Q140</t>
  </si>
  <si>
    <t xml:space="preserve">28Q140         </t>
  </si>
  <si>
    <t>P.S. 140 EDWARD K ELLINGTON</t>
  </si>
  <si>
    <t>166-01 116 AVENUE</t>
  </si>
  <si>
    <t>https://nycdoe.sharepoint.com/:w:/s/BAP/EYZYvqICQiZKnBaoPF7GIR0BEOFhhyIFvHqjnqSCpq1dPA</t>
  </si>
  <si>
    <t>142-10 LINDEN BOULEVARD</t>
  </si>
  <si>
    <t>https://nycdoe.sharepoint.com/:w:/s/BAP/ESrKNKm3SkJBg6r4tZ586J0BiK-hy3wIdzz_ejAGqP2HXg</t>
  </si>
  <si>
    <t xml:space="preserve">28Q144         </t>
  </si>
  <si>
    <t>P.S. 144 COL JEROMUS REMSEN</t>
  </si>
  <si>
    <t>69-20 JUNO STREET</t>
  </si>
  <si>
    <t>https://nycdoe.sharepoint.com/:w:/s/BAP/EXC6y55HfAFNpqlR7_NVyAkBbPJxX4oqcl2P3m3HlquaNQ</t>
  </si>
  <si>
    <t>101-33 124 STREET</t>
  </si>
  <si>
    <t>https://nycdoe.sharepoint.com/:w:/s/BAP/EYuXjq6GyXxLsSqSPWb2fXQBTuoxhdNKZvhsIYjRXpVMmg</t>
  </si>
  <si>
    <t xml:space="preserve">28Q161         </t>
  </si>
  <si>
    <t>P.S. 161 ARTHUR ASHE SCHOOL</t>
  </si>
  <si>
    <t>Q174</t>
  </si>
  <si>
    <t xml:space="preserve">28Q174         </t>
  </si>
  <si>
    <t>P.S. 174 WILLIAM SIDNEY MOUNT</t>
  </si>
  <si>
    <t>65-30 DIETERLE CRESCENT</t>
  </si>
  <si>
    <t>https://nycdoe.sharepoint.com/:w:/s/BAP/EVLcH8c2ethBh_8FazyiOFABCqnJUjf5RT_x7AUNAubLrw</t>
  </si>
  <si>
    <t xml:space="preserve">28Q175         </t>
  </si>
  <si>
    <t>P.S. 175 THE LYNN GROSS DISCOVERY SCHOOL</t>
  </si>
  <si>
    <t>64-35 102 STREET</t>
  </si>
  <si>
    <t>https://nycdoe.sharepoint.com/:w:/s/BAP/EQaFj0HakW1Lkkdrf9DNmeEBmTQNyFQVBKVE2hD51b9RDg</t>
  </si>
  <si>
    <t>68-17 AUSTIN STREET</t>
  </si>
  <si>
    <t>https://nycdoe.sharepoint.com/:w:/s/BAP/EVM31GULiRhLrY35nA0Z93YBaI4AxoxCIAH1Xw2xdxfzQQ</t>
  </si>
  <si>
    <t xml:space="preserve">28Q190         </t>
  </si>
  <si>
    <t>J.H.S. 190 RUSSELL SAGE</t>
  </si>
  <si>
    <t xml:space="preserve">28Q196         </t>
  </si>
  <si>
    <t>P.S. 196 GRAND CENTRAL PARKWAY</t>
  </si>
  <si>
    <t>71-25 113 STREET</t>
  </si>
  <si>
    <t>https://nycdoe.sharepoint.com/:w:/s/BAP/Ebt5F8X9eUFCpOPzTm-__3kBZufNcT29EDzkrINqLF9gEQ</t>
  </si>
  <si>
    <t>Q206</t>
  </si>
  <si>
    <t xml:space="preserve">28Q206         </t>
  </si>
  <si>
    <t>P.S. 206 THE HORACE HARDING SCHOOL</t>
  </si>
  <si>
    <t>61-02 98 STREET</t>
  </si>
  <si>
    <t>https://nycdoe.sharepoint.com/:w:/s/BAP/ETCfF9QzNGtMsiIRyvfRnKwBb2CzMcobWkOPRqmSOp6A8g</t>
  </si>
  <si>
    <t>85-05 144 STREET</t>
  </si>
  <si>
    <t>https://nycdoe.sharepoint.com/:w:/s/BAP/ERNeqIUFtkBIgTexe4rX-zQBy-bv9vUs-x0exhrJkPc7BA</t>
  </si>
  <si>
    <t xml:space="preserve">28Q217         </t>
  </si>
  <si>
    <t>J.H.S. 217 ROBERT A. VAN WYCK</t>
  </si>
  <si>
    <t xml:space="preserve">28Q048         </t>
  </si>
  <si>
    <t>DAVID N. DINKINS SCHOOL</t>
  </si>
  <si>
    <t>108-29 155 STREET</t>
  </si>
  <si>
    <t>https://nycdoe.sharepoint.com/:w:/s/BAP/EUujTp3v9htOtC7B83CK4UMB9LIY_kVh5bN6s41x2QKgOQ</t>
  </si>
  <si>
    <t>153-27 88 AVENUE</t>
  </si>
  <si>
    <t>https://nycdoe.sharepoint.com/:w:/s/BAP/EWWRCKeC9G5HodeCACsBIzIBcHFl8H_rexrEiyQY6SpVcw</t>
  </si>
  <si>
    <t xml:space="preserve">28Q182         </t>
  </si>
  <si>
    <t>P.S. 182 SAMANTHA SMITH</t>
  </si>
  <si>
    <t>88-08 164 STREET</t>
  </si>
  <si>
    <t>https://nycdoe.sharepoint.com/:w:/s/BAP/EU0bszH1rv5GpyVTXuYE2iABwcw_WlFPunWYBQAWhysUVQ</t>
  </si>
  <si>
    <t xml:space="preserve">28Q349         </t>
  </si>
  <si>
    <t>THE QUEENS SCHOOL FOR LEADERSHIP AND EXCELLENCE</t>
  </si>
  <si>
    <t xml:space="preserve">28Q358         </t>
  </si>
  <si>
    <t xml:space="preserve">28Q440         </t>
  </si>
  <si>
    <t>FOREST HILLS HIGH SCHOOL</t>
  </si>
  <si>
    <t>67-01 110 STREET</t>
  </si>
  <si>
    <t>https://nycdoe.sharepoint.com/:w:/s/BAP/ETmG-xrlo9pKt4zIGT9dz8MBRcqWbRur_u91atMVdoaAaQ</t>
  </si>
  <si>
    <t xml:space="preserve">28Q505         </t>
  </si>
  <si>
    <t>HILLCREST HIGH SCHOOL</t>
  </si>
  <si>
    <t>160-05 HIGHLAND AVENUE</t>
  </si>
  <si>
    <t>https://nycdoe.sharepoint.com/:w:/s/BAP/EZ5GYnVrcE5JjtAfNh0B5ugBeBfUIb8tvsfFEDhTvoYIDw</t>
  </si>
  <si>
    <t xml:space="preserve">28Q620         </t>
  </si>
  <si>
    <t>THOMAS A. EDISON CAREER AND TECHNICAL EDUCATION HIGH SCHOOL</t>
  </si>
  <si>
    <t>165-65 84 AVENUE</t>
  </si>
  <si>
    <t>https://nycdoe.sharepoint.com/:w:/s/BAP/ESnE8uic8jVDmiNSOliczy8B9DkUzgJMio13j3li-vfVqA</t>
  </si>
  <si>
    <t xml:space="preserve">28Q896         </t>
  </si>
  <si>
    <t>YOUNG WOMEN'S LEADERSHIP SCHOOL, QUEENS</t>
  </si>
  <si>
    <t>150-91 87 ROAD</t>
  </si>
  <si>
    <t>https://nycdoe.sharepoint.com/:w:/s/BAP/EfUP3hTKwkNKt7qXT8ocDlgBvXvt4X3CZ6XtzjeWJh1FRA</t>
  </si>
  <si>
    <t xml:space="preserve">28Q167         </t>
  </si>
  <si>
    <t>METROPOLITAN EXPEDITIONARY LEARNING SCHOOL</t>
  </si>
  <si>
    <t>91-30 METROPOLITAN AVENUE</t>
  </si>
  <si>
    <t>https://nycdoe.sharepoint.com/:w:/s/BAP/EczClETJEvZCj9nRpwBxGlYBmmhCFMQqnW8FB1JQkUDVQQ</t>
  </si>
  <si>
    <t xml:space="preserve">28Q686         </t>
  </si>
  <si>
    <t>QUEENS METROPOLITAN HIGH SCHOOL</t>
  </si>
  <si>
    <t xml:space="preserve">28Q690         </t>
  </si>
  <si>
    <t>HIGH SCHOOL FOR LAW ENFORCEMENT AND PUBLIC SAFETY</t>
  </si>
  <si>
    <t>116-25 GUY R BREWER BOULEVARD</t>
  </si>
  <si>
    <t>https://nycdoe.sharepoint.com/:w:/s/BAP/EUZjt74erspFhRIeRlwIWVUBFmZ1-V8BZ-LOAo84k5z5ug</t>
  </si>
  <si>
    <t xml:space="preserve">28Q680         </t>
  </si>
  <si>
    <t>QUEENS GATEWAY TO HEALTH SCIENCES SECONDARY SCHOOL</t>
  </si>
  <si>
    <t>160-20 GOETHALS AVENUE</t>
  </si>
  <si>
    <t>https://nycdoe.sharepoint.com/:w:/s/BAP/EQloF403BpxGp8Xv-z2-BiQBWN5ixYKR1mO7qO-WRdC0Vw</t>
  </si>
  <si>
    <t xml:space="preserve">28Q687         </t>
  </si>
  <si>
    <t>QUEENS HIGH SCHOOL FOR THE SCIENCES AT YORK COLLEGE</t>
  </si>
  <si>
    <t>94-50 159 STREET</t>
  </si>
  <si>
    <t>https://nycdoe.sharepoint.com/:w:/s/BAP/EQg6oNXYNCRLroQ2GYrpT_EBvoeyWrLYnbcHVzagbDwsmw</t>
  </si>
  <si>
    <t>Q864</t>
  </si>
  <si>
    <t>Q054</t>
  </si>
  <si>
    <t xml:space="preserve">28Q054         </t>
  </si>
  <si>
    <t>P.S. 054 HILLSIDE</t>
  </si>
  <si>
    <t>86-02 127 STREET</t>
  </si>
  <si>
    <t>https://nycdoe.sharepoint.com/:w:/s/BAP/ESN6U9VuJB5NlwLrZwyXF3MBn7-ZxA7HOzx1THVQh0WH5w</t>
  </si>
  <si>
    <t>Q865</t>
  </si>
  <si>
    <t>https://nycdoe.sharepoint.com/:w:/s/BAP/ETJ0C-tggXRHgroEEuIdV1oBS6Hq8rGjB-jhBj1HwDZ6vA</t>
  </si>
  <si>
    <t>Q875</t>
  </si>
  <si>
    <t>114-43 142 STREET</t>
  </si>
  <si>
    <t>https://nycdoe.sharepoint.com/:w:/s/BAP/EVPVZhtKH21FmIVdIKkvshEBpRok4xpp9E0sgQLFhv82LQ</t>
  </si>
  <si>
    <t>Q994</t>
  </si>
  <si>
    <t>https://nycdoe.sharepoint.com/:w:/s/BAP/ERbHyiiEPkRLgblCLpRG6-kB9YGLmnJMApC_ZDAXXegk-A</t>
  </si>
  <si>
    <t xml:space="preserve">29Q015         </t>
  </si>
  <si>
    <t>P.S. 015 JACKIE ROBINSON</t>
  </si>
  <si>
    <t>121-15 LUCAS STREET</t>
  </si>
  <si>
    <t>https://nycdoe.sharepoint.com/:w:/s/BAP/EUltlQV0w61Km6MDegeCy34BFkXXcjQK6M49hPCUB_rKew</t>
  </si>
  <si>
    <t xml:space="preserve">29Q033         </t>
  </si>
  <si>
    <t>P.S. 033 EDWARD M. FUNK</t>
  </si>
  <si>
    <t>91-37 222 STREET</t>
  </si>
  <si>
    <t>https://nycdoe.sharepoint.com/:w:/s/BAP/EUR50u8vtJFHglUmNP6y8kABR_Q10Jn6rGk5nUnHjgod-w</t>
  </si>
  <si>
    <t>Q034</t>
  </si>
  <si>
    <t xml:space="preserve">29Q034         </t>
  </si>
  <si>
    <t>P.S. 034 JOHN HARVARD</t>
  </si>
  <si>
    <t>104-12 SPRINGFIELD BOULEVARD</t>
  </si>
  <si>
    <t>https://nycdoe.sharepoint.com/:w:/s/BAP/EW8bkWGvYZ9BmDZiHrCArLgBYkoy8wtooiU0HxZHhwg1yA</t>
  </si>
  <si>
    <t xml:space="preserve">29Q035         </t>
  </si>
  <si>
    <t>P.S. 035 NATHANIEL WOODHULL</t>
  </si>
  <si>
    <t>90-01 191 STREET</t>
  </si>
  <si>
    <t>https://nycdoe.sharepoint.com/:w:/s/BAP/EcUrEKIBGCNPsxh1PCdR6OsBKDYDF4cDd1yrBfZ1VNjZgQ</t>
  </si>
  <si>
    <t>Q036</t>
  </si>
  <si>
    <t xml:space="preserve">29Q036         </t>
  </si>
  <si>
    <t>P.S. 036 SAINT ALBANS SCHOOL</t>
  </si>
  <si>
    <t>187-01 FOCH BOULEVARD</t>
  </si>
  <si>
    <t>https://nycdoe.sharepoint.com/:w:/s/BAP/EaUjuaAYCvFClL7xipgZgIgB3KEaEyqvdtXgUgdJsIRQWA</t>
  </si>
  <si>
    <t xml:space="preserve">29Q037         </t>
  </si>
  <si>
    <t>CYNTHIA JENKINS SCHOOL</t>
  </si>
  <si>
    <t>179-37 137 AVENUE</t>
  </si>
  <si>
    <t>https://nycdoe.sharepoint.com/:w:/s/BAP/Ee45Wj0GWaxDuQgXvVMevjYBjjoIXMqfCo0ywrZjQGPd6A</t>
  </si>
  <si>
    <t xml:space="preserve">29Q059         </t>
  </si>
  <si>
    <t>I.S. 059 SPRINGFIELD GARDENS</t>
  </si>
  <si>
    <t>132-55 RIDGEDALE STREET</t>
  </si>
  <si>
    <t>https://nycdoe.sharepoint.com/:w:/s/BAP/EX-43zjrI1dAu_P8XJN5GioB4WJ2vSrsoFobre6QUsswxg</t>
  </si>
  <si>
    <t xml:space="preserve">84Q339         </t>
  </si>
  <si>
    <t>SUCCESS ACADEMY CHARTER SCHOOL - SPRINGFIELD GARDENS - NEW YORK 6</t>
  </si>
  <si>
    <t xml:space="preserve">29Q095         </t>
  </si>
  <si>
    <t>P.S. 095 EASTWOOD</t>
  </si>
  <si>
    <t>179-01 90 AVENUE</t>
  </si>
  <si>
    <t>https://nycdoe.sharepoint.com/:w:/s/BAP/Ebsl7OMI1OFNhChSL_bu-JIB-Bl35bMse_uWMQnoZ3r2zQ</t>
  </si>
  <si>
    <t xml:space="preserve">29Q118         </t>
  </si>
  <si>
    <t>P.S. 118 LORRAINE HANSBERRY</t>
  </si>
  <si>
    <t>190-20 109 ROAD</t>
  </si>
  <si>
    <t>https://nycdoe.sharepoint.com/:w:/s/BAP/EQHOs6sQkOhBilEJnbNbt9QBrYDnM2brPytA3dr4q588Qw</t>
  </si>
  <si>
    <t xml:space="preserve">29Q131         </t>
  </si>
  <si>
    <t>P.S. 131 ABIGAIL ADAMS</t>
  </si>
  <si>
    <t>170-21 84 AVENUE</t>
  </si>
  <si>
    <t>https://nycdoe.sharepoint.com/:w:/s/BAP/ETeXv4ULe9ZHscOA-sRFD7UBSl51oDpeE-y5EPtUWiqlBw</t>
  </si>
  <si>
    <t xml:space="preserve">29Q134         </t>
  </si>
  <si>
    <t>P.S. 134 HOLLIS</t>
  </si>
  <si>
    <t>203-02 109 AVENUE</t>
  </si>
  <si>
    <t>https://nycdoe.sharepoint.com/:w:/s/BAP/EXHuS_hVxp5Ch0IhgvS5tVwB8kwhuUyLFCX-OXkzgtfmzw</t>
  </si>
  <si>
    <t xml:space="preserve">29Q135         </t>
  </si>
  <si>
    <t>THE BELLAIRE SCHOOL</t>
  </si>
  <si>
    <t>207-11 89 AVENUE</t>
  </si>
  <si>
    <t>https://nycdoe.sharepoint.com/:w:/s/BAP/EQUk993Vcr5PhuI1rvRfk2UBKNf90kfx2wexXoGsjrF0Mg</t>
  </si>
  <si>
    <t>Q136</t>
  </si>
  <si>
    <t xml:space="preserve">29Q136         </t>
  </si>
  <si>
    <t>P.S. 136 ROY WILKINS</t>
  </si>
  <si>
    <t>201-15 115 AVENUE</t>
  </si>
  <si>
    <t>https://nycdoe.sharepoint.com/:w:/s/BAP/EV5EAjiyXw1NqhxEjkGA018BeRrUAa8zxJ9ooumaSx-bCg</t>
  </si>
  <si>
    <t>251-11 WELLER AVENUE</t>
  </si>
  <si>
    <t>https://nycdoe.sharepoint.com/:w:/s/BAP/ESIfVqawXBFClGt7DJ6fT00Bkyrv7YgWMdx2dwpHJeHqzA</t>
  </si>
  <si>
    <t xml:space="preserve">29Q138         </t>
  </si>
  <si>
    <t>P.S./M.S. 138 SUNRISE</t>
  </si>
  <si>
    <t>Q156</t>
  </si>
  <si>
    <t xml:space="preserve">29Q156         </t>
  </si>
  <si>
    <t>P.S. 156 LAURELTON</t>
  </si>
  <si>
    <t>229-02 137 AVENUE</t>
  </si>
  <si>
    <t>https://nycdoe.sharepoint.com/:w:/s/BAP/Eaw67QWUDPVAs5AJfEtxW7oBBRBjha9OkFtsgJ7ggmI2GQ</t>
  </si>
  <si>
    <t>Q289</t>
  </si>
  <si>
    <t xml:space="preserve">29Q289         </t>
  </si>
  <si>
    <t>QUEENS UNITED MIDDLE SCHOOL</t>
  </si>
  <si>
    <t xml:space="preserve">29Q176         </t>
  </si>
  <si>
    <t>P.S. 176 CAMBRIA HEIGHTS</t>
  </si>
  <si>
    <t>120-45 235 STREET</t>
  </si>
  <si>
    <t>https://nycdoe.sharepoint.com/:w:/s/BAP/EUWnk0_7lrdKhVAitci_a7IB1oYsc3Y4IIsIhRPHs8IfhQ</t>
  </si>
  <si>
    <t xml:space="preserve">29Q181         </t>
  </si>
  <si>
    <t>P.S. 181 BROOKFIELD</t>
  </si>
  <si>
    <t>148-15 230 STREET</t>
  </si>
  <si>
    <t>https://nycdoe.sharepoint.com/:w:/s/BAP/ESl9_gNc6m5KkjEiNft8JCABFiJb2d6H1DNEupJsDwVQGg</t>
  </si>
  <si>
    <t xml:space="preserve">29Q195         </t>
  </si>
  <si>
    <t>P.S. 195 WILLIAM HABERLE</t>
  </si>
  <si>
    <t>253-50 149 AVENUE</t>
  </si>
  <si>
    <t>https://nycdoe.sharepoint.com/:w:/s/BAP/EYBmBXT9HwBHic4GvpwyFxsBFJYEJoSUVo7Kt5WXfCEYHA</t>
  </si>
  <si>
    <t>88-15 182 STREET</t>
  </si>
  <si>
    <t>https://nycdoe.sharepoint.com/:w:/s/BAP/Eap7R5-kO1BGtwmMFKiea24BgnXSJBluKiAUbHKafn8gXw</t>
  </si>
  <si>
    <t xml:space="preserve">29Q238         </t>
  </si>
  <si>
    <t>I.S. 238 - SUSAN B. ANTHONY ACADEMY</t>
  </si>
  <si>
    <t>Q427</t>
  </si>
  <si>
    <t xml:space="preserve">29Q427         </t>
  </si>
  <si>
    <t>HBCU EARLY COLLEGE PREP</t>
  </si>
  <si>
    <t xml:space="preserve">29Q251         </t>
  </si>
  <si>
    <t>P.S. 251 QUEENS</t>
  </si>
  <si>
    <t>144-51 ARTHUR STREET</t>
  </si>
  <si>
    <t>https://nycdoe.sharepoint.com/:w:/s/BAP/EfjZKOmWEC5JiIA9uZyewkEBGC7VNSpTwdf4USxJujVX0Q</t>
  </si>
  <si>
    <t>222-14 JAMAICA AVENUE</t>
  </si>
  <si>
    <t>https://nycdoe.sharepoint.com/:w:/s/BAP/Ec6DqVnb5zdCjyEl709ITUgBX-OS_KlEf8YXh_7FqpuCSw</t>
  </si>
  <si>
    <t xml:space="preserve">29Q295         </t>
  </si>
  <si>
    <t>92-07 175 STREET</t>
  </si>
  <si>
    <t>https://nycdoe.sharepoint.com/:w:/s/BAP/EQLlFdh1mTdKp7fNrK97jUIBo78IG-Mpbou-GCFZd-QcEQ</t>
  </si>
  <si>
    <t xml:space="preserve">29Q268         </t>
  </si>
  <si>
    <t>233-15 MERRICK BOULEVARD</t>
  </si>
  <si>
    <t>https://nycdoe.sharepoint.com/:w:/s/BAP/EZxP1sZhy5tEjR09Fm17M6IBOGCthklW_rcwaMBxd68vfw</t>
  </si>
  <si>
    <t xml:space="preserve">29Q270         </t>
  </si>
  <si>
    <t>THE GORDON PARKS SCHOOL</t>
  </si>
  <si>
    <t xml:space="preserve">29Q248         </t>
  </si>
  <si>
    <t>QUEENS PREPARATORY ACADEMY</t>
  </si>
  <si>
    <t>143-10 SPRINGFIELD BOULEVARD</t>
  </si>
  <si>
    <t>https://nycdoe.sharepoint.com/:w:/s/BAP/EbmcbIgAadJNiFw5i1t6pjgB1-bkKaGrLICKBxEhDDvsuw</t>
  </si>
  <si>
    <t xml:space="preserve">29Q265         </t>
  </si>
  <si>
    <t>EXCELSIOR PREPARATORY HIGH SCHOOL</t>
  </si>
  <si>
    <t xml:space="preserve">29Q272         </t>
  </si>
  <si>
    <t>GEORGE WASHINGTON CARVER HIGH SCHOOL FOR THE SCIENCES</t>
  </si>
  <si>
    <t xml:space="preserve">29Q283         </t>
  </si>
  <si>
    <t>PREPARATORY ACADEMY FOR WRITERS: A COLLEGE BOARD SCHOOL</t>
  </si>
  <si>
    <t xml:space="preserve">29Q243         </t>
  </si>
  <si>
    <t>INSTITUTE FOR HEALTH PROFESSIONS AT CAMBRIA HEIGHTS</t>
  </si>
  <si>
    <t>207- 01 116 AVENUE</t>
  </si>
  <si>
    <t>https://nycdoe.sharepoint.com/:w:/s/BAP/EdJGqdEjDt1KuWhgZvjK2LUB_rl_0tXmUpvAvXE4s7Mucg</t>
  </si>
  <si>
    <t xml:space="preserve">29Q313         </t>
  </si>
  <si>
    <t>BENJAMIN FRANKLIN HIGH SCHOOL FOR FINANCE &amp; INFORMATION TECHNOLOGY</t>
  </si>
  <si>
    <t xml:space="preserve">29Q492         </t>
  </si>
  <si>
    <t>MATHEMATICS, SCIENCE RESEARCH AND TECHNOLOGY MAGNET HIGH SCHOOL</t>
  </si>
  <si>
    <t xml:space="preserve">29Q498         </t>
  </si>
  <si>
    <t>HEALTH, ARTS, ROBOTICS, AND TECHNOLOGY HIGH SCHOOL</t>
  </si>
  <si>
    <t xml:space="preserve">29Q327         </t>
  </si>
  <si>
    <t>EAGLE ACADEMY FOR YOUNG MEN III</t>
  </si>
  <si>
    <t>171-10 LINDEN BOULEVARD</t>
  </si>
  <si>
    <t>https://nycdoe.sharepoint.com/:w:/s/BAP/Ebz_mZX_s79DlcVMbt_egtgBvUGBIT6CU76dpfU7xh_4kA</t>
  </si>
  <si>
    <t>Q835</t>
  </si>
  <si>
    <t>109-36 204 STREET</t>
  </si>
  <si>
    <t>https://nycdoe.sharepoint.com/:w:/s/BAP/EaWAC2grByVHkggRdv9xHtQBeTvcxo-W3WRffM5VDF6_0g</t>
  </si>
  <si>
    <t xml:space="preserve">30Q002         </t>
  </si>
  <si>
    <t>P.S. 002 ALFRED ZIMBERG</t>
  </si>
  <si>
    <t>75-10 21 AVENUE</t>
  </si>
  <si>
    <t>https://nycdoe.sharepoint.com/:w:/s/BAP/EbJLPNoJsINHo7XB75pcAhMBnDv0SpQcRasbyNfOyWWnzA</t>
  </si>
  <si>
    <t xml:space="preserve">30Q010         </t>
  </si>
  <si>
    <t>I.S. 010 HORACE GREELEY</t>
  </si>
  <si>
    <t>45-11 31 AVENUE</t>
  </si>
  <si>
    <t>https://nycdoe.sharepoint.com/:w:/s/BAP/ESwi_ilxP65IlhZpyQQtzdIB6E0WV9aD4fXAVQoIRVG8Ow</t>
  </si>
  <si>
    <t xml:space="preserve">30Q011         </t>
  </si>
  <si>
    <t>P.S. 011 KATHRYN PHELAN</t>
  </si>
  <si>
    <t>54-25 SKILLMAN AVENUE</t>
  </si>
  <si>
    <t>https://nycdoe.sharepoint.com/:w:/s/BAP/EblqKEZloLRKtMdJaXmVln4BEeiIoS1wcP1VqfuFS1Nw4w</t>
  </si>
  <si>
    <t xml:space="preserve">30Q017         </t>
  </si>
  <si>
    <t>P.S. 017 HENRY DAVID THOREAU</t>
  </si>
  <si>
    <t>28-37 29 STREET</t>
  </si>
  <si>
    <t>https://nycdoe.sharepoint.com/:w:/s/BAP/Edf0Szt854FMmcDfwhUguDkBF-I8ZoCnr9sbmt_O53oBpA</t>
  </si>
  <si>
    <t xml:space="preserve">30Q300         </t>
  </si>
  <si>
    <t>THE 30TH AVENUE SCHOOL (G&amp;T CITYWIDE)</t>
  </si>
  <si>
    <t xml:space="preserve">30Q069         </t>
  </si>
  <si>
    <t>P.S. 069 JACKSON HEIGHTS</t>
  </si>
  <si>
    <t>77-02 37 AVENUE</t>
  </si>
  <si>
    <t>https://nycdoe.sharepoint.com/:w:/s/BAP/EeWO8jqiN5hLl6Kjj35K2jcB7qrvMMYAyehd4u-5bpHHXw</t>
  </si>
  <si>
    <t>30-44 43 STREET</t>
  </si>
  <si>
    <t>https://nycdoe.sharepoint.com/:w:/s/BAP/EdCCTYcArsJCjxtz_WrjmgYB18-dg8Oj90Ffvd6DnYpAJw</t>
  </si>
  <si>
    <t xml:space="preserve">30Q070         </t>
  </si>
  <si>
    <t xml:space="preserve">30Q076         </t>
  </si>
  <si>
    <t>P.S. 076 WILLIAM HALLET</t>
  </si>
  <si>
    <t>36-36 10 STREET</t>
  </si>
  <si>
    <t>https://nycdoe.sharepoint.com/:w:/s/BAP/Eb9l_-80SeBCuslliehBAGkBsQ6eawTeXnoBNRndYk0ycA</t>
  </si>
  <si>
    <t>Q085</t>
  </si>
  <si>
    <t xml:space="preserve">30Q085         </t>
  </si>
  <si>
    <t>P.S. 085 JUDGE CHARLES VALLONE</t>
  </si>
  <si>
    <t>23-70 31 STREET</t>
  </si>
  <si>
    <t>https://nycdoe.sharepoint.com/:w:/s/BAP/EYFwBWjgDE5KkehjWY0XoFQBq7BSyOGTFHN9rDWBoeeM6A</t>
  </si>
  <si>
    <t xml:space="preserve">30Q112         </t>
  </si>
  <si>
    <t>P.S. 112 DUTCH KILLS</t>
  </si>
  <si>
    <t>25-05 37 AVENUE</t>
  </si>
  <si>
    <t>https://nycdoe.sharepoint.com/:w:/s/BAP/Ed7C9IN9wptNgOaEcMn1jRcBiRzqQSz7Su8wq1A3yQD8fw</t>
  </si>
  <si>
    <t>Q122</t>
  </si>
  <si>
    <t xml:space="preserve">30Q122         </t>
  </si>
  <si>
    <t>P.S. 122 MAMIE FAY</t>
  </si>
  <si>
    <t>21-21 DITMARS BOULEVARD</t>
  </si>
  <si>
    <t>https://nycdoe.sharepoint.com/:w:/s/BAP/EQft9SiR51BFiyRzQxpz5nEBtEH08F6Vi4_K7uSQoyWv2g</t>
  </si>
  <si>
    <t>Q127</t>
  </si>
  <si>
    <t xml:space="preserve">30Q127         </t>
  </si>
  <si>
    <t>P.S. 127 AEROSPACE SCIENCE MAGNET SCHOOL</t>
  </si>
  <si>
    <t>98-01 25 AVENUE</t>
  </si>
  <si>
    <t>https://nycdoe.sharepoint.com/:w:/s/BAP/EU-HoYBAVLhJrf5_D59WiyoBbkH1nSQzJFSuILUXQchDzA</t>
  </si>
  <si>
    <t xml:space="preserve">30Q145         </t>
  </si>
  <si>
    <t>I.S. 145 JOSEPH PULITZER</t>
  </si>
  <si>
    <t>33-34 80 STREET</t>
  </si>
  <si>
    <t>https://nycdoe.sharepoint.com/:w:/s/BAP/EbFkfWsw33pKoWlVlvF0ETYBzBUCHDqb0WNZ-oN6cqKqAg</t>
  </si>
  <si>
    <t xml:space="preserve">30Q148         </t>
  </si>
  <si>
    <t>P.S. 148 QUEENS</t>
  </si>
  <si>
    <t>89-02 32 AVENUE</t>
  </si>
  <si>
    <t>https://nycdoe.sharepoint.com/:w:/s/BAP/EYsgANFse5RCoaVvM3g8uAoB4zKLCzVsqAmTTbwkxQfIXw</t>
  </si>
  <si>
    <t xml:space="preserve">30Q149         </t>
  </si>
  <si>
    <t>P.S. 149 CHRISTA MCAULIFFE</t>
  </si>
  <si>
    <t>93-11 34 AVENUE</t>
  </si>
  <si>
    <t>https://nycdoe.sharepoint.com/:w:/s/BAP/EX8uLSvZqT1DmWhv9mK2kl0BuWGTx6qP3hGo-RjRsJX37w</t>
  </si>
  <si>
    <t xml:space="preserve">30Q150         </t>
  </si>
  <si>
    <t>P.S. 150 QUEENS</t>
  </si>
  <si>
    <t>40-01 43 AVENUE</t>
  </si>
  <si>
    <t>https://nycdoe.sharepoint.com/:w:/s/BAP/EaMYHGTbPjNOh8yq5W9AxQIBLe4UtwPH_dgMZCr2M7LAOg</t>
  </si>
  <si>
    <t>Q151</t>
  </si>
  <si>
    <t xml:space="preserve">30Q151         </t>
  </si>
  <si>
    <t>P.S. 151 MARY D. CARTER</t>
  </si>
  <si>
    <t>50-05 31 AVENUE</t>
  </si>
  <si>
    <t>https://nycdoe.sharepoint.com/:w:/s/BAP/ETMtyuYh1bBIrwh5zsvswSYBZHN2LOyvgVvAI8tav0qCvw</t>
  </si>
  <si>
    <t xml:space="preserve">30Q152         </t>
  </si>
  <si>
    <t>P.S. 152 GWENDOLINE N. ALLEYNE SCHOOL</t>
  </si>
  <si>
    <t>33-52 62 STREET</t>
  </si>
  <si>
    <t>https://nycdoe.sharepoint.com/:w:/s/BAP/Ea-zRCGgKXNCkZACuLlWQNEB2u2SDRQni9wRty3aL7jZ5g</t>
  </si>
  <si>
    <t xml:space="preserve">30Q166         </t>
  </si>
  <si>
    <t>P.S. 166 HENRY GRADSTEIN</t>
  </si>
  <si>
    <t>33-09 35 AVENUE</t>
  </si>
  <si>
    <t>https://nycdoe.sharepoint.com/:w:/s/BAP/EbocJ2urtxtMoysgNSMRJqABiok9fBlje2nJ-JnqKWv_Gg</t>
  </si>
  <si>
    <t>Q204</t>
  </si>
  <si>
    <t xml:space="preserve">30Q204         </t>
  </si>
  <si>
    <t>I.S. 204 OLIVER W. HOLMES</t>
  </si>
  <si>
    <t>36-41 28 STREET</t>
  </si>
  <si>
    <t>https://nycdoe.sharepoint.com/:w:/s/BAP/EXVhwbbtKq1CrvfGlK5m2-UBI3vR9oEWnL_KyV8k3v6JKg</t>
  </si>
  <si>
    <t>Q258</t>
  </si>
  <si>
    <t xml:space="preserve">30Q258         </t>
  </si>
  <si>
    <t>ENERGY TECH HIGH SCHOOL</t>
  </si>
  <si>
    <t xml:space="preserve">30Q212         </t>
  </si>
  <si>
    <t>34-25 82 STREET</t>
  </si>
  <si>
    <t>https://nycdoe.sharepoint.com/:w:/s/BAP/Eanz5OTnrnJEk127gxbgzC8Bqzf2_jCc-8TDs8LsBFhVsA</t>
  </si>
  <si>
    <t xml:space="preserve">30Q222         </t>
  </si>
  <si>
    <t>P.S. Q222 - FIRE FIGHTER CHRISTOPHER A. SANTORA SCHOOL</t>
  </si>
  <si>
    <t>86-15 37 AVENUE</t>
  </si>
  <si>
    <t>https://nycdoe.sharepoint.com/:w:/s/BAP/ESR-jrYMHalGguYrGgsyVxUB5y3cbRnJx6gsDkhjJehSTg</t>
  </si>
  <si>
    <t xml:space="preserve">30Q227         </t>
  </si>
  <si>
    <t>I.S. 227 LOUIS ARMSTRONG</t>
  </si>
  <si>
    <t>32-02 JUNCTION BOULEVARD</t>
  </si>
  <si>
    <t>https://nycdoe.sharepoint.com/:w:/s/BAP/EZYPE6TLiExJvFjk6kEsY3ABPGx4j9gb_IC_bo48Go07-Q</t>
  </si>
  <si>
    <t xml:space="preserve">30Q228         </t>
  </si>
  <si>
    <t>THE IVAN LAFAYETTE EARLY CHILDHOOD SCHOOL OF THE ARTS</t>
  </si>
  <si>
    <t>32-63 93 STREET</t>
  </si>
  <si>
    <t>https://nycdoe.sharepoint.com/:w:/s/BAP/EVZMYOQvHaJGtKyIs99K-BUBLchc_CfC24mymnaNMJIfpw</t>
  </si>
  <si>
    <t xml:space="preserve">30Q230         </t>
  </si>
  <si>
    <t>73-10 34 AVENUE</t>
  </si>
  <si>
    <t>https://nycdoe.sharepoint.com/:w:/s/BAP/EenwJl0RwDJHqCn6Q0z2NYUBDG5Ik2znxWE8saIwNq9cYA</t>
  </si>
  <si>
    <t xml:space="preserve">30Q234         </t>
  </si>
  <si>
    <t>30-15 29 STREET</t>
  </si>
  <si>
    <t>https://nycdoe.sharepoint.com/:w:/s/BAP/ET4WOuivLxxPi8CVdB4G16cBQwqkKdCwW4XjmPX6A67qTg</t>
  </si>
  <si>
    <t xml:space="preserve">30Q235         </t>
  </si>
  <si>
    <t>ACADEMY FOR NEW AMERICANS</t>
  </si>
  <si>
    <t>30-14 30 STREET</t>
  </si>
  <si>
    <t xml:space="preserve">30Q092         </t>
  </si>
  <si>
    <t>P.S. 092 HARRY T. STEWART SR.</t>
  </si>
  <si>
    <t>99-01 34 AVENUE</t>
  </si>
  <si>
    <t>https://nycdoe.sharepoint.com/:w:/s/BAP/EUWUdXSAj2dLjAvWpK4vvXkBp4zqqdx5X-7bNX3Fuzre9Q</t>
  </si>
  <si>
    <t>33-55 74 STREET</t>
  </si>
  <si>
    <t>https://nycdoe.sharepoint.com/:w:/s/BAP/EdgtDrKKZrRKn2M9HnnOOzcB6RzjyASC6TYFgfn3mmQGZw</t>
  </si>
  <si>
    <t xml:space="preserve">30Q078         </t>
  </si>
  <si>
    <t>46-08 5 STREET</t>
  </si>
  <si>
    <t>https://nycdoe.sharepoint.com/:w:/s/BAP/EWSthtX27GFGp7EoBJ-fGIkBkPqg8a1R28vZhcA6tvs0Zw</t>
  </si>
  <si>
    <t xml:space="preserve">30Q361         </t>
  </si>
  <si>
    <t>THE WOODSIDE COMMUNITY SCHOOL</t>
  </si>
  <si>
    <t>39-07 57 STREET</t>
  </si>
  <si>
    <t>https://nycdoe.sharepoint.com/:w:/s/BAP/EeJcibIMVs1Jt5RvRpA2X0wBLKg6Vio9aC2fwJSVi27t4g</t>
  </si>
  <si>
    <t xml:space="preserve">30Q384         </t>
  </si>
  <si>
    <t>HUNTERS POINT ELEMENTARY SCHOOL</t>
  </si>
  <si>
    <t>1-35 57 AVENUE</t>
  </si>
  <si>
    <t>https://nycdoe.sharepoint.com/:w:/s/BAP/EbISKJ4b7qVAh4pNsIlo7ecB1bOTKYVjjza1qMwhi6edLg</t>
  </si>
  <si>
    <t>Q397</t>
  </si>
  <si>
    <t>32-52 37 STREET</t>
  </si>
  <si>
    <t>https://nycdoe.sharepoint.com/:w:/s/BAP/EYdrQbghZhdDp51eLnAVVvABe1-c7tOSvVWnZyrpDfK6nQ</t>
  </si>
  <si>
    <t xml:space="preserve">30Q398         </t>
  </si>
  <si>
    <t>THE HECTOR FIGUEROA SCHOOL</t>
  </si>
  <si>
    <t>69-01 34 AVENUE</t>
  </si>
  <si>
    <t>https://nycdoe.sharepoint.com/:w:/s/BAP/ET81ZPkJhbtIluTttV2j71IB8ausSj3j4tdnKDMx_j55xg</t>
  </si>
  <si>
    <t>1-50 51 AVENUE</t>
  </si>
  <si>
    <t>https://nycdoe.sharepoint.com/:w:/s/BAP/Ea4VzlVKwjNLiQKM3jym3ygBmFLprBv6kDrA_jgEmQStxA</t>
  </si>
  <si>
    <t xml:space="preserve">30Q291         </t>
  </si>
  <si>
    <t>HUNTERS POINT COMMUNITY MIDDLE SCHOOL</t>
  </si>
  <si>
    <t xml:space="preserve">30Q301         </t>
  </si>
  <si>
    <t>ACADEMY FOR CAREERS IN TELEVISION AND FILM</t>
  </si>
  <si>
    <t>Q429</t>
  </si>
  <si>
    <t xml:space="preserve">30Q429         </t>
  </si>
  <si>
    <t>SUNNYSIDE MIDDLE SCHOOL</t>
  </si>
  <si>
    <t>47-10 BARNETT AVENUE</t>
  </si>
  <si>
    <t>https://nycdoe.sharepoint.com/:w:/s/BAP/EWXpcJdy7_1EunZJR45aPyQBgobG3JS_DvF-eipPC40wrw</t>
  </si>
  <si>
    <t xml:space="preserve">30Q450         </t>
  </si>
  <si>
    <t>LONG ISLAND CITY HIGH SCHOOL</t>
  </si>
  <si>
    <t>14-30 BROADWAY</t>
  </si>
  <si>
    <t>https://nycdoe.sharepoint.com/:w:/s/BAP/EScD3agUgupMojD4sflQx8gBZ8EPy0OuoUR6shiq9IBWsQ</t>
  </si>
  <si>
    <t xml:space="preserve">30Q501         </t>
  </si>
  <si>
    <t>FRANK SINATRA SCHOOL OF THE ARTS HIGH SCHOOL</t>
  </si>
  <si>
    <t>35-12 35 AVENUE</t>
  </si>
  <si>
    <t>https://nycdoe.sharepoint.com/:w:/s/BAP/EU12ETaacY1LiN7Rull5argB7eK4lh0DGKQRbfoQq9TdNA</t>
  </si>
  <si>
    <t xml:space="preserve">30Q575         </t>
  </si>
  <si>
    <t>ACADEMY OF AMERICAN STUDIES</t>
  </si>
  <si>
    <t>40-11 28 STREET</t>
  </si>
  <si>
    <t>https://nycdoe.sharepoint.com/:w:/s/BAP/EbF91P7-3LFHtcHmHHNm-SkBt9EKaTuPEL9behi7IqvIdQ</t>
  </si>
  <si>
    <t>Q667</t>
  </si>
  <si>
    <t>24-30 SKILLMAN AVENUE</t>
  </si>
  <si>
    <t>https://nycdoe.sharepoint.com/:w:/s/BAP/EV8GcBPJIuBIgz7EpHMpd-YBabHtcvSP_8gqSHABwDGUKw</t>
  </si>
  <si>
    <t xml:space="preserve">30Q502         </t>
  </si>
  <si>
    <t>INFORMATION TECHNOLOGY HIGH SCHOOL</t>
  </si>
  <si>
    <t>21-16 44 ROAD</t>
  </si>
  <si>
    <t>https://nycdoe.sharepoint.com/:w:/s/BAP/EXwsMeYjsDJCvllM1LzuS7kBnVkLFUkuYehhJQniWxojGA</t>
  </si>
  <si>
    <t xml:space="preserve">30Q286         </t>
  </si>
  <si>
    <t>YOUNG WOMEN'S LEADERSHIP SCHOOL, ASTORIA</t>
  </si>
  <si>
    <t>23-15 NEWTOWN AVENUE</t>
  </si>
  <si>
    <t>https://nycdoe.sharepoint.com/:w:/s/BAP/EQf7qLFiR-BHm4XOVq-EgzMBV-tswubuzEmH-EHZASsRTQ</t>
  </si>
  <si>
    <t xml:space="preserve">30Q580         </t>
  </si>
  <si>
    <t>BACCALAUREATE SCHOOL FOR GLOBAL EDUCATION</t>
  </si>
  <si>
    <t>34-12 36 AVENUE</t>
  </si>
  <si>
    <t>https://nycdoe.sharepoint.com/:w:/s/BAP/EWyX4XPAmANCvkVsKgZAdOoBP3KIAIWMQkVsKFQnw5XEMw</t>
  </si>
  <si>
    <t>48-09 CENTER BOULEVARD</t>
  </si>
  <si>
    <t>https://nycdoe.sharepoint.com/:w:/s/BAP/ESNVVB-HnM1CrA2FR5xVWHYB35M5CyyOazhla1tby3BGAA</t>
  </si>
  <si>
    <t>35-59 81 STREET</t>
  </si>
  <si>
    <t>https://nycdoe.sharepoint.com/:w:/s/BAP/EYHtSmel5WpAmtZtcfie18oBeZzoNUerbBEJfuj2GtMF3Q</t>
  </si>
  <si>
    <t xml:space="preserve">84Q705         </t>
  </si>
  <si>
    <t>RENAISSANCE CHARTER SCHOOL</t>
  </si>
  <si>
    <t xml:space="preserve">31R002         </t>
  </si>
  <si>
    <t>I.S. R002 GEORGE L. EGBERT</t>
  </si>
  <si>
    <t>333 MIDLAND AVENUE</t>
  </si>
  <si>
    <t>https://nycdoe.sharepoint.com/:w:/s/BAP/EcW-zlFDOStMgxG4EK8lDp4BTQGeiiu_hAR3kFrTOv23Ew</t>
  </si>
  <si>
    <t xml:space="preserve">75R037         </t>
  </si>
  <si>
    <t>THE DAVID MARQUIS SCHOOL OF THE ARTS</t>
  </si>
  <si>
    <t xml:space="preserve">31R003         </t>
  </si>
  <si>
    <t>P.S. 003 THE MARGARET GIOIOSA SCHOOL</t>
  </si>
  <si>
    <t>80 SOUTH GOFF AVENUE</t>
  </si>
  <si>
    <t>https://nycdoe.sharepoint.com/:w:/s/BAP/EWIw3AItrK9Pjq8_LYcsv2cBcu1h9jLiWA-3pXp7zAWaUg</t>
  </si>
  <si>
    <t xml:space="preserve">31R004         </t>
  </si>
  <si>
    <t>P.S. 004 MAURICE WOLLIN</t>
  </si>
  <si>
    <t>200 NEDRA LANE</t>
  </si>
  <si>
    <t>https://nycdoe.sharepoint.com/:w:/s/BAP/EVMjN0s7kfROrTapWqmBaz4BGQ77pXwWiSrGbETS6QtfGw</t>
  </si>
  <si>
    <t xml:space="preserve">31R005         </t>
  </si>
  <si>
    <t>P.S. 005 HUGUENOT</t>
  </si>
  <si>
    <t>348A DEISIUS STREET</t>
  </si>
  <si>
    <t>https://nycdoe.sharepoint.com/:w:/s/BAP/EbYH9YPdq1dDugpz-dplidQBFNLJGEX6-E5Og3HzLkv9jQ</t>
  </si>
  <si>
    <t xml:space="preserve">31R006         </t>
  </si>
  <si>
    <t>P.S. 6 CORPORAL ALLAN F. KIVLEHAN SCHOOL</t>
  </si>
  <si>
    <t>555 PAGE AVENUE</t>
  </si>
  <si>
    <t>https://nycdoe.sharepoint.com/:w:/s/BAP/ETLKEQMPwfBEmgsq3XfhaBEBc1siXtlhtkbIENYgYIplgQ</t>
  </si>
  <si>
    <t xml:space="preserve">31R007         </t>
  </si>
  <si>
    <t>I.S. 007 ELIAS BERNSTEIN</t>
  </si>
  <si>
    <t>1270 HUGUENOT AVENUE</t>
  </si>
  <si>
    <t>https://nycdoe.sharepoint.com/:w:/s/BAP/EeACQNlwpVFImFkqY2gH4hQBsFVpgVqZ2esDWhj5N9I70g</t>
  </si>
  <si>
    <t xml:space="preserve">75R025         </t>
  </si>
  <si>
    <t>SOUTH RICHMOND HIGH SCHOOL I.S./P.S. 25</t>
  </si>
  <si>
    <t>R008</t>
  </si>
  <si>
    <t xml:space="preserve">31R008         </t>
  </si>
  <si>
    <t>P.S. 8 SHIRLEE SOLOMON</t>
  </si>
  <si>
    <t>112 LINDENWOOD ROAD</t>
  </si>
  <si>
    <t>https://nycdoe.sharepoint.com/:w:/s/BAP/Efxo4DeJBZNBj_SA_nTnDlABHtjnpCnGX6w5wjkvGv-i5g</t>
  </si>
  <si>
    <t xml:space="preserve">31R011         </t>
  </si>
  <si>
    <t>P.S. 11 THOMAS DONGAN SCHOOL</t>
  </si>
  <si>
    <t>85 GARRETSON AVENUE</t>
  </si>
  <si>
    <t>https://nycdoe.sharepoint.com/:w:/s/BAP/EfTjRpG8uSVIs4njlZiqmo8Bp4gJwHypklMnRfirkFZglw</t>
  </si>
  <si>
    <t xml:space="preserve">31R013         </t>
  </si>
  <si>
    <t>P.S. 013 M. L. LINDEMEYER</t>
  </si>
  <si>
    <t>191 VERMONT AVENUE</t>
  </si>
  <si>
    <t>https://nycdoe.sharepoint.com/:w:/s/BAP/EbvcWSshrphPtLjdaEWDwUAB6_F4dCBAJUrZBYxbnr493Q</t>
  </si>
  <si>
    <t xml:space="preserve">31R078         </t>
  </si>
  <si>
    <t>35 HILL STREET</t>
  </si>
  <si>
    <t>https://nycdoe.sharepoint.com/:w:/s/BAP/EQd07aynhmVIln-Kb-jErH4B3RtRWn9EpK4aG9U5Ub3xrQ</t>
  </si>
  <si>
    <t>R016</t>
  </si>
  <si>
    <t>R010</t>
  </si>
  <si>
    <t xml:space="preserve">31R010         </t>
  </si>
  <si>
    <t>FORT HILL COLLABORATIVE ELEMENTARY SCHOOL</t>
  </si>
  <si>
    <t>195 DANIEL LOW TERRACE</t>
  </si>
  <si>
    <t>https://nycdoe.sharepoint.com/:w:/s/BAP/EXFHqfsPxuNEjW13zSpASusBmplsItsFFjvjaR1ssAL8uA</t>
  </si>
  <si>
    <t xml:space="preserve">31R016         </t>
  </si>
  <si>
    <t>P.S. 016 JOHN J. DRISCOLL</t>
  </si>
  <si>
    <t xml:space="preserve">31R018         </t>
  </si>
  <si>
    <t>P.S. 018 JOHN G. WHITTIER</t>
  </si>
  <si>
    <t>221 BROADWAY</t>
  </si>
  <si>
    <t>https://nycdoe.sharepoint.com/:w:/s/BAP/Eeu8Bt_RDGlMvt-TSyw9MwsB_QboGYM0CZ2N-oUa4Wymcw</t>
  </si>
  <si>
    <t xml:space="preserve">31R019         </t>
  </si>
  <si>
    <t>P.S. 019 THE CURTIS SCHOOL</t>
  </si>
  <si>
    <t>780 POST AVENUE</t>
  </si>
  <si>
    <t>https://nycdoe.sharepoint.com/:w:/s/BAP/EcL22-Y61SJGrapne2Aej3gBbaZFA6ZCryTBo2iVz3yTQA</t>
  </si>
  <si>
    <t xml:space="preserve">31R020         </t>
  </si>
  <si>
    <t>P.S. 020 PORT RICHMOND</t>
  </si>
  <si>
    <t>161 PARK AVENUE</t>
  </si>
  <si>
    <t>https://nycdoe.sharepoint.com/:w:/s/BAP/EU-_0gzhjrlFmsBWB0C8OLUBYlGdzr4b9gBthSFwFhw8yQ</t>
  </si>
  <si>
    <t xml:space="preserve">31R021         </t>
  </si>
  <si>
    <t>P.S. 21 MARGARET EMERY-ELM PARK</t>
  </si>
  <si>
    <t>168 HOOKER PLACE</t>
  </si>
  <si>
    <t>https://nycdoe.sharepoint.com/:w:/s/BAP/EXRjuQ-OoxJCumetEBFAqfoBXAVdyyIzLCN1I_8n9liN5g</t>
  </si>
  <si>
    <t xml:space="preserve">31R022         </t>
  </si>
  <si>
    <t>P.S. 022 GRANITEVILLE</t>
  </si>
  <si>
    <t>1860 FOREST AVENUE</t>
  </si>
  <si>
    <t>https://nycdoe.sharepoint.com/:w:/s/BAP/EbljqCjhYQhOhTMvWP3NLb4Blyeq-uV_xA486LAuz92enQ</t>
  </si>
  <si>
    <t>R023</t>
  </si>
  <si>
    <t xml:space="preserve">31R023         </t>
  </si>
  <si>
    <t>P.S. 023 RICHMONDTOWN</t>
  </si>
  <si>
    <t>30 NATICK STREET</t>
  </si>
  <si>
    <t>https://nycdoe.sharepoint.com/:w:/s/BAP/EeRFE-2ynnFGoTp1ZefSwacBu_b4svYS8x_BbynZOlJDpA</t>
  </si>
  <si>
    <t xml:space="preserve">31R024         </t>
  </si>
  <si>
    <t>I.S. 024 MYRA S. BARNES</t>
  </si>
  <si>
    <t>750 DURANT AVENUE</t>
  </si>
  <si>
    <t>https://nycdoe.sharepoint.com/:w:/s/BAP/EcxQMM-azZBPqlB9l5QKO8ABbmIAKAVUHcMhJqlB47-IjA</t>
  </si>
  <si>
    <t xml:space="preserve">75R721         </t>
  </si>
  <si>
    <t>THE RICHARD H. HUNGERFORD SCHOOL</t>
  </si>
  <si>
    <t>R026</t>
  </si>
  <si>
    <t xml:space="preserve">31R026         </t>
  </si>
  <si>
    <t>P.S./I.S. 26 THE CARTERET SCHOOL</t>
  </si>
  <si>
    <t>4108 VICTORY BOULEVARD</t>
  </si>
  <si>
    <t>https://nycdoe.sharepoint.com/:w:/s/BAP/EaCdS7N1VJNIrbOG6U0oPwkBKY36amaiBEOpKq06y5DOEQ</t>
  </si>
  <si>
    <t>R089</t>
  </si>
  <si>
    <t xml:space="preserve">75R089         </t>
  </si>
  <si>
    <t>STATEN ISLAND RISE ACADEMY</t>
  </si>
  <si>
    <t>R027</t>
  </si>
  <si>
    <t xml:space="preserve">31R027         </t>
  </si>
  <si>
    <t>I.S. 027 ANNING S. PRALL</t>
  </si>
  <si>
    <t>11 CLOVE LAKE PLACE</t>
  </si>
  <si>
    <t>https://nycdoe.sharepoint.com/:w:/s/BAP/ETEGsaI-WyBOsOdBUGErwBsBF1PtYM3XVeXHQbFCpvGOAw</t>
  </si>
  <si>
    <t>R029</t>
  </si>
  <si>
    <t xml:space="preserve">31R029         </t>
  </si>
  <si>
    <t>P.S. 029 BARDWELL</t>
  </si>
  <si>
    <t>1581 VICTORY BOULEVARD</t>
  </si>
  <si>
    <t>https://nycdoe.sharepoint.com/:w:/s/BAP/EcQ8ZGJXcZVOjKEisTRFlIMBPCpXPCcsF3e6Zxg598k-ug</t>
  </si>
  <si>
    <t xml:space="preserve">31R030         </t>
  </si>
  <si>
    <t>P.S. 030 WESTERLEIGH</t>
  </si>
  <si>
    <t>200 WARDWELL AVENUE</t>
  </si>
  <si>
    <t>https://nycdoe.sharepoint.com/:w:/s/BAP/EfcEkOdpvX5PrehEJRkHUWMBmSiTnUNwMrRsKyM3_KFt4g</t>
  </si>
  <si>
    <t>R031</t>
  </si>
  <si>
    <t xml:space="preserve">31R031         </t>
  </si>
  <si>
    <t>P.S. 031 WILLIAM T. DAVIS</t>
  </si>
  <si>
    <t>55 LAYTON AVENUE</t>
  </si>
  <si>
    <t>https://nycdoe.sharepoint.com/:w:/s/BAP/EV77c6gvzLdAo3EfUMToxeEBRM4wZ7ZOcQlsj_STqJ6Y9Q</t>
  </si>
  <si>
    <t xml:space="preserve">31R032         </t>
  </si>
  <si>
    <t>P.S. 032 THE GIFFORD SCHOOL</t>
  </si>
  <si>
    <t>232 BARLOW AVENUE</t>
  </si>
  <si>
    <t>https://nycdoe.sharepoint.com/:w:/s/BAP/EUbXg1PkHr1PiLOBRj40_k8BlDZ2igPd0uH_U65DurYVPg</t>
  </si>
  <si>
    <t>528 ACADEMY AVENUE</t>
  </si>
  <si>
    <t>https://nycdoe.sharepoint.com/:w:/s/BAP/Ed7U89VBRrlKjbyCr13gE_8BW1GuE4TZkmBYRcWNN9XomA</t>
  </si>
  <si>
    <t xml:space="preserve">31R034         </t>
  </si>
  <si>
    <t>I.S. 034 TOTTENVILLE</t>
  </si>
  <si>
    <t>R035</t>
  </si>
  <si>
    <t xml:space="preserve">31R035         </t>
  </si>
  <si>
    <t>P.S. 35 THE CLOVE VALLEY SCHOOL</t>
  </si>
  <si>
    <t>60 FOOTE AVENUE</t>
  </si>
  <si>
    <t>https://nycdoe.sharepoint.com/:w:/s/BAP/EVSg8zmS9DVDrDE30QojKdABprp1d1BV_3qLW5zhJlBSnQ</t>
  </si>
  <si>
    <t xml:space="preserve">31R036         </t>
  </si>
  <si>
    <t>P.S. 036 J. C. DRUMGOOLE</t>
  </si>
  <si>
    <t>255 IONIA AVENUE</t>
  </si>
  <si>
    <t>https://nycdoe.sharepoint.com/:w:/s/BAP/EVEmtn6NyvRKumcRL2mBIJgBlXd-xnvs16Cy_z7GXaSCTw</t>
  </si>
  <si>
    <t>R038</t>
  </si>
  <si>
    <t xml:space="preserve">31R038         </t>
  </si>
  <si>
    <t>P.S. 038 GEORGE CROMWELL</t>
  </si>
  <si>
    <t>421 LINCOLN AVENUE</t>
  </si>
  <si>
    <t>https://nycdoe.sharepoint.com/:w:/s/BAP/Ebv88rnXDDdFk0PXqoB0kyYBotNssE5mlvlJuTmYFs0eZg</t>
  </si>
  <si>
    <t xml:space="preserve">31R039         </t>
  </si>
  <si>
    <t>P.S. 39 FRANCIS J. MURPHY JR.</t>
  </si>
  <si>
    <t>99 MACFARLAND AVENUE</t>
  </si>
  <si>
    <t>https://nycdoe.sharepoint.com/:w:/s/BAP/EYP4H8Xv3vpFhav2JksoBjMBzbrV3XlahE44kAObwRVcrA</t>
  </si>
  <si>
    <t xml:space="preserve">75R373         </t>
  </si>
  <si>
    <t>91 HENDERSON AVENUE</t>
  </si>
  <si>
    <t>https://nycdoe.sharepoint.com/:w:/s/BAP/EdmtSgYM4U5OoCptaqzbZnABny7-oILhzD6w18CaZtb5ZA</t>
  </si>
  <si>
    <t xml:space="preserve">31R042         </t>
  </si>
  <si>
    <t>P.S. 042 ELTINGVILLE</t>
  </si>
  <si>
    <t>380 GENESEE AVENUE</t>
  </si>
  <si>
    <t>https://nycdoe.sharepoint.com/:w:/s/BAP/EVyx9ZJ3FxNGl1mNS6ZITqgB5ohqitYvawTZrkKuhgCXgQ</t>
  </si>
  <si>
    <t xml:space="preserve">31R047         </t>
  </si>
  <si>
    <t>CSI HIGH SCHOOL FOR INTERNATIONAL STUDIES</t>
  </si>
  <si>
    <t>100 ESSEX DRIVE</t>
  </si>
  <si>
    <t>https://nycdoe.sharepoint.com/:w:/s/BAP/EQ9cKiMdHSdGi6LOzVFyFeYBCILcqyrJebrbLFqQUqKShw</t>
  </si>
  <si>
    <t xml:space="preserve">31R063         </t>
  </si>
  <si>
    <t>MARSH AVENUE SCHOOL FOR EXPEDITIONARY LEARNING</t>
  </si>
  <si>
    <t xml:space="preserve">31R064         </t>
  </si>
  <si>
    <t>GAYNOR MCCOWN EXPEDITIONARY LEARNING SCHOOL</t>
  </si>
  <si>
    <t xml:space="preserve">31R044         </t>
  </si>
  <si>
    <t>P.S. 044 THOMAS C. BROWN</t>
  </si>
  <si>
    <t>80 MAPLE PARKWAY</t>
  </si>
  <si>
    <t>https://nycdoe.sharepoint.com/:w:/s/BAP/EVUiRIZ_BxhAi1NB9Y_IAKwBUYwrb9blKkYI06IpHDl5Mw</t>
  </si>
  <si>
    <t xml:space="preserve">31R045         </t>
  </si>
  <si>
    <t>P.S. 045 JOHN TYLER</t>
  </si>
  <si>
    <t>58 LAWRENCE AVENUE</t>
  </si>
  <si>
    <t>https://nycdoe.sharepoint.com/:w:/s/BAP/Ea2ZNw1tAptCr-2Z3ZBOEmwB_dZEKZ5TIYNLEy8v-r3BtA</t>
  </si>
  <si>
    <t xml:space="preserve">31R009         </t>
  </si>
  <si>
    <t>NAPLES STREET ELEMENTARY SCHOOL</t>
  </si>
  <si>
    <t>1055 TARGEE STREET</t>
  </si>
  <si>
    <t>https://nycdoe.sharepoint.com/:w:/s/BAP/ER8UOVEoKa1AmUKCDBaSlZUBSNLubx5N4NqLVXrPQVKGZQ</t>
  </si>
  <si>
    <t>R049</t>
  </si>
  <si>
    <t>R028</t>
  </si>
  <si>
    <t xml:space="preserve">31R028         </t>
  </si>
  <si>
    <t>THE EAGLE ACADEMY FOR YOUNG MEN OF STATEN ISLAND</t>
  </si>
  <si>
    <t>101 WARREN STREET</t>
  </si>
  <si>
    <t>https://nycdoe.sharepoint.com/:w:/s/BAP/ETlc8QjTnNBKg5iFsL1Xl8QBt5ROg3cY4_EpeMOUQQU-Yw</t>
  </si>
  <si>
    <t xml:space="preserve">31R049         </t>
  </si>
  <si>
    <t>I.S. 49 BERTA A. DREYFUS</t>
  </si>
  <si>
    <t xml:space="preserve">31R051         </t>
  </si>
  <si>
    <t>I.S. 051 EDWIN MARKHAM</t>
  </si>
  <si>
    <t>80 WILLOWBROOK ROAD</t>
  </si>
  <si>
    <t>https://nycdoe.sharepoint.com/:w:/s/BAP/EfGW4FqggaRKgv6K4Wgwh08BSabi0HGPe9uWp9lSCAEdeQ</t>
  </si>
  <si>
    <t xml:space="preserve">31R052         </t>
  </si>
  <si>
    <t>P.S. 052 JOHN C. THOMPSON</t>
  </si>
  <si>
    <t>450 BUEL AVENUE</t>
  </si>
  <si>
    <t>https://nycdoe.sharepoint.com/:w:/s/BAP/EY5mJ-tIQmVCqSKn0AiyMA4BKUBnXR0YETLiF8hSVAC4qg</t>
  </si>
  <si>
    <t>R053</t>
  </si>
  <si>
    <t xml:space="preserve">31R053         </t>
  </si>
  <si>
    <t>THE BARBARA ESSELBORN SCHOOL</t>
  </si>
  <si>
    <t>330 DURANT AVENUE</t>
  </si>
  <si>
    <t>https://nycdoe.sharepoint.com/:w:/s/BAP/ETaPr-FDHrRAndsf1nYE12EBWVMetNPna_1vC4bymjnbxw</t>
  </si>
  <si>
    <t>R054</t>
  </si>
  <si>
    <t xml:space="preserve">31R054         </t>
  </si>
  <si>
    <t>P.S. 054 CHARLES W. LENG</t>
  </si>
  <si>
    <t>1060 WILLOWBROOK ROAD</t>
  </si>
  <si>
    <t>https://nycdoe.sharepoint.com/:w:/s/BAP/Ef3ehFKARNRLnnEoEqdXvV8BP91mxAesmNeZd51K020D-A</t>
  </si>
  <si>
    <t xml:space="preserve">31R055         </t>
  </si>
  <si>
    <t>P.S. 055 HENRY M. BOEHM</t>
  </si>
  <si>
    <t>54 OSBORNE STREET</t>
  </si>
  <si>
    <t>https://nycdoe.sharepoint.com/:w:/s/BAP/EYeaTjpYBaxLgqzSA15ZUj8BcBJAn03g6hDwlTge0cdLPg</t>
  </si>
  <si>
    <t xml:space="preserve">31R056         </t>
  </si>
  <si>
    <t>P.S. 56 THE LOUIS DESARIO SCHOOL</t>
  </si>
  <si>
    <t>250 KRAMER AVENUE</t>
  </si>
  <si>
    <t>https://nycdoe.sharepoint.com/:w:/s/BAP/EdntNOdX2x5As-yONK49LkIBo6RbaA2wOdmQF76SUSVf6g</t>
  </si>
  <si>
    <t xml:space="preserve">31R057         </t>
  </si>
  <si>
    <t>P.S. 057 HUBERT H. HUMPHREY</t>
  </si>
  <si>
    <t>140 PALMA DRIVE</t>
  </si>
  <si>
    <t>https://nycdoe.sharepoint.com/:w:/s/BAP/EaKNOU1QGZpHlW7HmkQRg-oBJKwRSXvr3hiuZy11ifyB3w</t>
  </si>
  <si>
    <t xml:space="preserve">31R058         </t>
  </si>
  <si>
    <t>SPACE SHUTTLE COLUMBIA SCHOOL</t>
  </si>
  <si>
    <t>77 MARSH AVENUE</t>
  </si>
  <si>
    <t>https://nycdoe.sharepoint.com/:w:/s/BAP/EWNnLIU1CkxJmWJ4hqYMV7sBvcHHT0Mpb6U6TNvJ5xhbwQ</t>
  </si>
  <si>
    <t xml:space="preserve">31R059         </t>
  </si>
  <si>
    <t>THE HARBOR VIEW SCHOOL</t>
  </si>
  <si>
    <t>300 RICHMOND TERRACE</t>
  </si>
  <si>
    <t>https://nycdoe.sharepoint.com/:w:/s/BAP/Efg6yVl_D55LqfzfW0cJ1VYBg3flYn1W0E0oWq1rg2iigQ</t>
  </si>
  <si>
    <t xml:space="preserve">31R060         </t>
  </si>
  <si>
    <t>P.S. 060 ALICE AUSTEN</t>
  </si>
  <si>
    <t>55 MERRILL AVENUE</t>
  </si>
  <si>
    <t>https://nycdoe.sharepoint.com/:w:/s/BAP/EUukV0AhG1ZKkzI6tYXe3xcBhoeGM778c3SExPOz_n1gRA</t>
  </si>
  <si>
    <t xml:space="preserve">31R061         </t>
  </si>
  <si>
    <t>I.S. 061 WILLIAM A MORRIS</t>
  </si>
  <si>
    <t>445 CASTLETON AVENUE</t>
  </si>
  <si>
    <t>https://nycdoe.sharepoint.com/:w:/s/BAP/EZPwilvg1tdOsV1sL5o_AO8B6m8m4q4TDKxvoyoTt_1Y_w</t>
  </si>
  <si>
    <t xml:space="preserve">31R062         </t>
  </si>
  <si>
    <t>THE KATHLEEN GRIMM SCHOOL FOR LEADERSHIP AND SUSTAINABILITY</t>
  </si>
  <si>
    <t>644 BLOOMINGDALE ROAD</t>
  </si>
  <si>
    <t>https://nycdoe.sharepoint.com/:w:/s/BAP/EYgP7hGI3AdAkUiYeDtGhM8BrCJ_OfeldAGOE-zSoAgSLw</t>
  </si>
  <si>
    <t xml:space="preserve">31R068         </t>
  </si>
  <si>
    <t>PORT RICHMOND SCHOOL FOR VISIONARY LEARNING</t>
  </si>
  <si>
    <t>1625 FOREST AVENUE</t>
  </si>
  <si>
    <t>https://nycdoe.sharepoint.com/:w:/s/BAP/EQxtyxJYenhDkJN9xuYUFLAB515N8G7EPd8AY9tLndU_pQ</t>
  </si>
  <si>
    <t xml:space="preserve">31R069         </t>
  </si>
  <si>
    <t>P.S. 069 DANIEL D. TOMPKINS</t>
  </si>
  <si>
    <t>144 KEATING PLACE</t>
  </si>
  <si>
    <t>https://nycdoe.sharepoint.com/:w:/s/BAP/ETkEkNHJ6ZhOq7WvBc6P_t4BG82p8Bg0S4zvXCPBkrEugg</t>
  </si>
  <si>
    <t>R070</t>
  </si>
  <si>
    <t>R084</t>
  </si>
  <si>
    <t xml:space="preserve">31R084         </t>
  </si>
  <si>
    <t>THE WAVERLY ACADEMY OF EMPOWERED LEARNERS</t>
  </si>
  <si>
    <t>45 WAVERLY PLACE</t>
  </si>
  <si>
    <t>https://nycdoe.sharepoint.com/:w:/s/BAP/EVibVXo1-Y1Pr77N3-F1z1QB5Q9vvm3x0qwA-GPZ223U0A</t>
  </si>
  <si>
    <t xml:space="preserve">31R048         </t>
  </si>
  <si>
    <t>P.S. 048 WILLIAM G. WILCOX</t>
  </si>
  <si>
    <t>1050 TARGEE STREET</t>
  </si>
  <si>
    <t>https://nycdoe.sharepoint.com/:w:/s/BAP/EZg15v4b3zBBoSrDpFJSbaUBo6l1ckConZsn1tdlO5OZqA</t>
  </si>
  <si>
    <t xml:space="preserve">31R072         </t>
  </si>
  <si>
    <t>I.S. 072 ROCCO LAURIE</t>
  </si>
  <si>
    <t>33 FERNDALE AVENUE</t>
  </si>
  <si>
    <t>https://nycdoe.sharepoint.com/:w:/s/BAP/EffYuWELkfRFuZ8n2seITsEBNw3vdL_NJ3CiWruRF2jMlQ</t>
  </si>
  <si>
    <t>R074</t>
  </si>
  <si>
    <t>10 ELM STREET</t>
  </si>
  <si>
    <t>https://nycdoe.sharepoint.com/:w:/s/BAP/EQHjfcLr7txBtqrrA-2blAgB7fo0_vVtxOzvO4qGfjktvQ</t>
  </si>
  <si>
    <t>455 HUGUENOT AVENUE</t>
  </si>
  <si>
    <t>https://nycdoe.sharepoint.com/:w:/s/BAP/Ee14of_MGKtIitPUuF_bROYBtZPlLLdBK5Fy3r-uHG5D6Q</t>
  </si>
  <si>
    <t xml:space="preserve">31R075         </t>
  </si>
  <si>
    <t>I.S. 075 FRANK D. PAULO</t>
  </si>
  <si>
    <t xml:space="preserve">84R076         </t>
  </si>
  <si>
    <t>BRIDGE PREPARATORY CHARTER SCHOOL</t>
  </si>
  <si>
    <t>715 OCEAN TERRACE</t>
  </si>
  <si>
    <t>https://nycdoe.sharepoint.com/:w:/s/BAP/EUXPAmcfbptPjJRWUzfbjKEBHFeecEj7lMPY2EeN_puP6A</t>
  </si>
  <si>
    <t>715 L OCEAN TERRACE</t>
  </si>
  <si>
    <t>https://nycdoe.sharepoint.com/:w:/s/BAP/ETIDI65MUtlHnVDT-kZEvSgBIKwzEtC-vbY6On-mKoFIXw</t>
  </si>
  <si>
    <t>15A FAIRFIELD STREET</t>
  </si>
  <si>
    <t>https://nycdoe.sharepoint.com/:w:/s/BAP/EftGjqbvXihAgLuOWyfAdHYBp9ui_gcwAPT6NIx5GO1QFg</t>
  </si>
  <si>
    <t>R119</t>
  </si>
  <si>
    <t>30 WELLBROOK AVENUE</t>
  </si>
  <si>
    <t>https://nycdoe.sharepoint.com/:w:/s/BAP/EXFseXk-jFZJrab1ZG5wYBUBNa1M6Vh9qVYpfyb9hhDyfA</t>
  </si>
  <si>
    <t>465 NEW DORP LANE</t>
  </si>
  <si>
    <t>https://nycdoe.sharepoint.com/:w:/s/BAP/EVzMmAg-VDFBh-gzAd3MtNAB4sWxERfbY_anLmcycksTgg</t>
  </si>
  <si>
    <t xml:space="preserve">31R440         </t>
  </si>
  <si>
    <t>NEW DORP HIGH SCHOOL</t>
  </si>
  <si>
    <t>485 CLAWSON STREET</t>
  </si>
  <si>
    <t>https://nycdoe.sharepoint.com/:w:/s/BAP/EVUKUNU25CdGp33jlTMCpbwBdSKAVH9fp-JBgV3JL_lFuA</t>
  </si>
  <si>
    <t xml:space="preserve">31R605         </t>
  </si>
  <si>
    <t>STATEN ISLAND TECHNICAL HIGH SCHOOL</t>
  </si>
  <si>
    <t>85 ST JOSEPHS AVENUE</t>
  </si>
  <si>
    <t>https://nycdoe.sharepoint.com/:w:/s/BAP/ESaBDbYvr8FBh-2J9EM-lw4BVPoDWHZGxWQZAor3gQemZg</t>
  </si>
  <si>
    <t xml:space="preserve">31R445         </t>
  </si>
  <si>
    <t>PORT RICHMOND HIGH SCHOOL</t>
  </si>
  <si>
    <t>105 HAMILTON AVENUE</t>
  </si>
  <si>
    <t>https://nycdoe.sharepoint.com/:w:/s/BAP/EROwSeOSV0BMnFqxt3kVRFEBjiT21oLM3vtXVeLJjE4q4g</t>
  </si>
  <si>
    <t xml:space="preserve">31R450         </t>
  </si>
  <si>
    <t>CURTIS HIGH SCHOOL</t>
  </si>
  <si>
    <t>R453</t>
  </si>
  <si>
    <t>105B HAMILTON AVENUE</t>
  </si>
  <si>
    <t>https://nycdoe.sharepoint.com/:w:/s/BAP/Eb4Q_OnvwuNJvOpTJf19V1IBmFRXKdQXVNsqarizEmK7Mg</t>
  </si>
  <si>
    <t>100 LUTEN AVENUE</t>
  </si>
  <si>
    <t>https://nycdoe.sharepoint.com/:w:/s/BAP/ESk6ww5UDhVJqXGD1DqiON4BSpkV_0SF-nPH6H3C3avQ7w</t>
  </si>
  <si>
    <t xml:space="preserve">31R455         </t>
  </si>
  <si>
    <t>TOTTENVILLE HIGH SCHOOL</t>
  </si>
  <si>
    <t xml:space="preserve">31R460         </t>
  </si>
  <si>
    <t>SUSAN E. WAGNER HIGH SCHOOL</t>
  </si>
  <si>
    <t>1200 MANOR ROAD</t>
  </si>
  <si>
    <t>https://nycdoe.sharepoint.com/:w:/s/BAP/EZO7UE3L4xhNhQWNQqmFwJsBQLzAYph0lwTPj0jHIqTOVg</t>
  </si>
  <si>
    <t>R462</t>
  </si>
  <si>
    <t>1220 MANOR ROAD</t>
  </si>
  <si>
    <t>https://nycdoe.sharepoint.com/:w:/s/BAP/EUH6c1jWIY1Hm4IQ1faj0gkBqa6l5IDVoLmqXlVoSyaiOQ</t>
  </si>
  <si>
    <t xml:space="preserve">31R600         </t>
  </si>
  <si>
    <t>RALPH R. MCKEE CAREER AND TECHNICAL EDUCATION HIGH SCHOOL</t>
  </si>
  <si>
    <t>101 BELMONT PLACE</t>
  </si>
  <si>
    <t>https://nycdoe.sharepoint.com/:w:/s/BAP/EUaNMjZrtdxIipHghe_Qoj4Bh75EG_jp_qerE-rBs7kWeA</t>
  </si>
  <si>
    <t>R801</t>
  </si>
  <si>
    <t>450 ST MARKS PLACE</t>
  </si>
  <si>
    <t>https://nycdoe.sharepoint.com/:w:/s/BAP/EZocS8PfPB1IifAVKdtPfgMB17I6Oh-_TWHocqJv2-SSgA</t>
  </si>
  <si>
    <t>R826</t>
  </si>
  <si>
    <t>6581 HYLAN BOULEVARD</t>
  </si>
  <si>
    <t>https://nycdoe.sharepoint.com/:w:/s/BAP/EeDlopb3GfhDmJzCSiBHJ2MBg-ODYOXOYa_GFz0mmU4RaA</t>
  </si>
  <si>
    <t xml:space="preserve">31R065         </t>
  </si>
  <si>
    <t>P.S. 65 THE ACADEMY OF INNOVATIVE LEARNING</t>
  </si>
  <si>
    <t>98 GRANT STREET</t>
  </si>
  <si>
    <t>https://nycdoe.sharepoint.com/:w:/s/BAP/EVb6FM-nnBVAqztNIgKGqrIBrruGiv58MEqhfpY_O5wkQg</t>
  </si>
  <si>
    <t>15 FAIRFIELD STREET</t>
  </si>
  <si>
    <t>https://nycdoe.sharepoint.com/:w:/s/BAP/EQzJtRNIw_hOiUw0nKS4320BY7bJ-PFCktzhnpofJAlt2w</t>
  </si>
  <si>
    <t>R843</t>
  </si>
  <si>
    <t>110 SHAFTER AVENUE</t>
  </si>
  <si>
    <t>https://nycdoe.sharepoint.com/:w:/s/BAP/EY024vdkHoxGuTg2k4tm8ckBsD8zqmGN9f5bQJJBLkVQRg</t>
  </si>
  <si>
    <t>R844</t>
  </si>
  <si>
    <t>200 JEFFERSON BLVD</t>
  </si>
  <si>
    <t>https://nycdoe.sharepoint.com/:w:/s/BAP/EUcb_5l4dCBIjI1N5IWTOeEBv4FaXmDDnRZ6GZjZuB1eRw</t>
  </si>
  <si>
    <t>280 REGIS DRIVE</t>
  </si>
  <si>
    <t>https://nycdoe.sharepoint.com/:w:/s/BAP/EaFX3g29hhFFhk2CjtXo8I8Bm1yPugYcUho8Vk1-YUHNHA</t>
  </si>
  <si>
    <t xml:space="preserve">31R861         </t>
  </si>
  <si>
    <t>STATEN ISLAND SCHOOL OF CIVIC LEADERSHIP</t>
  </si>
  <si>
    <t>https://nycdoe.sharepoint.com/:w:/s/BAP/EayjhigexGBBivbB7hLrwPMBwBbPhXa6ywvYnjkEQ-47eQ</t>
  </si>
  <si>
    <t xml:space="preserve">31R080         </t>
  </si>
  <si>
    <t>THE MICHAEL J. PETRIDES SCHOOL</t>
  </si>
  <si>
    <t>R903</t>
  </si>
  <si>
    <t xml:space="preserve">33R903         </t>
  </si>
  <si>
    <t>THE MODERN YOUTH APPRENTICESHIP PROGRAM</t>
  </si>
  <si>
    <t>R973</t>
  </si>
  <si>
    <t>https://nycdoe.sharepoint.com/:w:/s/BAP/Eek5tSPBgzdFgE4CTiF3rjkBmerVUOigVFl3VD1YWaHNFA</t>
  </si>
  <si>
    <t>Last Refresh</t>
  </si>
  <si>
    <t>10/17/2025 10:07 AM</t>
  </si>
  <si>
    <t>Building Name</t>
  </si>
  <si>
    <t>Building Ownership Description</t>
  </si>
  <si>
    <t>Building Type Description</t>
  </si>
  <si>
    <t>Construction Completion Year</t>
  </si>
  <si>
    <t>Primary Site Description</t>
  </si>
  <si>
    <t>State Code</t>
  </si>
  <si>
    <t>Zip</t>
  </si>
  <si>
    <t>Administrative District Name</t>
  </si>
  <si>
    <t>ATS Code</t>
  </si>
  <si>
    <t>Grades Text</t>
  </si>
  <si>
    <t>Learning Community Name</t>
  </si>
  <si>
    <t>Location Category Description</t>
  </si>
  <si>
    <t>Location Name</t>
  </si>
  <si>
    <t>No Accessibility</t>
  </si>
  <si>
    <t>N/A</t>
  </si>
  <si>
    <t>P.S. 1 - BROOKLYN</t>
  </si>
  <si>
    <t>DOE Owned</t>
  </si>
  <si>
    <t>Main Building</t>
  </si>
  <si>
    <t>BROOKLYN</t>
  </si>
  <si>
    <t>1965</t>
  </si>
  <si>
    <t>P</t>
  </si>
  <si>
    <t>NY</t>
  </si>
  <si>
    <t>11220</t>
  </si>
  <si>
    <t>COMMUNITY SCHOOL DISTRICT 15</t>
  </si>
  <si>
    <t>PK,0K,01,02,03,04,05,SE</t>
  </si>
  <si>
    <t>School</t>
  </si>
  <si>
    <t>P.S. 001 The Bergen</t>
  </si>
  <si>
    <t>I.S. 2 - BROOKLYN</t>
  </si>
  <si>
    <t>1994</t>
  </si>
  <si>
    <t>11226</t>
  </si>
  <si>
    <t>CITYWIDE SPECIAL EDUCATION</t>
  </si>
  <si>
    <t>PK,0K,01,02,03,04,05,06,07,08,09,10,SE</t>
  </si>
  <si>
    <t>COMMUNITY SCHOOL DISTRICT 17</t>
  </si>
  <si>
    <t>06,07,08,SE</t>
  </si>
  <si>
    <t>OFFICE OF CHARTER SCHOOLS</t>
  </si>
  <si>
    <t>0K,01,02,03,04,05,06,07,08</t>
  </si>
  <si>
    <t>K003</t>
  </si>
  <si>
    <t>50 JEFFERSON AVENUE</t>
  </si>
  <si>
    <t>P.S. 3 - BROOKLYN</t>
  </si>
  <si>
    <t>1950</t>
  </si>
  <si>
    <t>11216</t>
  </si>
  <si>
    <t>COMMUNITY SCHOOL DISTRICT 13</t>
  </si>
  <si>
    <t xml:space="preserve">13K003         </t>
  </si>
  <si>
    <t>P.S. 003 The Bedford Village</t>
  </si>
  <si>
    <t>P.S. 5 - BROOKLYN</t>
  </si>
  <si>
    <t>1966</t>
  </si>
  <si>
    <t>11233</t>
  </si>
  <si>
    <t>COMMUNITY SCHOOL DISTRICT 16</t>
  </si>
  <si>
    <t>P.S. 005 Dr. Ronald McNair</t>
  </si>
  <si>
    <t>N</t>
  </si>
  <si>
    <t/>
  </si>
  <si>
    <t>0K,01,02,03,04,05,06,07,08,10,11,SE</t>
  </si>
  <si>
    <t>9</t>
  </si>
  <si>
    <t>P.S. 6 - BROOKLYN</t>
  </si>
  <si>
    <t>1993</t>
  </si>
  <si>
    <t>P.S. 7 - BROOKLYN</t>
  </si>
  <si>
    <t>1999</t>
  </si>
  <si>
    <t>11208</t>
  </si>
  <si>
    <t>COMMUNITY SCHOOL DISTRICT 19</t>
  </si>
  <si>
    <t>8</t>
  </si>
  <si>
    <t>P.S. 8 - BROOKLYN</t>
  </si>
  <si>
    <t>1907</t>
  </si>
  <si>
    <t>11201</t>
  </si>
  <si>
    <t>0K,01,02,03,04,05,SE</t>
  </si>
  <si>
    <t>1</t>
  </si>
  <si>
    <t>P.S. 9 - BROOKLYN</t>
  </si>
  <si>
    <t>1957</t>
  </si>
  <si>
    <t>11238</t>
  </si>
  <si>
    <t>3</t>
  </si>
  <si>
    <t>P.S. 10 - BROOKLYN</t>
  </si>
  <si>
    <t>1930</t>
  </si>
  <si>
    <t>11215</t>
  </si>
  <si>
    <t>P.S. 11 - BROOKLYN</t>
  </si>
  <si>
    <t>1958</t>
  </si>
  <si>
    <t>P.S. 12 - BROOKLYN</t>
  </si>
  <si>
    <t>P.S. 13 - BROOKLYN</t>
  </si>
  <si>
    <t>1975</t>
  </si>
  <si>
    <t>11207</t>
  </si>
  <si>
    <t>0K,01,02,03,04,05,06,07,08,09,10,11,12</t>
  </si>
  <si>
    <t>4</t>
  </si>
  <si>
    <t>I.S. 14 - BROOKLYN</t>
  </si>
  <si>
    <t>1952</t>
  </si>
  <si>
    <t>11235</t>
  </si>
  <si>
    <t>0K,01,02,03,04,05,06,07,08,09,10,11,12,SE</t>
  </si>
  <si>
    <t>COMMUNITY SCHOOL DISTRICT 22</t>
  </si>
  <si>
    <t>P.S. 15 - BROOKLYN</t>
  </si>
  <si>
    <t>1968</t>
  </si>
  <si>
    <t>11231</t>
  </si>
  <si>
    <t>P.S. 015 Patrick F. Daly</t>
  </si>
  <si>
    <t>P.S. 16 - BROOKLYN</t>
  </si>
  <si>
    <t>1918</t>
  </si>
  <si>
    <t>11211</t>
  </si>
  <si>
    <t>COMMUNITY SCHOOL DISTRICT 14</t>
  </si>
  <si>
    <t>P.S. 016 Leonard Dunkly</t>
  </si>
  <si>
    <t>05,06,07,08</t>
  </si>
  <si>
    <t>Williamsburg Collegiate Charter School</t>
  </si>
  <si>
    <t>K017</t>
  </si>
  <si>
    <t>208 NORTH  5 STREET</t>
  </si>
  <si>
    <t>P.S. 17 - BROOKLYN</t>
  </si>
  <si>
    <t>1921</t>
  </si>
  <si>
    <t xml:space="preserve">14K017         </t>
  </si>
  <si>
    <t>P.S. 017 Henry D. Woodworth</t>
  </si>
  <si>
    <t xml:space="preserve">14K577         </t>
  </si>
  <si>
    <t>K577</t>
  </si>
  <si>
    <t>Conselyea Preparatory School</t>
  </si>
  <si>
    <t>P.S. 18 - BROOKLYN</t>
  </si>
  <si>
    <t>1916</t>
  </si>
  <si>
    <t>11206</t>
  </si>
  <si>
    <t>P.S. 018 Edward Bush</t>
  </si>
  <si>
    <t>P.S. 19 - BROOKLYN</t>
  </si>
  <si>
    <t>1911</t>
  </si>
  <si>
    <t>Brooklyn Arbor Elementary School</t>
  </si>
  <si>
    <t>K020</t>
  </si>
  <si>
    <t>225 ADELPHI STREET</t>
  </si>
  <si>
    <t>P.S. 20 - BROOKLYN</t>
  </si>
  <si>
    <t>1951</t>
  </si>
  <si>
    <t>11205</t>
  </si>
  <si>
    <t xml:space="preserve">13K020         </t>
  </si>
  <si>
    <t>P.S. 020 Clinton Hill</t>
  </si>
  <si>
    <t>K021</t>
  </si>
  <si>
    <t>180 CHAUNCEY STREET</t>
  </si>
  <si>
    <t>P.S. 21 - BROOKLYN</t>
  </si>
  <si>
    <t>1956</t>
  </si>
  <si>
    <t xml:space="preserve">16K021         </t>
  </si>
  <si>
    <t>P.S. 021 Crispus Attucks</t>
  </si>
  <si>
    <t>P.S. 22 - BROOKLYN</t>
  </si>
  <si>
    <t>1996</t>
  </si>
  <si>
    <t xml:space="preserve">84K333         </t>
  </si>
  <si>
    <t>0K,01,02,03,04,05,06,07,08,SE</t>
  </si>
  <si>
    <t>P.S. 23 - BROOKLYN</t>
  </si>
  <si>
    <t>0K,01,02,03,04,05</t>
  </si>
  <si>
    <t>P.S. 24 - BROOKLYN</t>
  </si>
  <si>
    <t>1997</t>
  </si>
  <si>
    <t>11232</t>
  </si>
  <si>
    <t>K025</t>
  </si>
  <si>
    <t>787 LAFAYETTE AVENUE</t>
  </si>
  <si>
    <t xml:space="preserve">P.S. 25 - BROOKLYN </t>
  </si>
  <si>
    <t>1942</t>
  </si>
  <si>
    <t>11221</t>
  </si>
  <si>
    <t xml:space="preserve">84K883         </t>
  </si>
  <si>
    <t>02,05,06,07,08,SE</t>
  </si>
  <si>
    <t>K883</t>
  </si>
  <si>
    <t>Success Academy Charter School - Bed Stuy 3</t>
  </si>
  <si>
    <t xml:space="preserve">16K025         </t>
  </si>
  <si>
    <t>P.S. 025 Eubie Blake School</t>
  </si>
  <si>
    <t>P.S. 26 - BROOKLYN</t>
  </si>
  <si>
    <t>K027</t>
  </si>
  <si>
    <t>27 HUNTINGTON STREET</t>
  </si>
  <si>
    <t>P.S. 27 - BROOKLYN</t>
  </si>
  <si>
    <t>1890</t>
  </si>
  <si>
    <t xml:space="preserve">15K676         </t>
  </si>
  <si>
    <t>02,03,04,05,06,07,SE</t>
  </si>
  <si>
    <t>Red Hook Neighborhood School</t>
  </si>
  <si>
    <t xml:space="preserve">84K730         </t>
  </si>
  <si>
    <t>06,07,08,09,10,11,12</t>
  </si>
  <si>
    <t>Summit Academy Charter School</t>
  </si>
  <si>
    <t>K029</t>
  </si>
  <si>
    <t>425 HENRY STREET</t>
  </si>
  <si>
    <t>P.S. 29 - BROOKLYN</t>
  </si>
  <si>
    <t xml:space="preserve">15K029         </t>
  </si>
  <si>
    <t>P.S. 029 John M. Harrigan</t>
  </si>
  <si>
    <t>K031</t>
  </si>
  <si>
    <t>75 MESEROLE AVENUE</t>
  </si>
  <si>
    <t>P.S. 31 (OLD 126) - K</t>
  </si>
  <si>
    <t>1900</t>
  </si>
  <si>
    <t>11222</t>
  </si>
  <si>
    <t xml:space="preserve">14K031         </t>
  </si>
  <si>
    <t>P.S. 031 Samuel F. Dupont</t>
  </si>
  <si>
    <t>420 Union Street</t>
  </si>
  <si>
    <t>P.S. 32 - BROOKLYN</t>
  </si>
  <si>
    <t>I.S. 33 - BROOKLYN</t>
  </si>
  <si>
    <t>PK,0K,01,02,03,04,05,06,07,08,09,10,11,12,SE</t>
  </si>
  <si>
    <t>0K,01,05,06,07,08,09,10,SE</t>
  </si>
  <si>
    <t>K034</t>
  </si>
  <si>
    <t>131 NORMAN AVENUE</t>
  </si>
  <si>
    <t>P.S. 34 - BROOKLYN</t>
  </si>
  <si>
    <t>1867</t>
  </si>
  <si>
    <t xml:space="preserve">14K034         </t>
  </si>
  <si>
    <t>P.S. 034 Oliver H. Perry</t>
  </si>
  <si>
    <t>I.S. 35 - BROOKLYN</t>
  </si>
  <si>
    <t>1926</t>
  </si>
  <si>
    <t>K038</t>
  </si>
  <si>
    <t>450 PACIFIC STREET</t>
  </si>
  <si>
    <t>P.S. 38 - BROOKLYN</t>
  </si>
  <si>
    <t>11217</t>
  </si>
  <si>
    <t xml:space="preserve">15K038         </t>
  </si>
  <si>
    <t>P.S. 038 The Pacific</t>
  </si>
  <si>
    <t>K039</t>
  </si>
  <si>
    <t>417 6 AVENUE</t>
  </si>
  <si>
    <t>P.S. 39 - BROOKLYN</t>
  </si>
  <si>
    <t>1877</t>
  </si>
  <si>
    <t xml:space="preserve">15K039         </t>
  </si>
  <si>
    <t>P.S. 039 Henry Bristow</t>
  </si>
  <si>
    <t>K040</t>
  </si>
  <si>
    <t>265 RALPH AVENUE</t>
  </si>
  <si>
    <t>P.S. 40 - BROOKLYN</t>
  </si>
  <si>
    <t xml:space="preserve">16K040         </t>
  </si>
  <si>
    <t>P.S. 040 George W. Carver</t>
  </si>
  <si>
    <t xml:space="preserve">2 </t>
  </si>
  <si>
    <t>P.S. 41 - BROOKLYN</t>
  </si>
  <si>
    <t>11212</t>
  </si>
  <si>
    <t>COMMUNITY SCHOOL DISTRICT 23</t>
  </si>
  <si>
    <t>K042</t>
  </si>
  <si>
    <t>3610 GLENWOOD ROAD</t>
  </si>
  <si>
    <t>PRE-K CENTER @3610 GLENWOOD ROAD - BROOKLYN</t>
  </si>
  <si>
    <t>Tax Levy Lease</t>
  </si>
  <si>
    <t>11210</t>
  </si>
  <si>
    <t>PK</t>
  </si>
  <si>
    <t>District Pre-K Center</t>
  </si>
  <si>
    <t>K853</t>
  </si>
  <si>
    <t>The Joan Snow Pre-K Center</t>
  </si>
  <si>
    <t>I.S. 98 - BROOKLYN</t>
  </si>
  <si>
    <t>COMMUNITY SCHOOL DISTRICT 21</t>
  </si>
  <si>
    <t>I.S. 98 Bay Academy</t>
  </si>
  <si>
    <t>K044</t>
  </si>
  <si>
    <t>432 MONROE STREET</t>
  </si>
  <si>
    <t>P.S. 44 - BROOKLYN</t>
  </si>
  <si>
    <t xml:space="preserve">84K757         </t>
  </si>
  <si>
    <t>K757</t>
  </si>
  <si>
    <t>Unity Preparatory Charter School of Brooklyn</t>
  </si>
  <si>
    <t xml:space="preserve">13K044         </t>
  </si>
  <si>
    <t>P.S. 044 Marcus Garvey</t>
  </si>
  <si>
    <t>K045</t>
  </si>
  <si>
    <t>84 SCHAEFER STREET</t>
  </si>
  <si>
    <t>P.S. 45 - BROOKLYN</t>
  </si>
  <si>
    <t>COMMUNITY SCHOOL DISTRICT 32</t>
  </si>
  <si>
    <t xml:space="preserve">32K045         </t>
  </si>
  <si>
    <t>PK,0K,01,02,03,04,05,06,07,08,SE</t>
  </si>
  <si>
    <t>P.S./I.S. 045 Horace E. Greene</t>
  </si>
  <si>
    <t>K046</t>
  </si>
  <si>
    <t>100 CLERMONT AVENUE</t>
  </si>
  <si>
    <t>P.S. 46 - BROOKLYN</t>
  </si>
  <si>
    <t>1960</t>
  </si>
  <si>
    <t xml:space="preserve">13K046         </t>
  </si>
  <si>
    <t>P.S. 046 Edward C. Blum</t>
  </si>
  <si>
    <t xml:space="preserve">13K691         </t>
  </si>
  <si>
    <t>K691</t>
  </si>
  <si>
    <t>Fort Greene Preparatory Academy</t>
  </si>
  <si>
    <t>K048</t>
  </si>
  <si>
    <t>6015 18 AVENUE</t>
  </si>
  <si>
    <t>P.S. 48 - BROOKLYN</t>
  </si>
  <si>
    <t>1915</t>
  </si>
  <si>
    <t>11204</t>
  </si>
  <si>
    <t>COMMUNITY SCHOOL DISTRICT 20</t>
  </si>
  <si>
    <t xml:space="preserve">20K048         </t>
  </si>
  <si>
    <t>P.S. 048 Mapleton</t>
  </si>
  <si>
    <t>K049</t>
  </si>
  <si>
    <t>223 GRAHAM AVENUE</t>
  </si>
  <si>
    <t>I.S. 49 - BROOKLYN</t>
  </si>
  <si>
    <t>1937</t>
  </si>
  <si>
    <t xml:space="preserve">14K586         </t>
  </si>
  <si>
    <t>06,07,08,09,10,11,12,SE</t>
  </si>
  <si>
    <t>K586</t>
  </si>
  <si>
    <t>Lyons Community School</t>
  </si>
  <si>
    <t xml:space="preserve">14K449         </t>
  </si>
  <si>
    <t>09,10,11,12</t>
  </si>
  <si>
    <t>K449</t>
  </si>
  <si>
    <t>Brooklyn Latin School, The</t>
  </si>
  <si>
    <t xml:space="preserve">14K454         </t>
  </si>
  <si>
    <t>09,10,11,12,SE</t>
  </si>
  <si>
    <t>K454</t>
  </si>
  <si>
    <t>The Williamsburg High School of Art and Technology</t>
  </si>
  <si>
    <t>K050</t>
  </si>
  <si>
    <t>183 SOUTH  3 STREET</t>
  </si>
  <si>
    <t>J.H.S. 50 - BROOKLYN</t>
  </si>
  <si>
    <t xml:space="preserve">14K050         </t>
  </si>
  <si>
    <t>J.H.S. 050 John D. Wells</t>
  </si>
  <si>
    <t xml:space="preserve">84K182         </t>
  </si>
  <si>
    <t>K182</t>
  </si>
  <si>
    <t>Success Academy Charter School - Williamsburg</t>
  </si>
  <si>
    <t>6</t>
  </si>
  <si>
    <t>I.S. 51 - BROOKLYN</t>
  </si>
  <si>
    <t>K052</t>
  </si>
  <si>
    <t>2675 EAST  29 STREET</t>
  </si>
  <si>
    <t>P.S. 52 - BROOKLYN</t>
  </si>
  <si>
    <t xml:space="preserve">22K052         </t>
  </si>
  <si>
    <t>P.S. 052 Sheepshead Bay</t>
  </si>
  <si>
    <t>P.S. 54 - BROOKLYN</t>
  </si>
  <si>
    <t>1922</t>
  </si>
  <si>
    <t>P.S. 054 Samuel C. Barnes</t>
  </si>
  <si>
    <t>I.S. 55 - BROOKLYN</t>
  </si>
  <si>
    <t>5</t>
  </si>
  <si>
    <t>P.S. 56 - BROOKLYN</t>
  </si>
  <si>
    <t>K057</t>
  </si>
  <si>
    <t>125 STUYVESANT AVENUE</t>
  </si>
  <si>
    <t>J.H.S. 57 - BROOKLYN</t>
  </si>
  <si>
    <t>1954</t>
  </si>
  <si>
    <t xml:space="preserve">16K057         </t>
  </si>
  <si>
    <t>Whitelaw Reid Academy of Arts and Business</t>
  </si>
  <si>
    <t xml:space="preserve">16K688         </t>
  </si>
  <si>
    <t>K688</t>
  </si>
  <si>
    <t>The Brooklyn Academy of Global Finance</t>
  </si>
  <si>
    <t xml:space="preserve">84K892         </t>
  </si>
  <si>
    <t>K892</t>
  </si>
  <si>
    <t>Brooklyn Emerging Leaders Academy Charter School</t>
  </si>
  <si>
    <t>P.S. 58 - BROOKLYN</t>
  </si>
  <si>
    <t>P.S. 058 The Carroll</t>
  </si>
  <si>
    <t>K059</t>
  </si>
  <si>
    <t>211 THROOP AVENUE</t>
  </si>
  <si>
    <t>P.S. 59 - BROOKLYN</t>
  </si>
  <si>
    <t xml:space="preserve">84K125         </t>
  </si>
  <si>
    <t>K125</t>
  </si>
  <si>
    <t>Success Academy Charter School - Bed Stuy 2</t>
  </si>
  <si>
    <t xml:space="preserve">14K059         </t>
  </si>
  <si>
    <t>P.S. 059 The Dawn Best School</t>
  </si>
  <si>
    <t>I.S. 61 - BROOKLYN</t>
  </si>
  <si>
    <t>11225</t>
  </si>
  <si>
    <t>M.S. 061 Dr. Gladstone H. Atwell</t>
  </si>
  <si>
    <t>I.S. 62 - BROOKLYN</t>
  </si>
  <si>
    <t>11218</t>
  </si>
  <si>
    <t>K063</t>
  </si>
  <si>
    <t>1340 EAST 29TH STREET</t>
  </si>
  <si>
    <t>PRE-K CENTER @1340 EAST 29TH STREET - BROOKLYN</t>
  </si>
  <si>
    <t>1931</t>
  </si>
  <si>
    <t>158 RICHMOND STREET</t>
  </si>
  <si>
    <t>P.S. 65 - BROOKLYN</t>
  </si>
  <si>
    <t>1873</t>
  </si>
  <si>
    <t>P.S. 66 - BROOKLYN</t>
  </si>
  <si>
    <t>2003</t>
  </si>
  <si>
    <t>11236</t>
  </si>
  <si>
    <t>COMMUNITY SCHOOL DISTRICT 18</t>
  </si>
  <si>
    <t>K067</t>
  </si>
  <si>
    <t>51 SAINT EDWARDS STREET</t>
  </si>
  <si>
    <t>P.S. 67 - BROOKLYN</t>
  </si>
  <si>
    <t>1923</t>
  </si>
  <si>
    <t xml:space="preserve">84K536         </t>
  </si>
  <si>
    <t>K536</t>
  </si>
  <si>
    <t>Community Roots Charter School</t>
  </si>
  <si>
    <t xml:space="preserve">13K067         </t>
  </si>
  <si>
    <t>P.S. 067 Charles A. Dorsey</t>
  </si>
  <si>
    <t>K068</t>
  </si>
  <si>
    <t>956 EAST  82 STREET</t>
  </si>
  <si>
    <t>I.S. 68 - BROOKLYN</t>
  </si>
  <si>
    <t>1964</t>
  </si>
  <si>
    <t xml:space="preserve">18K068         </t>
  </si>
  <si>
    <t>I.S. 068 Isaac Bildersee</t>
  </si>
  <si>
    <t>6302 9TH AVENUE</t>
  </si>
  <si>
    <t>P.S. 69 - BROOKLYN</t>
  </si>
  <si>
    <t>2002</t>
  </si>
  <si>
    <t>I.S. 71 - BROOKLYN</t>
  </si>
  <si>
    <t>1970</t>
  </si>
  <si>
    <t>0K,01,02,03,04,05,06,07,08,09,10</t>
  </si>
  <si>
    <t>P.S. 72 - BROOKLYN</t>
  </si>
  <si>
    <t>K073</t>
  </si>
  <si>
    <t>251 Macdougal Street</t>
  </si>
  <si>
    <t>P.S. 73 - BROOKLYN</t>
  </si>
  <si>
    <t>1889</t>
  </si>
  <si>
    <t xml:space="preserve">23K664         </t>
  </si>
  <si>
    <t>K664</t>
  </si>
  <si>
    <t>Brooklyn Environmental Exploration School (BEES)</t>
  </si>
  <si>
    <t xml:space="preserve">23K599         </t>
  </si>
  <si>
    <t>Brooklyn Landmark Elementary School</t>
  </si>
  <si>
    <t>K075</t>
  </si>
  <si>
    <t>95 GROVE STREET</t>
  </si>
  <si>
    <t>P.S. 75 - BROOKLYN</t>
  </si>
  <si>
    <t>1908</t>
  </si>
  <si>
    <t xml:space="preserve">32K075         </t>
  </si>
  <si>
    <t>P.S. 075 Mayda Cortiella</t>
  </si>
  <si>
    <t>K078</t>
  </si>
  <si>
    <t>1420 EAST  68 STREET</t>
  </si>
  <si>
    <t>I.S. 78 - BROOKLYN</t>
  </si>
  <si>
    <t>11234</t>
  </si>
  <si>
    <t xml:space="preserve">22K078         </t>
  </si>
  <si>
    <t>J.H.S. 078 Roy H. Mann</t>
  </si>
  <si>
    <t xml:space="preserve">84K781         </t>
  </si>
  <si>
    <t>K781</t>
  </si>
  <si>
    <t>Success Academy Charter School - Bergen Beach</t>
  </si>
  <si>
    <t>P.S. 81 - BROOKLYN</t>
  </si>
  <si>
    <t>2</t>
  </si>
  <si>
    <t>P.S. 84 - BROOKLYN</t>
  </si>
  <si>
    <t>1969</t>
  </si>
  <si>
    <t>11249</t>
  </si>
  <si>
    <t>K085</t>
  </si>
  <si>
    <t>510 CLERMONT AVENUE</t>
  </si>
  <si>
    <t>P.S. 753 (OLD P85/STERLING HS) - K</t>
  </si>
  <si>
    <t>1972</t>
  </si>
  <si>
    <t>K086</t>
  </si>
  <si>
    <t>220 IRVING AVENUE</t>
  </si>
  <si>
    <t>P.S. 86 - BROOKLYN</t>
  </si>
  <si>
    <t>1892</t>
  </si>
  <si>
    <t>11237</t>
  </si>
  <si>
    <t xml:space="preserve">32K086         </t>
  </si>
  <si>
    <t>P.S. 086 The Irvington</t>
  </si>
  <si>
    <t>544 7TH AVENUE</t>
  </si>
  <si>
    <t>I.S. 88 - BROOKLYN</t>
  </si>
  <si>
    <t>1967</t>
  </si>
  <si>
    <t>P.S. 90 - BROOKLYN</t>
  </si>
  <si>
    <t>11224</t>
  </si>
  <si>
    <t>K091</t>
  </si>
  <si>
    <t>532 ALBANY AVENUE</t>
  </si>
  <si>
    <t>P.S. 91 - BROOKLYN</t>
  </si>
  <si>
    <t>1904</t>
  </si>
  <si>
    <t>11203</t>
  </si>
  <si>
    <t xml:space="preserve">17K091         </t>
  </si>
  <si>
    <t>P.S. 091 The Albany Avenue School</t>
  </si>
  <si>
    <t>P.S. 92 - BROOKLYN</t>
  </si>
  <si>
    <t>1906</t>
  </si>
  <si>
    <t xml:space="preserve">84K876         </t>
  </si>
  <si>
    <t>06,07,08</t>
  </si>
  <si>
    <t>K093</t>
  </si>
  <si>
    <t>31 NEW YORK AVENUE</t>
  </si>
  <si>
    <t>P.S. 93 - BROOKLYN</t>
  </si>
  <si>
    <t>1909</t>
  </si>
  <si>
    <t xml:space="preserve">13K093         </t>
  </si>
  <si>
    <t>P.S. 093 William H. Prescott</t>
  </si>
  <si>
    <t xml:space="preserve">13K301         </t>
  </si>
  <si>
    <t>K301</t>
  </si>
  <si>
    <t>Restoration Academy</t>
  </si>
  <si>
    <t>K094</t>
  </si>
  <si>
    <t>5010 6 AVENUE</t>
  </si>
  <si>
    <t>P.S. 94 - BROOKLYN</t>
  </si>
  <si>
    <t xml:space="preserve">15K094         </t>
  </si>
  <si>
    <t>P.S. 094 The Henry Longfellow</t>
  </si>
  <si>
    <t>P.S. 95 - BROOKLYN</t>
  </si>
  <si>
    <t>11223</t>
  </si>
  <si>
    <t>P.S. 095 The Gravesend</t>
  </si>
  <si>
    <t>I.S. 96 - BROOKLYN</t>
  </si>
  <si>
    <t>1929</t>
  </si>
  <si>
    <t>1855 Stillwell Avenue</t>
  </si>
  <si>
    <t>P.S. 97 - BROOKLYN</t>
  </si>
  <si>
    <t>K099</t>
  </si>
  <si>
    <t>1120 EAST  10 STREET</t>
  </si>
  <si>
    <t>P.S. 99 - BROOKLYN</t>
  </si>
  <si>
    <t>1914</t>
  </si>
  <si>
    <t>11230</t>
  </si>
  <si>
    <t xml:space="preserve">21K099         </t>
  </si>
  <si>
    <t>P.S. 099 Isaac Asimov</t>
  </si>
  <si>
    <t>K100</t>
  </si>
  <si>
    <t>2951 WEST  3 STREET</t>
  </si>
  <si>
    <t>P.S. 100 - BROOKLYN</t>
  </si>
  <si>
    <t>1924</t>
  </si>
  <si>
    <t xml:space="preserve">21K100         </t>
  </si>
  <si>
    <t>P.S. 100 The Coney Island School</t>
  </si>
  <si>
    <t>P.S. 101 - BROOKLYN</t>
  </si>
  <si>
    <t>1927</t>
  </si>
  <si>
    <t>11214</t>
  </si>
  <si>
    <t>P.S. 102 - BROOKLYN</t>
  </si>
  <si>
    <t>11209</t>
  </si>
  <si>
    <t>P.S. 102 The Bayview</t>
  </si>
  <si>
    <t>P.S. 104 - BROOKLYN</t>
  </si>
  <si>
    <t>P.S./I.S. 104 The Fort Hamilton School</t>
  </si>
  <si>
    <t>K105</t>
  </si>
  <si>
    <t>1031 59 STREET</t>
  </si>
  <si>
    <t>P.S. 105 - BROOKLYN</t>
  </si>
  <si>
    <t>11219</t>
  </si>
  <si>
    <t xml:space="preserve">20K105         </t>
  </si>
  <si>
    <t>P.S. 105 The Blythebourne</t>
  </si>
  <si>
    <t>K106</t>
  </si>
  <si>
    <t>1328 PUTNAM AVENUE</t>
  </si>
  <si>
    <t>P.S. 106 - BROOKLYN</t>
  </si>
  <si>
    <t>1894</t>
  </si>
  <si>
    <t xml:space="preserve">32K106         </t>
  </si>
  <si>
    <t>P.S. 106 Edward Everett Hale</t>
  </si>
  <si>
    <t>P.S. 107 - BROOKLYN</t>
  </si>
  <si>
    <t>P.S. 107 John W. Kimball</t>
  </si>
  <si>
    <t>K108</t>
  </si>
  <si>
    <t>200 LINWOOD STREET</t>
  </si>
  <si>
    <t>P.S. 108 - BROOKLYN</t>
  </si>
  <si>
    <t>1895</t>
  </si>
  <si>
    <t xml:space="preserve">19K108         </t>
  </si>
  <si>
    <t>P.S. 108 Sal Abbracciamento</t>
  </si>
  <si>
    <t>P.S. 110 - BROOKLYN</t>
  </si>
  <si>
    <t>K111</t>
  </si>
  <si>
    <t>35 STARR STREET</t>
  </si>
  <si>
    <t>I.S. 111 - BROOKLYN</t>
  </si>
  <si>
    <t xml:space="preserve">32K347         </t>
  </si>
  <si>
    <t>I.S. 347 School of Humanities</t>
  </si>
  <si>
    <t xml:space="preserve">32K349         </t>
  </si>
  <si>
    <t>K349</t>
  </si>
  <si>
    <t>I.S. 349 Math, Science &amp; Tech.</t>
  </si>
  <si>
    <t>K112</t>
  </si>
  <si>
    <t>7115 15 AVENUE</t>
  </si>
  <si>
    <t>P.S. 112 - BROOKLYN</t>
  </si>
  <si>
    <t>1905</t>
  </si>
  <si>
    <t>11228</t>
  </si>
  <si>
    <t xml:space="preserve">20K112         </t>
  </si>
  <si>
    <t>P.S. 112 Lefferts Park</t>
  </si>
  <si>
    <t>I.S. 113 - BROOKLYN</t>
  </si>
  <si>
    <t>1962</t>
  </si>
  <si>
    <t>P.S. 114 - BROOKLYN</t>
  </si>
  <si>
    <t>P.S. 115 - BROOKLYN</t>
  </si>
  <si>
    <t>K116</t>
  </si>
  <si>
    <t>515 KNICKERBOCKER AVENUE</t>
  </si>
  <si>
    <t>P.S. 116 - BROOKLYN</t>
  </si>
  <si>
    <t>1897</t>
  </si>
  <si>
    <t xml:space="preserve">32K116         </t>
  </si>
  <si>
    <t>P.S. 116 Elizabeth L Farrell</t>
  </si>
  <si>
    <t>K117</t>
  </si>
  <si>
    <t>300 WILLOUGHBY AVENUE</t>
  </si>
  <si>
    <t>I.S. 117 - BROOKLYN</t>
  </si>
  <si>
    <t>1955</t>
  </si>
  <si>
    <t xml:space="preserve">13K616         </t>
  </si>
  <si>
    <t>K616</t>
  </si>
  <si>
    <t>Brooklyn High School for Leadership and Community Service</t>
  </si>
  <si>
    <t xml:space="preserve">13K412         </t>
  </si>
  <si>
    <t>K412</t>
  </si>
  <si>
    <t>Brooklyn Community Arts &amp; Media High School (BCAM)</t>
  </si>
  <si>
    <t>K119</t>
  </si>
  <si>
    <t>3829 AVENUE K</t>
  </si>
  <si>
    <t>P.S. 119 - BROOKLYN</t>
  </si>
  <si>
    <t xml:space="preserve">22K119         </t>
  </si>
  <si>
    <t>P.S. 119 Amersfort</t>
  </si>
  <si>
    <t xml:space="preserve">4 </t>
  </si>
  <si>
    <t>P.S. 120 - BROOKLYN</t>
  </si>
  <si>
    <t>P.S. 121 - BROOKLYN</t>
  </si>
  <si>
    <t>P.S. 121 Nelson A. Rockefeller</t>
  </si>
  <si>
    <t>K123</t>
  </si>
  <si>
    <t>100 IRVING AVENUE</t>
  </si>
  <si>
    <t>P.S. 123 - BROOKLYN</t>
  </si>
  <si>
    <t>1901</t>
  </si>
  <si>
    <t xml:space="preserve">32K123         </t>
  </si>
  <si>
    <t>P.S. 123 Suydam</t>
  </si>
  <si>
    <t>K124</t>
  </si>
  <si>
    <t>515 4 AVENUE</t>
  </si>
  <si>
    <t>P.S. 124 - BROOKLYN</t>
  </si>
  <si>
    <t xml:space="preserve">15K124         </t>
  </si>
  <si>
    <t>P.S. 124 Silas B. Dutcher</t>
  </si>
  <si>
    <t>J.H.S. 126 - BROOKLYN</t>
  </si>
  <si>
    <t>P.S. 127 - BROOKLYN</t>
  </si>
  <si>
    <t>P.S. 127 McKinley Park</t>
  </si>
  <si>
    <t>K128</t>
  </si>
  <si>
    <t>2075 84 STREET</t>
  </si>
  <si>
    <t>P.S. 128 (TANDEM BROOKLYN STUDIO)</t>
  </si>
  <si>
    <t xml:space="preserve">21K128         </t>
  </si>
  <si>
    <t>P.S. 128 Bensonhurst</t>
  </si>
  <si>
    <t>P.S. 130 - BROOKLYN</t>
  </si>
  <si>
    <t>1903</t>
  </si>
  <si>
    <t>K131</t>
  </si>
  <si>
    <t>4305 FT HAMILTON PARKWAY</t>
  </si>
  <si>
    <t>P.S. 131 - BROOKLYN</t>
  </si>
  <si>
    <t xml:space="preserve">15K131         </t>
  </si>
  <si>
    <t>P.S. 131 Brooklyn</t>
  </si>
  <si>
    <t>P.S. 132 - BROOKLYN</t>
  </si>
  <si>
    <t>1902</t>
  </si>
  <si>
    <t>P.S. 135 - BROOKLYN</t>
  </si>
  <si>
    <t>P.S. 135 Sheldon A. Brookner</t>
  </si>
  <si>
    <t>K136</t>
  </si>
  <si>
    <t>4004 4 AVENUE</t>
  </si>
  <si>
    <t>I.S. 136 - BROOKLYN</t>
  </si>
  <si>
    <t xml:space="preserve">15K136         </t>
  </si>
  <si>
    <t>I.S. 136 Charles O. Dewey</t>
  </si>
  <si>
    <t xml:space="preserve">15K821         </t>
  </si>
  <si>
    <t>K821</t>
  </si>
  <si>
    <t>Sunset Park Prep</t>
  </si>
  <si>
    <t>P.S. 137 - BROOKLYN</t>
  </si>
  <si>
    <t>P.S. 137 Rachel Jean Mitchell</t>
  </si>
  <si>
    <t>P.S. 138 - BROOKLYN</t>
  </si>
  <si>
    <t>K139</t>
  </si>
  <si>
    <t>330 RUGBY ROAD</t>
  </si>
  <si>
    <t>P.S. 139 - BROOKLYN</t>
  </si>
  <si>
    <t xml:space="preserve">22K139         </t>
  </si>
  <si>
    <t>P.S. 139 Alexine A. Fenty</t>
  </si>
  <si>
    <t>J.H.S. 142 - BROOKLYN</t>
  </si>
  <si>
    <t>The Brooklyn New School, P.S. 146</t>
  </si>
  <si>
    <t>Brooklyn Collaborative Studies</t>
  </si>
  <si>
    <t>P.S. 145 - BROOKLYN</t>
  </si>
  <si>
    <t>P.S. 147 - BROOKLYN</t>
  </si>
  <si>
    <t>P.S. 147 Isaac Remsen</t>
  </si>
  <si>
    <t>Young Women's Leadership School of Brooklyn</t>
  </si>
  <si>
    <t>K148</t>
  </si>
  <si>
    <t>185 ELLERY STREET</t>
  </si>
  <si>
    <t>P.S. 373 (OLD P148) - BROOKLYN</t>
  </si>
  <si>
    <t>K149</t>
  </si>
  <si>
    <t>700 SUTTER AVENUE</t>
  </si>
  <si>
    <t>P.S. 149 - BROOKLYN</t>
  </si>
  <si>
    <t xml:space="preserve">19K149         </t>
  </si>
  <si>
    <t>P.S. 149 Danny Kaye</t>
  </si>
  <si>
    <t>P.S. 150 - BROOKLYN</t>
  </si>
  <si>
    <t>P.S. 150 Christopher</t>
  </si>
  <si>
    <t>P.S. 151 - BROOKLYN</t>
  </si>
  <si>
    <t>P.S. 151 Lyndon B. Johnson</t>
  </si>
  <si>
    <t>P.S. 152 - BROOKLYN</t>
  </si>
  <si>
    <t>K153</t>
  </si>
  <si>
    <t>1970 HOMECREST AVENUE</t>
  </si>
  <si>
    <t>P.S. 153 - BROOKLYN</t>
  </si>
  <si>
    <t>11229</t>
  </si>
  <si>
    <t xml:space="preserve">21K153         </t>
  </si>
  <si>
    <t>P.S. 153 Homecrest</t>
  </si>
  <si>
    <t>K154</t>
  </si>
  <si>
    <t>1625 11 AVENUE</t>
  </si>
  <si>
    <t>P.S. 154 - BROOKLYN</t>
  </si>
  <si>
    <t xml:space="preserve">15K154         </t>
  </si>
  <si>
    <t>The Windsor Terrace School</t>
  </si>
  <si>
    <t>K155</t>
  </si>
  <si>
    <t>1355 HERKIMER STREET</t>
  </si>
  <si>
    <t>P.S. 155 - BROOKLYN</t>
  </si>
  <si>
    <t xml:space="preserve">23K155         </t>
  </si>
  <si>
    <t>P.S./ I.S. 155 Nicholas Herkimer</t>
  </si>
  <si>
    <t>K157</t>
  </si>
  <si>
    <t>850 KENT AVENUE</t>
  </si>
  <si>
    <t>P.S. 157 - BROOKLYN</t>
  </si>
  <si>
    <t xml:space="preserve">14K157         </t>
  </si>
  <si>
    <t>P.S./I.S. 157 The Benjamin Franklin Health &amp; Science Academy</t>
  </si>
  <si>
    <t>P.S. 158 - BROOKLYN</t>
  </si>
  <si>
    <t>P.S. 158 Warwick</t>
  </si>
  <si>
    <t>K159</t>
  </si>
  <si>
    <t>2781 PITKIN AVENUE</t>
  </si>
  <si>
    <t>P.S. 159 - BROOKLYN</t>
  </si>
  <si>
    <t xml:space="preserve">19K159         </t>
  </si>
  <si>
    <t>P.S. 159 Isaac Pitkin</t>
  </si>
  <si>
    <t>P.S. 160 - BROOKLYN</t>
  </si>
  <si>
    <t>K161</t>
  </si>
  <si>
    <t>330 CROWN STREET</t>
  </si>
  <si>
    <t>P.S. 161 - BROOKLYN</t>
  </si>
  <si>
    <t xml:space="preserve">17K161         </t>
  </si>
  <si>
    <t>P.S. 161 The Crown</t>
  </si>
  <si>
    <t>I.S. 162 - BROOKLYN</t>
  </si>
  <si>
    <t>1664 BENSON AVENUE</t>
  </si>
  <si>
    <t>P.S. 163 - BROOKLYN</t>
  </si>
  <si>
    <t xml:space="preserve">20K748         </t>
  </si>
  <si>
    <t>P.S. 748 Brooklyn School for Global Scholars</t>
  </si>
  <si>
    <t>K164</t>
  </si>
  <si>
    <t>4211 14 AVENUE</t>
  </si>
  <si>
    <t>P.S. 164 - BROOKLYN</t>
  </si>
  <si>
    <t>1910</t>
  </si>
  <si>
    <t xml:space="preserve">20K164         </t>
  </si>
  <si>
    <t>P.S. 164 Caesar Rodney</t>
  </si>
  <si>
    <t>K165</t>
  </si>
  <si>
    <t>76 LOTT AVENUE</t>
  </si>
  <si>
    <t>P.S. 165 - BROOKLYN</t>
  </si>
  <si>
    <t>1912</t>
  </si>
  <si>
    <t xml:space="preserve">23K165         </t>
  </si>
  <si>
    <t>P.S. 165 Ida Posner</t>
  </si>
  <si>
    <t>I.S. 166 - BROOKLYN</t>
  </si>
  <si>
    <t>P.S. 167 - BROOKLYN</t>
  </si>
  <si>
    <t>11213</t>
  </si>
  <si>
    <t>New Bridges Elementary</t>
  </si>
  <si>
    <t>K169</t>
  </si>
  <si>
    <t>4305 7 AVENUE</t>
  </si>
  <si>
    <t>P.S. 169 - BROOKLYN</t>
  </si>
  <si>
    <t xml:space="preserve">15K169         </t>
  </si>
  <si>
    <t>P.S. 169 Sunset Park</t>
  </si>
  <si>
    <t>P.S. 170 - BROOKLYN</t>
  </si>
  <si>
    <t>K171</t>
  </si>
  <si>
    <t>528 RIDGEWOOD AVENUE</t>
  </si>
  <si>
    <t>I.S. 171 - BROOKLYN</t>
  </si>
  <si>
    <t xml:space="preserve">19K171         </t>
  </si>
  <si>
    <t>I.S. 171 Abraham Lincoln</t>
  </si>
  <si>
    <t xml:space="preserve">19K760         </t>
  </si>
  <si>
    <t>K760</t>
  </si>
  <si>
    <t>Highland Park Community School</t>
  </si>
  <si>
    <t>K172</t>
  </si>
  <si>
    <t>825 4 AVENUE</t>
  </si>
  <si>
    <t>P.S. 172 - BROOKLYN</t>
  </si>
  <si>
    <t xml:space="preserve">15K172         </t>
  </si>
  <si>
    <t>P.S. 172 Beacon School of Excellence</t>
  </si>
  <si>
    <t>K174</t>
  </si>
  <si>
    <t>574 DUMONT AVENUE</t>
  </si>
  <si>
    <t>P.S. 174 - BROOKLYN</t>
  </si>
  <si>
    <t>1913</t>
  </si>
  <si>
    <t xml:space="preserve">19K663         </t>
  </si>
  <si>
    <t>K663</t>
  </si>
  <si>
    <t>School of the Future Brooklyn</t>
  </si>
  <si>
    <t xml:space="preserve">19K557         </t>
  </si>
  <si>
    <t>Brooklyn Gardens Elementary School</t>
  </si>
  <si>
    <t>TEACHERS PREP HS(OL REDIRECTION)-K</t>
  </si>
  <si>
    <t>7</t>
  </si>
  <si>
    <t>P.S. 176 - BROOKLYN</t>
  </si>
  <si>
    <t>P.S. 177 - BROOKLYN</t>
  </si>
  <si>
    <t>P.S. 177 The Marlboro</t>
  </si>
  <si>
    <t>P.S. 178 - BROOKLYN</t>
  </si>
  <si>
    <t>P.S. 178 Saint Clair Mckelway</t>
  </si>
  <si>
    <t>K179</t>
  </si>
  <si>
    <t>202 AVENUE C</t>
  </si>
  <si>
    <t>P.S. 179 - BROOKLYN</t>
  </si>
  <si>
    <t xml:space="preserve">20K179         </t>
  </si>
  <si>
    <t>P.S. 179 Kensington</t>
  </si>
  <si>
    <t>K180</t>
  </si>
  <si>
    <t>5601 16 AVENUE</t>
  </si>
  <si>
    <t>P.S. 180 - BROOKLYN</t>
  </si>
  <si>
    <t>1925</t>
  </si>
  <si>
    <t xml:space="preserve">20K180         </t>
  </si>
  <si>
    <t>The SEEALL Academy</t>
  </si>
  <si>
    <t>0K,01,02,03,04,05,06,07,08,09,SE</t>
  </si>
  <si>
    <t>P.S. 181 - BROOKLYN</t>
  </si>
  <si>
    <t>K183</t>
  </si>
  <si>
    <t>76 RIVERDALE AVENUE</t>
  </si>
  <si>
    <t>P.S. 183 - BROOKLYN</t>
  </si>
  <si>
    <t xml:space="preserve">23K446         </t>
  </si>
  <si>
    <t>K446</t>
  </si>
  <si>
    <t>Riverdale Avenue Community School</t>
  </si>
  <si>
    <t xml:space="preserve">23K668         </t>
  </si>
  <si>
    <t>K668</t>
  </si>
  <si>
    <t>Riverdale Avenue Middle School</t>
  </si>
  <si>
    <t>P.S. 184 - BROOKLYN</t>
  </si>
  <si>
    <t>P.S. 184 Newport</t>
  </si>
  <si>
    <t>K185</t>
  </si>
  <si>
    <t>8601 RIDGE BOULEVARD</t>
  </si>
  <si>
    <t>P.S. 185 - BROOKLYN</t>
  </si>
  <si>
    <t xml:space="preserve">20K185         </t>
  </si>
  <si>
    <t>P.S. 185 Walter Kassenbrock</t>
  </si>
  <si>
    <t>K186</t>
  </si>
  <si>
    <t>7601 19 AVENUE</t>
  </si>
  <si>
    <t>P.S. 186 - BROOKLYN</t>
  </si>
  <si>
    <t xml:space="preserve">20K186         </t>
  </si>
  <si>
    <t>P.S. 186 Dr. Irving A Gladstone</t>
  </si>
  <si>
    <t>P.S. 188 - BROOKLYN</t>
  </si>
  <si>
    <t>P.S. 189 - BROOKLYN</t>
  </si>
  <si>
    <t>P.S. 189 The Bilingual Center</t>
  </si>
  <si>
    <t>P.S. 190 - BROOKLYN</t>
  </si>
  <si>
    <t>K191</t>
  </si>
  <si>
    <t>1600 PARK PLACE</t>
  </si>
  <si>
    <t>P.S. 191 - BROOKLYN</t>
  </si>
  <si>
    <t>1938</t>
  </si>
  <si>
    <t>Excellence Girls Charter School</t>
  </si>
  <si>
    <t xml:space="preserve">17K191         </t>
  </si>
  <si>
    <t>P.S. 191 Paul Robeson</t>
  </si>
  <si>
    <t>P.S. 192 - BROOKLYN</t>
  </si>
  <si>
    <t>P.S. 192 - The Magnet School for Math and Science Inquiry</t>
  </si>
  <si>
    <t>K193</t>
  </si>
  <si>
    <t>2515 AVENUE L</t>
  </si>
  <si>
    <t>P.S. 193 - BROOKLYN</t>
  </si>
  <si>
    <t xml:space="preserve">22K193         </t>
  </si>
  <si>
    <t>P.S. 193 Gil Hodges</t>
  </si>
  <si>
    <t>K194</t>
  </si>
  <si>
    <t>3117 AVENUE W</t>
  </si>
  <si>
    <t>P.S. 194 - BROOKLYN</t>
  </si>
  <si>
    <t xml:space="preserve">22K194         </t>
  </si>
  <si>
    <t>P.S. 194 Raoul Wallenberg</t>
  </si>
  <si>
    <t>P.S. 195 - BROOKLYN</t>
  </si>
  <si>
    <t>1949</t>
  </si>
  <si>
    <t>P.S. 196 - BROOKLYN</t>
  </si>
  <si>
    <t>P.S. 196 Ten Eyck</t>
  </si>
  <si>
    <t>P.S. 197 - BROOKLYN</t>
  </si>
  <si>
    <t>P.S. 197 - The Kings Highway Academy</t>
  </si>
  <si>
    <t>P.S. 198 - BROOKLYN</t>
  </si>
  <si>
    <t>P.S. 199 - BROOKLYN</t>
  </si>
  <si>
    <t>P.S. 199 Frederick Wachtel</t>
  </si>
  <si>
    <t>P.S. 200 - BROOKLYN</t>
  </si>
  <si>
    <t>P.S. 200 Benson School</t>
  </si>
  <si>
    <t>I.S. 201 - BROOKLYN</t>
  </si>
  <si>
    <t>P.S. 202 - BROOKLYN</t>
  </si>
  <si>
    <t>Achievement First Aspire Charter School</t>
  </si>
  <si>
    <t>P.S. 202 Ernest S. Jenkyns</t>
  </si>
  <si>
    <t>P.S. 203 - BROOKLYN</t>
  </si>
  <si>
    <t>P.S. 203 Floyd Bennett School</t>
  </si>
  <si>
    <t>P.S. 204 - BROOKLYN</t>
  </si>
  <si>
    <t>P.S. 205 - BROOKLYN</t>
  </si>
  <si>
    <t>P.S. 206 - BROOKLYN</t>
  </si>
  <si>
    <t>P.S. 206 Joseph F Lamb</t>
  </si>
  <si>
    <t>P.S. 207 - BROOKLYN</t>
  </si>
  <si>
    <t>P.S. 207 Elizabeth G. Leary</t>
  </si>
  <si>
    <t>P.S. 208 - BROOKLYN</t>
  </si>
  <si>
    <t>P.S. 208 Elsa Ebeling</t>
  </si>
  <si>
    <t>P.S. 209 - BROOKLYN</t>
  </si>
  <si>
    <t>P.S. 209 Margaret Mead</t>
  </si>
  <si>
    <t>I.S. 394 - BROOKLYN</t>
  </si>
  <si>
    <t>Explore Empower Charter School</t>
  </si>
  <si>
    <t>I.S. 211 - BROOKLYN</t>
  </si>
  <si>
    <t>P.S. 212 - BROOKLYN</t>
  </si>
  <si>
    <t>P.S. 212 Lady Deborah Moody</t>
  </si>
  <si>
    <t>K213</t>
  </si>
  <si>
    <t>580 HEGEMAN AVENUE</t>
  </si>
  <si>
    <t>P.S. 213 - BROOKLYN</t>
  </si>
  <si>
    <t>1939</t>
  </si>
  <si>
    <t xml:space="preserve">19K213         </t>
  </si>
  <si>
    <t>P.S. 213 New Lots</t>
  </si>
  <si>
    <t>K214</t>
  </si>
  <si>
    <t>2944 PITKIN AVENUE</t>
  </si>
  <si>
    <t>P.S. 214 - BROOKLYN</t>
  </si>
  <si>
    <t xml:space="preserve">19K214         </t>
  </si>
  <si>
    <t>P.S. 214 Michael Friedsam</t>
  </si>
  <si>
    <t>P.S. 215 - BROOKLYN</t>
  </si>
  <si>
    <t>P.S. 216 - BROOKLYN</t>
  </si>
  <si>
    <t>P.S. 216 Arturo Toscanini</t>
  </si>
  <si>
    <t>P.S. 217 - BROOKLYN</t>
  </si>
  <si>
    <t>I.S. 218 - BROOKLYN</t>
  </si>
  <si>
    <t>J.H.S. 218 James P. Sinnott</t>
  </si>
  <si>
    <t>08,09,10,11,12,SE</t>
  </si>
  <si>
    <t>School for Classics High School</t>
  </si>
  <si>
    <t>P.S. 219 - BROOKLYN</t>
  </si>
  <si>
    <t>Lamad Academy Charter School</t>
  </si>
  <si>
    <t>P.S. 219 Kennedy-King</t>
  </si>
  <si>
    <t>K220</t>
  </si>
  <si>
    <t>4812 9TH AVENUE</t>
  </si>
  <si>
    <t>I.S. 220 - BROOKLYN</t>
  </si>
  <si>
    <t xml:space="preserve">20K220         </t>
  </si>
  <si>
    <t>J.H.S. 220 John J. Pershing</t>
  </si>
  <si>
    <t>K221</t>
  </si>
  <si>
    <t>791 EMPIRE BOULEVARD</t>
  </si>
  <si>
    <t>P.S. 221 - BROOKLYN</t>
  </si>
  <si>
    <t>1940</t>
  </si>
  <si>
    <t>0K,01,02,03,04,05,06,07,08,09</t>
  </si>
  <si>
    <t>Ocean Hill Collegiate Charter School</t>
  </si>
  <si>
    <t xml:space="preserve">17K221         </t>
  </si>
  <si>
    <t>P.S. 221 Toussaint L'Ouverture</t>
  </si>
  <si>
    <t>P.S. 222 - BROOKLYN</t>
  </si>
  <si>
    <t>I.S. 223 - BROOKLYN</t>
  </si>
  <si>
    <t>P.S. 224 - BROOKLYN</t>
  </si>
  <si>
    <t>P.S. 225 - BROOKLYN</t>
  </si>
  <si>
    <t>1928</t>
  </si>
  <si>
    <t>P.S. 226 - BROOKLYN</t>
  </si>
  <si>
    <t>I.S. 227 - BROOKLYN</t>
  </si>
  <si>
    <t>I.S. 228 - BROOKLYN</t>
  </si>
  <si>
    <t>P.S. 229 - BROOKLYN</t>
  </si>
  <si>
    <t>1932</t>
  </si>
  <si>
    <t>P.S. 230 - BROOKLYN</t>
  </si>
  <si>
    <t>360 36 STREET</t>
  </si>
  <si>
    <t>P.S. 231 - BROOKLYN</t>
  </si>
  <si>
    <t>0K,01,02,04,05,06,07,09,10,11,12,SE</t>
  </si>
  <si>
    <t>I.S. 232 - BROOKLYN</t>
  </si>
  <si>
    <t>The Middle School of Media, Law and Fine Arts</t>
  </si>
  <si>
    <t>P.S. 233 - BROOKLYN</t>
  </si>
  <si>
    <t>I.S. 234 - BROOKLYN</t>
  </si>
  <si>
    <t>P.S. 235 - BROOKLYN</t>
  </si>
  <si>
    <t>P.S. 236 - BROOKLYN</t>
  </si>
  <si>
    <t>1933</t>
  </si>
  <si>
    <t>P.S. 236 Mill Basin</t>
  </si>
  <si>
    <t>LUCRETIA MARCIGLIANO CAMPUS - K</t>
  </si>
  <si>
    <t>2009</t>
  </si>
  <si>
    <t>P.S. 238 - BROOKLYN</t>
  </si>
  <si>
    <t>K239</t>
  </si>
  <si>
    <t>2401 NEPTUNE AVENUE</t>
  </si>
  <si>
    <t>I.S. 239 - BROOKLYN</t>
  </si>
  <si>
    <t xml:space="preserve">21K239         </t>
  </si>
  <si>
    <t>Mark Twain I.S. 239 for the Gifted &amp; Talented</t>
  </si>
  <si>
    <t>K240</t>
  </si>
  <si>
    <t>2500 NOSTRAND AVENUE</t>
  </si>
  <si>
    <t>I.S. 240 - BROOKLYN</t>
  </si>
  <si>
    <t xml:space="preserve">22K240         </t>
  </si>
  <si>
    <t>Andries Hudde</t>
  </si>
  <si>
    <t xml:space="preserve">22K381         </t>
  </si>
  <si>
    <t>K381</t>
  </si>
  <si>
    <t>I. S. 381</t>
  </si>
  <si>
    <t>K241</t>
  </si>
  <si>
    <t>976 PRESIDENT STREET</t>
  </si>
  <si>
    <t>P.S. 241 - BROOKLYN</t>
  </si>
  <si>
    <t xml:space="preserve">17K241         </t>
  </si>
  <si>
    <t>P.S. 241 Emma L. Johnston</t>
  </si>
  <si>
    <t>K242</t>
  </si>
  <si>
    <t>10001 Flatlands Avenue</t>
  </si>
  <si>
    <t>P.S. 235 ANNEX - BROOKLYN</t>
  </si>
  <si>
    <t>1935</t>
  </si>
  <si>
    <t xml:space="preserve">18K961         </t>
  </si>
  <si>
    <t>K961</t>
  </si>
  <si>
    <t>Lenox Academy M. S. 961</t>
  </si>
  <si>
    <t>755 East  100 Street</t>
  </si>
  <si>
    <t xml:space="preserve">18K635         </t>
  </si>
  <si>
    <t>K635</t>
  </si>
  <si>
    <t>Olympus Academy</t>
  </si>
  <si>
    <t>K243</t>
  </si>
  <si>
    <t>1580 DEAN STREET</t>
  </si>
  <si>
    <t>P.S. 243 - BROOKLYN</t>
  </si>
  <si>
    <t xml:space="preserve">16K243         </t>
  </si>
  <si>
    <t>P.S. 243K- The Weeksville School</t>
  </si>
  <si>
    <t xml:space="preserve">84K360         </t>
  </si>
  <si>
    <t>K360</t>
  </si>
  <si>
    <t>Launch Expeditionary Learning Charter School</t>
  </si>
  <si>
    <t>P.S. 244 - BROOKLYN</t>
  </si>
  <si>
    <t>I.S. 246 - BROOKLYN</t>
  </si>
  <si>
    <t>P.S. 247 - BROOKLYN</t>
  </si>
  <si>
    <t>P.S. 247 Brooklyn</t>
  </si>
  <si>
    <t>P.S. 249 - BROOKLYN</t>
  </si>
  <si>
    <t>P.S. 250 - BROOKLYN</t>
  </si>
  <si>
    <t>P.S. 250 George H. Lindsay</t>
  </si>
  <si>
    <t>P.S. 251 - BROOKLYN</t>
  </si>
  <si>
    <t>P.S. 251 Paerdegat</t>
  </si>
  <si>
    <t>I.S. 252 - BROOKLYN</t>
  </si>
  <si>
    <t xml:space="preserve">84K780         </t>
  </si>
  <si>
    <t>601 Ocean View Avenue</t>
  </si>
  <si>
    <t>P.S. 253 - BROOKLYN</t>
  </si>
  <si>
    <t>P.S. 254 - BROOKLYN</t>
  </si>
  <si>
    <t>K255</t>
  </si>
  <si>
    <t>1866 EAST  17 STREET</t>
  </si>
  <si>
    <t>P.S. 255 - BROOKLYN</t>
  </si>
  <si>
    <t>1953</t>
  </si>
  <si>
    <t xml:space="preserve">22K255         </t>
  </si>
  <si>
    <t>P.S. 255 Barbara Reing School</t>
  </si>
  <si>
    <t>P.S. 256 - BROOKLYN</t>
  </si>
  <si>
    <t>1959</t>
  </si>
  <si>
    <t>P.S. 256 Benjamin Banneker</t>
  </si>
  <si>
    <t>PK,0K,01,02,03,04,05,06,07,08</t>
  </si>
  <si>
    <t>Community Partnership Charter School</t>
  </si>
  <si>
    <t>P.S. 257 - BROOKLYN</t>
  </si>
  <si>
    <t>I.S. 258 - BROOKLYN</t>
  </si>
  <si>
    <t xml:space="preserve">9 </t>
  </si>
  <si>
    <t>I.S. 259 - BROOKLYN</t>
  </si>
  <si>
    <t>K260</t>
  </si>
  <si>
    <t>875 WILLIAMS AVENUE</t>
  </si>
  <si>
    <t>P.S. 260 - BROOKLYN</t>
  </si>
  <si>
    <t xml:space="preserve">19K325         </t>
  </si>
  <si>
    <t>K325</t>
  </si>
  <si>
    <t>The Fresh Creek School</t>
  </si>
  <si>
    <t>P.S. 261 - BROOKLYN</t>
  </si>
  <si>
    <t>P.S. 262 - BROOKLYN</t>
  </si>
  <si>
    <t>1961</t>
  </si>
  <si>
    <t>P.S. 262 El Hajj Malik El Shabazz Elementary School</t>
  </si>
  <si>
    <t>P.S./I.S. 323 - BROOKLYN</t>
  </si>
  <si>
    <t>371 89th Street</t>
  </si>
  <si>
    <t>PS 264 BAY RIDGE ELEM SCL FOR THE ARTS - BROOKLYN</t>
  </si>
  <si>
    <t>2012</t>
  </si>
  <si>
    <t>K265</t>
  </si>
  <si>
    <t>101 PARK AVENUE</t>
  </si>
  <si>
    <t>I.S. 265 - BROOKLYN</t>
  </si>
  <si>
    <t xml:space="preserve">13K265         </t>
  </si>
  <si>
    <t>Dr. Susan S. McKinney Secondary School of the Arts</t>
  </si>
  <si>
    <t>K268</t>
  </si>
  <si>
    <t>133 EAST  53 STREET</t>
  </si>
  <si>
    <t>P.S. 268 - BROOKLYN</t>
  </si>
  <si>
    <t xml:space="preserve">18K268         </t>
  </si>
  <si>
    <t>P.S. 268 Emma Lazarus</t>
  </si>
  <si>
    <t>P.S. 269 - BROOKLYN</t>
  </si>
  <si>
    <t>241 Emerson Place</t>
  </si>
  <si>
    <t>P.S. 270 - BROOKLYN</t>
  </si>
  <si>
    <t>P.S. 270 Johann DeKalb</t>
  </si>
  <si>
    <t>I.S. 271 - BROOKLYN</t>
  </si>
  <si>
    <t>1963</t>
  </si>
  <si>
    <t>Eagle Academy for Young Men II</t>
  </si>
  <si>
    <t>P.S. 272 - BROOKLYN</t>
  </si>
  <si>
    <t>P.S. 272 Curtis Estabrook</t>
  </si>
  <si>
    <t>K273</t>
  </si>
  <si>
    <t>923 JEROME STREET</t>
  </si>
  <si>
    <t>P.S. 273 - BROOKLYN</t>
  </si>
  <si>
    <t xml:space="preserve">19K273         </t>
  </si>
  <si>
    <t>P.S. 273 Wortman</t>
  </si>
  <si>
    <t>P.S. 274 - BROOKLYN</t>
  </si>
  <si>
    <t>P.S. 274 Kosciusko</t>
  </si>
  <si>
    <t>I.S. 275 - BROOKLYN</t>
  </si>
  <si>
    <t>P.S. 276 - BROOKLYN</t>
  </si>
  <si>
    <t>P.S. 276 Louis Marshall</t>
  </si>
  <si>
    <t>P.S. 277 - BROOKLYN</t>
  </si>
  <si>
    <t>P.S. 277 Gerritsen Beach</t>
  </si>
  <si>
    <t>K278</t>
  </si>
  <si>
    <t>1925 STUART STREET</t>
  </si>
  <si>
    <t>I.S. 278 - BROOKLYN</t>
  </si>
  <si>
    <t xml:space="preserve">22K278         </t>
  </si>
  <si>
    <t>J.H.S. 278 Marine Park</t>
  </si>
  <si>
    <t>P.S. 279 - BROOKLYN</t>
  </si>
  <si>
    <t>PRE-K CENTER @ 500 19TH STREET - BROOKLYN</t>
  </si>
  <si>
    <t xml:space="preserve">15K863         </t>
  </si>
  <si>
    <t>K863</t>
  </si>
  <si>
    <t>Pre-K Center at Bishop Ford School Site</t>
  </si>
  <si>
    <t>I.S. 281 - BROOKLYN</t>
  </si>
  <si>
    <t xml:space="preserve">1 </t>
  </si>
  <si>
    <t>P.S. 282 - BROOKLYN</t>
  </si>
  <si>
    <t>P.S. 284 - BROOKLYN</t>
  </si>
  <si>
    <t>The Gregory Jocko Jackson School of Sports, Art, and Technology</t>
  </si>
  <si>
    <t>K285</t>
  </si>
  <si>
    <t>5909 BEVERLY ROAD</t>
  </si>
  <si>
    <t>I.S. 285 - BROOKLYN</t>
  </si>
  <si>
    <t xml:space="preserve">18K285         </t>
  </si>
  <si>
    <t>I.S. 285 Meyer Levin</t>
  </si>
  <si>
    <t>P.S. 811 (OLD P286) - BROOKLYN</t>
  </si>
  <si>
    <t>K287</t>
  </si>
  <si>
    <t>50 NAVY STREET</t>
  </si>
  <si>
    <t>P.S. 287 - BROOKLYN</t>
  </si>
  <si>
    <t xml:space="preserve">13K287         </t>
  </si>
  <si>
    <t>P.S. 287 Bailey K. Ashford</t>
  </si>
  <si>
    <t>P.S. 288 - BROOKLYN</t>
  </si>
  <si>
    <t>P.S. 288 The Shirley Tanyhill</t>
  </si>
  <si>
    <t>P.S. 289 - BROOKLYN</t>
  </si>
  <si>
    <t xml:space="preserve">5 </t>
  </si>
  <si>
    <t>P.S. 290 - BROOKLYN</t>
  </si>
  <si>
    <t>1979</t>
  </si>
  <si>
    <t>I.S. 291 - BROOKLYN</t>
  </si>
  <si>
    <t>K292</t>
  </si>
  <si>
    <t>301 VERMONT STREET</t>
  </si>
  <si>
    <t>I.S. 292 - BROOKLYN</t>
  </si>
  <si>
    <t xml:space="preserve">19K292         </t>
  </si>
  <si>
    <t>J.H.S. 292 Margaret S. Douglas</t>
  </si>
  <si>
    <t xml:space="preserve">3 </t>
  </si>
  <si>
    <t>J.H.S. 293 - BROOKLYN</t>
  </si>
  <si>
    <t>I.S. 296 - BROOKLYN</t>
  </si>
  <si>
    <t>Evergreen Middle School for Urban Exploration</t>
  </si>
  <si>
    <t>K297</t>
  </si>
  <si>
    <t>700 PARK AVENUE</t>
  </si>
  <si>
    <t>P.S. 297 - BROOKLYN</t>
  </si>
  <si>
    <t xml:space="preserve">14K297         </t>
  </si>
  <si>
    <t>P.S. 297 Abraham Stockton</t>
  </si>
  <si>
    <t>P.S. 298 - BROOKLYN</t>
  </si>
  <si>
    <t>K299</t>
  </si>
  <si>
    <t>88 WOODBINE STREET</t>
  </si>
  <si>
    <t>P.S. 299 - BROOKLYN</t>
  </si>
  <si>
    <t xml:space="preserve">32K299         </t>
  </si>
  <si>
    <t>P.S. 299 Thomas Warren Field</t>
  </si>
  <si>
    <t>I.S. 302 - BROOKLYN</t>
  </si>
  <si>
    <t>I.S. 303 - BROOKLYN</t>
  </si>
  <si>
    <t>K304</t>
  </si>
  <si>
    <t>280 HART STREET</t>
  </si>
  <si>
    <t>P.S. 304 - BROOKLYN</t>
  </si>
  <si>
    <t xml:space="preserve">16K627         </t>
  </si>
  <si>
    <t>K627</t>
  </si>
  <si>
    <t>Brighter Choice Community School</t>
  </si>
  <si>
    <t>P.S. 305 - BROOKLYN</t>
  </si>
  <si>
    <t>Academy of Arts and Letters</t>
  </si>
  <si>
    <t>K306</t>
  </si>
  <si>
    <t>970 VERMONT STREET</t>
  </si>
  <si>
    <t>P.S. 306 - BROOKLYN</t>
  </si>
  <si>
    <t xml:space="preserve">19K306         </t>
  </si>
  <si>
    <t>P.S. 306 Ethan Allen</t>
  </si>
  <si>
    <t>K307</t>
  </si>
  <si>
    <t>209 YORK STREET</t>
  </si>
  <si>
    <t>P.S. 307 - BROOKLYN</t>
  </si>
  <si>
    <t xml:space="preserve">13K307         </t>
  </si>
  <si>
    <t>P.S. 307 Daniel Hale Williams</t>
  </si>
  <si>
    <t>P.S. 308 - BROOKLYN</t>
  </si>
  <si>
    <t>K309</t>
  </si>
  <si>
    <t>794 MONROE STREET</t>
  </si>
  <si>
    <t>P.S. 309 - BROOKLYN</t>
  </si>
  <si>
    <t xml:space="preserve">16K309         </t>
  </si>
  <si>
    <t>P.S. 309 The George E. Wibecan Preparatory Academy</t>
  </si>
  <si>
    <t>PS 310 THE SCHOOL FOR FUTURE LEADERS - BROOKLYN</t>
  </si>
  <si>
    <t>P.S. 312 - BROOKLYN</t>
  </si>
  <si>
    <t>ADAMS STREET EDUCATIONAL CAMPUS - K</t>
  </si>
  <si>
    <t>2008</t>
  </si>
  <si>
    <t>P.S. 314 - BROOKLYN</t>
  </si>
  <si>
    <t>1982</t>
  </si>
  <si>
    <t>P.S. 316 - BROOKLYN</t>
  </si>
  <si>
    <t>Elijah Stroud Middle School</t>
  </si>
  <si>
    <t>P.S. 316 Elijah Stroud</t>
  </si>
  <si>
    <t>P.S. 133 WILLIAM A. BUTLER - BROOKLYN</t>
  </si>
  <si>
    <t>2013</t>
  </si>
  <si>
    <t>I.S. 318 - BROOKLYN</t>
  </si>
  <si>
    <t>P.S. 319 - BROOKLYN</t>
  </si>
  <si>
    <t>PK,0K,01,SE</t>
  </si>
  <si>
    <t>K320</t>
  </si>
  <si>
    <t>46 MCKEEVER PLACE</t>
  </si>
  <si>
    <t>P.S. 375 - BROOKLYN</t>
  </si>
  <si>
    <t xml:space="preserve">17K352         </t>
  </si>
  <si>
    <t>K352</t>
  </si>
  <si>
    <t>Ebbets Field Middle School</t>
  </si>
  <si>
    <t xml:space="preserve">17K375         </t>
  </si>
  <si>
    <t>K375</t>
  </si>
  <si>
    <t>P.S. 375 Jackie Robinson School</t>
  </si>
  <si>
    <t>P.S. 321 - BROOKLYN</t>
  </si>
  <si>
    <t>I.S. 324 - BROOKLYN</t>
  </si>
  <si>
    <t>1977</t>
  </si>
  <si>
    <t>05,06,07,08,09</t>
  </si>
  <si>
    <t>P.S. 327 (TANDEM K396-D75)-K</t>
  </si>
  <si>
    <t>K328</t>
  </si>
  <si>
    <t>330 ALABAMA AVENUE</t>
  </si>
  <si>
    <t>P.S. 328 - BROOKLYN</t>
  </si>
  <si>
    <t xml:space="preserve">19K328         </t>
  </si>
  <si>
    <t>P.S. 328 Phyllis Wheatley</t>
  </si>
  <si>
    <t xml:space="preserve">84K769         </t>
  </si>
  <si>
    <t>K769</t>
  </si>
  <si>
    <t>Hyde Leadership Charter School - Brooklyn</t>
  </si>
  <si>
    <t>P.S. 329 - BROOKLYN</t>
  </si>
  <si>
    <t>1974</t>
  </si>
  <si>
    <t>7002 4TH AVENUE</t>
  </si>
  <si>
    <t>P.S./I.S.30 MARY WHITE OVINGTON - BROOKLYN</t>
  </si>
  <si>
    <t>P.S. 332 - BROOKLYN</t>
  </si>
  <si>
    <t>4222 4th Avenue</t>
  </si>
  <si>
    <t>P.S. 516 SUNSET PARK AVENUES ELEMENTARY SCHOOL - B</t>
  </si>
  <si>
    <t>Sunset Park Avenues Elementary School</t>
  </si>
  <si>
    <t>P.S. 335 - BROOKLYN</t>
  </si>
  <si>
    <t>P.S. 338 - Brooklyn</t>
  </si>
  <si>
    <t>2017</t>
  </si>
  <si>
    <t>P.S. 345 - BROOKLYN</t>
  </si>
  <si>
    <t>P.S. 345 Patrolman Robert Bolden</t>
  </si>
  <si>
    <t>P.S. 346 - BROOKLYN</t>
  </si>
  <si>
    <t>11239</t>
  </si>
  <si>
    <t>P.S. 156 - BROOKLYN</t>
  </si>
  <si>
    <t>K364</t>
  </si>
  <si>
    <t>1426 FREEPORT LOOP</t>
  </si>
  <si>
    <t>I.S. 364 - BROOKLYN</t>
  </si>
  <si>
    <t>1973</t>
  </si>
  <si>
    <t xml:space="preserve">19K364         </t>
  </si>
  <si>
    <t>I.S. 364 Gateway</t>
  </si>
  <si>
    <t>965 EAST 107TH STREET</t>
  </si>
  <si>
    <t>SHIRLEY CHISHOLM CAMPUS - K</t>
  </si>
  <si>
    <t>383 STATE STREET</t>
  </si>
  <si>
    <t>P.S. 369 (COY COX SCHOOL)-K</t>
  </si>
  <si>
    <t>P.S. 370 - BROOKLYN</t>
  </si>
  <si>
    <t>355 37 STREET</t>
  </si>
  <si>
    <t>P.S. 371 (OLD 615) - BROOKLYN</t>
  </si>
  <si>
    <t>P.S. 376A - BROOKLYN</t>
  </si>
  <si>
    <t>P.S. 377 - BROOKLYN</t>
  </si>
  <si>
    <t>P.S. 380 - BROOKLYN</t>
  </si>
  <si>
    <t>1981</t>
  </si>
  <si>
    <t>I.S. 383 - BROOKLYN</t>
  </si>
  <si>
    <t>05,06,07,08,SE</t>
  </si>
  <si>
    <t>P.S. 384 - BROOKLYN</t>
  </si>
  <si>
    <t>I.S. 390 - BROOKLYN</t>
  </si>
  <si>
    <t>1984</t>
  </si>
  <si>
    <t>The School of Integrated Learning</t>
  </si>
  <si>
    <t>KIPP Always Mentally Prepared Charter School</t>
  </si>
  <si>
    <t>I.S. 391 - BROOKLYN</t>
  </si>
  <si>
    <t>1976</t>
  </si>
  <si>
    <t>P.S./I.S. 395 - BROOKLYN</t>
  </si>
  <si>
    <t>2004</t>
  </si>
  <si>
    <t>P.S. 396 (TANDEM K327-D23)-K</t>
  </si>
  <si>
    <t>P.S. 397 - BROOKLYN</t>
  </si>
  <si>
    <t>P.S. 398 (UDC) - BROOKLYN</t>
  </si>
  <si>
    <t>P.S. 399 - BROOKLYN</t>
  </si>
  <si>
    <t>Lafayette Educational Campus</t>
  </si>
  <si>
    <t>2839 BEDFORD AVENUE</t>
  </si>
  <si>
    <t>MIDWOOD HS - K</t>
  </si>
  <si>
    <t>Midwood High School</t>
  </si>
  <si>
    <t>ABRAHAM LINCOLN HS - K</t>
  </si>
  <si>
    <t>SAMUEL J. TILDEN EDUCATIONAL CAMPUS - K</t>
  </si>
  <si>
    <t>FRANKLIN K. LANE HS - K</t>
  </si>
  <si>
    <t>SPRING CREEK EDUCATIONAL CAMPUS - BROOKLYN</t>
  </si>
  <si>
    <t>JAMES MADISON HS - K</t>
  </si>
  <si>
    <t>BROOKLYN TECH HS - K</t>
  </si>
  <si>
    <t>CROWN HEIGHTS CHARTER SCHOOLS - BROOKLYN</t>
  </si>
  <si>
    <t>2010</t>
  </si>
  <si>
    <t>K435</t>
  </si>
  <si>
    <t>400 PENNSYLVANIA AVENUE</t>
  </si>
  <si>
    <t>THOMAS JEFFERSON HS - K</t>
  </si>
  <si>
    <t xml:space="preserve">19K510         </t>
  </si>
  <si>
    <t>K510</t>
  </si>
  <si>
    <t>World Academy for Total Community Health High School</t>
  </si>
  <si>
    <t xml:space="preserve">19K502         </t>
  </si>
  <si>
    <t>K502</t>
  </si>
  <si>
    <t>FDNY - Captain Vernon A. Richard High School for Fire and Life Safety</t>
  </si>
  <si>
    <t xml:space="preserve">19K504         </t>
  </si>
  <si>
    <t>K504</t>
  </si>
  <si>
    <t>High School for Civil Rights</t>
  </si>
  <si>
    <t xml:space="preserve">19K507         </t>
  </si>
  <si>
    <t>K507</t>
  </si>
  <si>
    <t>Performing Arts and Technology High School</t>
  </si>
  <si>
    <t>P.S./I.S. 437 - BROOKLYN</t>
  </si>
  <si>
    <t>2015</t>
  </si>
  <si>
    <t>PROSPECT HEIGHTS HS - K</t>
  </si>
  <si>
    <t>NEW UTRECHT HS - K</t>
  </si>
  <si>
    <t>GRAND STREET CAMPUS (OLD E.D.HS)- K</t>
  </si>
  <si>
    <t>K453</t>
  </si>
  <si>
    <t>8501 5TH AVENUE</t>
  </si>
  <si>
    <t>PRE-K CENTER @8501 5TH AVENUE - BROOKLYN</t>
  </si>
  <si>
    <t xml:space="preserve">20K768         </t>
  </si>
  <si>
    <t>K768</t>
  </si>
  <si>
    <t>District 20 Pre-K Center</t>
  </si>
  <si>
    <t>BOYS &amp; GIRLS HS - K</t>
  </si>
  <si>
    <t>BOYS HS (OLD) - K</t>
  </si>
  <si>
    <t>1891</t>
  </si>
  <si>
    <t>10,11,12,SE</t>
  </si>
  <si>
    <t>John Jay Educational Campus</t>
  </si>
  <si>
    <t>ERASMUS HALL CAMPUS - K</t>
  </si>
  <si>
    <t>GEORGE W. WINGATE HS - K</t>
  </si>
  <si>
    <t xml:space="preserve">17K531         </t>
  </si>
  <si>
    <t>K531</t>
  </si>
  <si>
    <t>School for Human Rights, The</t>
  </si>
  <si>
    <t>High School for Public Service: Heroes of Tomorrow</t>
  </si>
  <si>
    <t>Brooklyn Institute for Liberal Arts</t>
  </si>
  <si>
    <t>BUSHWICK EDUCATIONAL CAMPUS - K</t>
  </si>
  <si>
    <t>TELECOM. ARTS &amp; TECH. - K</t>
  </si>
  <si>
    <t>K486</t>
  </si>
  <si>
    <t>1171 65 STREET</t>
  </si>
  <si>
    <t>I.S. 187 - BROOKLYN</t>
  </si>
  <si>
    <t xml:space="preserve">20K187         </t>
  </si>
  <si>
    <t>K187</t>
  </si>
  <si>
    <t xml:space="preserve">The Christa McAuliffe School\I.S. 187 </t>
  </si>
  <si>
    <t xml:space="preserve">FORT HAMILTON HS - K              </t>
  </si>
  <si>
    <t>1941</t>
  </si>
  <si>
    <t>K491</t>
  </si>
  <si>
    <t>2165 71st Street</t>
  </si>
  <si>
    <t>PRE-K CENTER @ 2165 71ST STREET - BROOKLYN</t>
  </si>
  <si>
    <t>Frank J. Macchiarola Educational Complex</t>
  </si>
  <si>
    <t>0K,01,06,08,SE</t>
  </si>
  <si>
    <t>Success Academy Charter School - Fort Greene</t>
  </si>
  <si>
    <t xml:space="preserve">84K739         </t>
  </si>
  <si>
    <t>10,11,12</t>
  </si>
  <si>
    <t>CANARSIE HS - K</t>
  </si>
  <si>
    <t>Urban Action Academy</t>
  </si>
  <si>
    <t>High School for Innovation in Advertising and Media</t>
  </si>
  <si>
    <t>High School for Medical Professions</t>
  </si>
  <si>
    <t>K505</t>
  </si>
  <si>
    <t>5800 20 AVENUE</t>
  </si>
  <si>
    <t>FRANKLIN D. ROOSEVELT HS - K</t>
  </si>
  <si>
    <t xml:space="preserve">20K505         </t>
  </si>
  <si>
    <t>Franklin Delano Roosevelt High School</t>
  </si>
  <si>
    <t>SOUTH SHORE EDUCATIONAL CAMPUS - K</t>
  </si>
  <si>
    <t>K520</t>
  </si>
  <si>
    <t>112 SCHERMERHORN STREET</t>
  </si>
  <si>
    <t>PACIFIC ALT HS - K</t>
  </si>
  <si>
    <t>1920</t>
  </si>
  <si>
    <t xml:space="preserve">15K423         </t>
  </si>
  <si>
    <t>K423</t>
  </si>
  <si>
    <t>Brooklyn Frontiers High School</t>
  </si>
  <si>
    <t>1057 52 Street</t>
  </si>
  <si>
    <t>P.S. 160 ANNEX - BROOKLYN</t>
  </si>
  <si>
    <t>EDWARD R. MURROW HS - K</t>
  </si>
  <si>
    <t>2421 WEST STREET</t>
  </si>
  <si>
    <t>P.S. 216 ANNEX- BROOKLYN</t>
  </si>
  <si>
    <t>LEON GOLDSTEIN HS - BROOKLYN</t>
  </si>
  <si>
    <t>K540</t>
  </si>
  <si>
    <t>50 AVENUE X</t>
  </si>
  <si>
    <t>JOHN DEWEY HS - K</t>
  </si>
  <si>
    <t xml:space="preserve">21K540         </t>
  </si>
  <si>
    <t>John Dewey High School</t>
  </si>
  <si>
    <t>ALL CITY LEADERSHIP SECONDARY SCHOOL - BROOKLYN</t>
  </si>
  <si>
    <t>2900 Bedford Avenue</t>
  </si>
  <si>
    <t>BKLYN COLL ACAD (AT BKLYN COLL)-K</t>
  </si>
  <si>
    <t>Miscellaneous</t>
  </si>
  <si>
    <t>4308 4th Avenue</t>
  </si>
  <si>
    <t>2023</t>
  </si>
  <si>
    <t>K560</t>
  </si>
  <si>
    <t>550 59 Street</t>
  </si>
  <si>
    <t>PRE-K CENTER @ 550 59 STREET - BROOKLYN</t>
  </si>
  <si>
    <t>SUNSET PARK HS - BROOKLYN</t>
  </si>
  <si>
    <t>GEORGE WESTINGHOUSE VOC HS - K</t>
  </si>
  <si>
    <t>MIDDLE COLLEGE HS - BROOKLYN</t>
  </si>
  <si>
    <t>2000</t>
  </si>
  <si>
    <t>K597</t>
  </si>
  <si>
    <t>2202 60th Street</t>
  </si>
  <si>
    <t>EDUCATIONAL CAMPUS @ 2202 60TH STREET</t>
  </si>
  <si>
    <t xml:space="preserve">21K840         </t>
  </si>
  <si>
    <t>K840</t>
  </si>
  <si>
    <t>Brooklyn's Daily Discovery Pre-K Center</t>
  </si>
  <si>
    <t>K599 – East New York</t>
  </si>
  <si>
    <t>2021</t>
  </si>
  <si>
    <t>CLARA BARTON HS - K</t>
  </si>
  <si>
    <t>AUTOMOTIVE TRADES VOC HS - K</t>
  </si>
  <si>
    <t>DOCK ST CAMPUS - BROOKLYN</t>
  </si>
  <si>
    <t>2016</t>
  </si>
  <si>
    <t>25 DOCK STREET</t>
  </si>
  <si>
    <t xml:space="preserve">13K869         </t>
  </si>
  <si>
    <t>K869</t>
  </si>
  <si>
    <t>District 13 PRE-K Center</t>
  </si>
  <si>
    <t>K613</t>
  </si>
  <si>
    <t>369 93rd Street</t>
  </si>
  <si>
    <t>PRE-K CENTER @93RD STREET - BROOKLYN</t>
  </si>
  <si>
    <t>2018</t>
  </si>
  <si>
    <t>E NY VOC HS OF TRANSIT TECH.-K</t>
  </si>
  <si>
    <t>25 Brighton  4th Road</t>
  </si>
  <si>
    <t>WILLIAM E. GRADY VOC HS - K</t>
  </si>
  <si>
    <t>ROBESON HS COMP&amp;BUS TC (A HML)-K</t>
  </si>
  <si>
    <t>HARRY VANARSDALE VOC H (WHITNEY)-K</t>
  </si>
  <si>
    <t>BKLYN HS OF THE ARTS (OL S J HL)-K</t>
  </si>
  <si>
    <t>500 Pacific Street</t>
  </si>
  <si>
    <t>BKLYN HS OF THE ARTS AX (S J HL)-K</t>
  </si>
  <si>
    <t>WILLIAM MAXWELL CTE HS - K</t>
  </si>
  <si>
    <t>219 25 Street</t>
  </si>
  <si>
    <t>PRE-K CENTER @25TH STREET - BROOKLYN</t>
  </si>
  <si>
    <t>K767</t>
  </si>
  <si>
    <t>The Little Brooklyn Pre-K Center</t>
  </si>
  <si>
    <t>385 Avenue W</t>
  </si>
  <si>
    <t>PRE-K CENTER @AVENUE W - BROOKLYN</t>
  </si>
  <si>
    <t>140 58th Street</t>
  </si>
  <si>
    <t>PRE-K CENTER @ 58TH STREET - BROOKLYN</t>
  </si>
  <si>
    <t>District 19 S.T.E.M. Academies</t>
  </si>
  <si>
    <t>2020</t>
  </si>
  <si>
    <t>PK,0K,01,02,03,SE</t>
  </si>
  <si>
    <t>836-841 5th Avenue</t>
  </si>
  <si>
    <t>P.S. @ 836-841 5TH AVENUE - BROOKLYN</t>
  </si>
  <si>
    <t>2022</t>
  </si>
  <si>
    <t>K673</t>
  </si>
  <si>
    <t>P.S. 18 GYM ANNEX - BROOKLYN</t>
  </si>
  <si>
    <t>2019</t>
  </si>
  <si>
    <t>139 MENAHAN STREET</t>
  </si>
  <si>
    <t>P.S. 677 - BROOKLYN</t>
  </si>
  <si>
    <t xml:space="preserve">84K882         </t>
  </si>
  <si>
    <t>K882</t>
  </si>
  <si>
    <t>Success Academy Charter School - Bushwick</t>
  </si>
  <si>
    <t>1423 62 Street</t>
  </si>
  <si>
    <t>PRE-K CENTER @62 STREET - BROOKLYN</t>
  </si>
  <si>
    <t>736 48TH STREET</t>
  </si>
  <si>
    <t>P.S. @ 736 48 STREET - BROOKLYN</t>
  </si>
  <si>
    <t>No Information Available</t>
  </si>
  <si>
    <t>2815 West   35 Street</t>
  </si>
  <si>
    <t>P.S. 188 GYM - BROOKLYN</t>
  </si>
  <si>
    <t>2014</t>
  </si>
  <si>
    <t>K687</t>
  </si>
  <si>
    <t>10 BOUCK COURT</t>
  </si>
  <si>
    <t>PRE-K CENTER @BOUCK COURT - BROOKLYN</t>
  </si>
  <si>
    <t>K692</t>
  </si>
  <si>
    <t>305-307 THIRD AVENUE</t>
  </si>
  <si>
    <t>PRE-K CENTER @THIRD AVENUE - BROOKLYN</t>
  </si>
  <si>
    <t>K695</t>
  </si>
  <si>
    <t>1258 65th Street</t>
  </si>
  <si>
    <t>PRE-K CENTER @ 1258 65TH STREET - BROOKLYN</t>
  </si>
  <si>
    <t>2886 Bedford Avenue</t>
  </si>
  <si>
    <t>MIDWOOD HS ADDITION - BROOKLYN</t>
  </si>
  <si>
    <t>Modular</t>
  </si>
  <si>
    <t>8310 21ST AVENUE</t>
  </si>
  <si>
    <t>BROOKLYN STUDIO  (TANDEM K128) - K</t>
  </si>
  <si>
    <t>Brooklyn Studio Secondary School</t>
  </si>
  <si>
    <t>P.S. 721 OTC - BROOKLYN</t>
  </si>
  <si>
    <t>2865 West 19th Street</t>
  </si>
  <si>
    <t>LIBERATION DIPLOMA PLUS H.S. - K</t>
  </si>
  <si>
    <t>Liberation Diploma Plus</t>
  </si>
  <si>
    <t>K729</t>
  </si>
  <si>
    <t>3874 Flatlands Avenue</t>
  </si>
  <si>
    <t>P.S. 207 ANNEX - BROOKLYN</t>
  </si>
  <si>
    <t>4513 8 Avenue</t>
  </si>
  <si>
    <t>K735</t>
  </si>
  <si>
    <t>249 EAST 17TH STREET</t>
  </si>
  <si>
    <t>P.S. 245 - BROOKLYN</t>
  </si>
  <si>
    <t xml:space="preserve">22K245         </t>
  </si>
  <si>
    <t>K245</t>
  </si>
  <si>
    <t>P.S. 245</t>
  </si>
  <si>
    <t>270 59th Street</t>
  </si>
  <si>
    <t>P.S. @ 270 59TH STREET- BROOKLYN</t>
  </si>
  <si>
    <t>0K,01,02,03,SE</t>
  </si>
  <si>
    <t>K747</t>
  </si>
  <si>
    <t>21 Bay 11th Street</t>
  </si>
  <si>
    <t>PRE-K CENTER @ 21 BAY 11TH STREET - BROOKLYN</t>
  </si>
  <si>
    <t>424 Albee Square West</t>
  </si>
  <si>
    <t>Albee Square Campus</t>
  </si>
  <si>
    <t>09,SE</t>
  </si>
  <si>
    <t>Design Works High School</t>
  </si>
  <si>
    <t>K749</t>
  </si>
  <si>
    <t>173-177 25TH STREET</t>
  </si>
  <si>
    <t xml:space="preserve">15K767         </t>
  </si>
  <si>
    <t>PRE-K CENTER @UNION STREET - BROOKLYN</t>
  </si>
  <si>
    <t>K762</t>
  </si>
  <si>
    <t>1355 84th Street</t>
  </si>
  <si>
    <t>PRE-K CENTER @1355 84TH STREET - BROOKLYN</t>
  </si>
  <si>
    <t>211 8TH STREET</t>
  </si>
  <si>
    <t>P.S. 118 MAURICE SENDAK COMMUNITY SCHOOL- BROOKLYN</t>
  </si>
  <si>
    <t xml:space="preserve">15K118         </t>
  </si>
  <si>
    <t>K118</t>
  </si>
  <si>
    <t>The Maurice Sendak Community School</t>
  </si>
  <si>
    <t>215 First Street</t>
  </si>
  <si>
    <t>P.S. 372 ANNEX - BROOKLYN</t>
  </si>
  <si>
    <t>1139 Coney Island Avenue</t>
  </si>
  <si>
    <t>PRE-K CENTER @1139 CONEY ISLAND AVENUE - BROOKLYN</t>
  </si>
  <si>
    <t xml:space="preserve">22K853         </t>
  </si>
  <si>
    <t>1668 46th Street</t>
  </si>
  <si>
    <t>PRE-K CENTER @1668 46TH STREET, BROOKLYN, NY 11204</t>
  </si>
  <si>
    <t>7301 15 Avenue</t>
  </si>
  <si>
    <t>P.S. 768 - BROOKLYN</t>
  </si>
  <si>
    <t>1946</t>
  </si>
  <si>
    <t>K776</t>
  </si>
  <si>
    <t>1087 OCEAN AVENUE</t>
  </si>
  <si>
    <t>P.S. 152 ANNEX- BROOKLYN</t>
  </si>
  <si>
    <t>02,04,06,08,09,10,11,12,SE</t>
  </si>
  <si>
    <t>K778</t>
  </si>
  <si>
    <t>250 Hooper Street</t>
  </si>
  <si>
    <t>EL PUENTE HS - BROOKLYN</t>
  </si>
  <si>
    <t xml:space="preserve">14K685         </t>
  </si>
  <si>
    <t>K685</t>
  </si>
  <si>
    <t>El Puente Academy for Peace and Justice</t>
  </si>
  <si>
    <t>1474 Gates Avenue</t>
  </si>
  <si>
    <t>ALL CITY LEADERSHIP SCHOOL - K</t>
  </si>
  <si>
    <t>7415 Fort Hamilton Parkway</t>
  </si>
  <si>
    <t>PRE-K CENTER @FORT HAMILTON PARKWAY - BROOKLYN</t>
  </si>
  <si>
    <t>1053 41st Street</t>
  </si>
  <si>
    <t>WEST BROOKLYN COMMUNITY HS - K</t>
  </si>
  <si>
    <t xml:space="preserve">15K529         </t>
  </si>
  <si>
    <t>K529</t>
  </si>
  <si>
    <t>West Brooklyn Community High School</t>
  </si>
  <si>
    <t>Charter School of Excellence - Brooklyn</t>
  </si>
  <si>
    <t>ACHIEVEMENT FIRST ENDEAVOR CHARTER SCHOOL - K</t>
  </si>
  <si>
    <t>K787</t>
  </si>
  <si>
    <t>1215 Avenue X</t>
  </si>
  <si>
    <t>PRE-K CENTER @1215 AVENUE X - BROOKLYN</t>
  </si>
  <si>
    <t>Cesiah Toro Mullane School</t>
  </si>
  <si>
    <t>K802</t>
  </si>
  <si>
    <t>131 LIVINGSTON STREET</t>
  </si>
  <si>
    <t>CENT HEADQTRS (131 LIV) - K</t>
  </si>
  <si>
    <t>09,10,SE</t>
  </si>
  <si>
    <t>X636</t>
  </si>
  <si>
    <t>Virtual Innovators Academy</t>
  </si>
  <si>
    <t>COBBLE HILL SCL OF AMR STD (OL6)-K</t>
  </si>
  <si>
    <t>0K,09,10,11,12,SE</t>
  </si>
  <si>
    <t>WATER'S EDGE EDUCATIONAL CAMPUS - K</t>
  </si>
  <si>
    <t>K806</t>
  </si>
  <si>
    <t>362 SCHERMERHORN STREET</t>
  </si>
  <si>
    <t xml:space="preserve">METROPOLITAN CORPORATE ACAD. - K  </t>
  </si>
  <si>
    <t>1850</t>
  </si>
  <si>
    <t>Khalil Gibran International Academy</t>
  </si>
  <si>
    <t>109 BAY 14TH STREET</t>
  </si>
  <si>
    <t>P.S./ I.S. 163 - BROOKLYN</t>
  </si>
  <si>
    <t>CYPRESS HILLS COMMUNITY SCHOOL - BROOKLYN</t>
  </si>
  <si>
    <t>SOUTH BROOKLYN COMM. HS - K</t>
  </si>
  <si>
    <t>K830</t>
  </si>
  <si>
    <t>339 8TH STREET</t>
  </si>
  <si>
    <t>P.S. 39 ANNEX (GYM) - BROOKLYN</t>
  </si>
  <si>
    <t>K834</t>
  </si>
  <si>
    <t>512 CARROLL STREET</t>
  </si>
  <si>
    <t>P.S. 372 (OUR LADY OF PEACE)-K</t>
  </si>
  <si>
    <t>P.S. 235 MINISCHOOL - BROOKLYN</t>
  </si>
  <si>
    <t>Mini School</t>
  </si>
  <si>
    <t>1991</t>
  </si>
  <si>
    <t>4001 18 AVENUE</t>
  </si>
  <si>
    <t>P.S. 134 MINISCHOOL - BROOKLYN</t>
  </si>
  <si>
    <t>1983</t>
  </si>
  <si>
    <t>K134</t>
  </si>
  <si>
    <t>P.S. K134</t>
  </si>
  <si>
    <t>P.S. 241 MINISCHOOL - BROOKLYN</t>
  </si>
  <si>
    <t>K845</t>
  </si>
  <si>
    <t>330 18 STREET</t>
  </si>
  <si>
    <t>P.S. 295 - BROOKLYN</t>
  </si>
  <si>
    <t xml:space="preserve">15K443         </t>
  </si>
  <si>
    <t>K443</t>
  </si>
  <si>
    <t>New Voices School of Academic &amp; Creative Arts</t>
  </si>
  <si>
    <t xml:space="preserve">15K295         </t>
  </si>
  <si>
    <t>K295</t>
  </si>
  <si>
    <t>P.S. 295</t>
  </si>
  <si>
    <t>K848</t>
  </si>
  <si>
    <t>373 PENNSYLVANIA AVE</t>
  </si>
  <si>
    <t>P.S. 149 ANNEX - BROOKLYN</t>
  </si>
  <si>
    <t>K849</t>
  </si>
  <si>
    <t>P.S. 134 - BROOKLYN</t>
  </si>
  <si>
    <t xml:space="preserve">22K134         </t>
  </si>
  <si>
    <t>K851</t>
  </si>
  <si>
    <t>P.S. 159 MINISCHOOL - BROOKLYN</t>
  </si>
  <si>
    <t>K852</t>
  </si>
  <si>
    <t>1800 Utica Avenue</t>
  </si>
  <si>
    <t>P.S. 326 - BROOKLYN</t>
  </si>
  <si>
    <t xml:space="preserve">22K326         </t>
  </si>
  <si>
    <t>PK,0K,01,02,SE</t>
  </si>
  <si>
    <t>K326</t>
  </si>
  <si>
    <t>P.S. 326</t>
  </si>
  <si>
    <t>K855</t>
  </si>
  <si>
    <t>5811 DITMAS AVENUE</t>
  </si>
  <si>
    <t>P.S. 135/P.S. 235 ANNEX - K</t>
  </si>
  <si>
    <t>P.S. 36 ANNEX - BROOKLYN</t>
  </si>
  <si>
    <t>K860</t>
  </si>
  <si>
    <t>9517 KINGS HIGHWAY</t>
  </si>
  <si>
    <t>P.S. 219 ANNEX - BROOKLYN</t>
  </si>
  <si>
    <t xml:space="preserve">18K673         </t>
  </si>
  <si>
    <t>East Brooklyn Community High School</t>
  </si>
  <si>
    <t>K864</t>
  </si>
  <si>
    <t>3109 NEWKIRK AVENUE</t>
  </si>
  <si>
    <t>P.S. 361  (OLD 89) - BROOKLYN</t>
  </si>
  <si>
    <t>K866</t>
  </si>
  <si>
    <t>1540 Van Siclen Ave</t>
  </si>
  <si>
    <t>I.S. 364 AX (POOL&amp;GYM)-BROOKLYN</t>
  </si>
  <si>
    <t>1978</t>
  </si>
  <si>
    <t>P.S. 361 MINISCHOOL - BROOKLYN</t>
  </si>
  <si>
    <t>1989</t>
  </si>
  <si>
    <t>K872</t>
  </si>
  <si>
    <t>1461 Geneva Loop</t>
  </si>
  <si>
    <t>I.S. 364 ANNEX - BROOKLYN</t>
  </si>
  <si>
    <t>K874</t>
  </si>
  <si>
    <t>227 Sterling Place</t>
  </si>
  <si>
    <t>I.S. 340 (OLD 249 AX) - BROOKLYN</t>
  </si>
  <si>
    <t>1887</t>
  </si>
  <si>
    <t xml:space="preserve">17K340         </t>
  </si>
  <si>
    <t>K340</t>
  </si>
  <si>
    <t>I.S. 340</t>
  </si>
  <si>
    <t>K875</t>
  </si>
  <si>
    <t>P.S. 75 MINISCHOOL - BROOKLYN</t>
  </si>
  <si>
    <t>1971</t>
  </si>
  <si>
    <t>P.S. 274 MINISCHOOL - BROOKLYN</t>
  </si>
  <si>
    <t>P.S. 369 AX-(OL 396X/FLTB TN HL)-K</t>
  </si>
  <si>
    <t>1875</t>
  </si>
  <si>
    <t>309 47 Street</t>
  </si>
  <si>
    <t>P.S. 1 MINISCHOOL - BROOKLYN</t>
  </si>
  <si>
    <t>K884</t>
  </si>
  <si>
    <t>15 Snyder Avenue</t>
  </si>
  <si>
    <t>EXPLORE CHARTER - K</t>
  </si>
  <si>
    <t xml:space="preserve">84K886         </t>
  </si>
  <si>
    <t>K886</t>
  </si>
  <si>
    <t>Success Academy Charter School - Flatbush</t>
  </si>
  <si>
    <t>P.S. 189 MINISCHOOL - BROOKLYN</t>
  </si>
  <si>
    <t>K891</t>
  </si>
  <si>
    <t>P.S. 91 MINISCHOOL - BROOKLYN</t>
  </si>
  <si>
    <t>P.S. 221 MINISCHOOL - BROOKLYN</t>
  </si>
  <si>
    <t>P.S. 321 MINISCHOOL - BROOKLYN</t>
  </si>
  <si>
    <t>K902</t>
  </si>
  <si>
    <t>62 PARK PLACE</t>
  </si>
  <si>
    <t>P.S. 77 ANNEX - BROOKLYN</t>
  </si>
  <si>
    <t xml:space="preserve">13K266         </t>
  </si>
  <si>
    <t>K266</t>
  </si>
  <si>
    <t>M.S. K266 - Park Place Community Middle School</t>
  </si>
  <si>
    <t>BROWNSVILLE DIPLOMA PLUS HS - K</t>
  </si>
  <si>
    <t xml:space="preserve">84K395         </t>
  </si>
  <si>
    <t>425 Mcdonald Avenue</t>
  </si>
  <si>
    <t>P.S. 230 ANNEX - BROOKLYN</t>
  </si>
  <si>
    <t>ACORN COMMUNITY HS - K</t>
  </si>
  <si>
    <t>EBC HS FOR PUBLIC SERV.-BUSHWICK-K</t>
  </si>
  <si>
    <t>BENJAMIN BANNEKER ACADEMY-BROOKLYN</t>
  </si>
  <si>
    <t>BKLYN COLL ACAD (BRIDGES TO K)-K</t>
  </si>
  <si>
    <t>K934</t>
  </si>
  <si>
    <t>FORT HAMILTON HS MODULAR UNIT - K</t>
  </si>
  <si>
    <t>K940</t>
  </si>
  <si>
    <t>415 OVINGTON AVENUE</t>
  </si>
  <si>
    <t>I.S. 30 - BROOKLYN</t>
  </si>
  <si>
    <t>6214 4TH AVENUE</t>
  </si>
  <si>
    <t>P.S. 971 - BROOKLYN</t>
  </si>
  <si>
    <t>BROOKLYN HIGH SCHOOL FOR LAW AND TECHNOLOGY-K</t>
  </si>
  <si>
    <t>K989</t>
  </si>
  <si>
    <t>415 89 STREET</t>
  </si>
  <si>
    <t>P.S. 104/P.S. 185 ANNEX-K</t>
  </si>
  <si>
    <t>Pave Academy Charter School - Brooklyn</t>
  </si>
  <si>
    <t>Bedford Academy - Brooklyn</t>
  </si>
  <si>
    <t>L001</t>
  </si>
  <si>
    <t>525 CONVENT ROAD</t>
  </si>
  <si>
    <t>P.S. 256 AX @ ST MARY FAM SERV-Q-S</t>
  </si>
  <si>
    <t>SYOSSET</t>
  </si>
  <si>
    <t>00</t>
  </si>
  <si>
    <t>11791</t>
  </si>
  <si>
    <t>L002</t>
  </si>
  <si>
    <t>P.S. 256 ANNEX (GYM)- Q - SYOSSET</t>
  </si>
  <si>
    <t xml:space="preserve">    </t>
  </si>
  <si>
    <t>P.S. 1 - MANHATTAN</t>
  </si>
  <si>
    <t>MANHATTAN</t>
  </si>
  <si>
    <t>1898</t>
  </si>
  <si>
    <t>10038</t>
  </si>
  <si>
    <t>COMMUNITY SCHOOL DISTRICT 02</t>
  </si>
  <si>
    <t>P.S. 001 Alfred E. Smith</t>
  </si>
  <si>
    <t>P.S. 2 - MANHATTAN</t>
  </si>
  <si>
    <t>10002</t>
  </si>
  <si>
    <t>M003</t>
  </si>
  <si>
    <t>490 HUDSON STREET</t>
  </si>
  <si>
    <t>P.S. 3 - MANHATTAN</t>
  </si>
  <si>
    <t>10014</t>
  </si>
  <si>
    <t xml:space="preserve">02M003         </t>
  </si>
  <si>
    <t>P.S. 003 Charrette School</t>
  </si>
  <si>
    <t>P.S. 4 - MANHATTAN</t>
  </si>
  <si>
    <t>1995</t>
  </si>
  <si>
    <t>10032</t>
  </si>
  <si>
    <t>COMMUNITY SCHOOL DISTRICT 06</t>
  </si>
  <si>
    <t>P.S. 5 - MANHATTAN</t>
  </si>
  <si>
    <t>10034</t>
  </si>
  <si>
    <t>P.S. 6 - MANHATTAN</t>
  </si>
  <si>
    <t>10028</t>
  </si>
  <si>
    <t>P.S. 006 Lillie D. Blake</t>
  </si>
  <si>
    <t>P.S. 7 - MANHATTAN</t>
  </si>
  <si>
    <t>10035</t>
  </si>
  <si>
    <t>COMMUNITY SCHOOL DISTRICT 04</t>
  </si>
  <si>
    <t>P.S. 8 - MANHATTAN</t>
  </si>
  <si>
    <t>P.S. 9 - MANHATTAN</t>
  </si>
  <si>
    <t>10024</t>
  </si>
  <si>
    <t>COMMUNITY SCHOOL DISTRICT 03</t>
  </si>
  <si>
    <t>2581 7TH AVENUE</t>
  </si>
  <si>
    <t>I.S. 10 (TANDEM M200) - MANHATTAN</t>
  </si>
  <si>
    <t>10039</t>
  </si>
  <si>
    <t>COMMUNITY SCHOOL DISTRICT 05</t>
  </si>
  <si>
    <t>P.S. 11 - MANHATTAN</t>
  </si>
  <si>
    <t>10011</t>
  </si>
  <si>
    <t>P.S. 011: The Sarah J. Garnet Elementary School</t>
  </si>
  <si>
    <t>I.S. 13 - MANHATTAN</t>
  </si>
  <si>
    <t>10029</t>
  </si>
  <si>
    <t>Central Park East High School</t>
  </si>
  <si>
    <t>Central Park East I</t>
  </si>
  <si>
    <t>East Harlem Scholars Academy Charter School II</t>
  </si>
  <si>
    <t>P.S. 15 - MANHATTAN</t>
  </si>
  <si>
    <t>10009</t>
  </si>
  <si>
    <t>COMMUNITY SCHOOL DISTRICT 01</t>
  </si>
  <si>
    <t>M017</t>
  </si>
  <si>
    <t>328 WEST  48 STREET</t>
  </si>
  <si>
    <t>I.S. 17 - MANHATTAN</t>
  </si>
  <si>
    <t>10036</t>
  </si>
  <si>
    <t xml:space="preserve">02M408         </t>
  </si>
  <si>
    <t>M408</t>
  </si>
  <si>
    <t>Professional Performing Arts High School</t>
  </si>
  <si>
    <t xml:space="preserve">02M212         </t>
  </si>
  <si>
    <t>PK,0K,01,02,03,04,05</t>
  </si>
  <si>
    <t>M212</t>
  </si>
  <si>
    <t>P.S. 212 Midtown West</t>
  </si>
  <si>
    <t>M019</t>
  </si>
  <si>
    <t>185 1 AVENUE</t>
  </si>
  <si>
    <t>P.S. 19 - MANHATTAN</t>
  </si>
  <si>
    <t>10003</t>
  </si>
  <si>
    <t xml:space="preserve">01M315         </t>
  </si>
  <si>
    <t>M315</t>
  </si>
  <si>
    <t>The East Village Community School</t>
  </si>
  <si>
    <t>P.S. 20 - MANHATTAN</t>
  </si>
  <si>
    <t>M022</t>
  </si>
  <si>
    <t>111 COLUMBIA STREET</t>
  </si>
  <si>
    <t>N.E.S.T (OLD J22) - MANHATTAN</t>
  </si>
  <si>
    <t xml:space="preserve">01M539         </t>
  </si>
  <si>
    <t>M539</t>
  </si>
  <si>
    <t>New Explorations into Science, Technology and Math High School</t>
  </si>
  <si>
    <t>J.H.S. 25 - MANHATTAN</t>
  </si>
  <si>
    <t>P.S. 28 - MANHATTAN</t>
  </si>
  <si>
    <t>P.S. 028 Wright Brothers</t>
  </si>
  <si>
    <t>P.S. 30 - MANHATTAN</t>
  </si>
  <si>
    <t>0K,01,02,03,04,SE</t>
  </si>
  <si>
    <t>P.S. 33 - MANHATTAN</t>
  </si>
  <si>
    <t>10001</t>
  </si>
  <si>
    <t>P.S. 34 - MANHATTAN</t>
  </si>
  <si>
    <t>P.S. 36 - MANHATTAN</t>
  </si>
  <si>
    <t>10027</t>
  </si>
  <si>
    <t>M040</t>
  </si>
  <si>
    <t>320 EAST 20TH STREET</t>
  </si>
  <si>
    <t>P.S. 40 - MANHATTAN</t>
  </si>
  <si>
    <t>1899</t>
  </si>
  <si>
    <t xml:space="preserve">02M255         </t>
  </si>
  <si>
    <t>M255</t>
  </si>
  <si>
    <t>M.S. 255 Salk School of Science</t>
  </si>
  <si>
    <t xml:space="preserve">02M040         </t>
  </si>
  <si>
    <t>P.S. 040 Augustus Saint-Gaudens</t>
  </si>
  <si>
    <t>M041</t>
  </si>
  <si>
    <t>116 WEST  11 STREET</t>
  </si>
  <si>
    <t>P.S. 41 - MANHATTAN</t>
  </si>
  <si>
    <t xml:space="preserve">02M041         </t>
  </si>
  <si>
    <t>P.S. 041 Greenwich Village</t>
  </si>
  <si>
    <t>M042</t>
  </si>
  <si>
    <t>71 HESTER STREET</t>
  </si>
  <si>
    <t>P.S. 42 - MANHATTAN</t>
  </si>
  <si>
    <t xml:space="preserve">02M042         </t>
  </si>
  <si>
    <t>P.S. 042 Benjamin Altman</t>
  </si>
  <si>
    <t>I.S. 172 (OLD 43) - MANHATTAN</t>
  </si>
  <si>
    <t>1936</t>
  </si>
  <si>
    <t>Urban Assembly School for the Performing Arts</t>
  </si>
  <si>
    <t>0K,01,02,03,04,05,06,07,08,09,10,11,SE</t>
  </si>
  <si>
    <t>Success Academy Charter School - Bronx 3</t>
  </si>
  <si>
    <t>Urban Assembly Academy for Future Leaders</t>
  </si>
  <si>
    <t>I.S. 44 - MANHATTAN</t>
  </si>
  <si>
    <t>M045</t>
  </si>
  <si>
    <t>2351 FIRST AVENUE</t>
  </si>
  <si>
    <t>I.S. 45 - MANHATTAN</t>
  </si>
  <si>
    <t xml:space="preserve">04M037         </t>
  </si>
  <si>
    <t>M037</t>
  </si>
  <si>
    <t>River East Elementary</t>
  </si>
  <si>
    <t xml:space="preserve">84M335         </t>
  </si>
  <si>
    <t>PK,0K,01,02,03,04,05,06,07,08,09,10,11,12</t>
  </si>
  <si>
    <t>M335</t>
  </si>
  <si>
    <t>Harlem Village Academy East Charter School</t>
  </si>
  <si>
    <t>M046</t>
  </si>
  <si>
    <t>2987 FREDERICK DOUGLASS BOULEVARD</t>
  </si>
  <si>
    <t>P.S. 46 - MANHATTAN</t>
  </si>
  <si>
    <t xml:space="preserve">05M046         </t>
  </si>
  <si>
    <t>P.S. 046 Arthur Tappan</t>
  </si>
  <si>
    <t>J.H.S. 47 (SCH FOR THE DEAF) - M</t>
  </si>
  <si>
    <t>10010</t>
  </si>
  <si>
    <t>P.S. 48 - MANHATTAN</t>
  </si>
  <si>
    <t>10033</t>
  </si>
  <si>
    <t>P.S. 50 (UDC) - MANHATTAN</t>
  </si>
  <si>
    <t>0K,01,02,03,04,05,06,08,09,10,12,SE</t>
  </si>
  <si>
    <t>DREAM Charter School East Harlem</t>
  </si>
  <si>
    <t>I.S. 52 - MANHATTAN</t>
  </si>
  <si>
    <t>Inwood Early College for Health and Information Technologies</t>
  </si>
  <si>
    <t>Harold O. Levy School</t>
  </si>
  <si>
    <t>High School for Excellence and Innovation</t>
  </si>
  <si>
    <t>103 WEST 107 STREET</t>
  </si>
  <si>
    <t>I.S. 54 - MANHATTAN</t>
  </si>
  <si>
    <t>10025</t>
  </si>
  <si>
    <t>J.H.S. 054 Booker T. Washington</t>
  </si>
  <si>
    <t>J.H.S. 56 - MANHATTAN</t>
  </si>
  <si>
    <t>01,02,03,04,05</t>
  </si>
  <si>
    <t>M057</t>
  </si>
  <si>
    <t>176 EAST 115 STREET</t>
  </si>
  <si>
    <t>P.S. 57 - MANHATTAN</t>
  </si>
  <si>
    <t xml:space="preserve">04M057         </t>
  </si>
  <si>
    <t>James Weldon Johnson</t>
  </si>
  <si>
    <t>M058</t>
  </si>
  <si>
    <t>317 WEST  52ND STREET</t>
  </si>
  <si>
    <t>P.S. 35 (OLD 58/MNHT HS) - M</t>
  </si>
  <si>
    <t>10019</t>
  </si>
  <si>
    <t>05,06,07,08,09,10,11,12,SE</t>
  </si>
  <si>
    <t>J.H.S. 60 - MANHATTAN</t>
  </si>
  <si>
    <t xml:space="preserve">84M330         </t>
  </si>
  <si>
    <t>01,02,03,04,05,06,07,08,09,10,SE</t>
  </si>
  <si>
    <t>M061</t>
  </si>
  <si>
    <t>610 EAST  12 STREET</t>
  </si>
  <si>
    <t>P.S. 61 - MANHATTAN</t>
  </si>
  <si>
    <t xml:space="preserve">01M361         </t>
  </si>
  <si>
    <t>M361</t>
  </si>
  <si>
    <t>The Children's Workshop School</t>
  </si>
  <si>
    <t>P.S. 63 - MANHATTAN</t>
  </si>
  <si>
    <t>The STAR Academy - P.S.63</t>
  </si>
  <si>
    <t>Neighborhood School</t>
  </si>
  <si>
    <t>M064</t>
  </si>
  <si>
    <t>600 EAST  6 STREET</t>
  </si>
  <si>
    <t>P.S. 64 (OLD 71) - MANHATTAN</t>
  </si>
  <si>
    <t xml:space="preserve">01M364         </t>
  </si>
  <si>
    <t>M364</t>
  </si>
  <si>
    <t>Earth School</t>
  </si>
  <si>
    <t xml:space="preserve">01M064         </t>
  </si>
  <si>
    <t>P.S. 064 Robert Simon</t>
  </si>
  <si>
    <t xml:space="preserve">01M839         </t>
  </si>
  <si>
    <t>M839</t>
  </si>
  <si>
    <t>Tompkins Square Middle School</t>
  </si>
  <si>
    <t>RICHARD R GREEN HS OF TEACHING - M</t>
  </si>
  <si>
    <t>10128</t>
  </si>
  <si>
    <t>I.S. 70 - MANHATTAN</t>
  </si>
  <si>
    <t>P.S. 72 - MANHATTAN</t>
  </si>
  <si>
    <t>The Lexington Academy</t>
  </si>
  <si>
    <t>735 WEST END AVENUE</t>
  </si>
  <si>
    <t>P.S. 75 - MANHATTAN</t>
  </si>
  <si>
    <t>M076</t>
  </si>
  <si>
    <t>220 WEST 121 STREET</t>
  </si>
  <si>
    <t>P.S. 76 - MANHATTAN</t>
  </si>
  <si>
    <t xml:space="preserve">03M076         </t>
  </si>
  <si>
    <t>P.S. 076 A. Philip Randolph</t>
  </si>
  <si>
    <t>P.S. 79 (MULT. HANDICAP) - M</t>
  </si>
  <si>
    <t>M081</t>
  </si>
  <si>
    <t>212 WEST 120 STREET</t>
  </si>
  <si>
    <t>MID-MAN ADULT LRNG CTR (81) - M</t>
  </si>
  <si>
    <t>P.S. 83 - MANHATTAN</t>
  </si>
  <si>
    <t>P.S. 84 - MANHATTAN</t>
  </si>
  <si>
    <t>M087</t>
  </si>
  <si>
    <t>160 WEST  78 STREET</t>
  </si>
  <si>
    <t>P.S. 87 - MANHATTAN</t>
  </si>
  <si>
    <t xml:space="preserve">03M087         </t>
  </si>
  <si>
    <t>P.S. 087 William Sherman</t>
  </si>
  <si>
    <t>I.S. 88 - MANHATTAN</t>
  </si>
  <si>
    <t>10026</t>
  </si>
  <si>
    <t>P.S./I.S. 89 - MANHATTAN</t>
  </si>
  <si>
    <t>1998</t>
  </si>
  <si>
    <t>10282</t>
  </si>
  <si>
    <t>I.S. 90 - MANHATTAN</t>
  </si>
  <si>
    <t>P.S. 92 - MANHATTAN</t>
  </si>
  <si>
    <t>10030</t>
  </si>
  <si>
    <t>P.S./I.S. 210 - MANHATTAN</t>
  </si>
  <si>
    <t>2007</t>
  </si>
  <si>
    <t>10031</t>
  </si>
  <si>
    <t>P.S. 96 - MANHATTAN</t>
  </si>
  <si>
    <t>P.S. 096 Joseph Lanzetta</t>
  </si>
  <si>
    <t>BARD COLLEGE HS (OLD M097) - M</t>
  </si>
  <si>
    <t>P.S. 98 - MANHATTAN</t>
  </si>
  <si>
    <t>M099</t>
  </si>
  <si>
    <t>410 EAST 100 STREET</t>
  </si>
  <si>
    <t>I.S. 99 - MANHATTAN</t>
  </si>
  <si>
    <t xml:space="preserve">04M224         </t>
  </si>
  <si>
    <t>M224</t>
  </si>
  <si>
    <t>M.S. 224 Manhattan East School for Arts &amp; Academics</t>
  </si>
  <si>
    <t xml:space="preserve">84M433         </t>
  </si>
  <si>
    <t>M433</t>
  </si>
  <si>
    <t>Innovation Charter High School</t>
  </si>
  <si>
    <t>P.S. 101 - MANHATTAN</t>
  </si>
  <si>
    <t>P.S. 102 - MANHATTAN</t>
  </si>
  <si>
    <t>P.S. 102 Jacques Cartier</t>
  </si>
  <si>
    <t>M104</t>
  </si>
  <si>
    <t>330 EAST  21 STREET</t>
  </si>
  <si>
    <t>I.S. 104 - MANHATTAN</t>
  </si>
  <si>
    <t xml:space="preserve">02M104         </t>
  </si>
  <si>
    <t>J.H.S. 104 Simon Baruch</t>
  </si>
  <si>
    <t>THE HERITAGE SCHOOL - MANHATTAN</t>
  </si>
  <si>
    <t>1881</t>
  </si>
  <si>
    <t>M108</t>
  </si>
  <si>
    <t>1615 MADISON AVENUE</t>
  </si>
  <si>
    <t>P.S. 108 - MANHATTAN</t>
  </si>
  <si>
    <t xml:space="preserve">04M108         </t>
  </si>
  <si>
    <t>P.S. 108 Assemblyman Angelo Del Toro Educational Complex</t>
  </si>
  <si>
    <t>P.S. 110 - MANHATTAN</t>
  </si>
  <si>
    <t>P.S. 110 Florence Nightingale</t>
  </si>
  <si>
    <t>P.S. 111 - MANHATTAN</t>
  </si>
  <si>
    <t xml:space="preserve">02M933         </t>
  </si>
  <si>
    <t>M933</t>
  </si>
  <si>
    <t>City Knoll Middle School</t>
  </si>
  <si>
    <t>P.S. 111 Adolph S. Ochs</t>
  </si>
  <si>
    <t>P.S. 112 (TANDEM M206) - MANHATTAN</t>
  </si>
  <si>
    <t>P.S. 112 Jose Celso Barbosa</t>
  </si>
  <si>
    <t>P.S. 241 - MANHATTAN</t>
  </si>
  <si>
    <t>331 EAST 91ST STREET</t>
  </si>
  <si>
    <t>EAST SIDE MIDDLE SCHOOL - MANHATTAN</t>
  </si>
  <si>
    <t>M115</t>
  </si>
  <si>
    <t>586 WEST 177 STREET</t>
  </si>
  <si>
    <t>P.S. 115 - MANHATTAN</t>
  </si>
  <si>
    <t xml:space="preserve">06M115         </t>
  </si>
  <si>
    <t>P.S. 115 Alexander Humboldt</t>
  </si>
  <si>
    <t>P.S. 116 - MANHATTAN</t>
  </si>
  <si>
    <t>10016</t>
  </si>
  <si>
    <t>J.H.S. 117 - MANHATTAN</t>
  </si>
  <si>
    <t>I.S. 118 - MANHATTAN</t>
  </si>
  <si>
    <t>P.S. 38 (OLD M121) - MANHATTAN</t>
  </si>
  <si>
    <t>03,04,05,06,07,08,09,10,11,12</t>
  </si>
  <si>
    <t>M708</t>
  </si>
  <si>
    <t>Harlem Prep Charter School</t>
  </si>
  <si>
    <t>P.S. 38 Roberto Clemente</t>
  </si>
  <si>
    <t>M123</t>
  </si>
  <si>
    <t>301 WEST 140 STREET</t>
  </si>
  <si>
    <t>P.S. 123 - MANHATTAN</t>
  </si>
  <si>
    <t xml:space="preserve">05M123         </t>
  </si>
  <si>
    <t>P.S. 123 Mahalia Jackson</t>
  </si>
  <si>
    <t>P.S. 124 (ECF) - MANHATTAN</t>
  </si>
  <si>
    <t>P.S. 125 - MANHATTAN</t>
  </si>
  <si>
    <t>M126</t>
  </si>
  <si>
    <t>80 CATHERINE STREET</t>
  </si>
  <si>
    <t>P.S. 126 - MANHATTAN</t>
  </si>
  <si>
    <t xml:space="preserve">02M126         </t>
  </si>
  <si>
    <t>P.S. 126 Jacob August Riis</t>
  </si>
  <si>
    <t>P.S. 128 - MANHATTAN</t>
  </si>
  <si>
    <t>M129</t>
  </si>
  <si>
    <t>425 WEST 130 STREET</t>
  </si>
  <si>
    <t>P.S. 129 - MANHATTAN</t>
  </si>
  <si>
    <t xml:space="preserve">05M129         </t>
  </si>
  <si>
    <t>P.S. 129 John H. Finley</t>
  </si>
  <si>
    <t xml:space="preserve">05M371         </t>
  </si>
  <si>
    <t>M371</t>
  </si>
  <si>
    <t>School of Earth Exploration and Discovery Harlem (SEED Harlem)</t>
  </si>
  <si>
    <t>P.S. 130 - MANHATTAN</t>
  </si>
  <si>
    <t>10013</t>
  </si>
  <si>
    <t>I.S. 131 - MANHATTAN</t>
  </si>
  <si>
    <t>P.S. 132 - MANHATTAN</t>
  </si>
  <si>
    <t>P.S. 132 Juan Pablo Duarte</t>
  </si>
  <si>
    <t>Dos Puentes Elementary School</t>
  </si>
  <si>
    <t>P.S. 133 - MANHATTAN</t>
  </si>
  <si>
    <t>10037</t>
  </si>
  <si>
    <t>P.S. 133 Fred R Moore</t>
  </si>
  <si>
    <t>P.S. 134 - MANHATTAN</t>
  </si>
  <si>
    <t>M136</t>
  </si>
  <si>
    <t>6 EDGECOMBE AVENUE</t>
  </si>
  <si>
    <t>I.S. 136 - MANHATTAN</t>
  </si>
  <si>
    <t xml:space="preserve">05M148         </t>
  </si>
  <si>
    <t>M148</t>
  </si>
  <si>
    <t>Eagle Academy for Young Men of Harlem</t>
  </si>
  <si>
    <t xml:space="preserve">05M304         </t>
  </si>
  <si>
    <t>M304</t>
  </si>
  <si>
    <t>Mott Hall High School</t>
  </si>
  <si>
    <t>P.S. 137 - MANHATTAN</t>
  </si>
  <si>
    <t>P.S. 140 - MANHATTAN</t>
  </si>
  <si>
    <t>P.S. 140 Nathan Straus</t>
  </si>
  <si>
    <t>P.S. 142 - MANHATTAN</t>
  </si>
  <si>
    <t>511 WEST 182ND STREET</t>
  </si>
  <si>
    <t>I.S. 143 - MANHATTAN</t>
  </si>
  <si>
    <t>P.S. 242 (OLD P144) - MANHATTAN</t>
  </si>
  <si>
    <t>P.S. 145 - MANHATTAN</t>
  </si>
  <si>
    <t xml:space="preserve">03M421         </t>
  </si>
  <si>
    <t>P.S. 146 - MANHATTAN</t>
  </si>
  <si>
    <t>P.S. 149 (TANDEM M207) - MANHATTAN</t>
  </si>
  <si>
    <t>P.S. 152 - MANHATTAN</t>
  </si>
  <si>
    <t>10040</t>
  </si>
  <si>
    <t>P.S. 153 - MANHATTAN</t>
  </si>
  <si>
    <t>P.S. 154 - MANHATTAN</t>
  </si>
  <si>
    <t>P.S. 154 Harriet Tubman</t>
  </si>
  <si>
    <t>P.S. 155 - MANHATTAN</t>
  </si>
  <si>
    <t>Renaissance School of the Arts</t>
  </si>
  <si>
    <t>P.S. 155 William Paca</t>
  </si>
  <si>
    <t>P.S. 158 - MANHATTAN</t>
  </si>
  <si>
    <t>10075</t>
  </si>
  <si>
    <t>P.S. 161 - MANHATTAN</t>
  </si>
  <si>
    <t>P.S. 161 Pedro Albizu Campos</t>
  </si>
  <si>
    <t>P.S. 163 - MANHATTAN</t>
  </si>
  <si>
    <t>M164</t>
  </si>
  <si>
    <t>401 WEST 164 STREET</t>
  </si>
  <si>
    <t>I.S. 164 - MANHATTAN</t>
  </si>
  <si>
    <t xml:space="preserve">06M223         </t>
  </si>
  <si>
    <t>The Mott Hall School</t>
  </si>
  <si>
    <t xml:space="preserve">06M328         </t>
  </si>
  <si>
    <t>M328</t>
  </si>
  <si>
    <t>Community Math &amp; Science Prep</t>
  </si>
  <si>
    <t>P.S. 165 - MANHATTAN</t>
  </si>
  <si>
    <t xml:space="preserve">03M862         </t>
  </si>
  <si>
    <t>P.S. 166 - MANHATTAN</t>
  </si>
  <si>
    <t>I.S. 167 - MANHATTAN</t>
  </si>
  <si>
    <t>10021</t>
  </si>
  <si>
    <t>J.H.S. 167 Robert F. Wagner</t>
  </si>
  <si>
    <t>P.S. 169 (ECF) - MANHATTAN</t>
  </si>
  <si>
    <t>P.S. 171 - MANHATTAN</t>
  </si>
  <si>
    <t>P.S. 171 Patrick Henry</t>
  </si>
  <si>
    <t>P.S. 173 - MANHATTAN</t>
  </si>
  <si>
    <t>P.S. 175 - MANHATTAN</t>
  </si>
  <si>
    <t>P.S./I.S. 176 - MANHATTAN</t>
  </si>
  <si>
    <t>P.S. 178 - MANHATTAN</t>
  </si>
  <si>
    <t>2001</t>
  </si>
  <si>
    <t>370 WEST 120TH STREET</t>
  </si>
  <si>
    <t>P.S. 180 - MANHATTAN</t>
  </si>
  <si>
    <t>P.S. 183 - MANHATTAN</t>
  </si>
  <si>
    <t>10065</t>
  </si>
  <si>
    <t>M185</t>
  </si>
  <si>
    <t>20 WEST 112 STREET</t>
  </si>
  <si>
    <t>P.S. 185 (TANDEM M208) - MANHATTAN</t>
  </si>
  <si>
    <t xml:space="preserve">03M185         </t>
  </si>
  <si>
    <t>The Locke School of Arts and Engineering</t>
  </si>
  <si>
    <t>P.S./I.S. 187 - MANHATTAN</t>
  </si>
  <si>
    <t>P.S./I.S. 187 Hudson Cliffs</t>
  </si>
  <si>
    <t>P.S. 188 - MANHATTAN</t>
  </si>
  <si>
    <t>NEW YORK</t>
  </si>
  <si>
    <t>P.S. 189 - MANHATTAN</t>
  </si>
  <si>
    <t>M190</t>
  </si>
  <si>
    <t>311 EAST  82 STREET</t>
  </si>
  <si>
    <t>P.S. 290 - MANHATTAN</t>
  </si>
  <si>
    <t xml:space="preserve">02M290         </t>
  </si>
  <si>
    <t>M290</t>
  </si>
  <si>
    <t>P.S. 290 Manhattan New School</t>
  </si>
  <si>
    <t>P.S. 191 - MANHATTAN</t>
  </si>
  <si>
    <t>10023</t>
  </si>
  <si>
    <t>M192</t>
  </si>
  <si>
    <t>500 WEST 138 STREET</t>
  </si>
  <si>
    <t>P.S. 192 - MANHATTAN</t>
  </si>
  <si>
    <t xml:space="preserve">06M192         </t>
  </si>
  <si>
    <t>P.S. 192 Jacob H. Schiff</t>
  </si>
  <si>
    <t xml:space="preserve">06M209         </t>
  </si>
  <si>
    <t>M209</t>
  </si>
  <si>
    <t>Hamilton Grange Middle School</t>
  </si>
  <si>
    <t>P.S. 194 - MANHATTAN</t>
  </si>
  <si>
    <t>P.S. 194 Countee Cullen</t>
  </si>
  <si>
    <t>Harlem Village Academy West Charter School</t>
  </si>
  <si>
    <t>TERENCE D. TOLBERT EDUCATION COMPLEX - MANHATTAN</t>
  </si>
  <si>
    <t>M197</t>
  </si>
  <si>
    <t>2230 5 AVENUE</t>
  </si>
  <si>
    <t>P.S. 197 - MANHATTAN</t>
  </si>
  <si>
    <t xml:space="preserve">05M197         </t>
  </si>
  <si>
    <t>P.S. 197 John B. Russwurm</t>
  </si>
  <si>
    <t>P.S. 198 - MANHATTAN</t>
  </si>
  <si>
    <t>P.S. 77 Lower Lab School</t>
  </si>
  <si>
    <t>P.S. 198 Isador E. Ida Straus</t>
  </si>
  <si>
    <t>P.S. 199 - MANHATTAN</t>
  </si>
  <si>
    <t>P.S. 200 (TANDEM M010) - MANHATTAN</t>
  </si>
  <si>
    <t>P.S. 206 (TANDEM M112) - MANHATTAN</t>
  </si>
  <si>
    <t>03,04,05,06,07,08,SE</t>
  </si>
  <si>
    <t>P.S. 206 Jose Celso Barbosa</t>
  </si>
  <si>
    <t>P.S. 207 (TANDEM M149)</t>
  </si>
  <si>
    <t>M208</t>
  </si>
  <si>
    <t>21 WEST 111 STREET</t>
  </si>
  <si>
    <t>P.S. 208 (TANDEM M185) - MANHATTAN</t>
  </si>
  <si>
    <t xml:space="preserve">84M329         </t>
  </si>
  <si>
    <t>PK,0K,01,02,03,04,05,07,SE</t>
  </si>
  <si>
    <t>M329</t>
  </si>
  <si>
    <t>Harlem Link Charter School</t>
  </si>
  <si>
    <t>I.S. 218 - MANHATTAN</t>
  </si>
  <si>
    <t>1992</t>
  </si>
  <si>
    <t>I.S. 223 (MOTT HALL) - MANHATTAN</t>
  </si>
  <si>
    <t>Gratis Lease</t>
  </si>
  <si>
    <t>P.S. 234 - MANHATTAN</t>
  </si>
  <si>
    <t>1988</t>
  </si>
  <si>
    <t>10007</t>
  </si>
  <si>
    <t>PS/IS 263 - Manhattan</t>
  </si>
  <si>
    <t>213 EAST 63RD STREET</t>
  </si>
  <si>
    <t>P.S. 59 - (MEETH) -MANHATTAN</t>
  </si>
  <si>
    <t>1917</t>
  </si>
  <si>
    <t>P.S./I.S. 217 - MANHATTAN</t>
  </si>
  <si>
    <t>10044</t>
  </si>
  <si>
    <t>P.S./I.S. 276 - MANHATTAN</t>
  </si>
  <si>
    <t>10280</t>
  </si>
  <si>
    <t>35 WEST 124TH STREET</t>
  </si>
  <si>
    <t>HARLEM VILLAGE ACADEMY - MANHATTAN</t>
  </si>
  <si>
    <t>P.S. 281 - MANHATTAN</t>
  </si>
  <si>
    <t>BROADWAY EDUCATION CAMPUS - M</t>
  </si>
  <si>
    <t>10004</t>
  </si>
  <si>
    <t>75 Morton Campus</t>
  </si>
  <si>
    <t>525 WEST 44TH STREET</t>
  </si>
  <si>
    <t>P.S. 51 ELIAS HOWE - MANHATTAN</t>
  </si>
  <si>
    <t>THE SIXTH AVENUE EDUCATIONAL CAMPUS - MANHATTAN</t>
  </si>
  <si>
    <t>300 WEST 61ST STREET</t>
  </si>
  <si>
    <t>P.S./I.S. 342 (RIVERSIDE CENTER) - MANHATATN</t>
  </si>
  <si>
    <t>THE PECK SLIP SCHOOL - MANHATTAN</t>
  </si>
  <si>
    <t>M391</t>
  </si>
  <si>
    <t>District 2 Pre-K Center</t>
  </si>
  <si>
    <t>276 WEST 151ST STREET</t>
  </si>
  <si>
    <t>P.S. 318 - MANHATTAN</t>
  </si>
  <si>
    <t xml:space="preserve">05M318         </t>
  </si>
  <si>
    <t>M318</t>
  </si>
  <si>
    <t>Thurgood Marshall Academy Lower School</t>
  </si>
  <si>
    <t>508 WEST 153RD STREET</t>
  </si>
  <si>
    <t>P.S. 380- MANHATTAN</t>
  </si>
  <si>
    <t>M387</t>
  </si>
  <si>
    <t>701 Fort Washington Avenue</t>
  </si>
  <si>
    <t>Success Academy - Washington Heights</t>
  </si>
  <si>
    <t xml:space="preserve">84M265         </t>
  </si>
  <si>
    <t>0K,01,02,03,04,05,06,SE</t>
  </si>
  <si>
    <t>M265</t>
  </si>
  <si>
    <t>Success Academy Charter School - Washington Heights</t>
  </si>
  <si>
    <t>M389</t>
  </si>
  <si>
    <t>461 West 131 Street</t>
  </si>
  <si>
    <t>Success Academy - Harlem Central</t>
  </si>
  <si>
    <t xml:space="preserve">84M357         </t>
  </si>
  <si>
    <t>0K,01,04,05,SE</t>
  </si>
  <si>
    <t>M357</t>
  </si>
  <si>
    <t>Success Academy Charter School - Harlem 6</t>
  </si>
  <si>
    <t>408 East 67th Street</t>
  </si>
  <si>
    <t>P.S. 183 GYM - MANHATTAN</t>
  </si>
  <si>
    <t>2005</t>
  </si>
  <si>
    <t>2-26 WASHINGTON STREET</t>
  </si>
  <si>
    <t>PRE-K @ 2-26 WASHINGTON ST - MANHATTAN</t>
  </si>
  <si>
    <t xml:space="preserve">02M391         </t>
  </si>
  <si>
    <t>MANHTN CT FOR MATH &amp; SCI. HS - M</t>
  </si>
  <si>
    <t>BAYARD RUSTIN EDUCATIONAL COMP-M</t>
  </si>
  <si>
    <t>M444</t>
  </si>
  <si>
    <t>606 W. 57th Street</t>
  </si>
  <si>
    <t>PRE-K CENTER @ 606 W. 57TH STREET - MANHATTAN</t>
  </si>
  <si>
    <t>New York</t>
  </si>
  <si>
    <t>SEWARD PARK HS - MANHATTAN</t>
  </si>
  <si>
    <t>Essex Street Academy</t>
  </si>
  <si>
    <t>Lower Manhattan Arts Academy</t>
  </si>
  <si>
    <t>Urban Assembly Academy of Government and Law, The</t>
  </si>
  <si>
    <t>New Design High School</t>
  </si>
  <si>
    <t>High School for Dual Language and Asian Studies</t>
  </si>
  <si>
    <t>UNIVERSITY NEIGHBORHOOD - M</t>
  </si>
  <si>
    <t>LIBERTY HS - MANHATTAN</t>
  </si>
  <si>
    <t>M453</t>
  </si>
  <si>
    <t>2 LAFAYETTE STREET</t>
  </si>
  <si>
    <t>PRE-K CENTER @ 2 LAFAYETTE STREET - MANHATTAN</t>
  </si>
  <si>
    <t>WASHINGTON IRVING HS - MANHATTAN</t>
  </si>
  <si>
    <t>The High School For Language And Diplomacy</t>
  </si>
  <si>
    <t>Trinity Place Learning Center</t>
  </si>
  <si>
    <t>10006</t>
  </si>
  <si>
    <t>G. WASHINGTON HS EDUC. CAMPUS - M</t>
  </si>
  <si>
    <t>LOUIS D. BRANDEIS HS - MANHATTAN</t>
  </si>
  <si>
    <t>M471</t>
  </si>
  <si>
    <t>355 EAST 76 STREET</t>
  </si>
  <si>
    <t>PRE-K CENTER @ 355 EAST 76 STREET - MANHATTAN</t>
  </si>
  <si>
    <t>M474</t>
  </si>
  <si>
    <t>252 EAST 57 STREET</t>
  </si>
  <si>
    <t>PRE-K CENTER @ EAST 57 STREET - MANHATTAN</t>
  </si>
  <si>
    <t>345 East  15th Street</t>
  </si>
  <si>
    <t>HEALTH PROFESSIONS HS (OL STY) - M</t>
  </si>
  <si>
    <t xml:space="preserve">02M420         </t>
  </si>
  <si>
    <t>M420</t>
  </si>
  <si>
    <t>High School for Health Professions and Human Services</t>
  </si>
  <si>
    <t xml:space="preserve">02M407         </t>
  </si>
  <si>
    <t>M407</t>
  </si>
  <si>
    <t>Institute for Collaborative Education</t>
  </si>
  <si>
    <t>STUYVESANT HS (NEW) - MANHATTAN</t>
  </si>
  <si>
    <t>JULIA RICHMAN ED. COMPLEX - M</t>
  </si>
  <si>
    <t>Teacher’s College Community School Annex – Manhatt</t>
  </si>
  <si>
    <t>Teachers College Community School</t>
  </si>
  <si>
    <t>FIORELLO LAGUARDIA HS - MANHATTAN</t>
  </si>
  <si>
    <t>J. K. ONASSIS HS FOR INT CAREERS-M</t>
  </si>
  <si>
    <t>1893</t>
  </si>
  <si>
    <t>MIDTOWN EAST CAMPUS - MANHATTAN</t>
  </si>
  <si>
    <t>10022</t>
  </si>
  <si>
    <t>MARTIN LUTHER KING, JR. HS - M</t>
  </si>
  <si>
    <t xml:space="preserve">03M299         </t>
  </si>
  <si>
    <t>M491</t>
  </si>
  <si>
    <t>1683 THIRD AVENUE</t>
  </si>
  <si>
    <t>PRE-K CENTER @ 3RD AVENUE - MANHATTAN</t>
  </si>
  <si>
    <t>M495</t>
  </si>
  <si>
    <t>230 EAST 105 STREET</t>
  </si>
  <si>
    <t>PARK EAST HS - MANHATTAN</t>
  </si>
  <si>
    <t xml:space="preserve">04M495         </t>
  </si>
  <si>
    <t>Park East High School</t>
  </si>
  <si>
    <t>ARTHUR SCHOMBURG HS (IS 201) - M</t>
  </si>
  <si>
    <t>EDWARD A. REYNOLDS WEST SIDE HS- M</t>
  </si>
  <si>
    <t>FORSYTH HS (AUXSVC-OLD 91) - M</t>
  </si>
  <si>
    <t>MURRY BERGTRAUM HS (ECF) - M</t>
  </si>
  <si>
    <t>I.S. 528 - MANHATTAN</t>
  </si>
  <si>
    <t>525 WEST  50TH STREET</t>
  </si>
  <si>
    <t>PARK WEST HS (ECF) - MANHATTAN</t>
  </si>
  <si>
    <t>A. PHILLIP RANDOLPH HS - MANHATTAN</t>
  </si>
  <si>
    <t>06,08,09,10,11,12,SE</t>
  </si>
  <si>
    <t>FASHION INDUSTRIES VOC HS - M</t>
  </si>
  <si>
    <t>M615</t>
  </si>
  <si>
    <t>131 AVENUE OF THE AMERICAS</t>
  </si>
  <si>
    <t>CHELSEA VOC HS - MANHATTAN</t>
  </si>
  <si>
    <t xml:space="preserve">02M376         </t>
  </si>
  <si>
    <t>M376</t>
  </si>
  <si>
    <t>NYC iSchool</t>
  </si>
  <si>
    <t xml:space="preserve">02M615         </t>
  </si>
  <si>
    <t>Chelsea Career and Technical Education High School</t>
  </si>
  <si>
    <t>111 EAST  33RD STREET</t>
  </si>
  <si>
    <t>NORMAN THOMAS HS (ECF) - MANHATTAN</t>
  </si>
  <si>
    <t>439 WEST 49TH STREET</t>
  </si>
  <si>
    <t>HS OF GRAPHIC COMMUNICATION ARTS-M</t>
  </si>
  <si>
    <t>250 West Houston Street</t>
  </si>
  <si>
    <t>CITY-AS-SCHOOL(OLD 95) - MANHATTAN</t>
  </si>
  <si>
    <t>M645</t>
  </si>
  <si>
    <t>320 EAST  96 STREET</t>
  </si>
  <si>
    <t>OLD MANHATTAN VOC/TECH HS - M</t>
  </si>
  <si>
    <t xml:space="preserve">02M655         </t>
  </si>
  <si>
    <t>M655</t>
  </si>
  <si>
    <t>The High School for Climate Justice</t>
  </si>
  <si>
    <t>SCL COOP TECH ED (MNH VOC HS) - M</t>
  </si>
  <si>
    <t>SCHL OF THE FUTURE (OLD BACON) - M</t>
  </si>
  <si>
    <t>MNHT COMP NIGHT&amp;DAY (OL BACN X)-M</t>
  </si>
  <si>
    <t>113 EAST  4TH STREET</t>
  </si>
  <si>
    <t>P.S. 751 (CAR.DEV/OLD 25) - M</t>
  </si>
  <si>
    <t>HARVEY MILK SCHOOL - MANHATTAN</t>
  </si>
  <si>
    <t>HS FOR MATH, SCI &amp; ENGINEERING-M</t>
  </si>
  <si>
    <t>504 WEST 158TH STREET</t>
  </si>
  <si>
    <t>THE COMMUNITY HEALTH ACADEMY OF THE HEIGHTS - M</t>
  </si>
  <si>
    <t>M816</t>
  </si>
  <si>
    <t>323 EAST 91 STREET</t>
  </si>
  <si>
    <t>P.S. 527 - East Side School for Social Action</t>
  </si>
  <si>
    <t xml:space="preserve">02M527         </t>
  </si>
  <si>
    <t>M527</t>
  </si>
  <si>
    <t>MILLENNIUM HS - MANHATTAN</t>
  </si>
  <si>
    <t>HS FOR ECONOMICS &amp; FINANCE - M</t>
  </si>
  <si>
    <t>HS FOR ENVIRONMENTAL STUDIES - M</t>
  </si>
  <si>
    <t>850 10TH AVENUE</t>
  </si>
  <si>
    <t>227-243 West 61st Street</t>
  </si>
  <si>
    <t>BEACON HS - MANHATTAN</t>
  </si>
  <si>
    <t>P.S. 811 (OLD P148/LIVINGS HS) - M</t>
  </si>
  <si>
    <t>200 Chambers Street</t>
  </si>
  <si>
    <t>P.S. 234 ANNEX - MANHATTAN</t>
  </si>
  <si>
    <t>400 First Avenue</t>
  </si>
  <si>
    <t>P.S. 138 ANNEX (OLD M047 AX) - M</t>
  </si>
  <si>
    <t>M845</t>
  </si>
  <si>
    <t>P.S. 98 MINISCHOOL - MANHATTAN</t>
  </si>
  <si>
    <t>1985</t>
  </si>
  <si>
    <t>M846</t>
  </si>
  <si>
    <t>2987 Frederick Douglass Blvd</t>
  </si>
  <si>
    <t>P.S. 46 MINISCHOOL - MANHATTAN</t>
  </si>
  <si>
    <t>ELEANOR ROOSEVELT HS - MANHATTAN</t>
  </si>
  <si>
    <t>512 WEST 182 ST</t>
  </si>
  <si>
    <t>I.S. 143 MINISCHOOL - MANHATTAN</t>
  </si>
  <si>
    <t>52 CHAMBERS STREET</t>
  </si>
  <si>
    <t>CENT HEADQUARTERS - MANHATTAN</t>
  </si>
  <si>
    <t>10 East 15th Street</t>
  </si>
  <si>
    <t>THE CLINTON SCHOOL - MANHATTAN</t>
  </si>
  <si>
    <t>M871</t>
  </si>
  <si>
    <t>134 CARDER ROAD</t>
  </si>
  <si>
    <t>NYHS - BOATHOUSE</t>
  </si>
  <si>
    <t>M873</t>
  </si>
  <si>
    <t>43 WEST  22 STREET</t>
  </si>
  <si>
    <t>MANHATTAN VILLAGE ACADEMY - M</t>
  </si>
  <si>
    <t xml:space="preserve">02M439         </t>
  </si>
  <si>
    <t>M439</t>
  </si>
  <si>
    <t>Manhattan Village Academy</t>
  </si>
  <si>
    <t>BARUCH COLLEGE CAMPUS HS - M</t>
  </si>
  <si>
    <t>P.S. 226 (FIRST PRESB CHURCH) - M</t>
  </si>
  <si>
    <t>501 WEST 165TH STREET</t>
  </si>
  <si>
    <t>GREGORIO LUPERON PREP. SCHOOL - M</t>
  </si>
  <si>
    <t>NEW YORK HARBOR SCHOOL - MANHATTAN</t>
  </si>
  <si>
    <t>LEGACY HS FOR INTEGR. STUDIES - M</t>
  </si>
  <si>
    <t>Harvest Collegiate High School</t>
  </si>
  <si>
    <t>M884</t>
  </si>
  <si>
    <t>4130 9 Avenue</t>
  </si>
  <si>
    <t>P.S. 18 ANNEX (GYM) - MANHATTAN</t>
  </si>
  <si>
    <t>HS FOR LEADERSHIP &amp; PUBLIC SER - M</t>
  </si>
  <si>
    <t>A School Without Walls</t>
  </si>
  <si>
    <t>YOUNG WOMEN'S LEADERSHIP HS - M</t>
  </si>
  <si>
    <t>NYC PUBLIC SCHOOL REPERTORY CO - M</t>
  </si>
  <si>
    <t>1919</t>
  </si>
  <si>
    <t>P.S. 18 - MANHATTAN</t>
  </si>
  <si>
    <t>M905</t>
  </si>
  <si>
    <t>890 BROADWAY</t>
  </si>
  <si>
    <t>BALLET TECH/PUB. SCL FOR DANCE - M</t>
  </si>
  <si>
    <t xml:space="preserve">02M442         </t>
  </si>
  <si>
    <t>04,05,06,07,08</t>
  </si>
  <si>
    <t>M442</t>
  </si>
  <si>
    <t>Ballet Tech, NYC Public School for Dance</t>
  </si>
  <si>
    <t>245 West 129th Street</t>
  </si>
  <si>
    <t>Harlem Promise Academy Charter - Manhattan</t>
  </si>
  <si>
    <t>HARLEM RENAISSANCE HS (OLD M24)-M</t>
  </si>
  <si>
    <t>522 WEST 44TH STREET</t>
  </si>
  <si>
    <t>BEACON HIGH SCHOOL - MANHATTAN</t>
  </si>
  <si>
    <t>M913</t>
  </si>
  <si>
    <t>50 Broadway</t>
  </si>
  <si>
    <t>YES Program</t>
  </si>
  <si>
    <t>0K,01,04,05,06,07,08,09,10,11,12,SE</t>
  </si>
  <si>
    <t>M401</t>
  </si>
  <si>
    <t>Hospital Schools</t>
  </si>
  <si>
    <t>TEACHERS COLLEGE COMMUNITY SCHOOL - MANHATTAN</t>
  </si>
  <si>
    <t>1860</t>
  </si>
  <si>
    <t>421 W 219th St</t>
  </si>
  <si>
    <t>P.S./IS 278 - MANHATTAN</t>
  </si>
  <si>
    <t>SATELLITE ACADEMY - MANHATTAN</t>
  </si>
  <si>
    <t>P.S. 199 ANNEX - MANHATTAN</t>
  </si>
  <si>
    <t>200-214 WEST 135TH STREET</t>
  </si>
  <si>
    <t>THURGOOD MARSHALL ACAD. - M</t>
  </si>
  <si>
    <t>THE SPRUCE STREET EDUCATIONAL CAMPUS</t>
  </si>
  <si>
    <t>2011</t>
  </si>
  <si>
    <t>P.S. 2 - QUEENS</t>
  </si>
  <si>
    <t>11370</t>
  </si>
  <si>
    <t>COMMUNITY SCHOOL DISTRICT 30</t>
  </si>
  <si>
    <t>68-60 110 Street</t>
  </si>
  <si>
    <t>P.S. 303 - QUEENS</t>
  </si>
  <si>
    <t>11375</t>
  </si>
  <si>
    <t>COMMUNITY SCHOOL DISTRICT 28</t>
  </si>
  <si>
    <t>I.S. 5 - QUEENS</t>
  </si>
  <si>
    <t>QUEENS</t>
  </si>
  <si>
    <t>11373</t>
  </si>
  <si>
    <t>COMMUNITY SCHOOL DISTRICT 24</t>
  </si>
  <si>
    <t>P.S. 7 - QUEENS</t>
  </si>
  <si>
    <t>J.H.S. 8 - QUEENS</t>
  </si>
  <si>
    <t>11433</t>
  </si>
  <si>
    <t>P.S. 9 (W REED SCHOOL) - QUEENS</t>
  </si>
  <si>
    <t>11378</t>
  </si>
  <si>
    <t>45-11 31st Ave</t>
  </si>
  <si>
    <t>I.S. 10 - QUEENS</t>
  </si>
  <si>
    <t>11103</t>
  </si>
  <si>
    <t>P.S. 11 - QUEENS</t>
  </si>
  <si>
    <t>11377</t>
  </si>
  <si>
    <t>PK,0K,01,02,03,04,05,06,SE</t>
  </si>
  <si>
    <t>P.S. 12 - QUEENS</t>
  </si>
  <si>
    <t>P.S. 13 - QUEENS</t>
  </si>
  <si>
    <t>P.S. 14 - QUEENS</t>
  </si>
  <si>
    <t>11368</t>
  </si>
  <si>
    <t>P.S. 15 - QUEENS</t>
  </si>
  <si>
    <t>11413</t>
  </si>
  <si>
    <t>COMMUNITY SCHOOL DISTRICT 29</t>
  </si>
  <si>
    <t>P.S. 17 - QUEENS</t>
  </si>
  <si>
    <t>11102</t>
  </si>
  <si>
    <t>Q018</t>
  </si>
  <si>
    <t>86-35 235 COURT</t>
  </si>
  <si>
    <t>P.S. 18 - QUEENS</t>
  </si>
  <si>
    <t>11427</t>
  </si>
  <si>
    <t>COMMUNITY SCHOOL DISTRICT 26</t>
  </si>
  <si>
    <t xml:space="preserve">26Q018         </t>
  </si>
  <si>
    <t>P.S. 018 Winchester</t>
  </si>
  <si>
    <t>44-10 99 Street</t>
  </si>
  <si>
    <t>P.S. 19 - QUEENS</t>
  </si>
  <si>
    <t>P.S. 20 - QUEENS</t>
  </si>
  <si>
    <t>11355</t>
  </si>
  <si>
    <t>COMMUNITY SCHOOL DISTRICT 25</t>
  </si>
  <si>
    <t>P.S. 21 - QUEENS</t>
  </si>
  <si>
    <t>11354</t>
  </si>
  <si>
    <t>P.S. 22 - QUEENS</t>
  </si>
  <si>
    <t>P.S. 022 Thomas Jefferson</t>
  </si>
  <si>
    <t>138-11 35 AVENUE</t>
  </si>
  <si>
    <t>QUEENS ACADEMY HS - QUEENS</t>
  </si>
  <si>
    <t xml:space="preserve">25Q540         </t>
  </si>
  <si>
    <t>Q540</t>
  </si>
  <si>
    <t>Queens Academy High School</t>
  </si>
  <si>
    <t>P.S. 24 - QUEENS</t>
  </si>
  <si>
    <t>J.H.S. 25 - QUEENS</t>
  </si>
  <si>
    <t>11358</t>
  </si>
  <si>
    <t>P.S. 26 - QUEENS</t>
  </si>
  <si>
    <t>11365</t>
  </si>
  <si>
    <t>P.S. 026 Rufus King</t>
  </si>
  <si>
    <t>P.S. 28 - QUEENS</t>
  </si>
  <si>
    <t>P.S. 29 - QUEENS</t>
  </si>
  <si>
    <t>11356</t>
  </si>
  <si>
    <t>Q030</t>
  </si>
  <si>
    <t>126-10 BEDELL STREET</t>
  </si>
  <si>
    <t>P.S. 30 - QUEENS</t>
  </si>
  <si>
    <t>11434</t>
  </si>
  <si>
    <t xml:space="preserve">28Q354         </t>
  </si>
  <si>
    <t>Q354</t>
  </si>
  <si>
    <t>The Jermaine L. Green STEM Institute of Queens</t>
  </si>
  <si>
    <t>P.S. 31 - QUEENS</t>
  </si>
  <si>
    <t>11361</t>
  </si>
  <si>
    <t>P.S. 031 Bayside</t>
  </si>
  <si>
    <t>171-11 35 Avenue</t>
  </si>
  <si>
    <t>P.S. 32 - QUEENS</t>
  </si>
  <si>
    <t>P.S. 032 State Street</t>
  </si>
  <si>
    <t>P.S. 33 - QUEENS</t>
  </si>
  <si>
    <t>11428</t>
  </si>
  <si>
    <t>P.S. 34 - QUEENS</t>
  </si>
  <si>
    <t>11429</t>
  </si>
  <si>
    <t>P.S. 034 John Harvard</t>
  </si>
  <si>
    <t>P.S. 35 - QUEENS</t>
  </si>
  <si>
    <t>11423</t>
  </si>
  <si>
    <t>90-01 191 Street</t>
  </si>
  <si>
    <t>P.S. 36 - QUEENS</t>
  </si>
  <si>
    <t>11412</t>
  </si>
  <si>
    <t>P.S. 036 Saint Albans School</t>
  </si>
  <si>
    <t>P.S. 37 - QUEENS</t>
  </si>
  <si>
    <t>Q038</t>
  </si>
  <si>
    <t>135-21 241 STREET</t>
  </si>
  <si>
    <t>P.S. 38 - QUEENS</t>
  </si>
  <si>
    <t>11422</t>
  </si>
  <si>
    <t xml:space="preserve">29Q038         </t>
  </si>
  <si>
    <t>P.S. 038 Rosedale</t>
  </si>
  <si>
    <t>P.S. 40 (D28) - QUEENS</t>
  </si>
  <si>
    <t>214-43 35 Avenue</t>
  </si>
  <si>
    <t>P.S. 41 - QUEENS</t>
  </si>
  <si>
    <t>P.S. 42 - QUEENS</t>
  </si>
  <si>
    <t>11692</t>
  </si>
  <si>
    <t>COMMUNITY SCHOOL DISTRICT 27</t>
  </si>
  <si>
    <t>P.S. 43 - QUEENS</t>
  </si>
  <si>
    <t>11691</t>
  </si>
  <si>
    <t>Q045</t>
  </si>
  <si>
    <t>126-28 150 STREET</t>
  </si>
  <si>
    <t>P.S. 45 - QUEENS</t>
  </si>
  <si>
    <t>11436</t>
  </si>
  <si>
    <t xml:space="preserve">27Q045         </t>
  </si>
  <si>
    <t>P.S. 045 Clarence Witherspoon</t>
  </si>
  <si>
    <t>P.S. 46 - QUEENS</t>
  </si>
  <si>
    <t>11364</t>
  </si>
  <si>
    <t>155-02 108 AVENUE</t>
  </si>
  <si>
    <t>P.S. 48 - QUEENS</t>
  </si>
  <si>
    <t>63-60 80th Street</t>
  </si>
  <si>
    <t>P.S./I.S. 49 - QUEENS</t>
  </si>
  <si>
    <t>11379</t>
  </si>
  <si>
    <t>P.S. 50 - QUEENS</t>
  </si>
  <si>
    <t>11435</t>
  </si>
  <si>
    <t>P.S. 51 (ECC) - QUEENS</t>
  </si>
  <si>
    <t>11418</t>
  </si>
  <si>
    <t>Q052</t>
  </si>
  <si>
    <t>178-37 146 TERRACE</t>
  </si>
  <si>
    <t>P.S. 52 - QUEENS</t>
  </si>
  <si>
    <t xml:space="preserve">29Q052         </t>
  </si>
  <si>
    <t>P.S. 052 Queens</t>
  </si>
  <si>
    <t>I.S. 53 - QUEENS</t>
  </si>
  <si>
    <t>P.S. 54 - QUEENS</t>
  </si>
  <si>
    <t>P.S. 054 Hillside</t>
  </si>
  <si>
    <t>P.S. 55 - QUEENS</t>
  </si>
  <si>
    <t>11419</t>
  </si>
  <si>
    <t>Q056</t>
  </si>
  <si>
    <t>86-10 114 STREET</t>
  </si>
  <si>
    <t>P.S. 56 (OLD R HILL AX) - QUEENS</t>
  </si>
  <si>
    <t>1896</t>
  </si>
  <si>
    <t xml:space="preserve">27Q056         </t>
  </si>
  <si>
    <t>02,03,04,05,SE</t>
  </si>
  <si>
    <t>P.S. 056 Harry Eichler</t>
  </si>
  <si>
    <t>P.S. 58 - QUEENS</t>
  </si>
  <si>
    <t>I.S. 59 - QUEENS</t>
  </si>
  <si>
    <t>P.S. 60 - QUEENS</t>
  </si>
  <si>
    <t>11421</t>
  </si>
  <si>
    <t>I.S. 61 - QUEENS</t>
  </si>
  <si>
    <t>P.S. 62 - QUEENS</t>
  </si>
  <si>
    <t>P.S. 63 - QUEENS</t>
  </si>
  <si>
    <t>11417</t>
  </si>
  <si>
    <t>P.S. 64 - QUEENS</t>
  </si>
  <si>
    <t>11416</t>
  </si>
  <si>
    <t>P.S. 66 - QUEENS</t>
  </si>
  <si>
    <t>J.H.S. 67 - QUEENS</t>
  </si>
  <si>
    <t>11362</t>
  </si>
  <si>
    <t>P.S. 68 - QUEENS</t>
  </si>
  <si>
    <t>11385</t>
  </si>
  <si>
    <t>P.S. 69 - QUEENS</t>
  </si>
  <si>
    <t>11372</t>
  </si>
  <si>
    <t>30-44 43rd Street</t>
  </si>
  <si>
    <t>P.S. 70 - QUEENS</t>
  </si>
  <si>
    <t>P.S. 71 - QUEENS</t>
  </si>
  <si>
    <t>J.H.S. 72 - QUEENS</t>
  </si>
  <si>
    <t>I.S. 73 - QUEENS</t>
  </si>
  <si>
    <t>I.S. 74 - QUEENS</t>
  </si>
  <si>
    <t>16-66 HANCOCK STREET</t>
  </si>
  <si>
    <t>P.S. 75 (R PERRY SCHOOL)-QUEENS</t>
  </si>
  <si>
    <t>P.S. 76 - QUEENS</t>
  </si>
  <si>
    <t>11106</t>
  </si>
  <si>
    <t>P.S. 79 - QUEENS</t>
  </si>
  <si>
    <t>11357</t>
  </si>
  <si>
    <t>171-05 137TH AVENUE</t>
  </si>
  <si>
    <t>P.S. 80 - QUEENS</t>
  </si>
  <si>
    <t>JAMAICA</t>
  </si>
  <si>
    <t>P.S. 81 - QUEENS</t>
  </si>
  <si>
    <t>P.S. 81Q Jean Paul Richter</t>
  </si>
  <si>
    <t>P.S. 82 - QUEENS</t>
  </si>
  <si>
    <t>Q084</t>
  </si>
  <si>
    <t>22-45 41 STREET</t>
  </si>
  <si>
    <t>P.S. 84 - QUEENS</t>
  </si>
  <si>
    <t>11105</t>
  </si>
  <si>
    <t xml:space="preserve">30Q084         </t>
  </si>
  <si>
    <t>P.S. 084 Steinway</t>
  </si>
  <si>
    <t>P.S. 85 - QUEENS</t>
  </si>
  <si>
    <t>P.S. 085 Judge Charles Vallone</t>
  </si>
  <si>
    <t>P.S. 86 - QUEENS</t>
  </si>
  <si>
    <t>11432</t>
  </si>
  <si>
    <t>P.S. 87 - QUEENS</t>
  </si>
  <si>
    <t>P.S. 88 - QUEENS</t>
  </si>
  <si>
    <t>P.S. 89 - QUEENS</t>
  </si>
  <si>
    <t>Q090</t>
  </si>
  <si>
    <t>86-50 109 STREET</t>
  </si>
  <si>
    <t>P.S. 90 - QUEENS</t>
  </si>
  <si>
    <t xml:space="preserve">27Q090         </t>
  </si>
  <si>
    <t>P.S. 090 Horace Mann</t>
  </si>
  <si>
    <t>P.S. 91 - QUEENS</t>
  </si>
  <si>
    <t>I.S. 93 - QUEENS</t>
  </si>
  <si>
    <t>P.S. 94 - QUEENS</t>
  </si>
  <si>
    <t>11363</t>
  </si>
  <si>
    <t>P.S. 95 - QUEENS</t>
  </si>
  <si>
    <t>130-01 Rockaway Boulevard</t>
  </si>
  <si>
    <t>P.S. 96 - QUEENS</t>
  </si>
  <si>
    <t>11420</t>
  </si>
  <si>
    <t>P.S. 97 - QUEENS</t>
  </si>
  <si>
    <t>P.S. 98 - QUEENS</t>
  </si>
  <si>
    <t>P.S. 098 The Douglaston School</t>
  </si>
  <si>
    <t>Q099</t>
  </si>
  <si>
    <t>82-37 KEW GARDENS ROAD</t>
  </si>
  <si>
    <t>P.S. 99 - QUEENS</t>
  </si>
  <si>
    <t>11415</t>
  </si>
  <si>
    <t xml:space="preserve">28Q099         </t>
  </si>
  <si>
    <t>P.S. 099 Kew Gardens</t>
  </si>
  <si>
    <t>P.S. 100 - QUEENS</t>
  </si>
  <si>
    <t>Q101</t>
  </si>
  <si>
    <t>2 RUSSELL PLACE</t>
  </si>
  <si>
    <t>P.S. 101 - QUEENS</t>
  </si>
  <si>
    <t xml:space="preserve">28Q101         </t>
  </si>
  <si>
    <t>P.S. 101 School in the Gardens</t>
  </si>
  <si>
    <t>P.S./I.S. 102 - QUEENS</t>
  </si>
  <si>
    <t>Q104</t>
  </si>
  <si>
    <t>26-01 MOTT AVENUE</t>
  </si>
  <si>
    <t>P.S. 104 - QUEENS</t>
  </si>
  <si>
    <t xml:space="preserve">27Q104         </t>
  </si>
  <si>
    <t>P.S. 104 The Bays Water</t>
  </si>
  <si>
    <t>Q105</t>
  </si>
  <si>
    <t>420 BEACH  51 STREET</t>
  </si>
  <si>
    <t>P.S. 105 - QUEENS</t>
  </si>
  <si>
    <t xml:space="preserve">27Q105         </t>
  </si>
  <si>
    <t>P.S. 105 The Bay School</t>
  </si>
  <si>
    <t>Q106</t>
  </si>
  <si>
    <t>180 BEACH  35 STREET</t>
  </si>
  <si>
    <t>P.S. 106 - QUEENS</t>
  </si>
  <si>
    <t xml:space="preserve">27Q106         </t>
  </si>
  <si>
    <t>Lighthouse Elementary School</t>
  </si>
  <si>
    <t>P.S. 107 - QUEENS</t>
  </si>
  <si>
    <t>P.S. 108 - QUEENS</t>
  </si>
  <si>
    <t>Q109</t>
  </si>
  <si>
    <t>213-10 92 AVENUE</t>
  </si>
  <si>
    <t>I.S. 109 - QUEENS</t>
  </si>
  <si>
    <t xml:space="preserve">29Q109         </t>
  </si>
  <si>
    <t>Jean Nuzzi Intermediate School</t>
  </si>
  <si>
    <t>Q111</t>
  </si>
  <si>
    <t>37-15 13 STREET</t>
  </si>
  <si>
    <t>P.S. 111 - QUEENS</t>
  </si>
  <si>
    <t>11101</t>
  </si>
  <si>
    <t>Q304</t>
  </si>
  <si>
    <t>VOICE Charter School of New York</t>
  </si>
  <si>
    <t xml:space="preserve">30Q111         </t>
  </si>
  <si>
    <t>P.S. 111 Jacob Blackwell</t>
  </si>
  <si>
    <t>P.S. 112 - QUEENS</t>
  </si>
  <si>
    <t>78-23 87TH STREET</t>
  </si>
  <si>
    <t>P.S./I.S. 113 - QUEENS</t>
  </si>
  <si>
    <t>P.S. 114 - QUEENS</t>
  </si>
  <si>
    <t>11694</t>
  </si>
  <si>
    <t>11004</t>
  </si>
  <si>
    <t>Q116</t>
  </si>
  <si>
    <t>107-25 WREN PLACE</t>
  </si>
  <si>
    <t>P.S. 116 - QUEENS</t>
  </si>
  <si>
    <t xml:space="preserve">29Q116         </t>
  </si>
  <si>
    <t>P.S./I.S. 116 William C. Hughley</t>
  </si>
  <si>
    <t>P.S. 117 - QUEENS</t>
  </si>
  <si>
    <t>P.S. 118 - QUEENS</t>
  </si>
  <si>
    <t>I.S. 119 - QUEENS</t>
  </si>
  <si>
    <t>P.S. 120 - QUEENS</t>
  </si>
  <si>
    <t>P.S. 121 - QUEENS</t>
  </si>
  <si>
    <t>P.S. 121 Queens</t>
  </si>
  <si>
    <t>P.S. 122 - QUEENS</t>
  </si>
  <si>
    <t>P.S. 122 Mamie Fay</t>
  </si>
  <si>
    <t>Q123</t>
  </si>
  <si>
    <t>145-01 119 AVENUE</t>
  </si>
  <si>
    <t>P.S. 123 - QUEENS</t>
  </si>
  <si>
    <t xml:space="preserve">27Q123         </t>
  </si>
  <si>
    <t>P.S. 123</t>
  </si>
  <si>
    <t>P.S. 124 - QUEENS</t>
  </si>
  <si>
    <t>I.S. 125 - QUEENS</t>
  </si>
  <si>
    <t>Q126</t>
  </si>
  <si>
    <t>31-51 21 STREET</t>
  </si>
  <si>
    <t>I.S. 126 - QUEENS</t>
  </si>
  <si>
    <t xml:space="preserve">30Q126         </t>
  </si>
  <si>
    <t>Albert Shanker School for Visual and Performing Arts</t>
  </si>
  <si>
    <t>P.S. 127 - QUEENS</t>
  </si>
  <si>
    <t>11369</t>
  </si>
  <si>
    <t>P.S. 127 Aerospace Science Magnet School</t>
  </si>
  <si>
    <t>P.S. 129 - QUEENS</t>
  </si>
  <si>
    <t>P.S. 130 - QUEENS</t>
  </si>
  <si>
    <t>P.S. 131 - QUEENS</t>
  </si>
  <si>
    <t>Q132</t>
  </si>
  <si>
    <t>132-15 218 STREET</t>
  </si>
  <si>
    <t>P.S. 132 - QUEENS</t>
  </si>
  <si>
    <t xml:space="preserve">29Q132         </t>
  </si>
  <si>
    <t>P.S. 132 Ralph Bunche</t>
  </si>
  <si>
    <t>Q133</t>
  </si>
  <si>
    <t>248-05 86 AVENUE</t>
  </si>
  <si>
    <t>P.S. 133 - QUEENS</t>
  </si>
  <si>
    <t>11426</t>
  </si>
  <si>
    <t xml:space="preserve">26Q133         </t>
  </si>
  <si>
    <t>P.S. 133 Queens</t>
  </si>
  <si>
    <t>P.S. 134 - QUEENS</t>
  </si>
  <si>
    <t>P.S. 135 - QUEENS</t>
  </si>
  <si>
    <t>P.S. 136 - QUEENS</t>
  </si>
  <si>
    <t>P.S. 136 Roy Wilkins</t>
  </si>
  <si>
    <t>M.S. 137 - QUEENS</t>
  </si>
  <si>
    <t>P.S. 138 - QUEENS</t>
  </si>
  <si>
    <t>P.S. 139 - QUEENS</t>
  </si>
  <si>
    <t>11374</t>
  </si>
  <si>
    <t>P.S. 140 - QUEENS</t>
  </si>
  <si>
    <t>P.S. 140 Edward K Ellington</t>
  </si>
  <si>
    <t>Q141</t>
  </si>
  <si>
    <t>37-11 21 AVENUE</t>
  </si>
  <si>
    <t>I.S. 141 - QUEENS</t>
  </si>
  <si>
    <t xml:space="preserve">30Q141         </t>
  </si>
  <si>
    <t>I.S. 141 The Steinway</t>
  </si>
  <si>
    <t>P.S. 752 (OLD J142) - QUEENS</t>
  </si>
  <si>
    <t>P.S. 143 - QUEENS</t>
  </si>
  <si>
    <t>P.S. 144 - QUEENS</t>
  </si>
  <si>
    <t>I.S. 145 - QUEENS</t>
  </si>
  <si>
    <t>P.S. 146 - QUEENS</t>
  </si>
  <si>
    <t>11414</t>
  </si>
  <si>
    <t>P.S. 146 Howard Beach</t>
  </si>
  <si>
    <t>Q147</t>
  </si>
  <si>
    <t>218-01 116 Avenue</t>
  </si>
  <si>
    <t>P.S. 147 - QUEENS</t>
  </si>
  <si>
    <t>11411</t>
  </si>
  <si>
    <t xml:space="preserve">29Q147         </t>
  </si>
  <si>
    <t>P.S./M.S. 147 Ronald McNair</t>
  </si>
  <si>
    <t>P.S. 148 - QUEENS</t>
  </si>
  <si>
    <t>P.S. 149 - QUEENS</t>
  </si>
  <si>
    <t>P.S. 150 - QUEENS</t>
  </si>
  <si>
    <t>11104</t>
  </si>
  <si>
    <t>P.S. 151 - QUEENS</t>
  </si>
  <si>
    <t>P.S. 151 Mary D. Carter</t>
  </si>
  <si>
    <t>P.S. 152 - QUEENS</t>
  </si>
  <si>
    <t>P.S. 153 - QUEENS</t>
  </si>
  <si>
    <t>P.S. 154 - QUEENS</t>
  </si>
  <si>
    <t>11366</t>
  </si>
  <si>
    <t>P.S. 155 - QUEENS</t>
  </si>
  <si>
    <t>P.S. 156 - QUEENS</t>
  </si>
  <si>
    <t>P.S. 156 Laurelton</t>
  </si>
  <si>
    <t>Queens United Middle School</t>
  </si>
  <si>
    <t>Q157</t>
  </si>
  <si>
    <t>63-55 102ND STREET</t>
  </si>
  <si>
    <t>J.H.S. 157 - QUEENS</t>
  </si>
  <si>
    <t>1948</t>
  </si>
  <si>
    <t xml:space="preserve">28Q157         </t>
  </si>
  <si>
    <t>06,07,08,09,SE</t>
  </si>
  <si>
    <t>J.H.S. 157 Stephen A. Halsey</t>
  </si>
  <si>
    <t>J.H.S. 158 - QUEENS</t>
  </si>
  <si>
    <t>P.S. 159 - QUEENS</t>
  </si>
  <si>
    <t>Q160</t>
  </si>
  <si>
    <t>109-59 INWOOD STREET</t>
  </si>
  <si>
    <t>P.S. 160 - QUEENS</t>
  </si>
  <si>
    <t xml:space="preserve">28Q160         </t>
  </si>
  <si>
    <t>P.S. 160 Walter Francis Bishop</t>
  </si>
  <si>
    <t>P.S. 161 - QUEENS</t>
  </si>
  <si>
    <t>P.S. 162 - QUEENS</t>
  </si>
  <si>
    <t>P.S. 162 John Golden</t>
  </si>
  <si>
    <t>P.S. 163 - QUEENS</t>
  </si>
  <si>
    <t>P.S. 164 - QUEENS</t>
  </si>
  <si>
    <t>11367</t>
  </si>
  <si>
    <t>P.S. 164 Queens Valley</t>
  </si>
  <si>
    <t xml:space="preserve">6 </t>
  </si>
  <si>
    <t>P.S. 165 - QUEENS</t>
  </si>
  <si>
    <t>P.S. 166 - QUEENS</t>
  </si>
  <si>
    <t>J.H.S. 168 - QUEENS</t>
  </si>
  <si>
    <t>18-25 212 STREET</t>
  </si>
  <si>
    <t>P.S. 169 - QUEENS</t>
  </si>
  <si>
    <t>11360</t>
  </si>
  <si>
    <t>BELL Academy</t>
  </si>
  <si>
    <t>P.S. 169 Bay Terrace</t>
  </si>
  <si>
    <t>Q171</t>
  </si>
  <si>
    <t>14-14 29 AVENUE</t>
  </si>
  <si>
    <t>P.S. 171 - QUEENS</t>
  </si>
  <si>
    <t xml:space="preserve">30Q171         </t>
  </si>
  <si>
    <t>P.S. 171 Peter G. Van Alst</t>
  </si>
  <si>
    <t>J.H.S. 172 - QUEENS</t>
  </si>
  <si>
    <t>P.S. 173 - QUEENS</t>
  </si>
  <si>
    <t>P.S. 173 Fresh Meadows</t>
  </si>
  <si>
    <t>65-10 DIETERLE CRESCENT</t>
  </si>
  <si>
    <t>P.S. 174 - QUEENS</t>
  </si>
  <si>
    <t>P.S. 174 William Sidney Mount</t>
  </si>
  <si>
    <t>P.S. 175 - QUEENS</t>
  </si>
  <si>
    <t>P.S. 176 - QUEENS</t>
  </si>
  <si>
    <t>P.S. 177 - QUEENS</t>
  </si>
  <si>
    <t>Q178</t>
  </si>
  <si>
    <t>189-10 RADNOR ROAD</t>
  </si>
  <si>
    <t>P.S. 178 - QUEENS</t>
  </si>
  <si>
    <t xml:space="preserve">26Q178         </t>
  </si>
  <si>
    <t>P.S./ IS 178 Holliswood</t>
  </si>
  <si>
    <t>P.S. 179 - QUEENS</t>
  </si>
  <si>
    <t>320 BEACH 104TH STREET</t>
  </si>
  <si>
    <t>I.S. 323 (OLD IS 180) - QUEENS</t>
  </si>
  <si>
    <t>P.S. 181 - QUEENS</t>
  </si>
  <si>
    <t>P.S. 183 - QUEENS</t>
  </si>
  <si>
    <t>11693</t>
  </si>
  <si>
    <t>P.S. 183 Dr. Richard R. Green</t>
  </si>
  <si>
    <t>P.S. 184 - QUEENS</t>
  </si>
  <si>
    <t>P.S. 184 Flushing Manor</t>
  </si>
  <si>
    <t>J.H.S. 185 - QUEENS</t>
  </si>
  <si>
    <t>P.S. 186 - QUEENS</t>
  </si>
  <si>
    <t>P.S. 188 - QUEENS</t>
  </si>
  <si>
    <t>Q189</t>
  </si>
  <si>
    <t>144-80 BARCLAY AVENUE</t>
  </si>
  <si>
    <t>J.H.S. 189 - QUEENS</t>
  </si>
  <si>
    <t xml:space="preserve">25Q189         </t>
  </si>
  <si>
    <t>J.H.S. 189 Daniel Carter Beard</t>
  </si>
  <si>
    <t xml:space="preserve">25Q263         </t>
  </si>
  <si>
    <t>Flushing International High School</t>
  </si>
  <si>
    <t>J.H.S. 190 - QUEENS</t>
  </si>
  <si>
    <t>P.S. 191 - QUEENS</t>
  </si>
  <si>
    <t>11001</t>
  </si>
  <si>
    <t>Q192</t>
  </si>
  <si>
    <t>109-89 204 STREET</t>
  </si>
  <si>
    <t>I.S. 192 - QUEENS</t>
  </si>
  <si>
    <t xml:space="preserve">29Q259         </t>
  </si>
  <si>
    <t>Q259</t>
  </si>
  <si>
    <t>Pathways College Preparatory School: A College Board School</t>
  </si>
  <si>
    <t xml:space="preserve">29Q192         </t>
  </si>
  <si>
    <t>I.S. 192 The Linden</t>
  </si>
  <si>
    <t>P.S. 193 - QUEENS</t>
  </si>
  <si>
    <t>P.S. 193 Alfred J. Kennedy</t>
  </si>
  <si>
    <t>J.H.S. 194 - QUEENS</t>
  </si>
  <si>
    <t>J.H.S. 194 William Carr</t>
  </si>
  <si>
    <t>P.S. 195 - QUEENS</t>
  </si>
  <si>
    <t>P.S. 196 - QUEENS</t>
  </si>
  <si>
    <t>Q197</t>
  </si>
  <si>
    <t>825 HICKSVILLE ROAD</t>
  </si>
  <si>
    <t>P.S. 197 - QUEENS</t>
  </si>
  <si>
    <t xml:space="preserve">27Q197         </t>
  </si>
  <si>
    <t>P.S. 197 The Ocean School</t>
  </si>
  <si>
    <t>I.S. 198 - QUEENS</t>
  </si>
  <si>
    <t>P.S. 199 - QUEENS</t>
  </si>
  <si>
    <t>Q200</t>
  </si>
  <si>
    <t>70-10 164 STREET</t>
  </si>
  <si>
    <t>P.S. 200 - QUEENS</t>
  </si>
  <si>
    <t xml:space="preserve">25Q200         </t>
  </si>
  <si>
    <t>P.S./M.S. 200 - The Magnet School of Global Studies and Leadership</t>
  </si>
  <si>
    <t>P.S. 201 - QUEENS</t>
  </si>
  <si>
    <t>P.S. 201 The Discovery School for Inquiry and Research</t>
  </si>
  <si>
    <t>I.S. 202 - QUEENS</t>
  </si>
  <si>
    <t>Q203</t>
  </si>
  <si>
    <t>53-11 SPRINGFIELD BOULEVARD</t>
  </si>
  <si>
    <t>P.S. 203 - QUEENS</t>
  </si>
  <si>
    <t xml:space="preserve">26Q203         </t>
  </si>
  <si>
    <t>P.S. 203 Oakland Gardens</t>
  </si>
  <si>
    <t>I.S. 204 - QUEENS</t>
  </si>
  <si>
    <t>I.S. 204 Oliver W. Holmes</t>
  </si>
  <si>
    <t>Energy Tech High School</t>
  </si>
  <si>
    <t>P.S. 205 - QUEENS</t>
  </si>
  <si>
    <t>P.S. 205 Alexander Graham Bell</t>
  </si>
  <si>
    <t>61-02 98 Street</t>
  </si>
  <si>
    <t>P.S. 206 - QUEENS</t>
  </si>
  <si>
    <t>P.S. 206 The Horace Harding School</t>
  </si>
  <si>
    <t>PS/MS 207 Queens</t>
  </si>
  <si>
    <t>P.S./I.S. 208 - QUEENS</t>
  </si>
  <si>
    <t>P.S. 209 - QUEENS</t>
  </si>
  <si>
    <t>I.S. 210 - QUEENS</t>
  </si>
  <si>
    <t>P.S. 212 - QUEENS</t>
  </si>
  <si>
    <t>P.S. 213 - QUEENS</t>
  </si>
  <si>
    <t>P.S. 214 - QUEENS</t>
  </si>
  <si>
    <t>P.S. 214 Cadwallader Colden</t>
  </si>
  <si>
    <t>P.S. 215 - QUEENS</t>
  </si>
  <si>
    <t>J.H.S. 216 - QUEENS</t>
  </si>
  <si>
    <t>I.S. 217 - QUEENS</t>
  </si>
  <si>
    <t>P.S. 219 - QUEENS</t>
  </si>
  <si>
    <t>P.S. 219 Paul Klapper</t>
  </si>
  <si>
    <t>Q220</t>
  </si>
  <si>
    <t>62-10 108 STREET</t>
  </si>
  <si>
    <t>P.S. 220 - QUEENS</t>
  </si>
  <si>
    <t xml:space="preserve">28Q220         </t>
  </si>
  <si>
    <t>P.S. 220 Edward Mandel</t>
  </si>
  <si>
    <t>P.S. 221 - QUEENS</t>
  </si>
  <si>
    <t>P.S. 221 The North Hills School</t>
  </si>
  <si>
    <t>P.S. 222 (ECC) - QUEENS</t>
  </si>
  <si>
    <t>PK,0K,01,02</t>
  </si>
  <si>
    <t>P.S. 223 - QUEENS</t>
  </si>
  <si>
    <t>Q225</t>
  </si>
  <si>
    <t>190 BEACH 110 STREET</t>
  </si>
  <si>
    <t>P.S. 225 - QUEENS</t>
  </si>
  <si>
    <t>ROCKAWAY PARK</t>
  </si>
  <si>
    <t xml:space="preserve">27Q318         </t>
  </si>
  <si>
    <t>Q318</t>
  </si>
  <si>
    <t>Waterside School For Leadership</t>
  </si>
  <si>
    <t>I.S. 226 - QUEENS</t>
  </si>
  <si>
    <t>I.S. 227 - QUEENS</t>
  </si>
  <si>
    <t>P.S. 228 (ECC) - QUEENS</t>
  </si>
  <si>
    <t>P.S. 229 - QUEENS</t>
  </si>
  <si>
    <t>I.S. 230 - QUEENS</t>
  </si>
  <si>
    <t>JACKSON HEIGHTS</t>
  </si>
  <si>
    <t>Q231</t>
  </si>
  <si>
    <t>145-00 SPRINGFIELD BOULEVARD</t>
  </si>
  <si>
    <t>I.S. 231 (TANDEM Q251) - QUEENS</t>
  </si>
  <si>
    <t xml:space="preserve">29Q355         </t>
  </si>
  <si>
    <t>Q355</t>
  </si>
  <si>
    <t>Collaborative Arts Middle School</t>
  </si>
  <si>
    <t xml:space="preserve">29Q356         </t>
  </si>
  <si>
    <t>Q356</t>
  </si>
  <si>
    <t>Community Voices Middle School</t>
  </si>
  <si>
    <t>P.S. 232 - QUEENS</t>
  </si>
  <si>
    <t>P.S. 234 - QUEENS</t>
  </si>
  <si>
    <t>J.H.S. 237 - QUEENS</t>
  </si>
  <si>
    <t>I.S. 238 - QUEENS</t>
  </si>
  <si>
    <t>P.S. 239 - QUEENS</t>
  </si>
  <si>
    <t>P.S. 242 - (ECC) - QUEENS</t>
  </si>
  <si>
    <t>P.S. 244 ECC (@ FRANKLIN AVE) - Q</t>
  </si>
  <si>
    <t>2006</t>
  </si>
  <si>
    <t>P.S. 245 ECC - QUEENS</t>
  </si>
  <si>
    <t>69-10 65th Drive</t>
  </si>
  <si>
    <t>PS/IS 128</t>
  </si>
  <si>
    <t>P.S. 251 (TANDEM Q231) - QUEENS</t>
  </si>
  <si>
    <t>P.S. 253 -QUEENS</t>
  </si>
  <si>
    <t>P.S. 254 - QUEENS</t>
  </si>
  <si>
    <t>40-20 100TH STREET</t>
  </si>
  <si>
    <t>P.S. 307- QUEENS</t>
  </si>
  <si>
    <t>95-16 89TH AVENUE</t>
  </si>
  <si>
    <t>P.S. 262 - QUEENS</t>
  </si>
  <si>
    <t>P.S. /I.S 295 - QUEENS</t>
  </si>
  <si>
    <t>P.S./I.S. 266 - QUEENS</t>
  </si>
  <si>
    <t>P.S. 268 - QUEENS</t>
  </si>
  <si>
    <t>Q269</t>
  </si>
  <si>
    <t>86-37 53rd Avenue</t>
  </si>
  <si>
    <t>P.S./I.S. 269 - QUEENS</t>
  </si>
  <si>
    <t>P.S. 270 - QUEENS</t>
  </si>
  <si>
    <t>88-07 102ND STREET</t>
  </si>
  <si>
    <t>P.S. 273 - QUEENS</t>
  </si>
  <si>
    <t>THE WILLIAM WORDSWORTH EDUCATIONAL COMPLEX</t>
  </si>
  <si>
    <t>153-27 88th Avenue</t>
  </si>
  <si>
    <t>PS 182 SAMANTHA SMITH - QUEENS</t>
  </si>
  <si>
    <t>Q278</t>
  </si>
  <si>
    <t>88-13 PARSONS BOULEVARD</t>
  </si>
  <si>
    <t>PS 182 ANNEX - QUEENS</t>
  </si>
  <si>
    <t>Q280</t>
  </si>
  <si>
    <t>34-20 94th Street</t>
  </si>
  <si>
    <t>P.S. 280 - QUEENS</t>
  </si>
  <si>
    <t xml:space="preserve">30Q280         </t>
  </si>
  <si>
    <t>PS280Q: Home of the Lionhearts</t>
  </si>
  <si>
    <t>P.S. 330 - QUEENS</t>
  </si>
  <si>
    <t>THE GERALDINE FERRARO CAMPUS - QUEENS</t>
  </si>
  <si>
    <t>P.S. 92 - QUEENS</t>
  </si>
  <si>
    <t>33-55 74TH STREET</t>
  </si>
  <si>
    <t>I.S. 230 ANNEX - QUEENS</t>
  </si>
  <si>
    <t>50-51 98th Street</t>
  </si>
  <si>
    <t>Marie M. Daly Educational Building</t>
  </si>
  <si>
    <t>98-11 44 Avenue</t>
  </si>
  <si>
    <t>P.S./ I.S. 311 - QUEENS</t>
  </si>
  <si>
    <t>46-08 5TH STREET</t>
  </si>
  <si>
    <t>P.S./.IS. 78 - QUEENS</t>
  </si>
  <si>
    <t>45-45 42ND STREET</t>
  </si>
  <si>
    <t>THE WALTER MCCAFFREY CAMPUS - QUEENS</t>
  </si>
  <si>
    <t>88-08 164TH STREET</t>
  </si>
  <si>
    <t>P.S./ I.S. 314 - Queens</t>
  </si>
  <si>
    <t>43-18 97TH PLACE</t>
  </si>
  <si>
    <t>P.S. 315 - Queens</t>
  </si>
  <si>
    <t>90-07 101ST AVENUE</t>
  </si>
  <si>
    <t>THE OZONE PARK EDUCATIONAL CAMPUS - QUEENS</t>
  </si>
  <si>
    <t>P.S. 320 - QUEENS</t>
  </si>
  <si>
    <t>Q321</t>
  </si>
  <si>
    <t>70-24 47th Avenue</t>
  </si>
  <si>
    <t>PRE-K CENTER @47TH AVENUE - QUEENS</t>
  </si>
  <si>
    <t>Q331</t>
  </si>
  <si>
    <t>Mosaic Pre-K Center</t>
  </si>
  <si>
    <t>Q322</t>
  </si>
  <si>
    <t>89-11 43rd Avenue</t>
  </si>
  <si>
    <t>PS 14 Annex</t>
  </si>
  <si>
    <t>Q329</t>
  </si>
  <si>
    <t>26-25 97th Street</t>
  </si>
  <si>
    <t>EAST ELMHURST COMMUNITY SCHOOL - QUEENS</t>
  </si>
  <si>
    <t xml:space="preserve">30Q329         </t>
  </si>
  <si>
    <t>East Elmhurst Community School</t>
  </si>
  <si>
    <t>Bayside Hills School of Excellence</t>
  </si>
  <si>
    <t>Centreville Educational Building</t>
  </si>
  <si>
    <t>S.T.A.R. Leadership Academy</t>
  </si>
  <si>
    <t>The College Point Collaborative Educational Buildi</t>
  </si>
  <si>
    <t>39-07 57th Street</t>
  </si>
  <si>
    <t>P.S. 339 - Queens</t>
  </si>
  <si>
    <t>9 Power Road</t>
  </si>
  <si>
    <t>The Chris Galas School</t>
  </si>
  <si>
    <t>Q348</t>
  </si>
  <si>
    <t>56-01 61st Street</t>
  </si>
  <si>
    <t>PRE-K CENTER @61ST STREET - QUEENS</t>
  </si>
  <si>
    <t>Q357</t>
  </si>
  <si>
    <t>187-01 Foch Boulevard</t>
  </si>
  <si>
    <t>P.S. 36 GYM ANNEX - QUEENS</t>
  </si>
  <si>
    <t>P.S. @ 56-10 214 STREET - QUEENS</t>
  </si>
  <si>
    <t>Q363</t>
  </si>
  <si>
    <t>134-35 Springfield Boulevard</t>
  </si>
  <si>
    <t>3K CENTER @ SPRINGFIELD BOULEVARD - QUEENS</t>
  </si>
  <si>
    <t>Q381</t>
  </si>
  <si>
    <t>District 29 Pre-K Center</t>
  </si>
  <si>
    <t>Q364</t>
  </si>
  <si>
    <t>75-01 Broadway</t>
  </si>
  <si>
    <t>3K CENTER @ BROADWAY - QUEENS</t>
  </si>
  <si>
    <t>Q368</t>
  </si>
  <si>
    <t>54-25 101ST STREET</t>
  </si>
  <si>
    <t>PRE-K CENTER @ 54-25 101ST STREET - QUEENS</t>
  </si>
  <si>
    <t>Q369</t>
  </si>
  <si>
    <t>46-01 111th Street</t>
  </si>
  <si>
    <t>PRE-K CENTER @ 111TH STREET - QUEENS</t>
  </si>
  <si>
    <t>Q372</t>
  </si>
  <si>
    <t>104-14 ROOSEVELT AVENUE</t>
  </si>
  <si>
    <t>PRE-K CENTER @ 104-14 ROOSEVELT AVENUE - QUEENS</t>
  </si>
  <si>
    <t>104-04 CORONA AVENUE</t>
  </si>
  <si>
    <t>PRE-K CENTER @ CORONA AVENUE - QUEENS</t>
  </si>
  <si>
    <t>Q374</t>
  </si>
  <si>
    <t>147-65 249th Street</t>
  </si>
  <si>
    <t>Success Academy - Rosedale</t>
  </si>
  <si>
    <t xml:space="preserve">84Q337         </t>
  </si>
  <si>
    <t>Q337</t>
  </si>
  <si>
    <t>Success Academy Charter School - Rosedale</t>
  </si>
  <si>
    <t>Hunters Point</t>
  </si>
  <si>
    <t>Q378</t>
  </si>
  <si>
    <t>46-16 76 STREET</t>
  </si>
  <si>
    <t>PRE-K CENTER @46-16 76 STREET - QUEENS</t>
  </si>
  <si>
    <t>168-42 JAMAICA AVENUE</t>
  </si>
  <si>
    <t>PRE-K CENTER @168-42 JAMAICA AVENUE - QUEENS</t>
  </si>
  <si>
    <t xml:space="preserve">29Q381         </t>
  </si>
  <si>
    <t>Q382</t>
  </si>
  <si>
    <t>89-14 PARSONS BOULEVARD</t>
  </si>
  <si>
    <t>PRE-K CENTER @ 89-14 PARSONS BOULEVARD - QUEENS</t>
  </si>
  <si>
    <t>The Ezra Jack Keats Pre-K Center</t>
  </si>
  <si>
    <t>Q383</t>
  </si>
  <si>
    <t>132-10 JAMAICA AVENUE</t>
  </si>
  <si>
    <t>PRE-K CENTER @ 132-10 JAMAICA AVENUE - QUEENS</t>
  </si>
  <si>
    <t xml:space="preserve">28Q335         </t>
  </si>
  <si>
    <t>Q387</t>
  </si>
  <si>
    <t>100-01 Springfield Boulevard</t>
  </si>
  <si>
    <t>PRE-K CENTER @100-01 SPRINGFIELD GARDENS - QUEENS</t>
  </si>
  <si>
    <t>Q389</t>
  </si>
  <si>
    <t>96-10 23 AVENUE</t>
  </si>
  <si>
    <t>PRE-K CENTER @96-10 23 AVENUE - QUEENS</t>
  </si>
  <si>
    <t xml:space="preserve">30Q389         </t>
  </si>
  <si>
    <t>District 30 Pre-K Center</t>
  </si>
  <si>
    <t>109-55 128 Street</t>
  </si>
  <si>
    <t>SAINT TERESA OF AVILA SCHOOL - QUEENS</t>
  </si>
  <si>
    <t>Q391</t>
  </si>
  <si>
    <t>4415 Judge Street</t>
  </si>
  <si>
    <t>PRE-K CENTER @ 44-15 JUDGE STREET - QUEENS</t>
  </si>
  <si>
    <t>Q392</t>
  </si>
  <si>
    <t>68-20 Myrtle Avenue</t>
  </si>
  <si>
    <t>PRE-K CENTER @ 68-20 MYRTLE AVENUE - QUEENS</t>
  </si>
  <si>
    <t xml:space="preserve">24Q331         </t>
  </si>
  <si>
    <t>32-52 37th Street</t>
  </si>
  <si>
    <t>PRE-K CENTER @37TH STREET - QUEENS</t>
  </si>
  <si>
    <t>69-01 34TH AVENUE</t>
  </si>
  <si>
    <t>P.S. 398 - QUEENS</t>
  </si>
  <si>
    <t>PK,0K,01,02,03,04,SE</t>
  </si>
  <si>
    <t xml:space="preserve">AUGUST MARTIN HS - QUEENS         </t>
  </si>
  <si>
    <t>09,12,SE</t>
  </si>
  <si>
    <t>1-50 51ST AVENUE</t>
  </si>
  <si>
    <t>HUNTERS POINT CAMPUS - QUEENS</t>
  </si>
  <si>
    <t>BAYSIDE HS - Q</t>
  </si>
  <si>
    <t>Q409</t>
  </si>
  <si>
    <t>14-45 143 Street</t>
  </si>
  <si>
    <t>DDC UPK CENTER @143RD STREET - QUEENS</t>
  </si>
  <si>
    <t xml:space="preserve">25Q409         </t>
  </si>
  <si>
    <t>District 25 Pre-K Center</t>
  </si>
  <si>
    <t>Beach Channel Educational Campus</t>
  </si>
  <si>
    <t>Q412</t>
  </si>
  <si>
    <t>107-17 NORTHERN BOULEVARD</t>
  </si>
  <si>
    <t>PRE-K CENTER @NORTHERN BOULEVARD - QUEENS</t>
  </si>
  <si>
    <t>Q414</t>
  </si>
  <si>
    <t>106-02 NORTHERN BOULEVARD</t>
  </si>
  <si>
    <t>57-00 223RD STREET</t>
  </si>
  <si>
    <t>BENJAMIN N. CARDOZO HS - Q</t>
  </si>
  <si>
    <t>BAYSIDE</t>
  </si>
  <si>
    <t>Tommie Agee Educational Campus</t>
  </si>
  <si>
    <t>SPRINGFIELD GARDENS HS - Q</t>
  </si>
  <si>
    <t>Q422</t>
  </si>
  <si>
    <t>108-18 ROOSEVELT AVENUE</t>
  </si>
  <si>
    <t>PRE-K @108-18 ROOSEVELT AVENUE - QUEENS</t>
  </si>
  <si>
    <t>JOHN BOWNE HS - QUEENS</t>
  </si>
  <si>
    <t>Q426</t>
  </si>
  <si>
    <t>JOHN BOWNE FARM - QUEENS</t>
  </si>
  <si>
    <t>47-10 Barnett Avenue</t>
  </si>
  <si>
    <t>I.S. @ 47-10 Barnett Avenue - QUEENS</t>
  </si>
  <si>
    <t>06,SE</t>
  </si>
  <si>
    <t>MS 429</t>
  </si>
  <si>
    <t>FRANCIS LEWIS HS - Q</t>
  </si>
  <si>
    <t>FRANCIS LEWIS HS ANNEX - QUEENS</t>
  </si>
  <si>
    <t>MARTIN VAN BUREN HS - QUEENS</t>
  </si>
  <si>
    <t>Q437</t>
  </si>
  <si>
    <t>55-41 98 Place</t>
  </si>
  <si>
    <t>PRE-K CENTER @ 98-22 55 AVENUE - QUEENS</t>
  </si>
  <si>
    <t>445 Beach 135 Street</t>
  </si>
  <si>
    <t>P.S. 256 ANNEX - QUEENS</t>
  </si>
  <si>
    <t>Q439</t>
  </si>
  <si>
    <t>101-49 WOODHAVEN BOULEVARD</t>
  </si>
  <si>
    <t>3K CENTER @ 101-49 WOODHAVEN BOULEVARD - QUEENS</t>
  </si>
  <si>
    <t>District 27 Pre-K Center</t>
  </si>
  <si>
    <t>FOREST HILLS HS - Q</t>
  </si>
  <si>
    <t>Q442</t>
  </si>
  <si>
    <t>92-53 Springfield Boulevard</t>
  </si>
  <si>
    <t>DISTRICT 29 PRE-K CENTER @ 92-53 SPRINGFIELD BLVD</t>
  </si>
  <si>
    <t>Q445</t>
  </si>
  <si>
    <t>48-10 31 AVENUE</t>
  </si>
  <si>
    <t>WILLIAM C. BRYANT HS - Q</t>
  </si>
  <si>
    <t xml:space="preserve">30Q445         </t>
  </si>
  <si>
    <t>William Cullen Bryant High School</t>
  </si>
  <si>
    <t>28-01 41 AVENUE</t>
  </si>
  <si>
    <t>NEWCOMERS HIGH SCHOOL (OLD LIC)-Q</t>
  </si>
  <si>
    <t xml:space="preserve">30Q555         </t>
  </si>
  <si>
    <t>Q555</t>
  </si>
  <si>
    <t>Newcomers High School</t>
  </si>
  <si>
    <t xml:space="preserve">30Q417         </t>
  </si>
  <si>
    <t>Q417</t>
  </si>
  <si>
    <t>Gotham Tech High School</t>
  </si>
  <si>
    <t>Q451</t>
  </si>
  <si>
    <t>28-04 41 Avenue</t>
  </si>
  <si>
    <t>ACADEMY OF AMERICAN STUD HS - Q</t>
  </si>
  <si>
    <t>Long Island City</t>
  </si>
  <si>
    <t>LONG ISLAND CITY HS(NEW)-Q</t>
  </si>
  <si>
    <t>Q454</t>
  </si>
  <si>
    <t>123-07 22nd Avenue</t>
  </si>
  <si>
    <t>PRE-K CENTER @22ND AVENUE - QUEENS</t>
  </si>
  <si>
    <t>Q455</t>
  </si>
  <si>
    <t>48-01 90 STREET</t>
  </si>
  <si>
    <t>NEWTOWN HS - Q</t>
  </si>
  <si>
    <t xml:space="preserve">24Q455         </t>
  </si>
  <si>
    <t>Newtown High School</t>
  </si>
  <si>
    <t xml:space="preserve">24Q236         </t>
  </si>
  <si>
    <t>Q236</t>
  </si>
  <si>
    <t>International High School for Health Sciences</t>
  </si>
  <si>
    <t>HS FOR ARTS AND BUS. (OL NUTN X)-Q</t>
  </si>
  <si>
    <t>High School for Arts and Business</t>
  </si>
  <si>
    <t>Q460</t>
  </si>
  <si>
    <t>35-01 UNION STREET</t>
  </si>
  <si>
    <t>FLUSHING HS - Q</t>
  </si>
  <si>
    <t xml:space="preserve">25Q240         </t>
  </si>
  <si>
    <t>Q240</t>
  </si>
  <si>
    <t>Veritas Academy</t>
  </si>
  <si>
    <t xml:space="preserve">25Q241         </t>
  </si>
  <si>
    <t>Q241</t>
  </si>
  <si>
    <t>Queens High School for Language Studies</t>
  </si>
  <si>
    <t xml:space="preserve">25Q460         </t>
  </si>
  <si>
    <t>Flushing High School</t>
  </si>
  <si>
    <t>Q464</t>
  </si>
  <si>
    <t>185 Beach 99th Street</t>
  </si>
  <si>
    <t>3K CENTER @ BEACH 99TH STREET - QUEENS</t>
  </si>
  <si>
    <t>Q465</t>
  </si>
  <si>
    <t>8-21 BAY 25 STREET</t>
  </si>
  <si>
    <t>FAR ROCKAWAY HS - Q</t>
  </si>
  <si>
    <t xml:space="preserve">27Q309         </t>
  </si>
  <si>
    <t>Q309</t>
  </si>
  <si>
    <t>Academy of Medical Technology: A College Board School</t>
  </si>
  <si>
    <t xml:space="preserve">27Q302         </t>
  </si>
  <si>
    <t>Q302</t>
  </si>
  <si>
    <t>Queens High School for Information, Research, and Technology</t>
  </si>
  <si>
    <t xml:space="preserve">27Q282         </t>
  </si>
  <si>
    <t>Q282</t>
  </si>
  <si>
    <t>Knowledge and Power Preparatory Academy VI</t>
  </si>
  <si>
    <t xml:space="preserve">27Q260         </t>
  </si>
  <si>
    <t>Frederick Douglass Academy VI High School</t>
  </si>
  <si>
    <t>Q468</t>
  </si>
  <si>
    <t>100-02 ROCKAWAY BOULEVARD</t>
  </si>
  <si>
    <t>3K CENTER @ 100-02 ROCKAWAY BOULEVARD - QUEENS</t>
  </si>
  <si>
    <t>221-15 58 Avenue</t>
  </si>
  <si>
    <t>Benjamin N. Cardozo High School Annex</t>
  </si>
  <si>
    <t>Q470</t>
  </si>
  <si>
    <t>167-01 GOTHIC DRIVE</t>
  </si>
  <si>
    <t>JAMAICA HS - Q</t>
  </si>
  <si>
    <t xml:space="preserve">28Q350         </t>
  </si>
  <si>
    <t>Q350</t>
  </si>
  <si>
    <t>Jamaica Gateway to the Sciences</t>
  </si>
  <si>
    <t xml:space="preserve">28Q310         </t>
  </si>
  <si>
    <t>Q310</t>
  </si>
  <si>
    <t>Queens Collegiate: A College Board School</t>
  </si>
  <si>
    <t xml:space="preserve">28Q328         </t>
  </si>
  <si>
    <t>Q328</t>
  </si>
  <si>
    <t>High School for Community Leadership</t>
  </si>
  <si>
    <t xml:space="preserve">28Q325         </t>
  </si>
  <si>
    <t>Q325</t>
  </si>
  <si>
    <t>Hillside Arts &amp; Letters Academy</t>
  </si>
  <si>
    <t>Q473</t>
  </si>
  <si>
    <t>133-40 79 Street</t>
  </si>
  <si>
    <t>3K CENTER @ 133-40 79TH STREET - QUEENS</t>
  </si>
  <si>
    <t xml:space="preserve">27Q336         </t>
  </si>
  <si>
    <t>Q474</t>
  </si>
  <si>
    <t>101-20 105 STREET</t>
  </si>
  <si>
    <t>3K CENTER @ 104-06 101 AVENUE - QUEENS</t>
  </si>
  <si>
    <t>RICHMOND HILL HS - Q</t>
  </si>
  <si>
    <t>Q477</t>
  </si>
  <si>
    <t>87-40 88 STREET</t>
  </si>
  <si>
    <t>3K CENTER @ 87-40 88 STREET - QUEENS</t>
  </si>
  <si>
    <t>JOHN ADAMS HS - QUEENS</t>
  </si>
  <si>
    <t>Q483</t>
  </si>
  <si>
    <t>207-01 Jamaica Avenue</t>
  </si>
  <si>
    <t>3K CENETR @ 207-01 JAMAICA AVENUE - QUEENS</t>
  </si>
  <si>
    <t>GROVER CLEVELAND HS - Q</t>
  </si>
  <si>
    <t>Q486</t>
  </si>
  <si>
    <t>160-06 CROSS BAY BOULEVARD</t>
  </si>
  <si>
    <t>3K CENTER @ 160-06 CROSS BAY BOULEVARD - QUEENS</t>
  </si>
  <si>
    <t>207- 01 116TH  AVENUE</t>
  </si>
  <si>
    <t>CAMPUS MAGNET HS (JACKSON) - Q</t>
  </si>
  <si>
    <t>P.S./I.S. 499 - QUEENS</t>
  </si>
  <si>
    <t>HILLCREST HS - Q</t>
  </si>
  <si>
    <t>TOWNSEND HARRIS HS - Q</t>
  </si>
  <si>
    <t>MIDDLE COLLEGE CAMPUS - QUEENS</t>
  </si>
  <si>
    <t>QNS HS OF TEACH., LIB. ARTS&amp;SCI-Q</t>
  </si>
  <si>
    <t>35-12 35TH AVENUE</t>
  </si>
  <si>
    <t>FRANK SINATRA HIGH SCHOOL-Q</t>
  </si>
  <si>
    <t xml:space="preserve">10 </t>
  </si>
  <si>
    <t>ACADEMY OF AMERICAN STUDIES - QUEENS</t>
  </si>
  <si>
    <t>54-40 74TH STREET</t>
  </si>
  <si>
    <t>MASPETH HIGH SCHOOL - QUEENS</t>
  </si>
  <si>
    <t>Waterside Children's Studio School</t>
  </si>
  <si>
    <t>Q595</t>
  </si>
  <si>
    <t>162-02 HILLSIDE AVENUE</t>
  </si>
  <si>
    <t>AUX. SERV. - JAMAICA LEARN CT - Q</t>
  </si>
  <si>
    <t xml:space="preserve">28Q338         </t>
  </si>
  <si>
    <t>Q338</t>
  </si>
  <si>
    <t>Queens Satellite High School for Opportunity</t>
  </si>
  <si>
    <t>QUEENS VOC HS - Q</t>
  </si>
  <si>
    <t>Q608</t>
  </si>
  <si>
    <t>83-30 KEW GARDENS ROAD</t>
  </si>
  <si>
    <t>PRE-K CENTER @KEW GARDENS ROAD - QUEENS</t>
  </si>
  <si>
    <t>AVIATION HS - Q</t>
  </si>
  <si>
    <t>THOMAS A. EDISON VOC HS - Q</t>
  </si>
  <si>
    <t>EAGLE ACADEMY - QUEENS</t>
  </si>
  <si>
    <t>Q636</t>
  </si>
  <si>
    <t>94-25 117th Street</t>
  </si>
  <si>
    <t>RICHMOND HILL HIGH SCHOOL ANNEX - QUEENS</t>
  </si>
  <si>
    <t xml:space="preserve">27Q334         </t>
  </si>
  <si>
    <t>Q334</t>
  </si>
  <si>
    <t>Epic High School - North</t>
  </si>
  <si>
    <t>94-06 104TH STREET</t>
  </si>
  <si>
    <t>HS FOR CONST.TRADES,ENGG.,&amp; ARCH-Q</t>
  </si>
  <si>
    <t>SKILLMAN HIGH SCHOOL - QUEENS</t>
  </si>
  <si>
    <t>YOUNG WOMENS' LEADERSHIP SCHOOL - QUEENS</t>
  </si>
  <si>
    <t>METROPOLITAN AVENUE CAMPUS - QUEENS</t>
  </si>
  <si>
    <t>Queens Metropolitan High School</t>
  </si>
  <si>
    <t>HS FOR LAW ENFORCEMENT - QUEENS</t>
  </si>
  <si>
    <t>Q707</t>
  </si>
  <si>
    <t>75-40 PARSONS BOULEVARD</t>
  </si>
  <si>
    <t>R. F. KENNEDY COMM. MIDDLE/HS-Q</t>
  </si>
  <si>
    <t xml:space="preserve">25Q670         </t>
  </si>
  <si>
    <t>Q670</t>
  </si>
  <si>
    <t>Robert F. Kennedy Community High School</t>
  </si>
  <si>
    <t>P.S. 16 (OLD Q721 SPED) - QUEENS</t>
  </si>
  <si>
    <t>JOHN F. KENNEDY JR. SCHOOL - QUEENS</t>
  </si>
  <si>
    <t>21-16 44th Road</t>
  </si>
  <si>
    <t>HS FOR INFORMATION TECH - QUEENS</t>
  </si>
  <si>
    <t>QUEENS HIGH SCHOOL COMPLEX - Q</t>
  </si>
  <si>
    <t>YOUNG WOMEN'S LEADERSHIP ACADEMY- QUEENS</t>
  </si>
  <si>
    <t>45-10 94th Street</t>
  </si>
  <si>
    <t>ELMHURST EDUCATIONAL CAMPUS - Q</t>
  </si>
  <si>
    <t>09,12</t>
  </si>
  <si>
    <t>Jfk Airport-bldg #141</t>
  </si>
  <si>
    <t>AVIATION HS ANNEX-Q</t>
  </si>
  <si>
    <t>QUEENS HIGH SCHOOL FOR THE SCIENCES</t>
  </si>
  <si>
    <t>Q777</t>
  </si>
  <si>
    <t>50-15 44th Street</t>
  </si>
  <si>
    <t>PS 199 ANNEX(@ST. TERESA'S) - QUEENS</t>
  </si>
  <si>
    <t>Q781</t>
  </si>
  <si>
    <t>120-27 141st Street</t>
  </si>
  <si>
    <t>John Adams HS Annex - Queens</t>
  </si>
  <si>
    <t xml:space="preserve">84Q374         </t>
  </si>
  <si>
    <t>Success Academy Charter School - South Jamaica</t>
  </si>
  <si>
    <t>Q792</t>
  </si>
  <si>
    <t>141-25 77th Road</t>
  </si>
  <si>
    <t>NORTH QUEENS COMMUNITY HS - Q</t>
  </si>
  <si>
    <t xml:space="preserve">25Q792         </t>
  </si>
  <si>
    <t>North Queens Community High School</t>
  </si>
  <si>
    <t>Q797</t>
  </si>
  <si>
    <t>41-12 44th Street</t>
  </si>
  <si>
    <t>P.S. 150 ANNEX - QUEENS</t>
  </si>
  <si>
    <t>BACCALAUREATE SCL FOR GLOBAL ED-Q</t>
  </si>
  <si>
    <t>07,08,09,10,11,12,SE</t>
  </si>
  <si>
    <t>Q799</t>
  </si>
  <si>
    <t>188-04 91st Avenue</t>
  </si>
  <si>
    <t>CAMBRIA HEIGHTS ACADEMY - QUEENS</t>
  </si>
  <si>
    <t xml:space="preserve">29Q326         </t>
  </si>
  <si>
    <t>Q326</t>
  </si>
  <si>
    <t>Cambria Heights Academy</t>
  </si>
  <si>
    <t>221-21 Corbett Road</t>
  </si>
  <si>
    <t>P.S. 224 ANNEX - QUEENS</t>
  </si>
  <si>
    <t>P.S. 811 (OLD 187) - QUEENS</t>
  </si>
  <si>
    <t>Q814</t>
  </si>
  <si>
    <t>108-43 SUTPHIN BOULEVARD</t>
  </si>
  <si>
    <t>P.S. 82 ANNEX - QUEENS</t>
  </si>
  <si>
    <t>Q822</t>
  </si>
  <si>
    <t>114-36 202 STREET</t>
  </si>
  <si>
    <t>P.S. 811 MINISCHOOL (OLD 136 MN)-Q</t>
  </si>
  <si>
    <t>Q834</t>
  </si>
  <si>
    <t>104-12 SPRINGFIELD BLVD</t>
  </si>
  <si>
    <t>P.S. 34 MINISCHOOL - QUEENS</t>
  </si>
  <si>
    <t>109-36 204th Street</t>
  </si>
  <si>
    <t>P.S. 233 MINISCHOOL1 (OLD P134)-Q</t>
  </si>
  <si>
    <t>Q836</t>
  </si>
  <si>
    <t>P.S. 36 MINISCHOOL - QUEENS</t>
  </si>
  <si>
    <t>Q841</t>
  </si>
  <si>
    <t>48-25 37th Street</t>
  </si>
  <si>
    <t>P.S. 199 ANNEX - QUEENS</t>
  </si>
  <si>
    <t>P.S. Q023 @ Queens Children Center</t>
  </si>
  <si>
    <t>Q848</t>
  </si>
  <si>
    <t>511 SENECA AVENUE</t>
  </si>
  <si>
    <t>P.S. 81 ANNEX (OLD 75) - QUEENS</t>
  </si>
  <si>
    <t>I.S. 77 - QUEENS</t>
  </si>
  <si>
    <t>Q851</t>
  </si>
  <si>
    <t>218-01 116 AVENUE</t>
  </si>
  <si>
    <t>P.S. 147 MINISCHOOL - QUEENS</t>
  </si>
  <si>
    <t>Q858</t>
  </si>
  <si>
    <t>216-15 Peck Avenue</t>
  </si>
  <si>
    <t>PS 188 Annex</t>
  </si>
  <si>
    <t>Q860</t>
  </si>
  <si>
    <t>P.S. 60 MINISCHOOL - QUEENS</t>
  </si>
  <si>
    <t>1987</t>
  </si>
  <si>
    <t>86-02 127 Street</t>
  </si>
  <si>
    <t>P.S. 54 MINISCHOOL - QUEENS</t>
  </si>
  <si>
    <t>P.S. 55 MINISCHOOL - QUEENS</t>
  </si>
  <si>
    <t>Q866</t>
  </si>
  <si>
    <t>83-34 Kew Gardens Road</t>
  </si>
  <si>
    <t>P.S. 99 ANNEX - QUEENS</t>
  </si>
  <si>
    <t>P.S. 78 - QUEENS</t>
  </si>
  <si>
    <t>11109</t>
  </si>
  <si>
    <t>Q869</t>
  </si>
  <si>
    <t>P.S. 69 PORTABLE - QUEENS</t>
  </si>
  <si>
    <t>Portable</t>
  </si>
  <si>
    <t>1990</t>
  </si>
  <si>
    <t>114-43 142 Street</t>
  </si>
  <si>
    <t>P.S. 233 MINISCHOOL2 (OLD P752)-Q</t>
  </si>
  <si>
    <t>869 Cypress Avenue</t>
  </si>
  <si>
    <t>P.S. 88 ANNEX - QUEENS</t>
  </si>
  <si>
    <t>1945</t>
  </si>
  <si>
    <t>51ST AVENUE ACADEMY - QUEENS</t>
  </si>
  <si>
    <t>Q878</t>
  </si>
  <si>
    <t>63-25 69 STREET</t>
  </si>
  <si>
    <t>P.S. 128 ANNEX - QUEENS</t>
  </si>
  <si>
    <t>Q882</t>
  </si>
  <si>
    <t>90-36 150 STREET</t>
  </si>
  <si>
    <t>P.S. 182 - QUEENS</t>
  </si>
  <si>
    <t>P.S. 65 - QUEENS</t>
  </si>
  <si>
    <t>35-59 81ST STREET</t>
  </si>
  <si>
    <t>RENAISSANCE CHARTER SCHOOL - Q</t>
  </si>
  <si>
    <t>47-07 30th Place</t>
  </si>
  <si>
    <t>R. F. WAGNER SEC SCL ARTS &amp; TECH-Q</t>
  </si>
  <si>
    <t>Q892</t>
  </si>
  <si>
    <t>199-10 112 AVENUE</t>
  </si>
  <si>
    <t>P.S. 892 - QUEENS</t>
  </si>
  <si>
    <t xml:space="preserve">29Q360         </t>
  </si>
  <si>
    <t>Q360</t>
  </si>
  <si>
    <t>12 Marvin Street</t>
  </si>
  <si>
    <t>P.S. 43 ANNEX - QUEENS</t>
  </si>
  <si>
    <t>Q908</t>
  </si>
  <si>
    <t>98-07 38th Avenue</t>
  </si>
  <si>
    <t>P.S. 908 - QUEENS</t>
  </si>
  <si>
    <t>Flushing</t>
  </si>
  <si>
    <t>Q972</t>
  </si>
  <si>
    <t>27-35 JACKSON AVENUE</t>
  </si>
  <si>
    <t>ADULT BASIC EDUCATION - QUEENS</t>
  </si>
  <si>
    <t>Q979</t>
  </si>
  <si>
    <t>P.S. 177 TEMP. C.R. BLDG. - Q</t>
  </si>
  <si>
    <t>Temp. Classroom Bldg</t>
  </si>
  <si>
    <t>I.S. 217 TEMP. C.R. BLDG. - Q</t>
  </si>
  <si>
    <t>R001</t>
  </si>
  <si>
    <t>58 SUMMIT STREET</t>
  </si>
  <si>
    <t>P.S. 1 - STATEN ISLAND</t>
  </si>
  <si>
    <t>STATEN ISLAND</t>
  </si>
  <si>
    <t>10307</t>
  </si>
  <si>
    <t>COMMUNITY SCHOOL DISTRICT 31</t>
  </si>
  <si>
    <t xml:space="preserve">31R001         </t>
  </si>
  <si>
    <t>P.S. 001 Tottenville</t>
  </si>
  <si>
    <t>I.S. 2 - STATEN ISLAND</t>
  </si>
  <si>
    <t>10306</t>
  </si>
  <si>
    <t>P.S. 3 - STATEN ISLAND</t>
  </si>
  <si>
    <t>10309</t>
  </si>
  <si>
    <t>P.S. 4 - STATEN ISLAND</t>
  </si>
  <si>
    <t>10312</t>
  </si>
  <si>
    <t>348 DEISIUS STREET</t>
  </si>
  <si>
    <t>P.S. 5 - STATEN ISLAND</t>
  </si>
  <si>
    <t>P.S. 6 - STATEN ISLAND</t>
  </si>
  <si>
    <t>I.S. 7 - STATEN ISLAND</t>
  </si>
  <si>
    <t>P.S. 8 - STATEN ISLAND</t>
  </si>
  <si>
    <t>10308</t>
  </si>
  <si>
    <t>P.S. 8 Shirlee Solomon</t>
  </si>
  <si>
    <t>85 Garretson Avenue</t>
  </si>
  <si>
    <t>P.S. 11 - STATEN ISLAND</t>
  </si>
  <si>
    <t>10304</t>
  </si>
  <si>
    <t>P.S. 13 - STATEN ISLAND</t>
  </si>
  <si>
    <t>10305</t>
  </si>
  <si>
    <t>P.S. 14 - STATEN ISLAND</t>
  </si>
  <si>
    <t>P.S. 16 - STATEN ISLAND</t>
  </si>
  <si>
    <t>10301</t>
  </si>
  <si>
    <t>P.S. 016 John J. Driscoll</t>
  </si>
  <si>
    <t>Fort Hill Collaborative Elementary School</t>
  </si>
  <si>
    <t>P.S. 18 - STATEN ISLAND</t>
  </si>
  <si>
    <t>10310</t>
  </si>
  <si>
    <t>P.S. 19 - STATEN ISLAND</t>
  </si>
  <si>
    <t>P.S. 20 - STATEN ISLAND</t>
  </si>
  <si>
    <t>10302</t>
  </si>
  <si>
    <t>P.S. 21 - STATEN ISLAND</t>
  </si>
  <si>
    <t>P.S. 22 - STATEN ISLAND</t>
  </si>
  <si>
    <t>10303</t>
  </si>
  <si>
    <t>P.S. 23 - STATEN ISLAND</t>
  </si>
  <si>
    <t>P.S. 023 Richmondtown</t>
  </si>
  <si>
    <t>I.S. 24 - STATEN ISLAND</t>
  </si>
  <si>
    <t>4210 ARTHUR KILL ROAD</t>
  </si>
  <si>
    <t>P.S. 25 ANNEX (OLD 4) - S. I.</t>
  </si>
  <si>
    <t>P.S. 26 - STATEN ISLAND</t>
  </si>
  <si>
    <t>1880</t>
  </si>
  <si>
    <t>10314</t>
  </si>
  <si>
    <t>P.S. 026 The Carteret School</t>
  </si>
  <si>
    <t>I.S. 27 - STATEN ISLAND</t>
  </si>
  <si>
    <t>I.S. 027 Anning S. Prall</t>
  </si>
  <si>
    <t>P.S. 29 - STATEN ISLAND</t>
  </si>
  <si>
    <t>P.S. 029 Bardwell</t>
  </si>
  <si>
    <t>P.S. 30 - STATEN ISLAND</t>
  </si>
  <si>
    <t>P.S. 31 - STATEN ISLAND</t>
  </si>
  <si>
    <t>P.S. 031 William T. Davis</t>
  </si>
  <si>
    <t>P.S. 32 - STATEN ISLAND</t>
  </si>
  <si>
    <t>I.S. 34 (OLD TOTTENVILLE) - S.I</t>
  </si>
  <si>
    <t>P.S. 35 - STATEN ISLAND</t>
  </si>
  <si>
    <t>P.S. 35 The Clove Valley School</t>
  </si>
  <si>
    <t>P.S. 36 - STATEN ISLAND</t>
  </si>
  <si>
    <t>P.S. 38 - STATEN ISLAND</t>
  </si>
  <si>
    <t>P.S. 038 George Cromwell</t>
  </si>
  <si>
    <t>P.S. 39 - STATEN ISLAND</t>
  </si>
  <si>
    <t>P.S. 373 (OLD P40) - STATEN ISLAND</t>
  </si>
  <si>
    <t>R041</t>
  </si>
  <si>
    <t>216 CLAWSON STREET</t>
  </si>
  <si>
    <t>P.S. 41 - STATEN ISLAND</t>
  </si>
  <si>
    <t xml:space="preserve">31R041         </t>
  </si>
  <si>
    <t>The Stephanie A. Vierno School</t>
  </si>
  <si>
    <t>P.S. 42 - STATEN ISLAND</t>
  </si>
  <si>
    <t>JEROME PARKER CAMPUS - S.I.</t>
  </si>
  <si>
    <t>P.S. 44 - STATEN ISLAND</t>
  </si>
  <si>
    <t>P.S. 45 - STATEN ISLAND</t>
  </si>
  <si>
    <t>R046</t>
  </si>
  <si>
    <t>41 REID AVENUE</t>
  </si>
  <si>
    <t>P.S. 46 - STATEN ISLAND</t>
  </si>
  <si>
    <t xml:space="preserve">31R046         </t>
  </si>
  <si>
    <t>P.S. 046 Albert V. Maniscalco</t>
  </si>
  <si>
    <t>P.S. 48 - STATEN ISLAND</t>
  </si>
  <si>
    <t>I.S. 49 - STATEN ISLAND</t>
  </si>
  <si>
    <t>The Eagle Academy for Young Men of Staten Island</t>
  </si>
  <si>
    <t>I.S. 49 Berta A. Dreyfus</t>
  </si>
  <si>
    <t>R050</t>
  </si>
  <si>
    <t>200 ADELAIDE AVENUE</t>
  </si>
  <si>
    <t>P.S. 50 - STATEN ISLAND</t>
  </si>
  <si>
    <t xml:space="preserve">31R050         </t>
  </si>
  <si>
    <t>P.S. 050 Frank Hankinson</t>
  </si>
  <si>
    <t>I.S. 51 - STATEN ISLAND</t>
  </si>
  <si>
    <t>P.S. 52 - STATEN ISLAND</t>
  </si>
  <si>
    <t>P.S. 53 - STATEN ISLAND</t>
  </si>
  <si>
    <t>The Barbara Esselborn School</t>
  </si>
  <si>
    <t>P.S. 54 - STATEN ISLAND</t>
  </si>
  <si>
    <t>P.S. 054 Charles W. Leng</t>
  </si>
  <si>
    <t>P.S. 55 - STATEN ISLAND</t>
  </si>
  <si>
    <t>P.S. 56 - STATEN ISLAND</t>
  </si>
  <si>
    <t>P.S. 57 - STATEN ISLAND</t>
  </si>
  <si>
    <t>P.S. 58 - STATEN ISLAND</t>
  </si>
  <si>
    <t>THE HARBOR VIEW SCHOOL - STATEN ISLAND</t>
  </si>
  <si>
    <t>P.S. 60 - STATEN ISLAND</t>
  </si>
  <si>
    <t>I.S. 61 - STATEN ISLAND</t>
  </si>
  <si>
    <t>K.GRIMM SCL FOR LDRSHP&amp;SUSTAINABLTY@SANDY GR -S.I.</t>
  </si>
  <si>
    <t>ECC @1625 FOREST AVENUE - STATEN ISLAND</t>
  </si>
  <si>
    <t>STATEN IS</t>
  </si>
  <si>
    <t>1 TELEPORT DRIVE</t>
  </si>
  <si>
    <t>PRE-K CENTER @ 1 TELEPORT DRIVE - STATEN ISLAND</t>
  </si>
  <si>
    <t>The Richmond Pre-K Center</t>
  </si>
  <si>
    <t>P.S. 69 - STATEN ISLAND</t>
  </si>
  <si>
    <t>45 Waverly Place</t>
  </si>
  <si>
    <t>Evelyn M. King Campus</t>
  </si>
  <si>
    <t xml:space="preserve">31R085         </t>
  </si>
  <si>
    <t>06,07,SE</t>
  </si>
  <si>
    <t>R085</t>
  </si>
  <si>
    <t>The Young Women’s Leadership School of Staten Island</t>
  </si>
  <si>
    <t>The Waverly Academy of Empowered Learners</t>
  </si>
  <si>
    <t>P.S./I.S. 48 - Staten Island</t>
  </si>
  <si>
    <t>I.S. 72 - STATEN ISLAND</t>
  </si>
  <si>
    <t>10 Elm Street</t>
  </si>
  <si>
    <t>3K CENTER @ 1390 RICHMOND TERRACE - STATEN ISLAND</t>
  </si>
  <si>
    <t>I.S. 75 - STATEN ISLAND</t>
  </si>
  <si>
    <t>R077</t>
  </si>
  <si>
    <t>120 STUYVESANT PLACE</t>
  </si>
  <si>
    <t>PRE-K CENTER @ 120 STUYVESANT PLACE - S.I.</t>
  </si>
  <si>
    <t xml:space="preserve">31R066         </t>
  </si>
  <si>
    <t>REGION 7/ ROC  F - STATEN ISLAND</t>
  </si>
  <si>
    <t>R082</t>
  </si>
  <si>
    <t>104 Gordon Street</t>
  </si>
  <si>
    <t>I.S./H.S. 82 - STATEN ISLAND</t>
  </si>
  <si>
    <t>Richard H. Hungerford School</t>
  </si>
  <si>
    <t>15a Fairfield Street</t>
  </si>
  <si>
    <t>D75 REPLACEMENT @ 15 FAIRFIELD STREET - S.I.</t>
  </si>
  <si>
    <t>R090</t>
  </si>
  <si>
    <t>1535 RICHMOND AVENUE</t>
  </si>
  <si>
    <t>3K CENTER @ 1535 RICHMOND AVENUE - STATEN ISLAND</t>
  </si>
  <si>
    <t>R091</t>
  </si>
  <si>
    <t>20 EBBITTS STREET</t>
  </si>
  <si>
    <t>3K CENTER @ EBBITTS STREET - STATEN ISLAND</t>
  </si>
  <si>
    <t>R093</t>
  </si>
  <si>
    <t>2530 VICTORY BOULEVARD</t>
  </si>
  <si>
    <t>3K CENTER @ 2530 VICTORY BOULEVARD - STATEN ISLAND</t>
  </si>
  <si>
    <t>R094</t>
  </si>
  <si>
    <t>104 HOUSMAN AVENUE</t>
  </si>
  <si>
    <t>3K CENTER @ 104 HOUSMAN AVENUE - STATEN ISLAND</t>
  </si>
  <si>
    <t>R096</t>
  </si>
  <si>
    <t>2040 Forest Avenue</t>
  </si>
  <si>
    <t>3K CENTER @ 2040 FOREST AVENUE - STATEN ISLAND</t>
  </si>
  <si>
    <t>R100</t>
  </si>
  <si>
    <t>2389 Richmond Avenue</t>
  </si>
  <si>
    <t>3K CENTER @ 2389 RICHMOND AVENUE - STATEN ISLAND</t>
  </si>
  <si>
    <t>R101</t>
  </si>
  <si>
    <t>1275 Woodrow Road</t>
  </si>
  <si>
    <t>3K CENTER @ 1275 WOODROW ROAD - STATEN ISLAND</t>
  </si>
  <si>
    <t>R110</t>
  </si>
  <si>
    <t>1800 Richmond Terrace</t>
  </si>
  <si>
    <t>3K CENTER @ RICHMOND TERRACE - STATEN ISLAND</t>
  </si>
  <si>
    <t>R112</t>
  </si>
  <si>
    <t>375 Tompkins Avenue</t>
  </si>
  <si>
    <t>3K CENTER @ TOMPKINS AVENUE - STATEN ISLAND</t>
  </si>
  <si>
    <t>R113</t>
  </si>
  <si>
    <t>841 FATHER CAPODANNO BOULEVARD</t>
  </si>
  <si>
    <t>3K CENTER @ FATHER CAPODANNO BOULEVARD - STATEN IS</t>
  </si>
  <si>
    <t>30 Wellbrook Avenue</t>
  </si>
  <si>
    <t>R083 REPLACEMENT @ WELLBROOK AVENUE – STATEN ISLAN</t>
  </si>
  <si>
    <t>NEW DORP HS (NEW) - S. I.</t>
  </si>
  <si>
    <t>STATEN ISLAND TECHNICAL HS - S.I.</t>
  </si>
  <si>
    <t>PORT RICHMOND HS - S. I.</t>
  </si>
  <si>
    <t>CURTIS HS - S. I.</t>
  </si>
  <si>
    <t>105b Hamilton Avenue</t>
  </si>
  <si>
    <t>CURTIS HIGH SCHOOL ANNEX - STATEN ISLAND</t>
  </si>
  <si>
    <t>TOTTENVILLE HS - S. I.</t>
  </si>
  <si>
    <t>SUSAN E. WAGNER HS - S. I.</t>
  </si>
  <si>
    <t>SUSAN E. WAGNER HS ANNEX - STATEN ISLAND</t>
  </si>
  <si>
    <t>R470</t>
  </si>
  <si>
    <t>109 RHINE AVENUE</t>
  </si>
  <si>
    <t>CONCORD HS (OLD 12) - S.I.</t>
  </si>
  <si>
    <t xml:space="preserve">31R470         </t>
  </si>
  <si>
    <t>Concord High School</t>
  </si>
  <si>
    <t>RALPH MCKEE VOC HS - S. I.</t>
  </si>
  <si>
    <t>R701</t>
  </si>
  <si>
    <t>58 Summit Street</t>
  </si>
  <si>
    <t>P.S. 1 GYM ANNEX - STATEN ISLAND</t>
  </si>
  <si>
    <t>AUX. SERV - ST. GEORGE SCHOOL-S.I.</t>
  </si>
  <si>
    <t>R802</t>
  </si>
  <si>
    <t>P.S. 1 ANNEX - STATEN ISLAND</t>
  </si>
  <si>
    <t>R825</t>
  </si>
  <si>
    <t>P.S. 25 (MOUNT LORETTO) - S.I.</t>
  </si>
  <si>
    <t>6581 Hylan Boulevard</t>
  </si>
  <si>
    <t>P.S. 3 ANNEX - STATEN ISLAND</t>
  </si>
  <si>
    <t>ARTHUR D. PHILLIPS SCHOOL - S.I.</t>
  </si>
  <si>
    <t>R831</t>
  </si>
  <si>
    <t>211 DANIEL LOW TERRACE</t>
  </si>
  <si>
    <t>P.S. 74 - STATEN ISLAND</t>
  </si>
  <si>
    <t xml:space="preserve">31R074         </t>
  </si>
  <si>
    <t>P.S. 74 Future Leaders Elementary School</t>
  </si>
  <si>
    <t>P.S. 37 ( OLD I24X)-STATEN ISLAND</t>
  </si>
  <si>
    <t>200 Jefferson Blvd</t>
  </si>
  <si>
    <t>P.S. 36 ANNEX - STATEN ISLAND</t>
  </si>
  <si>
    <t>R848</t>
  </si>
  <si>
    <t>25 AUGUSTA AVENUE</t>
  </si>
  <si>
    <t>P.S. 42 ANNEX - STATEN ISLAND</t>
  </si>
  <si>
    <t>ELIZABETH A. CONNELLY CAMPUS - S.I.</t>
  </si>
  <si>
    <t>P.S. 80 (PETR COMPL-BLDG B) - S.I.</t>
  </si>
  <si>
    <t>R883</t>
  </si>
  <si>
    <t>P.S. 80 AX(PETR COMPL-BLDG K)-S.I.</t>
  </si>
  <si>
    <t>R885</t>
  </si>
  <si>
    <t>P.S. 80 AX(PETR COMPL-BLDG D)-S.I.</t>
  </si>
  <si>
    <t>R886</t>
  </si>
  <si>
    <t>P.S. 80 AX(PETR COMPL-BLDG C)-S.I.</t>
  </si>
  <si>
    <t>R887</t>
  </si>
  <si>
    <t>P.S. 80 AX(PETR COMPL-BLDG E)-S.I.</t>
  </si>
  <si>
    <t>P.S. 373 TEMP. C.R. BLDG. - S.I.</t>
  </si>
  <si>
    <t>X001</t>
  </si>
  <si>
    <t>335 EAST 152 STREET</t>
  </si>
  <si>
    <t>P.S. 1 - BRONX</t>
  </si>
  <si>
    <t>BRONX</t>
  </si>
  <si>
    <t>10451</t>
  </si>
  <si>
    <t>COMMUNITY SCHOOL DISTRICT 07</t>
  </si>
  <si>
    <t xml:space="preserve">07X001         </t>
  </si>
  <si>
    <t>P.S. 001 Courtlandt School</t>
  </si>
  <si>
    <t>X002</t>
  </si>
  <si>
    <t>1363 FULTON AVENUE</t>
  </si>
  <si>
    <t>MORRISANIA SEC ED COMPLEX-X</t>
  </si>
  <si>
    <t>10456</t>
  </si>
  <si>
    <t xml:space="preserve">09X260         </t>
  </si>
  <si>
    <t>X260</t>
  </si>
  <si>
    <t>Bronx Center for Science and Mathematics</t>
  </si>
  <si>
    <t xml:space="preserve">09X250         </t>
  </si>
  <si>
    <t>X250</t>
  </si>
  <si>
    <t>Eximius College Preparatory Academy: A College Board School</t>
  </si>
  <si>
    <t>P.S. 3 - BRONX</t>
  </si>
  <si>
    <t>10457</t>
  </si>
  <si>
    <t>COMMUNITY SCHOOL DISTRICT 10</t>
  </si>
  <si>
    <t>1701 Fulton Avenue</t>
  </si>
  <si>
    <t>P.S. 4 - BRONX</t>
  </si>
  <si>
    <t xml:space="preserve">84X133         </t>
  </si>
  <si>
    <t>X133</t>
  </si>
  <si>
    <t>Icahn Charter School 6</t>
  </si>
  <si>
    <t>COMMUNITY SCHOOL DISTRICT 09</t>
  </si>
  <si>
    <t>P.S./M.S. 004 Crotona Park West</t>
  </si>
  <si>
    <t>X005</t>
  </si>
  <si>
    <t>564 JACKSON AVENUE</t>
  </si>
  <si>
    <t>P.S. 5 - BRONX</t>
  </si>
  <si>
    <t>10455</t>
  </si>
  <si>
    <t xml:space="preserve">07X005         </t>
  </si>
  <si>
    <t>P.S. 5 Port Morris</t>
  </si>
  <si>
    <t>X006</t>
  </si>
  <si>
    <t>1000 EAST TREMONT AVENUE</t>
  </si>
  <si>
    <t>P.S. 6 - BRONX</t>
  </si>
  <si>
    <t>10460</t>
  </si>
  <si>
    <t>COMMUNITY SCHOOL DISTRICT 12</t>
  </si>
  <si>
    <t xml:space="preserve">12X006         </t>
  </si>
  <si>
    <t>P.S. 006 West Farms</t>
  </si>
  <si>
    <t>X007</t>
  </si>
  <si>
    <t>3201 KINGSBRIDGE AVENUE</t>
  </si>
  <si>
    <t>P.S. 7 - BRONX</t>
  </si>
  <si>
    <t>10463</t>
  </si>
  <si>
    <t xml:space="preserve">10X007         </t>
  </si>
  <si>
    <t>Milton Fein School</t>
  </si>
  <si>
    <t>P.S. 8 - BRONX</t>
  </si>
  <si>
    <t>10458</t>
  </si>
  <si>
    <t>P.S. 008 Isaac Varian</t>
  </si>
  <si>
    <t>P.S. 9 (OLD 115) - BRONX</t>
  </si>
  <si>
    <t>P.S. 11 - BRONX</t>
  </si>
  <si>
    <t>10452</t>
  </si>
  <si>
    <t>2555 TRATMAN AVENUE</t>
  </si>
  <si>
    <t>P.S. 12 - BRONX</t>
  </si>
  <si>
    <t>10461</t>
  </si>
  <si>
    <t>P.S. 14 - BRONX</t>
  </si>
  <si>
    <t>COMMUNITY SCHOOL DISTRICT 08</t>
  </si>
  <si>
    <t>P.S. 15 - BRONX</t>
  </si>
  <si>
    <t>10453</t>
  </si>
  <si>
    <t>4550 CARPENTER AVENUE</t>
  </si>
  <si>
    <t>P.S. 16 - BRONX</t>
  </si>
  <si>
    <t>10470</t>
  </si>
  <si>
    <t>COMMUNITY SCHOOL DISTRICT 11</t>
  </si>
  <si>
    <t xml:space="preserve">11X016         </t>
  </si>
  <si>
    <t>X018</t>
  </si>
  <si>
    <t>502 MORRIS AVENUE</t>
  </si>
  <si>
    <t>P.S. 18 - BRONX</t>
  </si>
  <si>
    <t xml:space="preserve">07X018         </t>
  </si>
  <si>
    <t>P.S. 018 John Peter Zenger</t>
  </si>
  <si>
    <t>P.S. 19 - BRONX</t>
  </si>
  <si>
    <t>P.S. 20 - BRONX</t>
  </si>
  <si>
    <t>10467</t>
  </si>
  <si>
    <t>X021</t>
  </si>
  <si>
    <t>715 EAST 225 STREET</t>
  </si>
  <si>
    <t>P.S. 21 - BRONX</t>
  </si>
  <si>
    <t>10466</t>
  </si>
  <si>
    <t xml:space="preserve">11X021         </t>
  </si>
  <si>
    <t>P.S. 021 Philip H. Sheridan</t>
  </si>
  <si>
    <t>I.S. 22 - BRONX</t>
  </si>
  <si>
    <t>P.S. 23 - BRONX</t>
  </si>
  <si>
    <t>X024</t>
  </si>
  <si>
    <t>660 WEST 236 STREET</t>
  </si>
  <si>
    <t>P.S. 24 - BRONX</t>
  </si>
  <si>
    <t xml:space="preserve">10X024         </t>
  </si>
  <si>
    <t>P.S. 024 Spuyten Duyvil</t>
  </si>
  <si>
    <t>X025</t>
  </si>
  <si>
    <t>811 EAST 149 STREET</t>
  </si>
  <si>
    <t>P.S. 25 - BRONX</t>
  </si>
  <si>
    <t xml:space="preserve">07X025         </t>
  </si>
  <si>
    <t>P.S. 025 Bilingual School</t>
  </si>
  <si>
    <t>X026</t>
  </si>
  <si>
    <t>1930 ANDREWS AVENUE</t>
  </si>
  <si>
    <t>P.S. 396 - BRONX</t>
  </si>
  <si>
    <t xml:space="preserve">10X390         </t>
  </si>
  <si>
    <t>X390</t>
  </si>
  <si>
    <t>M.S. 390</t>
  </si>
  <si>
    <t xml:space="preserve">10X396         </t>
  </si>
  <si>
    <t>X396</t>
  </si>
  <si>
    <t>P.S. 396</t>
  </si>
  <si>
    <t>X027</t>
  </si>
  <si>
    <t>519 ST ANNS AVENUE</t>
  </si>
  <si>
    <t>P.S. 277 - BRONX</t>
  </si>
  <si>
    <t xml:space="preserve">07X277         </t>
  </si>
  <si>
    <t>X277</t>
  </si>
  <si>
    <t>P.S. 277</t>
  </si>
  <si>
    <t>X028</t>
  </si>
  <si>
    <t>1861 ANTHONY AVENUE</t>
  </si>
  <si>
    <t>P.S. 28 - BRONX</t>
  </si>
  <si>
    <t xml:space="preserve">09X028         </t>
  </si>
  <si>
    <t>P.S. 028 Mount Hope</t>
  </si>
  <si>
    <t>X029</t>
  </si>
  <si>
    <t>758 COURTLANDT AVENUE</t>
  </si>
  <si>
    <t>P.S. 29 - BRONX</t>
  </si>
  <si>
    <t xml:space="preserve">07X029         </t>
  </si>
  <si>
    <t>P.S./M.S. 029 Melrose School</t>
  </si>
  <si>
    <t>X030</t>
  </si>
  <si>
    <t>510 EAST 141 STREET</t>
  </si>
  <si>
    <t>P.S. 30 - BRONX</t>
  </si>
  <si>
    <t>10454</t>
  </si>
  <si>
    <t xml:space="preserve">84X471         </t>
  </si>
  <si>
    <t>X471</t>
  </si>
  <si>
    <t>American Dream Charter School</t>
  </si>
  <si>
    <t xml:space="preserve">07X030         </t>
  </si>
  <si>
    <t>P.S. 030 Wilton</t>
  </si>
  <si>
    <t>P.S. 32 - BRONX</t>
  </si>
  <si>
    <t>P.S. 032 Belmont</t>
  </si>
  <si>
    <t>2424 JEROME AVENUE</t>
  </si>
  <si>
    <t>P.S. 33 - BRONX</t>
  </si>
  <si>
    <t>10468</t>
  </si>
  <si>
    <t>P.S. 033 Timothy Dwight</t>
  </si>
  <si>
    <t>P.S. 34 - BRONX</t>
  </si>
  <si>
    <t>X035</t>
  </si>
  <si>
    <t>261 EAST 163 STREET</t>
  </si>
  <si>
    <t>P.S. 35 - BRONX</t>
  </si>
  <si>
    <t xml:space="preserve">09X035         </t>
  </si>
  <si>
    <t>P.S. 035 Franz Siegel</t>
  </si>
  <si>
    <t>P.S. 36 - BRONX</t>
  </si>
  <si>
    <t>10472</t>
  </si>
  <si>
    <t>P.S. 37 - BRONX</t>
  </si>
  <si>
    <t>X039</t>
  </si>
  <si>
    <t>965 LONGWOOD AVENUE</t>
  </si>
  <si>
    <t>NEW SCH FOR ARTS AND SCIENCE - X</t>
  </si>
  <si>
    <t>10459</t>
  </si>
  <si>
    <t xml:space="preserve">08X530         </t>
  </si>
  <si>
    <t>X530</t>
  </si>
  <si>
    <t>Longwood Preparatory Academy</t>
  </si>
  <si>
    <t>P.S. 220 - BRONX</t>
  </si>
  <si>
    <t>P.S. 41 - BRONX</t>
  </si>
  <si>
    <t>P.S. 041 Gun Hill Road</t>
  </si>
  <si>
    <t>X042</t>
  </si>
  <si>
    <t>1537 WASHINGTON AVENUE</t>
  </si>
  <si>
    <t>P.S. 42 - BRONX</t>
  </si>
  <si>
    <t xml:space="preserve">09X042         </t>
  </si>
  <si>
    <t>P.S. 042 Claremont</t>
  </si>
  <si>
    <t>X043</t>
  </si>
  <si>
    <t>165 BROWN PLACE</t>
  </si>
  <si>
    <t>P.S. 43 - BRONX</t>
  </si>
  <si>
    <t xml:space="preserve">07X043         </t>
  </si>
  <si>
    <t>P.S. 043 Jonas Bronck</t>
  </si>
  <si>
    <t>X044</t>
  </si>
  <si>
    <t>1825 PROSPECT AVENUE</t>
  </si>
  <si>
    <t>P.S. 44 - BRONX</t>
  </si>
  <si>
    <t xml:space="preserve">84X598         </t>
  </si>
  <si>
    <t>0K,01,02,06,07,08</t>
  </si>
  <si>
    <t>X598</t>
  </si>
  <si>
    <t>KIPP Freedom Charter School</t>
  </si>
  <si>
    <t xml:space="preserve">12X044         </t>
  </si>
  <si>
    <t>P.S. 044 David C. Farragut</t>
  </si>
  <si>
    <t>I.S. 45 - BRONX</t>
  </si>
  <si>
    <t>Thomas C. Giordano Middle School 45</t>
  </si>
  <si>
    <t>P.S. 46 - BRONX</t>
  </si>
  <si>
    <t>X047</t>
  </si>
  <si>
    <t>1794 EAST 172 STREET</t>
  </si>
  <si>
    <t>P.S. 47 - BRONX</t>
  </si>
  <si>
    <t xml:space="preserve">12X047         </t>
  </si>
  <si>
    <t>P.S. 047 John Randolph</t>
  </si>
  <si>
    <t>P.S. 48 - BRONX</t>
  </si>
  <si>
    <t>10474</t>
  </si>
  <si>
    <t>X049</t>
  </si>
  <si>
    <t>383 EAST 139 STREET</t>
  </si>
  <si>
    <t>P.S. 49 - BRONX</t>
  </si>
  <si>
    <t xml:space="preserve">07X049         </t>
  </si>
  <si>
    <t>P.S. 049 Willis Avenue</t>
  </si>
  <si>
    <t>X050</t>
  </si>
  <si>
    <t>1550 VYSE AVENUE</t>
  </si>
  <si>
    <t>P.S. 50 - BRONX</t>
  </si>
  <si>
    <t xml:space="preserve">12X314         </t>
  </si>
  <si>
    <t>X314</t>
  </si>
  <si>
    <t>Fairmont Neighborhood School</t>
  </si>
  <si>
    <t>I.S. 302 - BRONX</t>
  </si>
  <si>
    <t>X053</t>
  </si>
  <si>
    <t>360 EAST 168 STREET</t>
  </si>
  <si>
    <t>P.S. 53 - BRONX</t>
  </si>
  <si>
    <t xml:space="preserve">09X053         </t>
  </si>
  <si>
    <t>P.S. 053 Basheer Quisim</t>
  </si>
  <si>
    <t>P.S. 54 - BRONX</t>
  </si>
  <si>
    <t>X055</t>
  </si>
  <si>
    <t>450 SAINT PAUL'S PLACE</t>
  </si>
  <si>
    <t>P.S. 55 - BRONX</t>
  </si>
  <si>
    <t xml:space="preserve">09X055         </t>
  </si>
  <si>
    <t>P.S. 055 Benjamin Franklin</t>
  </si>
  <si>
    <t>P.S. 56 - BRONX</t>
  </si>
  <si>
    <t>X057</t>
  </si>
  <si>
    <t>2111 CROTONA AVENUE</t>
  </si>
  <si>
    <t>P.S. 57 - BRONX</t>
  </si>
  <si>
    <t xml:space="preserve">12X057         </t>
  </si>
  <si>
    <t>P.S. 057 Crescent</t>
  </si>
  <si>
    <t xml:space="preserve">12X273         </t>
  </si>
  <si>
    <t>X273</t>
  </si>
  <si>
    <t>Frederick Douglass Academy V. Middle School</t>
  </si>
  <si>
    <t>X058</t>
  </si>
  <si>
    <t>459 EAST 176 STREET</t>
  </si>
  <si>
    <t>P.S. 58 - BRONX</t>
  </si>
  <si>
    <t xml:space="preserve">09X058         </t>
  </si>
  <si>
    <t>P.S. 058</t>
  </si>
  <si>
    <t>P.S. 59 - BRONX</t>
  </si>
  <si>
    <t>P.S. 059 The Community School of Technology</t>
  </si>
  <si>
    <t>P.S. 333 - BRONX</t>
  </si>
  <si>
    <t>X061</t>
  </si>
  <si>
    <t>1550 CROTONA PARK EAST</t>
  </si>
  <si>
    <t>P.S. 61 - BRONX</t>
  </si>
  <si>
    <t xml:space="preserve">12X061         </t>
  </si>
  <si>
    <t>P.S. 061 Francisco Oller</t>
  </si>
  <si>
    <t xml:space="preserve">12X190         </t>
  </si>
  <si>
    <t>X190</t>
  </si>
  <si>
    <t>E.S.M.T- I.S. 190</t>
  </si>
  <si>
    <t>X062</t>
  </si>
  <si>
    <t>660 FOX STREET</t>
  </si>
  <si>
    <t>P.S. 62 - BRONX</t>
  </si>
  <si>
    <t xml:space="preserve">08X062         </t>
  </si>
  <si>
    <t>P.S. 062 Inocensio Casanova</t>
  </si>
  <si>
    <t>X063</t>
  </si>
  <si>
    <t>1260 FRANKLIN AVENUE</t>
  </si>
  <si>
    <t>P.S. 63 - BRONX</t>
  </si>
  <si>
    <t>Mott Hall Charter School</t>
  </si>
  <si>
    <t xml:space="preserve">09X063         </t>
  </si>
  <si>
    <t>P.S. 063 Author's Academy</t>
  </si>
  <si>
    <t>X064</t>
  </si>
  <si>
    <t>1425 WALTON AVENUE</t>
  </si>
  <si>
    <t>P.S. 64 - BRONX</t>
  </si>
  <si>
    <t xml:space="preserve">09X311         </t>
  </si>
  <si>
    <t>X311</t>
  </si>
  <si>
    <t>Lucero Elementary School</t>
  </si>
  <si>
    <t xml:space="preserve">09X294         </t>
  </si>
  <si>
    <t>X294</t>
  </si>
  <si>
    <t>The Walton Avenue School</t>
  </si>
  <si>
    <t>P.S. 65 - BRONX</t>
  </si>
  <si>
    <t>X066</t>
  </si>
  <si>
    <t>1001 JENNINGS STREET</t>
  </si>
  <si>
    <t>P.S. 66 - BRONX</t>
  </si>
  <si>
    <t xml:space="preserve">12X286         </t>
  </si>
  <si>
    <t>X286</t>
  </si>
  <si>
    <t>Fannie Lou Hamer Middle School</t>
  </si>
  <si>
    <t xml:space="preserve">12X066         </t>
  </si>
  <si>
    <t>P.S. 066 School of Higher Expectations</t>
  </si>
  <si>
    <t>P.S. 67 - BRONX</t>
  </si>
  <si>
    <t>P.S. 067 Mohegan School</t>
  </si>
  <si>
    <t>P.S. 68 - BRONX</t>
  </si>
  <si>
    <t>X069</t>
  </si>
  <si>
    <t>560 THIERIOT AVENUE</t>
  </si>
  <si>
    <t>P.S. 69 - BRONX</t>
  </si>
  <si>
    <t>10473</t>
  </si>
  <si>
    <t xml:space="preserve">08X069         </t>
  </si>
  <si>
    <t>P.S. 069 Journey Prep School</t>
  </si>
  <si>
    <t>X070</t>
  </si>
  <si>
    <t>1691 WEEKS AVENUE</t>
  </si>
  <si>
    <t>P.S. 70 - BRONX</t>
  </si>
  <si>
    <t xml:space="preserve">09X070         </t>
  </si>
  <si>
    <t>P.S. 070 Max Schoenfeld</t>
  </si>
  <si>
    <t>X071</t>
  </si>
  <si>
    <t>3040 ROBERTS AVENUE</t>
  </si>
  <si>
    <t>P.S. 71 - BRONX</t>
  </si>
  <si>
    <t xml:space="preserve">08X071         </t>
  </si>
  <si>
    <t>P.S. 071 Rose E. Scala</t>
  </si>
  <si>
    <t>P.S. 72 - BRONX</t>
  </si>
  <si>
    <t>10465</t>
  </si>
  <si>
    <t>X073</t>
  </si>
  <si>
    <t>1020 ANDERSON AVENUE</t>
  </si>
  <si>
    <t>P.S. 73 - BRONX</t>
  </si>
  <si>
    <t xml:space="preserve">09X073         </t>
  </si>
  <si>
    <t>P.S. 073 Bronx</t>
  </si>
  <si>
    <t>I.S. 201 - BRONX</t>
  </si>
  <si>
    <t>X075</t>
  </si>
  <si>
    <t>984 FAILE STREET</t>
  </si>
  <si>
    <t>P.S. 75 - BRONX</t>
  </si>
  <si>
    <t xml:space="preserve">08X075         </t>
  </si>
  <si>
    <t>P.S. 75 School of Research and Discovery</t>
  </si>
  <si>
    <t>P.S. 76 - BRONX</t>
  </si>
  <si>
    <t>10469</t>
  </si>
  <si>
    <t>P.S. 076 The Bennington School</t>
  </si>
  <si>
    <t>1250 WARD AVENUE</t>
  </si>
  <si>
    <t>P.S. 195 - BRONX</t>
  </si>
  <si>
    <t xml:space="preserve">12X195         </t>
  </si>
  <si>
    <t>X195</t>
  </si>
  <si>
    <t>P.S. 195</t>
  </si>
  <si>
    <t>X078</t>
  </si>
  <si>
    <t>1400 NEEDHAM AVENUE</t>
  </si>
  <si>
    <t>P.S. 78 - BRONX</t>
  </si>
  <si>
    <t xml:space="preserve">11X078         </t>
  </si>
  <si>
    <t>P.S. 078 Anne Hutchinson</t>
  </si>
  <si>
    <t>P.S. 79 - BRONX</t>
  </si>
  <si>
    <t xml:space="preserve">10X382         </t>
  </si>
  <si>
    <t>I.S. 80/P.S. 280 - BRONX</t>
  </si>
  <si>
    <t>X081</t>
  </si>
  <si>
    <t>5550 RIVERDALE AVENUE</t>
  </si>
  <si>
    <t>P.S. 81 - BRONX</t>
  </si>
  <si>
    <t>10471</t>
  </si>
  <si>
    <t xml:space="preserve">10X081         </t>
  </si>
  <si>
    <t>P.S. 081 Robert J. Christen</t>
  </si>
  <si>
    <t>I.S. 232 - BRONX</t>
  </si>
  <si>
    <t>P.S. 83 - BRONX</t>
  </si>
  <si>
    <t>10462</t>
  </si>
  <si>
    <t>P.S. 811 (OLD I84) - BRONX</t>
  </si>
  <si>
    <t>P.S. 85 - BRONX</t>
  </si>
  <si>
    <t>P.S. 86 - BRONX</t>
  </si>
  <si>
    <t>X087</t>
  </si>
  <si>
    <t>1935 Bussing Avenue</t>
  </si>
  <si>
    <t>P.S. 87 - BRONX</t>
  </si>
  <si>
    <t xml:space="preserve">11X087         </t>
  </si>
  <si>
    <t>P.S. 087 Bronx</t>
  </si>
  <si>
    <t>X088</t>
  </si>
  <si>
    <t>1340 SHERIDAN AVENUE</t>
  </si>
  <si>
    <t>P.S. 88 - BRONX</t>
  </si>
  <si>
    <t xml:space="preserve">09X088         </t>
  </si>
  <si>
    <t>P.S. X088 - S. Silverstein Little Sparrow School</t>
  </si>
  <si>
    <t>X089</t>
  </si>
  <si>
    <t>980 MACE AVENUE</t>
  </si>
  <si>
    <t>P.S. 89 - BRONX</t>
  </si>
  <si>
    <t xml:space="preserve">11X089         </t>
  </si>
  <si>
    <t>P.S. 089 Bronx</t>
  </si>
  <si>
    <t>P.S. 90 - BRONX</t>
  </si>
  <si>
    <t>X091</t>
  </si>
  <si>
    <t>2200 AQUEDUCT AVENUE</t>
  </si>
  <si>
    <t>P.S. 91 - BRONX</t>
  </si>
  <si>
    <t xml:space="preserve">10X091         </t>
  </si>
  <si>
    <t>P.S. 091 Bronx</t>
  </si>
  <si>
    <t>P.S. 92 - BRONX</t>
  </si>
  <si>
    <t>X093</t>
  </si>
  <si>
    <t>1535 STORY AVENUE</t>
  </si>
  <si>
    <t>P.S. 93 - BRONX</t>
  </si>
  <si>
    <t xml:space="preserve">08X093         </t>
  </si>
  <si>
    <t>P.S. 093 Albert G. Oliver</t>
  </si>
  <si>
    <t xml:space="preserve">84X362         </t>
  </si>
  <si>
    <t>Icahn Charter School 7</t>
  </si>
  <si>
    <t>3530 KINGS COLLEGE PLACE</t>
  </si>
  <si>
    <t>P.S. 94 - BRONX</t>
  </si>
  <si>
    <t>P.S. 094 Kings College School</t>
  </si>
  <si>
    <t>P.S. 95 - BRONX</t>
  </si>
  <si>
    <t>P.S. 96 - BRONX</t>
  </si>
  <si>
    <t>P.S. 97 - BRONX</t>
  </si>
  <si>
    <t>X098</t>
  </si>
  <si>
    <t>1619 BOSTON ROAD</t>
  </si>
  <si>
    <t>I.S. 98 - BRONX</t>
  </si>
  <si>
    <t xml:space="preserve">12X641         </t>
  </si>
  <si>
    <t>09,11,SE</t>
  </si>
  <si>
    <t>X641</t>
  </si>
  <si>
    <t>Bard High School Early College Bronx</t>
  </si>
  <si>
    <t xml:space="preserve">12X251         </t>
  </si>
  <si>
    <t>X251</t>
  </si>
  <si>
    <t>Explorations Academy H.S.</t>
  </si>
  <si>
    <t xml:space="preserve">12X511         </t>
  </si>
  <si>
    <t>X511</t>
  </si>
  <si>
    <t>Bronx Envision Academy</t>
  </si>
  <si>
    <t xml:space="preserve">12X098         </t>
  </si>
  <si>
    <t>J.H.S. 098 Herman Ridder</t>
  </si>
  <si>
    <t>1180 REV. J.A. POLITE AVE.</t>
  </si>
  <si>
    <t>REV. J.A. POLITE AVE SCHOOL CAMPUS - BRONX</t>
  </si>
  <si>
    <t>X100</t>
  </si>
  <si>
    <t>800 TAYLOR AVENUE</t>
  </si>
  <si>
    <t>P.S. 100 - BRONX</t>
  </si>
  <si>
    <t xml:space="preserve">08X100         </t>
  </si>
  <si>
    <t>P.S. 100 Isaac Clason</t>
  </si>
  <si>
    <t>I.S. 101 - BRONX</t>
  </si>
  <si>
    <t>P.S. 102 - BRONX</t>
  </si>
  <si>
    <t>X103</t>
  </si>
  <si>
    <t>4125 CARPENTER AVENUE</t>
  </si>
  <si>
    <t>P.S. 103 - BRONX</t>
  </si>
  <si>
    <t xml:space="preserve">11X103         </t>
  </si>
  <si>
    <t>P.S. 103 Hector Fontanez</t>
  </si>
  <si>
    <t>P.S. 199 - BRONX</t>
  </si>
  <si>
    <t>P.S. 199X - The Shakespeare School</t>
  </si>
  <si>
    <t>P.S. 105 - BRONX</t>
  </si>
  <si>
    <t>P.S. 106 - BRONX</t>
  </si>
  <si>
    <t>X107</t>
  </si>
  <si>
    <t>1695 SEWARD AVENUE</t>
  </si>
  <si>
    <t>P.S. 107 - BRONX</t>
  </si>
  <si>
    <t xml:space="preserve">08X107         </t>
  </si>
  <si>
    <t>P.S. 107</t>
  </si>
  <si>
    <t>X108</t>
  </si>
  <si>
    <t>1166 NEILL AVENUE</t>
  </si>
  <si>
    <t>P.S. 108 - BRONX</t>
  </si>
  <si>
    <t xml:space="preserve">11X108         </t>
  </si>
  <si>
    <t>P.S. 108 Philip J. Abinanti</t>
  </si>
  <si>
    <t>P.S. 109 - BRONX</t>
  </si>
  <si>
    <t>P.S. 109 Sedgwick</t>
  </si>
  <si>
    <t>X110</t>
  </si>
  <si>
    <t>580 CROTONA PARK SOUTH</t>
  </si>
  <si>
    <t>P.S. 110 - BRONX</t>
  </si>
  <si>
    <t xml:space="preserve">09X128         </t>
  </si>
  <si>
    <t>X128</t>
  </si>
  <si>
    <t>Mott Hall III</t>
  </si>
  <si>
    <t xml:space="preserve">09X110         </t>
  </si>
  <si>
    <t>P.S. 110 Theodore Schoenfeld</t>
  </si>
  <si>
    <t>P.S. 111 - BRONX</t>
  </si>
  <si>
    <t>X112</t>
  </si>
  <si>
    <t>1925 SCHIEFFELIN AVENUE</t>
  </si>
  <si>
    <t>P.S. 112 - BRONX</t>
  </si>
  <si>
    <t xml:space="preserve">11X112         </t>
  </si>
  <si>
    <t>P.S. 112 Bronxwood</t>
  </si>
  <si>
    <t>I.S. 113 - BRONX</t>
  </si>
  <si>
    <t xml:space="preserve">11X287         </t>
  </si>
  <si>
    <t>X114</t>
  </si>
  <si>
    <t>1155 CROMWELL AVENUE</t>
  </si>
  <si>
    <t>P.S. 114 - BRONX</t>
  </si>
  <si>
    <t xml:space="preserve">09X114         </t>
  </si>
  <si>
    <t>P.S. X114 - Luis Llorens Torres Schools</t>
  </si>
  <si>
    <t>I.S. 399 (OLD X HS/X115) - BRONX</t>
  </si>
  <si>
    <t>I.S. 216 - BRONX</t>
  </si>
  <si>
    <t>I.S. 117 - BRONX</t>
  </si>
  <si>
    <t>I.S. 117 Joseph H. Wade</t>
  </si>
  <si>
    <t>Young Women's Leadership School of the Bronx</t>
  </si>
  <si>
    <t>I.S. 118 - BRONX</t>
  </si>
  <si>
    <t>1075 PUGSLEY AVENUE</t>
  </si>
  <si>
    <t>P.S. 119 - BRONX</t>
  </si>
  <si>
    <t>X120</t>
  </si>
  <si>
    <t>890 CAULDWELL AVENUE</t>
  </si>
  <si>
    <t>I.S. 301 - BRONX</t>
  </si>
  <si>
    <t xml:space="preserve">08X301         </t>
  </si>
  <si>
    <t>X301</t>
  </si>
  <si>
    <t>M.S. 301 Paul L. Dunbar</t>
  </si>
  <si>
    <t>P.S. 121 - BRONX</t>
  </si>
  <si>
    <t>P.S. 121 Throop</t>
  </si>
  <si>
    <t>X122</t>
  </si>
  <si>
    <t>260 W KINGSBRIDGE RD</t>
  </si>
  <si>
    <t>P.S. 310 - BRONX</t>
  </si>
  <si>
    <t xml:space="preserve">10X310         </t>
  </si>
  <si>
    <t>X310</t>
  </si>
  <si>
    <t>P.S. 310 Marble Hill</t>
  </si>
  <si>
    <t>X123</t>
  </si>
  <si>
    <t>I.S. 123 - BRONX</t>
  </si>
  <si>
    <t xml:space="preserve">08X123         </t>
  </si>
  <si>
    <t>J.H.S. 123 James M. Kieran</t>
  </si>
  <si>
    <t xml:space="preserve">08X337         </t>
  </si>
  <si>
    <t>X337</t>
  </si>
  <si>
    <t>The School for Inquiry and Social Justice</t>
  </si>
  <si>
    <t>I.S. 125 - BRONX</t>
  </si>
  <si>
    <t>X126</t>
  </si>
  <si>
    <t>175 WEST 166 STREET</t>
  </si>
  <si>
    <t>P.S. 126 (ECF) - BRONX</t>
  </si>
  <si>
    <t xml:space="preserve">09X126         </t>
  </si>
  <si>
    <t>P.S. 126 Dr Marjorie H Dunbar</t>
  </si>
  <si>
    <t>I.S. 127 - BRONX</t>
  </si>
  <si>
    <t>I.S. 129 (PAIRED W P234) - BRONX</t>
  </si>
  <si>
    <t>X130</t>
  </si>
  <si>
    <t>750 PROSPECT AVENUE</t>
  </si>
  <si>
    <t>P.S. 130 - BRONX</t>
  </si>
  <si>
    <t xml:space="preserve">08X130         </t>
  </si>
  <si>
    <t>P.S. 130 Abram Stevens Hewitt</t>
  </si>
  <si>
    <t>I.S. 131 - BRONX</t>
  </si>
  <si>
    <t>P.S. 132 - BRONX</t>
  </si>
  <si>
    <t>X134</t>
  </si>
  <si>
    <t>1330 BRISTOW STREET</t>
  </si>
  <si>
    <t>P.S. 134 - BRONX</t>
  </si>
  <si>
    <t xml:space="preserve">12X134         </t>
  </si>
  <si>
    <t>P.S. 134 George F. Bristow</t>
  </si>
  <si>
    <t>X135</t>
  </si>
  <si>
    <t>2441 WALLACE AVENUE</t>
  </si>
  <si>
    <t>I.S. 135 - BRONX</t>
  </si>
  <si>
    <t xml:space="preserve">11X556         </t>
  </si>
  <si>
    <t>X556</t>
  </si>
  <si>
    <t>Bronx Park Middle School</t>
  </si>
  <si>
    <t xml:space="preserve">11X326         </t>
  </si>
  <si>
    <t>X326</t>
  </si>
  <si>
    <t>Bronx Green Middle School</t>
  </si>
  <si>
    <t xml:space="preserve">11X468         </t>
  </si>
  <si>
    <t>Pelham Academy of Academics and Community Engagement</t>
  </si>
  <si>
    <t>P.S. 186 (OLD J136) - BRONX</t>
  </si>
  <si>
    <t>I.S. 391 (UDC) - BRONX</t>
  </si>
  <si>
    <t>X138</t>
  </si>
  <si>
    <t>2060 LAFAYETTE AVENUE</t>
  </si>
  <si>
    <t>P.S. 138 - BRONX</t>
  </si>
  <si>
    <t xml:space="preserve">08X138         </t>
  </si>
  <si>
    <t>P.S. 138 Samuel Randall</t>
  </si>
  <si>
    <t>J.H.S. 222 - BRONX</t>
  </si>
  <si>
    <t>Academy of Applied Mathematics and Technology</t>
  </si>
  <si>
    <t>International Community High School</t>
  </si>
  <si>
    <t>X140</t>
  </si>
  <si>
    <t>P.S. 140 - BRONX</t>
  </si>
  <si>
    <t xml:space="preserve">08X636         </t>
  </si>
  <si>
    <t xml:space="preserve">08X140         </t>
  </si>
  <si>
    <t>P.S. X140 The Eagle School</t>
  </si>
  <si>
    <t>M.S./H.S. 141 - BRONX</t>
  </si>
  <si>
    <t>X142</t>
  </si>
  <si>
    <t>3750 BAYCHESTER AVENUE</t>
  </si>
  <si>
    <t>I.S. 142 - BRONX</t>
  </si>
  <si>
    <t xml:space="preserve">11X532         </t>
  </si>
  <si>
    <t>X532</t>
  </si>
  <si>
    <t>Baychester Middle School</t>
  </si>
  <si>
    <t xml:space="preserve">11X355         </t>
  </si>
  <si>
    <t>X355</t>
  </si>
  <si>
    <t>Bronx Alliance Middle School</t>
  </si>
  <si>
    <t xml:space="preserve">11X529         </t>
  </si>
  <si>
    <t>X529</t>
  </si>
  <si>
    <t>One World Middle School at Edenwald</t>
  </si>
  <si>
    <t>I.S. 143 - BRONX</t>
  </si>
  <si>
    <t>The Marie Curie High School for Medicine, Nursing, and Health Professions</t>
  </si>
  <si>
    <t>The New School for Leadership and Journalism</t>
  </si>
  <si>
    <t>I.S. 144 - BRONX</t>
  </si>
  <si>
    <t>X145</t>
  </si>
  <si>
    <t>1000 TELLER AVENUE</t>
  </si>
  <si>
    <t>I.S. 145 - BRONX</t>
  </si>
  <si>
    <t xml:space="preserve">09X593         </t>
  </si>
  <si>
    <t>X593</t>
  </si>
  <si>
    <t>South Bronx International Middle School</t>
  </si>
  <si>
    <t xml:space="preserve">09X328         </t>
  </si>
  <si>
    <t>X328</t>
  </si>
  <si>
    <t>New Millennium Bronx Academy of the Arts</t>
  </si>
  <si>
    <t xml:space="preserve">09X594         </t>
  </si>
  <si>
    <t>X594</t>
  </si>
  <si>
    <t>New Pathways Academy</t>
  </si>
  <si>
    <t>X146</t>
  </si>
  <si>
    <t>968 CAULDWELL AVENUE</t>
  </si>
  <si>
    <t>P.S. 146 - BRONX</t>
  </si>
  <si>
    <t xml:space="preserve">08X146         </t>
  </si>
  <si>
    <t>P.S. 146 Edward Collins</t>
  </si>
  <si>
    <t>I.S. 339 (OLD 147) - BRONX</t>
  </si>
  <si>
    <t>I.S. 219 (OLD 148) - BRONX</t>
  </si>
  <si>
    <t>Frederick Douglass Academy III Secondary School</t>
  </si>
  <si>
    <t>Kappa</t>
  </si>
  <si>
    <t>I.S. 219 New Venture School</t>
  </si>
  <si>
    <t>X149</t>
  </si>
  <si>
    <t>360 EAST 145 STREET</t>
  </si>
  <si>
    <t>J.H.S. 149 - BRONX</t>
  </si>
  <si>
    <t xml:space="preserve">07X221         </t>
  </si>
  <si>
    <t>X221</t>
  </si>
  <si>
    <t>South Bronx Preparatory: A College Board School</t>
  </si>
  <si>
    <t xml:space="preserve">07X223         </t>
  </si>
  <si>
    <t>X223</t>
  </si>
  <si>
    <t>The Laboratory School of Finance and Technology: X223</t>
  </si>
  <si>
    <t>X150</t>
  </si>
  <si>
    <t>920 EAST 167 STREET</t>
  </si>
  <si>
    <t>P.S. 150 - BRONX</t>
  </si>
  <si>
    <t xml:space="preserve">12X150         </t>
  </si>
  <si>
    <t>P.S. 150 Charles James Fox</t>
  </si>
  <si>
    <t>I.S. 151 - BRONX</t>
  </si>
  <si>
    <t>P.S. 152 - BRONX</t>
  </si>
  <si>
    <t>P.S. 153 - BRONX</t>
  </si>
  <si>
    <t>10475</t>
  </si>
  <si>
    <t>PK,0K,01,02,03,04,05,06,07,SE</t>
  </si>
  <si>
    <t>P.S. 154 - BRONX</t>
  </si>
  <si>
    <t>P.S. 154 Jonathan D. Hyatt</t>
  </si>
  <si>
    <t>South Bronx Classical Charter School II</t>
  </si>
  <si>
    <t>P.S. 754 (OLD IS155) - BRONX</t>
  </si>
  <si>
    <t>P.S. 156 - BRONX</t>
  </si>
  <si>
    <t xml:space="preserve">07X359         </t>
  </si>
  <si>
    <t>P.S. 157 - BRONX</t>
  </si>
  <si>
    <t>P.S. 157 Grove Hill</t>
  </si>
  <si>
    <t>I.S. 158 - BRONX</t>
  </si>
  <si>
    <t>X159</t>
  </si>
  <si>
    <t>2315 WASHINGTON AVENUE</t>
  </si>
  <si>
    <t>P.S. 159 - BRONX</t>
  </si>
  <si>
    <t xml:space="preserve">10X159         </t>
  </si>
  <si>
    <t>P.S. 159 Luis Munoz Marin Biling</t>
  </si>
  <si>
    <t>P.S. 160 - BRONX</t>
  </si>
  <si>
    <t>P.S. 161 - BRONX</t>
  </si>
  <si>
    <t>02,03,SE</t>
  </si>
  <si>
    <t>South Bronx Literacy Academy</t>
  </si>
  <si>
    <t>I.S. 162 - BRONX</t>
  </si>
  <si>
    <t>X163</t>
  </si>
  <si>
    <t>2075 Webster Avenue</t>
  </si>
  <si>
    <t>P.S. 163 - BRONX</t>
  </si>
  <si>
    <t xml:space="preserve">09X163         </t>
  </si>
  <si>
    <t>P.S. 163 Arthur A. Schomburg</t>
  </si>
  <si>
    <t>I.S. 166 - BRONX</t>
  </si>
  <si>
    <t>P.S. 214 - BRONX</t>
  </si>
  <si>
    <t>THE WILLIE ELLA PASCHAL BOWMAN CAMPUS - X</t>
  </si>
  <si>
    <t>X170</t>
  </si>
  <si>
    <t>1598 TOWNSEND AVENUE</t>
  </si>
  <si>
    <t>P.S. 170 (ECC) - BRONX</t>
  </si>
  <si>
    <t xml:space="preserve">09X170         </t>
  </si>
  <si>
    <t>P.S. 170</t>
  </si>
  <si>
    <t>1717 Fulton Avenue</t>
  </si>
  <si>
    <t>P.S. 4 ANNEX (P171 ECC) - BRONX</t>
  </si>
  <si>
    <t>1399 Ogden Ave</t>
  </si>
  <si>
    <t>P.S. 11 ANNEX (P172 ECC) - BRONX</t>
  </si>
  <si>
    <t>P.S. 236 (P173 ECC) - BRONX</t>
  </si>
  <si>
    <t>I.S. 174 - BRONX</t>
  </si>
  <si>
    <t>P.S. 175 - BRONX</t>
  </si>
  <si>
    <t>10464</t>
  </si>
  <si>
    <t>P.S. 175 City Island</t>
  </si>
  <si>
    <t>THE NORWOOD EAST CAMPUS - BRONX</t>
  </si>
  <si>
    <t>P.S. 178 - BRONX</t>
  </si>
  <si>
    <t>I.S. 180 - BRONX</t>
  </si>
  <si>
    <t>I.S. 181 - BRONX</t>
  </si>
  <si>
    <t>X182</t>
  </si>
  <si>
    <t>601 STICKBALL BOULEVARD</t>
  </si>
  <si>
    <t>P.S. 182 - BRONX</t>
  </si>
  <si>
    <t xml:space="preserve">08X182         </t>
  </si>
  <si>
    <t>P.S. 182</t>
  </si>
  <si>
    <t>J.H.S. 203 - BRONX</t>
  </si>
  <si>
    <t>I.S. 184 - BRONX</t>
  </si>
  <si>
    <t>P.S./I.S. 189 - BRONX</t>
  </si>
  <si>
    <t>I.S. 192 - BRONX</t>
  </si>
  <si>
    <t>P.S. 211 - BRONX</t>
  </si>
  <si>
    <t>P.S./I.S. 194 - BRONX</t>
  </si>
  <si>
    <t>P.S. 198 - BRONX</t>
  </si>
  <si>
    <t>P.S. 205A (ECF) - BRONX</t>
  </si>
  <si>
    <t>X206</t>
  </si>
  <si>
    <t>2280 AQUEDUCT AVENUE</t>
  </si>
  <si>
    <t>I.S. 206B - BRONX</t>
  </si>
  <si>
    <t>1980</t>
  </si>
  <si>
    <t xml:space="preserve">10X206         </t>
  </si>
  <si>
    <t>I.S. 206 Ann Mersereau</t>
  </si>
  <si>
    <t>P.S. 209 - BRONX</t>
  </si>
  <si>
    <t>P.U.L.S.E. HS - BRONX</t>
  </si>
  <si>
    <t>P.S. 230/I.S. 229 (UDC) - BRONX</t>
  </si>
  <si>
    <t>P.S. 234 (PAIRED W I129) - BRONX</t>
  </si>
  <si>
    <t>P.S./I.S. 218 - BRONX</t>
  </si>
  <si>
    <t>499 EAST 175 STREET</t>
  </si>
  <si>
    <t>P.S. 236 ANNEX - BRONX</t>
  </si>
  <si>
    <t>DOE NEW SETTLEMENT COMMUNITY CAMPUS - X</t>
  </si>
  <si>
    <t>I.S. 254 - BRONX</t>
  </si>
  <si>
    <t>P.S. 279 - BRONX</t>
  </si>
  <si>
    <t>200 West 167th Street</t>
  </si>
  <si>
    <t>HIGHBRIDGE ENVIRONMENTAL EDUCATION CAMPUS - BRONX</t>
  </si>
  <si>
    <t>THE DOMINIC CASTORE EDUCATIONAL CAMPUS - BRONX</t>
  </si>
  <si>
    <t>P.S. 306 - BRONX</t>
  </si>
  <si>
    <t>1684 WHITE PLAINS ROAD</t>
  </si>
  <si>
    <t>P.S. 311 - BRONX</t>
  </si>
  <si>
    <t xml:space="preserve">11X481         </t>
  </si>
  <si>
    <t>X481</t>
  </si>
  <si>
    <t>The STEAM Bridge School</t>
  </si>
  <si>
    <t>4520 MATILDA AVENUE</t>
  </si>
  <si>
    <t>P.S. 314 - BRONX</t>
  </si>
  <si>
    <t xml:space="preserve">11X483         </t>
  </si>
  <si>
    <t>X483</t>
  </si>
  <si>
    <t>The Matilda Avenue School</t>
  </si>
  <si>
    <t>P.S. 317 - BRONX</t>
  </si>
  <si>
    <t>1570 Boone Avenue</t>
  </si>
  <si>
    <t>P.S. @ BOONE AVENUE - BRONX</t>
  </si>
  <si>
    <t>Samara Community School</t>
  </si>
  <si>
    <t>MORRIS HEIGHTS EDUCATIONAL COMPLEX - BRONX</t>
  </si>
  <si>
    <t>P.S. 340 - BRONX</t>
  </si>
  <si>
    <t>2400 Jerome Avenue</t>
  </si>
  <si>
    <t>P.S. 33 ANNEX - BRONX</t>
  </si>
  <si>
    <t>X354</t>
  </si>
  <si>
    <t>105 WILLIS AVENUE</t>
  </si>
  <si>
    <t>PRE-K CENTER @ WILLIS AVENUE – BRONX</t>
  </si>
  <si>
    <t>X533</t>
  </si>
  <si>
    <t>Learning Through Play Pre-K Center</t>
  </si>
  <si>
    <t>X356</t>
  </si>
  <si>
    <t>535 Union Avenue</t>
  </si>
  <si>
    <t>PRE-K CENTER @535 UNION AVENUE - BRONX</t>
  </si>
  <si>
    <t xml:space="preserve">07X533         </t>
  </si>
  <si>
    <t>1211 Southern Boulevard</t>
  </si>
  <si>
    <t>Southern Boulevard Community Campus</t>
  </si>
  <si>
    <t>P.S. 360 - BRONX</t>
  </si>
  <si>
    <t>PS 94 ANNEX - BRONX</t>
  </si>
  <si>
    <t>921 EAST 228TH STREET</t>
  </si>
  <si>
    <t>I.S./H.S. 362 - BRONX</t>
  </si>
  <si>
    <t xml:space="preserve">M.S./H.S. 368 - BRONX             </t>
  </si>
  <si>
    <t>X373</t>
  </si>
  <si>
    <t>3560 WEBSTER AVENUE</t>
  </si>
  <si>
    <t>PRE-K CENTER @3560 WEBSTER AVENUE - BRONX</t>
  </si>
  <si>
    <t>X535</t>
  </si>
  <si>
    <t>Rose Hill Pre-K Center</t>
  </si>
  <si>
    <t>X387</t>
  </si>
  <si>
    <t>5500 BROADWAY</t>
  </si>
  <si>
    <t>PRE-K CENTER @5500 BROADWAY - BRONX</t>
  </si>
  <si>
    <t>'The Casita Maria Center for Arts and Education</t>
  </si>
  <si>
    <t>MORRIS HS - X</t>
  </si>
  <si>
    <t xml:space="preserve">09X404         </t>
  </si>
  <si>
    <t>X401</t>
  </si>
  <si>
    <t>1010 REV. J. A. POLITE AVENUE</t>
  </si>
  <si>
    <t>BRONX REGIONAL HS (OLD 133) - X</t>
  </si>
  <si>
    <t xml:space="preserve">12X480         </t>
  </si>
  <si>
    <t>X480</t>
  </si>
  <si>
    <t>Bronx Regional High School</t>
  </si>
  <si>
    <t xml:space="preserve">12X446         </t>
  </si>
  <si>
    <t>06,09,10,11,12,SE</t>
  </si>
  <si>
    <t>X446</t>
  </si>
  <si>
    <t>Arturo A. Schomburg Satellite Academy Bronx</t>
  </si>
  <si>
    <t xml:space="preserve">84X200         </t>
  </si>
  <si>
    <t>X200</t>
  </si>
  <si>
    <t>New Visions AIM Charter High School II</t>
  </si>
  <si>
    <t>HERBERT H. LEHMAN HS - X</t>
  </si>
  <si>
    <t>WILLIAM H. TAFT HS - X</t>
  </si>
  <si>
    <t>CHRISTOPHER COLUMBUS HS - X</t>
  </si>
  <si>
    <t>JAMES MONROE EDUCATIONAL CAMPUS - X</t>
  </si>
  <si>
    <t xml:space="preserve">84X597         </t>
  </si>
  <si>
    <t>JAMES MONROE HS CAMPUS ANNEX - BRONX</t>
  </si>
  <si>
    <t>EVANDER CHILDS HS - X</t>
  </si>
  <si>
    <t xml:space="preserve">11X253         </t>
  </si>
  <si>
    <t>WALTON HS - X</t>
  </si>
  <si>
    <t>2490-2500 WEBSTER AVENUE</t>
  </si>
  <si>
    <t>PRE-K CENTER @WEBSTER AVENUE - BRONX</t>
  </si>
  <si>
    <t>THEODORE ROOSEVELT EDUCATIONAL CAMPUS - X</t>
  </si>
  <si>
    <t>DEWITT CLINTON HS - X</t>
  </si>
  <si>
    <t>3605 SEDGWICK AVENUE</t>
  </si>
  <si>
    <t>PRE-K CENTER @SEDGWICK AVENUE - BRONX</t>
  </si>
  <si>
    <t>X444</t>
  </si>
  <si>
    <t>2512 Marion Avenue</t>
  </si>
  <si>
    <t>PRE-K CENTER @MARION AVENUE - BRONX</t>
  </si>
  <si>
    <t xml:space="preserve">10X535         </t>
  </si>
  <si>
    <t>BRONX HS OF SCIENCE - X</t>
  </si>
  <si>
    <t>2751 Jerome Avenue</t>
  </si>
  <si>
    <t>P.S. 340 GYM ANNEX - BRONX</t>
  </si>
  <si>
    <t>Adlai E. Stevenson Educational Campus</t>
  </si>
  <si>
    <t>HARRY S. TRUMAN HS - X</t>
  </si>
  <si>
    <t>HS OF LAW, GOV'T &amp; JUSTICE - X</t>
  </si>
  <si>
    <t>Eagle Academy For Young Men - Bronx</t>
  </si>
  <si>
    <t>SOUTH BRONX EDUCATIONAL CAMPUS (OLD 38) - X</t>
  </si>
  <si>
    <t>University Heights Secondary School</t>
  </si>
  <si>
    <t>Mott Haven Village Preparatory High School</t>
  </si>
  <si>
    <t>X472</t>
  </si>
  <si>
    <t>P.S. 246 (POE CENTER) GYM ANNEX - BRONX</t>
  </si>
  <si>
    <t>JOHN F. KENNEDY HS - X</t>
  </si>
  <si>
    <t>1946 Boston Road</t>
  </si>
  <si>
    <t>3K CENTER @ 1946 BOSTON ROAD - BRONX</t>
  </si>
  <si>
    <t xml:space="preserve">12X626         </t>
  </si>
  <si>
    <t>X626</t>
  </si>
  <si>
    <t>Cultivating Hearts and Minds Pre-K Center</t>
  </si>
  <si>
    <t>1222 Prospect Avenue</t>
  </si>
  <si>
    <t>3K CENTER @ PROSPECT AVENUE - BRONX</t>
  </si>
  <si>
    <t>443 East 162 Street</t>
  </si>
  <si>
    <t>3K CENTER @ EAST 162ND STREET - BRONX</t>
  </si>
  <si>
    <t>X497</t>
  </si>
  <si>
    <t>4197 3 Avenue</t>
  </si>
  <si>
    <t>3K Center @ 4197 Third Avenue</t>
  </si>
  <si>
    <t>X582</t>
  </si>
  <si>
    <t>Garden of Learning and Discovery Pre-K Center</t>
  </si>
  <si>
    <t>THE LT. CURTIS MEYRAN AND JOHN BELLEW ED COMPLEX</t>
  </si>
  <si>
    <t>1434 OGDEN AVENUE</t>
  </si>
  <si>
    <t>PRE-K CENTER @OGDEN AVENUE</t>
  </si>
  <si>
    <t xml:space="preserve">09X582         </t>
  </si>
  <si>
    <t>ALFRED E. SMITH HS - X</t>
  </si>
  <si>
    <t>JANE ADDAMS HS - X</t>
  </si>
  <si>
    <t>SAMUEL GOMPERS VOC HS - X</t>
  </si>
  <si>
    <t>GRACE H. DODGE VOC HS - X</t>
  </si>
  <si>
    <t>X701</t>
  </si>
  <si>
    <t>3540 Bivona Street</t>
  </si>
  <si>
    <t>P.S. 723 - BRONX</t>
  </si>
  <si>
    <t>BRONX LIGHTHOUSE CHARTER SCHOOL - BRONX</t>
  </si>
  <si>
    <t>1506-30 Brook Avenue</t>
  </si>
  <si>
    <t>ICAHN CHARTER SCHOOL - BRONX</t>
  </si>
  <si>
    <t>Icahn Charter School 1</t>
  </si>
  <si>
    <t>P.S. 721 (OTC) - BRONX</t>
  </si>
  <si>
    <t>X779</t>
  </si>
  <si>
    <t>2865 CLAFLIN AVENUE</t>
  </si>
  <si>
    <t>Jerome Park Educational Building</t>
  </si>
  <si>
    <t xml:space="preserve">10X315         </t>
  </si>
  <si>
    <t>X315</t>
  </si>
  <si>
    <t>P.S. 315 Lab School</t>
  </si>
  <si>
    <t>X780</t>
  </si>
  <si>
    <t>268 EAST 207 STREET</t>
  </si>
  <si>
    <t>PS 56 ANNEX - BRONX</t>
  </si>
  <si>
    <t>P.S. 51 - BRONX</t>
  </si>
  <si>
    <t>MOTT HAVEN EDUCATIONAL CAMPUS - BRONX</t>
  </si>
  <si>
    <t>P.S. 8 MINISCHOOL - BRONX</t>
  </si>
  <si>
    <t>1680 Hoe Avenue</t>
  </si>
  <si>
    <t>P.S. 811 ANNEX - BRONX</t>
  </si>
  <si>
    <t>X819</t>
  </si>
  <si>
    <t>3030 GODWIN TERRACE</t>
  </si>
  <si>
    <t>P.S. 207 - BRONX</t>
  </si>
  <si>
    <t xml:space="preserve">10X207         </t>
  </si>
  <si>
    <t>X207</t>
  </si>
  <si>
    <t>P.S. 207</t>
  </si>
  <si>
    <t>X822</t>
  </si>
  <si>
    <t>P.S. 310 MINISCHOOL - BRONX</t>
  </si>
  <si>
    <t>1025 Morrison Avenue</t>
  </si>
  <si>
    <t>I.S. 123 MINISCHOOL - BRONX</t>
  </si>
  <si>
    <t>P.S. 226 MINISCHOOL - BRONX</t>
  </si>
  <si>
    <t>1986</t>
  </si>
  <si>
    <t>1910 Sedgwick Avenue</t>
  </si>
  <si>
    <t>P.S. 226 (VAN CARPENTER) - X</t>
  </si>
  <si>
    <t>P.S. 32 MINISCHOOL - BRONX</t>
  </si>
  <si>
    <t>916 Eagle Avenue</t>
  </si>
  <si>
    <t>P.S. 140 MINISCHOOL - BRONX</t>
  </si>
  <si>
    <t>X842</t>
  </si>
  <si>
    <t>3990 HILLMAN AVENUE</t>
  </si>
  <si>
    <t>P.S. 95 ANNEX - BRONX</t>
  </si>
  <si>
    <t>P.S. 246 (POE CENTER) - BRONX</t>
  </si>
  <si>
    <t>X848</t>
  </si>
  <si>
    <t>659 COSTER STREET</t>
  </si>
  <si>
    <t>P.S. 48 AX (HNTS PNT ECC1)-BRONX</t>
  </si>
  <si>
    <t>X851</t>
  </si>
  <si>
    <t>P.S. 53 MINISCHOOL #1 - BRONX</t>
  </si>
  <si>
    <t>BRONX DANCE ACADEMY - BRONX</t>
  </si>
  <si>
    <t>X853</t>
  </si>
  <si>
    <t>2120 QUARRY ROAD</t>
  </si>
  <si>
    <t>P.S. 59 ANNEX - BRONX</t>
  </si>
  <si>
    <t>X855</t>
  </si>
  <si>
    <t>577 EAST 139 STREET</t>
  </si>
  <si>
    <t xml:space="preserve">P.S. 30 ANNEX - BRONX </t>
  </si>
  <si>
    <t>X859</t>
  </si>
  <si>
    <t>2246 JEROME AVENUE</t>
  </si>
  <si>
    <t>P.S. 315 - BRONX</t>
  </si>
  <si>
    <t>X862</t>
  </si>
  <si>
    <t>P.S. 63 MINISCHOOL - BRONX</t>
  </si>
  <si>
    <t xml:space="preserve">84X177         </t>
  </si>
  <si>
    <t>X864</t>
  </si>
  <si>
    <t>2375 SOUTHERN BOULEVARD</t>
  </si>
  <si>
    <t>P.S. 205B (ECF) - BRONX</t>
  </si>
  <si>
    <t>X868</t>
  </si>
  <si>
    <t>P.S. 86 MINISCHOOL - BRONX</t>
  </si>
  <si>
    <t>X869</t>
  </si>
  <si>
    <t>560 Thieriot Avenue</t>
  </si>
  <si>
    <t>P.S. 69 MINISCHOOL - BRONX</t>
  </si>
  <si>
    <t>X870</t>
  </si>
  <si>
    <t>P.S. 70 MINISCHOOL - BRONX</t>
  </si>
  <si>
    <t>X873</t>
  </si>
  <si>
    <t>P.S. 73 MINISCHOOL - BRONX</t>
  </si>
  <si>
    <t>X874</t>
  </si>
  <si>
    <t>P.S. 53 MINISCHOOL #2 - BRONX</t>
  </si>
  <si>
    <t xml:space="preserve">84X639         </t>
  </si>
  <si>
    <t>X639</t>
  </si>
  <si>
    <t>Dream Charter School Highbridge</t>
  </si>
  <si>
    <t>BRONX LEADERSHIP ACADEMY - BRONX</t>
  </si>
  <si>
    <t>FANNIE LOU HAMER FREEDOM HS - X</t>
  </si>
  <si>
    <t>WINGS ACADEMY - X</t>
  </si>
  <si>
    <t>X880</t>
  </si>
  <si>
    <t>639 Thieriot Avenue</t>
  </si>
  <si>
    <t>P.S. 69  ANNEX - BRONX</t>
  </si>
  <si>
    <t>HEALTH OPPORTUNITIES HS - X</t>
  </si>
  <si>
    <t>X885</t>
  </si>
  <si>
    <t>P.S. 85 MINISCHOOL - BRONX</t>
  </si>
  <si>
    <t>P.S. 86 ANNEX - BRONX</t>
  </si>
  <si>
    <t xml:space="preserve">84X630         </t>
  </si>
  <si>
    <t>0K,01,02,03</t>
  </si>
  <si>
    <t>X630</t>
  </si>
  <si>
    <t>Girls Preparatory Charter School of the Bronx II</t>
  </si>
  <si>
    <t>X890</t>
  </si>
  <si>
    <t>P.S. 90 MINISCHOOL - BRONX</t>
  </si>
  <si>
    <t>X891</t>
  </si>
  <si>
    <t>P.S. 91 MINISCHOOL - BRONX</t>
  </si>
  <si>
    <t>X893</t>
  </si>
  <si>
    <t>P.S. 93 MINISCHOOL - BRONX</t>
  </si>
  <si>
    <t>X896</t>
  </si>
  <si>
    <t>2240 Walton Avenue</t>
  </si>
  <si>
    <t>P.S. 279 ANNEX - BRONX</t>
  </si>
  <si>
    <t>X899</t>
  </si>
  <si>
    <t>P.S. 109 MINISCHOOL - BRONX</t>
  </si>
  <si>
    <t>HS OF AMERICAN STUDIES - BRONX</t>
  </si>
  <si>
    <t>Arthur Avenue Educational Building</t>
  </si>
  <si>
    <t>X918</t>
  </si>
  <si>
    <t>P.S. 68 TEMP. C.R. BLDG. - X</t>
  </si>
  <si>
    <t>X919</t>
  </si>
  <si>
    <t>P.S. 89 TEMP. C.R. BLDG. - X</t>
  </si>
  <si>
    <t>P.S. 121 TEMP. C.R. BLDG. - X</t>
  </si>
  <si>
    <t>X923</t>
  </si>
  <si>
    <t>P.S. 103 TEMP. C.R. BLDG. - X</t>
  </si>
  <si>
    <t>P.S. 76 TEMP. C.R. BLDG. - X</t>
  </si>
  <si>
    <t>1455 Webster Avenue</t>
  </si>
  <si>
    <t>P.S. 927 - BRONX</t>
  </si>
  <si>
    <t>X930</t>
  </si>
  <si>
    <t>P.S. 9 TEMP. C.R. BLDG. - X</t>
  </si>
  <si>
    <t>X931</t>
  </si>
  <si>
    <t>3020 WEBSTER AVENUE</t>
  </si>
  <si>
    <t>P.S. 20 TEMP. C.R. BLDG. - X</t>
  </si>
  <si>
    <t>I.S. 118 TEMP. C.R. BLDG. - X</t>
  </si>
  <si>
    <t>X935</t>
  </si>
  <si>
    <t>P.S. 105 TEMP. C.R. BLDG.  - X</t>
  </si>
  <si>
    <t>X937</t>
  </si>
  <si>
    <t>BX CHARTER SCH FOR BETTER LRNG - X</t>
  </si>
  <si>
    <t>X953</t>
  </si>
  <si>
    <t>3450 EAST TREMONT AVENUE</t>
  </si>
  <si>
    <t>AUXILIARY SERVICES HS - BRONX</t>
  </si>
  <si>
    <t xml:space="preserve">75M401         </t>
  </si>
  <si>
    <t xml:space="preserve">75M501         </t>
  </si>
  <si>
    <t>BATHGATE HS - BRONX</t>
  </si>
  <si>
    <t>SOUNDVIEW EDUCATIONAL CAMPUS - X</t>
  </si>
  <si>
    <t>M.S./H.S. 270 - BRONX</t>
  </si>
  <si>
    <t>1732 Davidson Avenue</t>
  </si>
  <si>
    <t>DAVIDSON AVE- BRONX</t>
  </si>
  <si>
    <t>P.S. 83 ANNEX - BRONX</t>
  </si>
  <si>
    <t>X982</t>
  </si>
  <si>
    <t>1250 Rear Ward Avenue</t>
  </si>
  <si>
    <t>P.S. 197 TEMP. C.R. BLDG S - X</t>
  </si>
  <si>
    <t>Accessibility Rating</t>
  </si>
  <si>
    <t>IN March 2023</t>
  </si>
  <si>
    <t>Rating March 2023</t>
  </si>
  <si>
    <t>IN All Buildings Filter</t>
  </si>
  <si>
    <t>Raw Data Rating</t>
  </si>
  <si>
    <t>Current BAP Rating</t>
  </si>
  <si>
    <t>BAP Current</t>
  </si>
  <si>
    <t>All Buildings 10/26</t>
  </si>
  <si>
    <t>Result</t>
  </si>
  <si>
    <t>0+ out of 10</t>
  </si>
  <si>
    <t>https://nycdoe.sharepoint.com/:w:/s/BAP/Ed8C8_5SZnJFmbA1g3TETosBYSOTSrMlhq82MpI0ojOu5w</t>
  </si>
  <si>
    <t>=IF(AND(VALUE(LEFT(P2,MAX(IFERROR(SEARCH({1,2,3,4,5,6,7,8,9,0},P2),""))))=0,Q2="N/A"),"","__")</t>
  </si>
  <si>
    <t>10 out of 10</t>
  </si>
  <si>
    <t>From live Bap Master</t>
  </si>
  <si>
    <t>9 out of 10</t>
  </si>
  <si>
    <t>See column S</t>
  </si>
  <si>
    <t>8 out of 10</t>
  </si>
  <si>
    <t>1 out of 10</t>
  </si>
  <si>
    <t>3 out of 10</t>
  </si>
  <si>
    <t>4 out of 10</t>
  </si>
  <si>
    <t>0 out of 10</t>
  </si>
  <si>
    <t>https://nycdoe.sharepoint.com/:w:/s/BAP/EQWrZLx8Ao9IvfWH53hJaHUBo2nkxlbPk3FAD2OCyXkIUg</t>
  </si>
  <si>
    <t>2 out of 10</t>
  </si>
  <si>
    <t>6 out of 10</t>
  </si>
  <si>
    <t>5 out of 10</t>
  </si>
  <si>
    <t>https://nycdoe.sharepoint.com/:w:/s/BAP/EbjhlUiJ_Y9JjuxBTrJi47cBttFdAVwd-s4jgeh3EGmScQ</t>
  </si>
  <si>
    <t>https://nycdoe.sharepoint.com/:w:/s/BAP/EUmKYx_t7ABFgw1qf5tLJ-4B0w-lF_dGjQ_BhqmsJRXKSg</t>
  </si>
  <si>
    <t>https://nycdoe.sharepoint.com/:w:/s/BAP/ESHXpfxWIIdMpj6lmDnVAo0BpGt_7o349ILjCFn_4p8VVg</t>
  </si>
  <si>
    <t>https://nycdoe.sharepoint.com/:w:/s/BAP/EUumZpZ6BORChZ33sOO-AmUBWDeAoOih7aNM7sMXhb0sFg</t>
  </si>
  <si>
    <t>https://nycdoe.sharepoint.com/:w:/s/BAP/EbK2TidelY9NvqaY0dL6uUwBZFbeBoXt7J_jBochp4bfDQ</t>
  </si>
  <si>
    <t>7 out of 10</t>
  </si>
  <si>
    <t>https://nycdoe.sharepoint.com/:w:/s/BAP/EUcfwjXCEs5ChYMFrm4lf-wBdphm4aDNsl3buGyzoZ6XMQ</t>
  </si>
  <si>
    <t>https://nycdoe.sharepoint.com/:w:/s/BAP/EURnm_P2jl1KiuT9NyloJmgBMwJW12y1zKJyH92NREcXeQ</t>
  </si>
  <si>
    <t>https://nycdoe.sharepoint.com/:w:/s/BAP/ES3pY0myuFRKlQCBxyyt9F0BHFveYfG_SklqkuUA4OeLXg</t>
  </si>
  <si>
    <t>https://nycdoe.sharepoint.com/:w:/s/BAP/EdJTySExgC5Cl_3kVcCj_MABcd5OnZaBXBdQmaj-lTQRAg</t>
  </si>
  <si>
    <t>https://nycdoe.sharepoint.com/:w:/s/BAP/EZUyyR6guvBApHX8cOsozcoBQllaLPctzI1eNOf0nS5ncQ</t>
  </si>
  <si>
    <t>https://nycdoe.sharepoint.com/:w:/s/BAP/ER0kw7LGW6RLkOCTmjh1gAMB0nFxWVF-eWK1nLRDfVOb4w</t>
  </si>
  <si>
    <t>https://nycdoe.sharepoint.com/:w:/s/BAP/EamqGg-8M25Jou8QxFndwmoBzITLKSMjy5zMJJwu7cnY-w</t>
  </si>
  <si>
    <t>https://nycdoe.sharepoint.com/:w:/s/BAP/EYAvljIh4KtMkZkhrUgDstkBrYiNF-X7ywxYGdA86HE-8g</t>
  </si>
  <si>
    <t>https://nycdoe.sharepoint.com/:w:/s/BAP/Ed0W4HFnSxVCn-tLVpwz3QQBWH5lYEo_gZ3_WG_B56vnHA</t>
  </si>
  <si>
    <t>https://nycdoe.sharepoint.com/:w:/s/BAP/Ee-r3KFRpSpOgRwD6j3QeS8B7n3G7yERnDcuiNBeRVeqCQ</t>
  </si>
  <si>
    <t>https://nycdoe.sharepoint.com/:w:/s/BAP/Ea8y-BKv-0lFmwfPw7Mg-AUBm3oWsgRfQ_RkqJrAVoaAyw</t>
  </si>
  <si>
    <t>https://nycdoe.sharepoint.com/:w:/s/BAP/Efjpib7sZhVFo3z7KcHu1mIBl3h4QeidNrvHCDlWAd7NGw</t>
  </si>
  <si>
    <t>https://nycdoe.sharepoint.com/:w:/s/BAP/EeU1aTSLaC9IjcRMo-QgUGcBHXB38VHYmIy6JBZLjWZeMQ</t>
  </si>
  <si>
    <t>https://nycdoe.sharepoint.com/:w:/s/BAP/EYPBwLruvstPkGcriVoFc0sBL5zz139cTSB5smRutih0TQ</t>
  </si>
  <si>
    <t>https://nycdoe.sharepoint.com/:w:/s/BAP/EXgHs26mq-lFgSXMQvDsv4kBFaSXAxhtwPPxFfdT18if6Q</t>
  </si>
  <si>
    <t>https://nycdoe.sharepoint.com/:w:/s/BAP/ET6jveTph2FJjh47YscbHPIBS6QklpOdOj8Bw2s4qN7gUw</t>
  </si>
  <si>
    <t>https://nycdoe.sharepoint.com/:w:/s/BAP/ERpcGb5pAJdMousrMfXIESABZd4oHCIydyPO1SnvPzS09w</t>
  </si>
  <si>
    <t>K894</t>
  </si>
  <si>
    <t>https://nycdoe.sharepoint.com/:w:/s/BAP/EaE5wW--NgtCsM0NcG9PKocBd707MVVE3nxRovL4bCPfTg</t>
  </si>
  <si>
    <t>https://nycdoe.sharepoint.com/:w:/s/BAP/ET_puoosKwxPiVmKjR8W99IBCUTlKADUJ-rA5YB2koAxjQ</t>
  </si>
  <si>
    <t>https://nycdoe.sharepoint.com/:w:/s/BAP/Ef_lBJdIS0hAsO9OKWIY9twBe5pN-N_DD9735RgX8oo8hA</t>
  </si>
  <si>
    <t>https://nycdoe.sharepoint.com/:w:/s/BAP/Ec5nRQud0aVAs3n-RJab8RIBiSh9bZ6PFC4wunT90vaPcg</t>
  </si>
  <si>
    <t>https://nycdoe.sharepoint.com/:w:/s/BAP/EaG27WmkY9NFkw_hUx7l_6UBktBC1g-QFhKRFi1vkBjxLQ</t>
  </si>
  <si>
    <t>https://nycdoe.sharepoint.com/:w:/s/BAP/EU4Cj3UPOy1OrrCmNDkGIMUB8RuGCaRD3CzAKnFuKDa71w</t>
  </si>
  <si>
    <t>https://nycdoe.sharepoint.com/:w:/s/BAP/EYX0cfxIhfBPk_rHJc2Srl8BTdvLWjTbCbui-yHPCtBFqA</t>
  </si>
  <si>
    <t>https://nycdoe.sharepoint.com/:w:/s/BAP/ESkMIMFtfJ9Br6kSPG-3ecwBk6lvQSGuCWoZKuUyocS3kQ</t>
  </si>
  <si>
    <t>https://nycdoe.sharepoint.com/:w:/s/BAP/EcJzQ8ZGCyxMmD1n40ddjR8BVgtBaV70yxLJu89vQiugDg</t>
  </si>
  <si>
    <t>https://nycdoe.sharepoint.com/:w:/s/BAP/ETnuKt619NVEvbc00b459lEBK9YZ2n3Ifurdqhk3fbnnNQ</t>
  </si>
  <si>
    <t>https://nycdoe.sharepoint.com/:w:/s/BAP/EdwLcUv_OuBKj1tW93HfGxgB16CyNJN6ajKmHw1DXYj7YQ</t>
  </si>
  <si>
    <t>https://nycdoe.sharepoint.com/:w:/s/BAP/EcH3coqS7UFFgfHPK-aacbYBLDfKVPxW0SYkovuVxcrnug</t>
  </si>
  <si>
    <t>https://nycdoe.sharepoint.com/:w:/s/BAP/EYAwRAa_yj5Jr6GFf_twR2oBFW2gx1I0GS-CTY9kO0pdvQ</t>
  </si>
  <si>
    <t>https://nycdoe.sharepoint.com/:w:/s/BAP/EeP_TIjXBb1Goq7fZ7-TC98B1zfxms_wH3i7nGO1SkNgKA</t>
  </si>
  <si>
    <t>https://nycdoe.sharepoint.com/:w:/s/BAP/EQD5TwMs0XlMtptTcXJOH6UB9VPS1pH-IDhZucjJY7DtiA</t>
  </si>
  <si>
    <t>https://nycdoe.sharepoint.com/:w:/s/BAP/Ef7Lm7314kZJipSBQNobc-UBSOWdWyKN9uG0aKqdKkdvYw</t>
  </si>
  <si>
    <t>https://nycdoe.sharepoint.com/:w:/s/BAP/EX8BvG_poupClcVisOF6gjUB-K6uP25YsF0wCr-G1n76bQ</t>
  </si>
  <si>
    <t>M521</t>
  </si>
  <si>
    <t>https://nycdoe.sharepoint.com/:w:/s/BAP/ER2_lD54_F1OsYF441NHAkkBCWRX8ybCBEEqtzwwDLyAcQ</t>
  </si>
  <si>
    <t>M522</t>
  </si>
  <si>
    <t>https://nycdoe.sharepoint.com/:w:/s/BAP/Ec7dMmPcF09IobyYrTJ9esgB5VEt2DuyxE6ywwHL9rhyKg</t>
  </si>
  <si>
    <t>https://nycdoe.sharepoint.com/:w:/s/BAP/EYgW5UsxZfBOl9cmMzz5R78BqPEkSkrjpBS4kPWywXvfMQ</t>
  </si>
  <si>
    <t>https://nycdoe.sharepoint.com/:w:/s/BAP/EZ_jNa7847xNjwgtb20byFcB6lGSl40ruLRtXvWWorKETw</t>
  </si>
  <si>
    <t>https://nycdoe.sharepoint.com/:w:/s/BAP/EVNfjimbI-9Ml_EsV3ORbpwBnByrO9hfJX8dEtzGTlsbDg</t>
  </si>
  <si>
    <t>https://nycdoe.sharepoint.com/:w:/s/BAP/EepOUdmwcDFNvO1ucBvkrnwBVWKJso-GjVXnPm7EDC4ebg</t>
  </si>
  <si>
    <t>https://nycdoe.sharepoint.com/:w:/s/BAP/EW9y53DifgNDijOwHD0gWu0BXom--y14O4TmUdC81oQgBw</t>
  </si>
  <si>
    <t>https://nycdoe.sharepoint.com/:w:/s/BAP/Eeav0fxYBJdFo6VbxXqeRlIB-ARoS7IWhVxKAeYcVwIfTg</t>
  </si>
  <si>
    <t>https://nycdoe.sharepoint.com/:w:/s/BAP/EZLzGNApO25Iq1xF69viMcgBX1S2uFeCJKKrCKx6Ev4aDA</t>
  </si>
  <si>
    <t>https://nycdoe.sharepoint.com/:w:/s/BAP/Ef1SDtOUVjBBrJBXY0ZJ-nIB-9NIvKuHTiVKw_eRLYCMew</t>
  </si>
  <si>
    <t>https://nycdoe.sharepoint.com/:w:/s/BAP/EYh-hEigGUtDpq8t4E2hmXsBoEYagzdwbutkTdGBPXeiPw</t>
  </si>
  <si>
    <t xml:space="preserve">
https://nycdoe.sharepoint.com/:w:/s/BAP/ESTGPUiiHqpPt5TwjsGznZkBo8m1yQEYO3UpfhudQg-R6A</t>
  </si>
  <si>
    <t>https://nycdoe.sharepoint.com/:w:/s/BAP/EUt6orAwRFpIsOW--evuUhkBQMz3yOmf-2bXZgw2rQjrCA</t>
  </si>
  <si>
    <t>https://nycdoe.sharepoint.com/:w:/s/BAP/EW29Yb2untVBt_hn90f2ZCMBfY36NVPwN95u1wNBsSXF7Q</t>
  </si>
  <si>
    <t>https://nycdoe.sharepoint.com/:w:/s/BAP/ETd3YjZ-cDhMijPrsHndP98BVeeCvEfDmw5YXgUwctziKw</t>
  </si>
  <si>
    <t>https://nycdoe.sharepoint.com/:w:/s/BAP/EWgooee1_g1LllmD_BTGggkBywGIW3QytdP5ul2khZo5Zg</t>
  </si>
  <si>
    <t>https://nycdoe.sharepoint.com/:w:/s/BAP/Ec_H6x3yWUBIpyW_G6IY6SYB81ZvxRxuP6TAoCVwlczIpQ</t>
  </si>
  <si>
    <t>https://nycdoe.sharepoint.com/:w:/s/BAP/ETlWj58JJENCk-yIFhOZuZ4Bp9NL4-kyOf89V1GEuzsVHQ?e=XD0zrQ</t>
  </si>
  <si>
    <t>https://nycdoe.sharepoint.com/:w:/s/BAP/Ebl9euvjH4dHlHNji5h6m3sBT-3ydMpeTC2nsysdSXQyOg</t>
  </si>
  <si>
    <t>https://nycdoe.sharepoint.com/:w:/s/BAP/ETpDrnTyqStNuRItEHAcJwEBYIbNISJYp2m_Va5CtAiRGw</t>
  </si>
  <si>
    <t>https://nycdoe.sharepoint.com/:w:/s/BAP/Ef9yHchFseNGs0cMXhgK6esB3BJIS_UYNDDtuo1jdT7d2g</t>
  </si>
  <si>
    <t>https://nycdoe.sharepoint.com/:w:/s/BAP/Eaicy2CkAYNKnYlsYd8UA-0BycoNigYkPXZZkme4kgzWWQ</t>
  </si>
  <si>
    <t>https://nycdoe.sharepoint.com/:w:/s/BAP/EXBZS4y4CGxJr6g-fZdaze4Bc5Owe8FE3aVr6t89pgxggQ</t>
  </si>
  <si>
    <t>https://nycdoe.sharepoint.com/:w:/s/BAP/ERr3Rcrcp8pDiUedBAmG_aQBJgjSuRSNXBNn3d-TjNoqMg</t>
  </si>
  <si>
    <t>https://nycdoe.sharepoint.com/:w:/s/BAP/EdqrFdncPXBGuYGLjN2ULSABlxU1TP0PQehu7ZsZuhWptg</t>
  </si>
  <si>
    <t>https://nycdoe.sharepoint.com/:w:/s/BAP/Ee7VilP5og9Fp0mIZSLQyEUBwmrxIZaSJ-VM7Qjmn62CWA</t>
  </si>
  <si>
    <t>https://nycdoe.sharepoint.com/:w:/s/BAP/EV5dSVLDxWdDmwZZ3sjm4lQBqXoTJBwSXwN_WNkzF9sT3w</t>
  </si>
  <si>
    <t>https://nycdoe.sharepoint.com/:w:/s/BAP/ERDqk81i5d1LjlK4mt0YoPsBNs6OEhpcJBqcLlzjJPiDfw</t>
  </si>
  <si>
    <t>https://nycdoe.sharepoint.com/:w:/s/BAP/EfGByO1KHb1AsN56EbrdEnUBbHMriDOsSC2HhH9foBVmaA</t>
  </si>
  <si>
    <t>https://nycdoe.sharepoint.com/:w:/s/BAP/EYKSAg9mn1ZGm1-GE50pQS0B4fdiOO7N4a2fFrD7nTPnfQ</t>
  </si>
  <si>
    <t>https://nycdoe.sharepoint.com/:w:/s/BAP/EWXsad4O5_5Akyoc-xdRpdkBTefhtlNQciu896pL-g_Slg</t>
  </si>
  <si>
    <t>https://nycdoe.sharepoint.com/:w:/s/BAP/EdwA3D7d4Z5AiztQuLboEiYBA4JtS2spUwE8gnbtUMVmtg</t>
  </si>
  <si>
    <t>https://nycdoe.sharepoint.com/:w:/s/BAP/EfV3TpbZ-WNOrgsTgcK6_QYBmMzttf3-wSsI62DzPAnlIA</t>
  </si>
  <si>
    <t>Q873</t>
  </si>
  <si>
    <t>https://nycdoe.sharepoint.com/:w:/s/BAP/EYLsosKb4FBGoJjYf7Hd2IoBfk6N4AkHHeInNw9jB44UtA</t>
  </si>
  <si>
    <t>https://nycdoe.sharepoint.com/:w:/s/BAP/Ef_pM73U-l1DmIJipPQ-oeEBKPPQ0xvMgLPD8RvLQINYOg</t>
  </si>
  <si>
    <t>https://nycdoe.sharepoint.com/:w:/s/BAP/EUL2ZiiCAPVKv_xuJfAsc4gB8oUsBS-Crt2rQauGkcybmA</t>
  </si>
  <si>
    <t>Q883</t>
  </si>
  <si>
    <t>https://nycdoe.sharepoint.com/:w:/s/BAP/EYk_MwpC3zpNhq0eWBFPuaQBuGvjRF-IXEvJ7lPA9NwR0A</t>
  </si>
  <si>
    <t>https://nycdoe.sharepoint.com/:w:/s/BAP/EZoQJp48QdtIqbb6N4-B4wwBNFRv_Z-jwTjJl93F-1VCdw</t>
  </si>
  <si>
    <t>https://nycdoe.sharepoint.com/:w:/s/BAP/ESwn3TV4zzVPj9ItHQbKuQABRojQzLEYNQFbF4GZfXzzAQ</t>
  </si>
  <si>
    <t>https://nycdoe.sharepoint.com/:w:/s/BAP/EezZIK3MLzdPiirn6aA1JTQB5kSHyf2yPNFkT6Ms9G4gHw</t>
  </si>
  <si>
    <t>R722</t>
  </si>
  <si>
    <t>https://nycdoe.sharepoint.com/:w:/s/BAP/EYaseNyDr_1BiWfJSAjcHb8BsOGT3BzhUyZN3Xrj3e4ZCA</t>
  </si>
  <si>
    <t>https://nycdoe.sharepoint.com/:w:/s/BAP/EaDonvWVKApDkM7gBVvJtukBXEg0WIwIFXGkE9xlpI_meA</t>
  </si>
  <si>
    <t>https://nycdoe.sharepoint.com/:w:/s/BAP/Ea1fB0Ro7u1Bjl-7hZ7stzYB5qbBP9hDmpdYBmxLRakyDw</t>
  </si>
  <si>
    <t>https://nycdoe.sharepoint.com/:w:/s/BAP/EU58IXH6Q9lBqiA9gZ1t3FsB4EkoDQ3atGeKpG21rC1cBg</t>
  </si>
  <si>
    <t>https://nycdoe.sharepoint.com/:w:/s/BAP/Eaav9XW8KzNPuhgrYkE89BABSaq21xbSdGxCl8jC2Hjq5w</t>
  </si>
  <si>
    <t>https://nycdoe.sharepoint.com/:w:/s/BAP/EdcTlwvN6S5FkQxwMki68VsB9zis9Sj5ykXprPU6t4tksQ</t>
  </si>
  <si>
    <t>https://nycdoe.sharepoint.com/:w:/s/BAP/EcADVbG3PWFOmthjx0gqejcBVpewYHv89sgsCX3yrJUc_A</t>
  </si>
  <si>
    <t>https://nycdoe.sharepoint.com/:w:/s/BAP/EfBElt2M0mJNs9khJbw35VABp_h9suG1ZACZG6kXsiZrVA</t>
  </si>
  <si>
    <t>https://nycdoe.sharepoint.com/:w:/s/BAP/EV8eIRlE_UxBsr74Xb5LvysB0yjna7Yzps0kjKrxYcSdEQ</t>
  </si>
  <si>
    <t>https://nycdoe.sharepoint.com/:w:/s/BAP/EX1XjeOSnfxMmHEspxaTj9cBJXvR4F6x1jYhFZJMJAWxtA</t>
  </si>
  <si>
    <t>https://nycdoe.sharepoint.com/:w:/s/BAP/EWT2aK4IWnZGoegXyZvFeQYB8E8-7c1jvy_d_n-zJKYwTg</t>
  </si>
  <si>
    <t>https://nycdoe.sharepoint.com/:w:/s/BAP/EYj_PK-FLfpHl4T2IqPXK1sBB_6_yyNKDTPXnvn0UPH76Q</t>
  </si>
  <si>
    <t>https://nycdoe.sharepoint.com/:w:/s/BAP/ETQIHgUS-91BnyMruzb0CyQBK_FhUSt5KKlCOw1y11Hn6g</t>
  </si>
  <si>
    <t>https://nycdoe.sharepoint.com/:w:/s/BAP/EW6GVOFJnqlNleGT_TJzJGMB8F-aMvt1sK5PvaD99pd0kw</t>
  </si>
  <si>
    <t>https://nycdoe.sharepoint.com/:w:/s/BAP/ESfzIZZm6qpPvW_0pCf0xWABcJoIe3EfUwHBOtNJM0EQ9Q</t>
  </si>
  <si>
    <t>https://nycdoe.sharepoint.com/:w:/s/BAP/EaAb7oAmhABJmkbr5swIq1EBkJDa4mb4QqPQxV-RNiJ-2w</t>
  </si>
  <si>
    <t>https://nycdoe.sharepoint.com/:w:/s/BAP/EcnfaZ-JOBpGvfT-LfHqxYABvMsAC3hMP7WshI9CWSZqWQ</t>
  </si>
  <si>
    <t>https://nycdoe.sharepoint.com/:w:/s/BAP/EUybSMJtcThEplZBdc_iVOkBw_GkP6b5PWem_0CQEaKpKw</t>
  </si>
  <si>
    <t>https://nycdoe.sharepoint.com/:w:/s/BAP/EVfTyCjhl4FJvr4MTx3HhXIBmpEL9XovAD4I-draQDtt4w</t>
  </si>
  <si>
    <t>https://nycdoe.sharepoint.com/:w:/s/BAP/EVbusL3FvnxOli6DvZgJwi8BZ7So1Rj4VzQ7s6oex6_lQQ</t>
  </si>
  <si>
    <t>https://nycdoe.sharepoint.com/:w:/s/BAP/EaM3nGUDN79PhR8Od6aT4PsBuQJQZbdz-V6w8MU0TqpnEQ</t>
  </si>
  <si>
    <t>https://nycdoe.sharepoint.com/:w:/s/BAP/EbdIv5cnOB5KuqMQckiVRH4BycqoV29mcAvaAPrBfP3XFA</t>
  </si>
  <si>
    <t>Geographic District</t>
  </si>
  <si>
    <t>Building Address</t>
  </si>
  <si>
    <t>Date of Assessment</t>
  </si>
  <si>
    <t>Pathway and Entrance: Summary Description</t>
  </si>
  <si>
    <t>Entrance and Exits</t>
  </si>
  <si>
    <t>Entrance and Exits Notes</t>
  </si>
  <si>
    <t>Exterior Lifts</t>
  </si>
  <si>
    <t>Exterior Lifts Notes</t>
  </si>
  <si>
    <t>Exterior Ramps</t>
  </si>
  <si>
    <t>Exterior Ramps Notes</t>
  </si>
  <si>
    <t>Corridors and Lobbies: Summary Description</t>
  </si>
  <si>
    <t>Lobby Doors and Hardware</t>
  </si>
  <si>
    <t>Lobby Doors and Hardware Notes</t>
  </si>
  <si>
    <t>Corridor Doors and Hardware</t>
  </si>
  <si>
    <t>Corridor Doors and Hardware Notes</t>
  </si>
  <si>
    <t>Corridor and Lobby Clear Floor Space</t>
  </si>
  <si>
    <t>Corridor and Lobby Clear Floor Space Notes</t>
  </si>
  <si>
    <t>Lifts, Elevators and Ramps: Summary Description</t>
  </si>
  <si>
    <t>Interior Lifts</t>
  </si>
  <si>
    <t>Interior Lifts Notes</t>
  </si>
  <si>
    <t>Interior Elevators</t>
  </si>
  <si>
    <t>Interior Elevators Notes</t>
  </si>
  <si>
    <t>Interior Ramps</t>
  </si>
  <si>
    <t>Interior Ramps Notes</t>
  </si>
  <si>
    <t>Educational Areas: Summary Description</t>
  </si>
  <si>
    <t>Art Rooms</t>
  </si>
  <si>
    <t>Art Rooms Accessibility</t>
  </si>
  <si>
    <t>Art Rooms Notes</t>
  </si>
  <si>
    <t>Art Rooms Cont.</t>
  </si>
  <si>
    <t>Art Rooms Cont. Accessibility</t>
  </si>
  <si>
    <t>Art Rooms Cont. Notes</t>
  </si>
  <si>
    <t>Classrooms</t>
  </si>
  <si>
    <t>Classrooms Accessibility</t>
  </si>
  <si>
    <t>Classrooms Notes</t>
  </si>
  <si>
    <t>Classrooms Cont.</t>
  </si>
  <si>
    <t>Classrooms Cont. Accessibility</t>
  </si>
  <si>
    <t>Classrooms Cont. Notes</t>
  </si>
  <si>
    <t>Computer Rooms</t>
  </si>
  <si>
    <t>Computer Rooms Accessibility</t>
  </si>
  <si>
    <t>Computer Rooms Notes</t>
  </si>
  <si>
    <t>Computer Rooms Cont.</t>
  </si>
  <si>
    <t>Computer Rooms Cont. Accessibility</t>
  </si>
  <si>
    <t>Computer Rooms Cont. Notes</t>
  </si>
  <si>
    <t>Library</t>
  </si>
  <si>
    <t>Library Accessibility</t>
  </si>
  <si>
    <t>Library Notes</t>
  </si>
  <si>
    <t>Library Cont.</t>
  </si>
  <si>
    <t>Library Cont. Accessibility</t>
  </si>
  <si>
    <t>Library Cont. Notes</t>
  </si>
  <si>
    <t>Main Office</t>
  </si>
  <si>
    <t>Main Office Accessibility</t>
  </si>
  <si>
    <t>Main Office Notes</t>
  </si>
  <si>
    <t xml:space="preserve">Main Office Cont. </t>
  </si>
  <si>
    <t>Main Office Cont. Accessibility</t>
  </si>
  <si>
    <t>Main Office Cont. Notes</t>
  </si>
  <si>
    <t>Nurse's Office</t>
  </si>
  <si>
    <t>Nurse's Office Accessibility</t>
  </si>
  <si>
    <t>Nurse's Office Notes</t>
  </si>
  <si>
    <t>Nurse's Office Cont.</t>
  </si>
  <si>
    <t>Nurse's Office Cont. Accessibility</t>
  </si>
  <si>
    <t>Nurse's Office Cont. Notes</t>
  </si>
  <si>
    <t>Science Lab</t>
  </si>
  <si>
    <t>Science Lab Accessibility</t>
  </si>
  <si>
    <t>Science Lab Notes</t>
  </si>
  <si>
    <t>Science Lab Cont.</t>
  </si>
  <si>
    <t>Science Lab Cont. Accessibility</t>
  </si>
  <si>
    <t>Science Lab Cont. Notes</t>
  </si>
  <si>
    <t>Public Assembly and Recreational Areas: Summary</t>
  </si>
  <si>
    <t>Auditorium</t>
  </si>
  <si>
    <t>Auditorium Accessibility</t>
  </si>
  <si>
    <t>Auditorium Notes</t>
  </si>
  <si>
    <t>Auditorium Cont.</t>
  </si>
  <si>
    <t>Auditorium Cont. Accessibility</t>
  </si>
  <si>
    <t>Auditorium Cont. Notes</t>
  </si>
  <si>
    <t>Cafeteria</t>
  </si>
  <si>
    <t>Cafeteria Accessibility</t>
  </si>
  <si>
    <t>Cafeteria Notes</t>
  </si>
  <si>
    <t>Cafeteria Cont.</t>
  </si>
  <si>
    <t xml:space="preserve">Cafeteria Cont. Accessibility </t>
  </si>
  <si>
    <t>Cafeteria Cont. Notes</t>
  </si>
  <si>
    <t>Gymnasium</t>
  </si>
  <si>
    <t>Gymnasium Accessibility</t>
  </si>
  <si>
    <t>Gymnasium Notes</t>
  </si>
  <si>
    <t>Gymnasium Cont.</t>
  </si>
  <si>
    <t>Gymnasium Cont. Accessibility</t>
  </si>
  <si>
    <t>Gymnasium Cont. Notes</t>
  </si>
  <si>
    <t>Multi-Purpose Room</t>
  </si>
  <si>
    <t>Multi-Purpose Room Accessibility</t>
  </si>
  <si>
    <t>Multi-Purpose Room Notes</t>
  </si>
  <si>
    <t>Multi-Purpose Room Cont.</t>
  </si>
  <si>
    <t>Multi-Purpose Room Cont. Accessibility</t>
  </si>
  <si>
    <t>Multi-Purpose Room Cont. Notes</t>
  </si>
  <si>
    <t>Pool</t>
  </si>
  <si>
    <t>Pool Accessibility</t>
  </si>
  <si>
    <t>Pool Notes</t>
  </si>
  <si>
    <t>Restroom Areas: Summary</t>
  </si>
  <si>
    <t>Boys Bathroom</t>
  </si>
  <si>
    <t>Boys Bathroom Accessibility</t>
  </si>
  <si>
    <t>Boys Bathroom Notes</t>
  </si>
  <si>
    <t>Boys Bathroom Cont.</t>
  </si>
  <si>
    <t>Boys Bathroom Cont. Accessibility</t>
  </si>
  <si>
    <t>Boys Bathroom Cont. Notes</t>
  </si>
  <si>
    <t>Girls Bathroom</t>
  </si>
  <si>
    <t>Girls Bathroom Accessibility</t>
  </si>
  <si>
    <t>Girls Bathroom Notes</t>
  </si>
  <si>
    <t>Girls Bathroom Cont.</t>
  </si>
  <si>
    <t>Girls Bathroom Cont. Accessibility</t>
  </si>
  <si>
    <t>Girls Bathroom Cont Notes</t>
  </si>
  <si>
    <t>Staff Bathroom</t>
  </si>
  <si>
    <t>Staff Bathroom Accessibility</t>
  </si>
  <si>
    <t>Staff Bathroom Notes</t>
  </si>
  <si>
    <t>Staff Bathroom Cont.</t>
  </si>
  <si>
    <t>Staff Bathroom Cont. Accessibility</t>
  </si>
  <si>
    <t>Staff Bathroom Cont. Notes</t>
  </si>
  <si>
    <t>Single-User</t>
  </si>
  <si>
    <t>Single-User Accessibility</t>
  </si>
  <si>
    <t>Single-User Notes</t>
  </si>
  <si>
    <t>Single-User Cont.</t>
  </si>
  <si>
    <t>Single-User Cont. Accessibility</t>
  </si>
  <si>
    <t>Single-User Cont. Notes</t>
  </si>
  <si>
    <t>Multi-User</t>
  </si>
  <si>
    <t>Multi-User Accessibility</t>
  </si>
  <si>
    <t>Multi-User Notes</t>
  </si>
  <si>
    <t>Multi-User Cont.</t>
  </si>
  <si>
    <t>Multi-User Cont. Accessibility</t>
  </si>
  <si>
    <t>Multi-User Cont. Notes</t>
  </si>
  <si>
    <t>Exterior Spaces</t>
  </si>
  <si>
    <t>Fire Safety and Evacuation Plans: Summary</t>
  </si>
  <si>
    <t>Climate Control: Summary</t>
  </si>
  <si>
    <t>Elements for Individuals with Hearing Disabilities</t>
  </si>
  <si>
    <t>Edited Date</t>
  </si>
  <si>
    <t>BAP Written By</t>
  </si>
  <si>
    <t>309 47 Street, Brooklyn, NY 11220</t>
  </si>
  <si>
    <t>The nearest accessible subway station is 59th Street Station (R trains), 0.59 miles distant. MTA bus service (B11) is also nearby. Building K001 is the primary building for secondary building K881. The main entrance of K001 is accessible, located on 47th Street (Exit 1). The accessible entrance includes a ramp, reception, and security cameras.</t>
  </si>
  <si>
    <t>Accessible</t>
  </si>
  <si>
    <t>Does Not Exist</t>
  </si>
  <si>
    <t>Concrete degradation on street and ramp surface.</t>
  </si>
  <si>
    <t>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t>
  </si>
  <si>
    <t>This site does not include an elevator, preventing access to floors other than the basement.</t>
  </si>
  <si>
    <t>Inclined lift remediates change in elevation to auditorium and gymnasium on the first floor.</t>
  </si>
  <si>
    <t>This site offers limited accessibility; all classrooms located in the basement are accessible and are located along accessible routes.</t>
  </si>
  <si>
    <t>Art Rooms – Room B15</t>
  </si>
  <si>
    <t>Classrooms – Basement</t>
  </si>
  <si>
    <t>Classrooms – First Through Third Floors</t>
  </si>
  <si>
    <t>Not Accessible</t>
  </si>
  <si>
    <t>Not on accessible route.</t>
  </si>
  <si>
    <t>Library – Room 236</t>
  </si>
  <si>
    <t>Main Office – Room 135</t>
  </si>
  <si>
    <t>Nurse’s Office – Room 131</t>
  </si>
  <si>
    <t>The auditorium is accessible and is located on the first floor. Stage access is provided via lift. Accessible seating is provided. The cafeteria is not accessible and is located in the basement. The gymnasium is accessible and is located on the first floor. Assistive listening systems have not been provided in the public assembly spaces.</t>
  </si>
  <si>
    <t>Auditorium – First Floor</t>
  </si>
  <si>
    <t>Accessible via stair lift from first floor. Stage access is provided via lift. Accessible seating is provided.</t>
  </si>
  <si>
    <t>Cafeteria – Basement</t>
  </si>
  <si>
    <t>Not on accessible route. Serving line does not provide clear path. Accessible seating available upon request.</t>
  </si>
  <si>
    <t>Gymnasium – First Floor</t>
  </si>
  <si>
    <t>Accessible via stair lift from first floor.</t>
  </si>
  <si>
    <t>This building is prevented from attaining a higher accessibility rating due to lack of accessible bathrooms throughout the building.</t>
  </si>
  <si>
    <t>Boys Bathrooms – Room 113</t>
  </si>
  <si>
    <t>Boys Bathrooms – Rooms Gym 4, B05, 213, and 313</t>
  </si>
  <si>
    <t>Girls Bathrooms – Room 109</t>
  </si>
  <si>
    <t>Staff Bathrooms (Male) – Rooms 8, 130, and 315</t>
  </si>
  <si>
    <t>Staff Bathrooms (Female) – Rooms 7 and 317</t>
  </si>
  <si>
    <t>Single-User (Unisex) Bathrooms – Rooms 8 and 215</t>
  </si>
  <si>
    <t>Room 8 is located by the auditorium and is a designated gender-neutral bathroom. Room 215 is a designated staff gender-neutral bathroom.</t>
  </si>
  <si>
    <t>Single-User (Unisex) Bathrooms – Classrooms 106/102 and 134/138</t>
  </si>
  <si>
    <t>Located inside corresponding classrooms.</t>
  </si>
  <si>
    <t>This site includes exterior recreational spaces. The exterior recreational spaces are accessible. The recreational equipment is not accessible.</t>
  </si>
  <si>
    <t>Fire alarm system has been upgraded and includes a strobe light feature. Holding rooms or areas of refuge have not been specifically designated.</t>
  </si>
  <si>
    <t>This site does not include central air. Air-conditioning units have been provided in classrooms.</t>
  </si>
  <si>
    <t>Lysenko Olga</t>
  </si>
  <si>
    <t>655 Parkside Avenue, Brooklyn, NY 11226</t>
  </si>
  <si>
    <t>The nearest accessible subway station is the Church Avenue Station (2 and 5 trains), 0.4 miles distant. MTA bus service (B12 and B44) is also nearby. The main entrance of K002 is accessible, located on Parkside Avenue (Exit 1). The accessible entrance includes an automatic door, doorbell, reception, and security cameras. The doorbell is located within reach range (Height 46 inches).</t>
  </si>
  <si>
    <t>Braille signs are included throughout the building.</t>
  </si>
  <si>
    <t>Two passenger elevators provide access to all floors. Elevators include audible signals on each floor.</t>
  </si>
  <si>
    <t>E1 Doors: 42 inches, Cab: 66 inches wide, 80 inches deep. E2 Doors: 42 inches, Cab: 80 inches wide, 52 inches deep.</t>
  </si>
  <si>
    <t>This site is highly accessible; all classrooms are accessible and are located along accessible routes.</t>
  </si>
  <si>
    <t>Art Rooms –</t>
  </si>
  <si>
    <t>Classrooms – All Floors</t>
  </si>
  <si>
    <t>Computer Rooms – Room B212</t>
  </si>
  <si>
    <t>Library – Room A225</t>
  </si>
  <si>
    <t>Main Office – Rooms A116 (17K002), A131 (75K141), and A416 (84K704)</t>
  </si>
  <si>
    <t>Nurse’s Office – Room A127</t>
  </si>
  <si>
    <t>Science Lab – Room B310</t>
  </si>
  <si>
    <t>The auditorium is accessible and is located on the third floor. Stage access is provided via lift. Accessible seating is provided. The cafeteria is accessible and is located on the first floor. The gymnasium is accessible and is located on the third floor. Assistive listening systems have been provided in the auditorium, cafeteria, and gymnasium.</t>
  </si>
  <si>
    <t>Auditorium – Third Floor</t>
  </si>
  <si>
    <t>Stage access via lift. Accessible seating is provided. Assistive listening systems have been provided.</t>
  </si>
  <si>
    <t>Cafeteria – First Floor</t>
  </si>
  <si>
    <t>Accessible seating available upon request. Assistive listening systems have been provided.</t>
  </si>
  <si>
    <t>Gymnasium – Third Floor</t>
  </si>
  <si>
    <t>Assistive listening systems have been provided.</t>
  </si>
  <si>
    <t>There are accessible student bathrooms (boys and girls) available on all floors. There are accessible single-user (unisex) bathrooms (for student and staff use) available on all floors. There are accessible single-user (unisex) bathrooms (for student and staff use) located within corresponding classrooms on the first and second floors.</t>
  </si>
  <si>
    <t>Boys Bathrooms – Rooms B109A, B209A, B309A, and B409A</t>
  </si>
  <si>
    <t>Girls Bathrooms – Rooms B109B, B209B, B309B, and B409B</t>
  </si>
  <si>
    <t>Single-User (Unisex) Bathrooms – Rooms A117A, A117B, B200, B300, and B400</t>
  </si>
  <si>
    <t>Single-User (Unisex) Bathrooms – Classrooms C103 and C105, C107, C106, C110, C112, A229, A231</t>
  </si>
  <si>
    <t>This site includes exterior recreational spaces. The exterior recreational spaces are accessible. The recreational equipment is accessible.</t>
  </si>
  <si>
    <t>Fire alarm system has been upgraded and includes a strobe light feature. Holding rooms have been specifically designated as rooms B207, C207, B307, C307, B407, and C407.</t>
  </si>
  <si>
    <t>This site includes central air. Temperature control units have been provided in classrooms.</t>
  </si>
  <si>
    <t>43 Snyder Avenue, Brooklyn, NY 11226</t>
  </si>
  <si>
    <t xml:space="preserve">The nearest accessible subway station is the Church Avenue Station (2 and 5 trains), 0.37 miles distant. MTA bus service (B35, B44 and B44SBS) is also nearby. The main entrance of K006 is accessible, located on Bedford Street (Exit 1). The accessible entrance includes a doorbell. </t>
  </si>
  <si>
    <t xml:space="preserve">Some water fountains and other wall-mounted objects protrude into the corridors more than 4 inches, which may present difficulties for individuals with visual disabilities. Braille signs are not included throughout the building.  </t>
  </si>
  <si>
    <t xml:space="preserve">One passenger elevator provides access to all floors. Elevator includes audible signals on each floor. </t>
  </si>
  <si>
    <t xml:space="preserve">Doors: 41 Inches, Cabs: 66 Inches wide, 91 Inches deep. </t>
  </si>
  <si>
    <t xml:space="preserve">This site is highly accessible; all classrooms are accessible and are located along accessible routes. </t>
  </si>
  <si>
    <t>Room 404</t>
  </si>
  <si>
    <t>all Floors</t>
  </si>
  <si>
    <t>Room 213</t>
  </si>
  <si>
    <t xml:space="preserve"> Room 401</t>
  </si>
  <si>
    <t>Room 117</t>
  </si>
  <si>
    <t>Room 124</t>
  </si>
  <si>
    <t xml:space="preserve">The auditorium is accessible and located on the second floor. Stage access is provided via ramp. Accessible seating is provided. The cafeteria is accessible and is located on the first floor. The gymnasium is accessible and located on the first floor. Assistive listening systems have not been provided in the public assembly spaces. </t>
  </si>
  <si>
    <t>Second Floor</t>
  </si>
  <si>
    <t xml:space="preserve">Stage access via ramp. Accessible seating is provided.  </t>
  </si>
  <si>
    <t>First Floor</t>
  </si>
  <si>
    <t xml:space="preserve">Accessible seating available upon request. </t>
  </si>
  <si>
    <t xml:space="preserve">There are accessible student bathrooms (boys and girls) available on all floors. There are accessible staff bathrooms (male and female) available on the first floor. There are accessible single-user (unisex) bathrooms (for student and staff use) available on the second to fourth floors.   </t>
  </si>
  <si>
    <t>Rooms 119, 221, 311, and 412</t>
  </si>
  <si>
    <t>Rooms 118, 220, 314, and 415</t>
  </si>
  <si>
    <t>Room 110</t>
  </si>
  <si>
    <t>Male Staff</t>
  </si>
  <si>
    <t>Room 113</t>
  </si>
  <si>
    <t>Female Staff</t>
  </si>
  <si>
    <t>Rooms 210, 211, 312, 313, 413, and 414</t>
  </si>
  <si>
    <t xml:space="preserve">Accessible </t>
  </si>
  <si>
    <t xml:space="preserve">Available for students and staff </t>
  </si>
  <si>
    <t>Classrooms 104, 201, 202, 203, 204, 205, 206, 207, and 208</t>
  </si>
  <si>
    <t xml:space="preserve">This site includes exterior recreational spaces. The exterior recreational spaces are accessible. The recreational equipment is not accessible. </t>
  </si>
  <si>
    <t xml:space="preserve">Fire alarm system has been upgraded and includes a strobe light feature. Holding rooms have been specifically designated as rooms 204, 304, and 404. Holdings rooms are missing intercoms.  </t>
  </si>
  <si>
    <t xml:space="preserve">This site does not include central air; Air-conditioning units provided in classrooms.  </t>
  </si>
  <si>
    <t>-</t>
  </si>
  <si>
    <t>858 Jamaica Avenue, Brooklyn, NY 11208</t>
  </si>
  <si>
    <t>The nearest accessible subway station is the Euclid Av Station (A trains), 1.0 miles distant. MTA bus service (Q56 and B13) is also nearby. The main entrance of K007 is accessible, located on Jamaica Avenue (Exit 1). The accessible entrance includes a doorbell and reception. The accessible entrance does not include security cameras. The doorbell is not located within reach range (Height 60 inches).</t>
  </si>
  <si>
    <t>Some water fountains and other wall-mounted objects protrude into the corridors more than 4 inches, which may present difficulties for individuals with visual disabilities. Braille signs are included in the cafeteria, and gymnasium, but are lacking throughout the rest of the building.</t>
  </si>
  <si>
    <t>One passenger elevator provides access to all floors. Elevator includes audible signals on each floor.</t>
  </si>
  <si>
    <t xml:space="preserve">E1 
Doors: 35 inches, Cabs: 50 inches wide, 67 inches deep. </t>
  </si>
  <si>
    <t>All Floors</t>
  </si>
  <si>
    <t>Room 201</t>
  </si>
  <si>
    <t xml:space="preserve">Rooms 131(19K007) and 327(75K004) </t>
  </si>
  <si>
    <t>Room 150</t>
  </si>
  <si>
    <t xml:space="preserve">The auditorium is accessible and is located on the first floor. Stage access is not provided. Accessible seating is provided. The cafeteria is accessible and is located on the first floor. The gymnasium is accessible and is located on the second floor. Assistive listening systems have not been provided in the public assembly spaces. </t>
  </si>
  <si>
    <t xml:space="preserve">Accessible seating is provided. Stage access is not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</si>
  <si>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located within corresponding classrooms on the first and second floors.     </t>
  </si>
  <si>
    <t>Rooms 119, 219, and 319</t>
  </si>
  <si>
    <t xml:space="preserve">Rooms 113, 213, and 313 </t>
  </si>
  <si>
    <t>Rooms 138, 215, and 315</t>
  </si>
  <si>
    <t>Classrooms 141, 143, 149, 155, 158, 161, 162, 166, 170, 233, 241, 243, 250, 249, 253, 256, 258, and 264</t>
  </si>
  <si>
    <t xml:space="preserve">This site does not include exterior recreational spaces.  </t>
  </si>
  <si>
    <t xml:space="preserve">Fire alarm system has been upgraded and includes a strobe light feature. Holding rooms have been specifically designated as rooms 220 and 320. </t>
  </si>
  <si>
    <t xml:space="preserve">This site includes central air.  </t>
  </si>
  <si>
    <t>37 Hicks Street, Brooklyn, NY 11201</t>
  </si>
  <si>
    <t>The nearest accessible subway station is Jay Street-MetroTech Station (N, R, and W train) 0.9 miles distant. MTA bus service (B25, B41, and B52) is also nearby. The accessible entrance to K008 is not the same as the main entrance. The accessible entrance is located on Poplar Street (Exit 6). The accessible entrance includes a doorbell. The accessible entrance does not include security cameras or reception. The doorbell is within reach range (height: inches).</t>
  </si>
  <si>
    <t>Braille signs are needed throughout the building. Some water fountains and other wall-mounted objects may protrude into the corridors more than 4 inches, which may present difficulties for individuals with visual disabilities.</t>
  </si>
  <si>
    <t>Two passenger elevators provide access to all floors. Elevators do not provide audible signals on each floor.</t>
  </si>
  <si>
    <t>E1 and E2; Doors: 47 inches, Cabs: 67 inches wide, 59 inches deep.</t>
  </si>
  <si>
    <t>This site is moderately accessible; all classrooms are accessible and located on accessible routes.</t>
  </si>
  <si>
    <t>Art Room – Room 206</t>
  </si>
  <si>
    <t>Computer Rooms – Rooms 376, and 378</t>
  </si>
  <si>
    <t>Library – Room 313</t>
  </si>
  <si>
    <t>Main Office –Room 108</t>
  </si>
  <si>
    <t>Nurse’s Office – Room 100</t>
  </si>
  <si>
    <t>Science Lab –</t>
  </si>
  <si>
    <t>The auditorium is accessible and is located on the first floor. Stage access is not provided. Accessible seating is provided. The cafeteria is accessible and is located in the basement. The gymnasium is accessible and is located in the basement. Assistive listening systems have been provided in the auditorium.</t>
  </si>
  <si>
    <t>Stage access is not provided. Accessible seating is available. Assistive listening systems have been provided.</t>
  </si>
  <si>
    <t>Accessible seating available upon request.</t>
  </si>
  <si>
    <t>Gymnasium – Basement</t>
  </si>
  <si>
    <t>There are accessible student bathrooms (boys) available in the basement and on the second and third floors. There are accessible student bathrooms (girls) available on the second and third floors. There are accessible single-user (unisex) bathrooms (for student and staff use) available on the first floor.</t>
  </si>
  <si>
    <t>Boys Bathroom – Basement, Second, and Third Floors</t>
  </si>
  <si>
    <t>Boys Bathroom – First Floor</t>
  </si>
  <si>
    <t>Girls Bathroom – Second and Third Floor</t>
  </si>
  <si>
    <t>Girls Bathroom – Basement and First Floor</t>
  </si>
  <si>
    <t>Staff Bathrooms – Basement, Second, and Third Floors</t>
  </si>
  <si>
    <t>Single-User (Unisex) Bathrooms – First Floor</t>
  </si>
  <si>
    <t>Fire alarm system has been upgraded and includes fire strobe light feature. Holding rooms have been designated as rooms 108, 114, 213, and 314.</t>
  </si>
  <si>
    <t>This site does not include central air:</t>
  </si>
  <si>
    <t>80 Underhill Avenue, Brooklyn, NY 11238</t>
  </si>
  <si>
    <t xml:space="preserve">The nearest accessible subway station is the Park Place Station (S train), 0.5 miles distant. MTA bus service (B65 and B69) is also nearby. The accessible entrance to K009 is not the same as the main entrance; the accessible entrance is located on Bergen Street (Exit 8). The accessible entrance includes a doorbell and security cameras. The doorbell is within reach range (height 42 inches). </t>
  </si>
  <si>
    <t xml:space="preserve">Braille signs are not included throughout the building. </t>
  </si>
  <si>
    <t xml:space="preserve">A passenger elevator provides service to all floors. Elevator includes audible signals on each floor. </t>
  </si>
  <si>
    <t>Doors: 46 inches, Cabs: 78 inches wide, 46 inches deep.</t>
  </si>
  <si>
    <t>This site has limited accessibility; all classrooms are accessible and are located along accessible routes.</t>
  </si>
  <si>
    <t>Room 110A</t>
  </si>
  <si>
    <t>Rooms 219 and 221</t>
  </si>
  <si>
    <t>Rooms 130 and 209</t>
  </si>
  <si>
    <t>Rooms 103A and 132</t>
  </si>
  <si>
    <t>Room 224</t>
  </si>
  <si>
    <t xml:space="preserve">The auditorium is accessible and is located on the first floor. Stage access is provided via corridor. Accessible seating is provided. The cafeteria is accessible and is located in the basement. The gymnasium is accessible and is located on the first floor. Assistive listening systems have been provided in the auditorium. </t>
  </si>
  <si>
    <t xml:space="preserve">Accessible seating is provided. Stage access is provided via corridor. Assistive listening systems have been provided. </t>
  </si>
  <si>
    <t>Accessible seating is available on request. Food serving line clear path is less than 32 inches.</t>
  </si>
  <si>
    <t xml:space="preserve">This site is prevented from attaining a higher accessibility rating due to lack of accessible bathrooms throughout the building. </t>
  </si>
  <si>
    <t>Rooms B14, B27A, 104E, 111, 123A, 204A, 211, 223, and 223A</t>
  </si>
  <si>
    <t>Rooms B16, B29A, 104C, 113, 125A, 206A, 213, 225A, and 229</t>
  </si>
  <si>
    <t>Rooms B16A, B31, 118A, and 214A</t>
  </si>
  <si>
    <t>Male Staff Bathrooms</t>
  </si>
  <si>
    <t>Rooms B9, B14A, 116A, and 212A</t>
  </si>
  <si>
    <t>Female Staff Bathrooms</t>
  </si>
  <si>
    <t>Rooms 112, 122, 123, 127, 128, 132, 212, and Gym Office</t>
  </si>
  <si>
    <t xml:space="preserve">Fire alarm system has been upgraded and includes a strobe light feature. Holding rooms or areas of refuge have not been specifically designated.  </t>
  </si>
  <si>
    <t xml:space="preserve">The site does not include central air. Air-conditioning units provided in classrooms. </t>
  </si>
  <si>
    <t>511 7 Avenue, Brooklyn, NY 11215</t>
  </si>
  <si>
    <t>The nearest accessible subway station is Eastern Parkway – Brooklyn Museum Station (2, 3, and 4 trains), 1.36 miles distant. MTA bus service (B61, B63, B67, and B69) is also nearby. The accessible entrance to K010 is not the same as the main entrance; the accessible entrance is located on 17th Street (Exit 6). The accessible entrance includes a ramp, a doorbell, intercom, and security cameras. The doorbell is located within reach range (height 27 inches).</t>
  </si>
  <si>
    <t>Exit 6 to the cafeteria</t>
  </si>
  <si>
    <t>Some water fountains and other wall-mounted objects may protrude into the corridors more than 4 inches, which may present difficulties for individuals with visual disabilities. Braille signs are not included throughout the building.</t>
  </si>
  <si>
    <t>Doors: 36 inches, Cab: 68 inches wide, 52 inches deep.</t>
  </si>
  <si>
    <t>This site offers limited accessibility; all classrooms and public assembly areas are accessible and located on accessible routes.</t>
  </si>
  <si>
    <t>Art Rooms – Room 115</t>
  </si>
  <si>
    <t>Computer Room – Room 216</t>
  </si>
  <si>
    <t>Library – Third Floor</t>
  </si>
  <si>
    <t>Main Office – Room 212</t>
  </si>
  <si>
    <t>Nurse’s Office- Room 261</t>
  </si>
  <si>
    <t>Science Lab – Rooms 314 and 316</t>
  </si>
  <si>
    <t>The auditorium is accessible and is located on the first floor. Stage access is provided via a lift. Accessible seating is provided. The cafeteria is accessible and is located on the first floor. The gymnasium is accessible and is located on the third floor. Assistive listening systems have not been provided in the public assembly areas.</t>
  </si>
  <si>
    <t>Stage access is provided via lift. Accessible seating is provided.</t>
  </si>
  <si>
    <t>Cafeteria- First Floor</t>
  </si>
  <si>
    <t>There are accessible student bathrooms (boys) available on the second and fourth floors. There are accessible student bathrooms (girls) available on the third floor.</t>
  </si>
  <si>
    <t>Boys Bathrooms – Rooms 259 and 459</t>
  </si>
  <si>
    <t>Boys Bathroom – First Floor in Cafeteria and Room 362</t>
  </si>
  <si>
    <t>Partition placement on the first floor prevents access.</t>
  </si>
  <si>
    <t>Girls Bathrooms – Room 359</t>
  </si>
  <si>
    <t>Partition placement prevents access.</t>
  </si>
  <si>
    <t>Single-User (Unisex) Bathrooms – Rooms 253, 269A, 353, and 453</t>
  </si>
  <si>
    <t>Room 269A is located in the nurse’s office. Room dimensions prevent access.</t>
  </si>
  <si>
    <t>Fire alarm system has been upgraded and includes a strobe light feature. Holding rooms or areas of rescue have been specifically designated as rooms 209, 309, and 509.</t>
  </si>
  <si>
    <t>The site does not include central air; Air-conditioning units have been provided in classrooms.</t>
  </si>
  <si>
    <t>419 Waverly Avenue, Brooklyn, NY 11238</t>
  </si>
  <si>
    <t xml:space="preserve">The nearest accessible subway station is the Clinton-Washington Avenue Station (C train), 0.2 miles distant. MTA bus service (B25, B26, B52, and B69) is also nearby. The accessible entrance to K011 is not the same as the main entrance; the accessible entrance is located on Washington Avenue (Exit 5). The accessible entrance includes a doorbell, but it is not within reach range (height 64 inches).  </t>
  </si>
  <si>
    <t xml:space="preserve">Some water fountains and other wall-mounted objects may protrude in the corridors more than 4 inches, which may present difficulties for individuals with visual disabilities. Braille signs are not provided throughout the building. </t>
  </si>
  <si>
    <t xml:space="preserve">This site does not include an elevator, preventing access to floors other than the ground floor. </t>
  </si>
  <si>
    <t>This site is minimally accessible; all classrooms on the ground floor are accessible and located on accessible routes.</t>
  </si>
  <si>
    <t>Rooms G10 and G17</t>
  </si>
  <si>
    <t>Ground Floor</t>
  </si>
  <si>
    <t>Second and Third Floors</t>
  </si>
  <si>
    <t>Room 304</t>
  </si>
  <si>
    <t>Room 208</t>
  </si>
  <si>
    <t>Room 116</t>
  </si>
  <si>
    <t>Room 119</t>
  </si>
  <si>
    <t xml:space="preserve">The auditorium is accessible and is located on the ground floor. Stage access is not provided. Accessible seating is also not provided. The cafeteria is accessible and located on the ground floor. The gymnasium is accessible and located on the ground floor. Assistive listening systems have not been provided in the public assembly spaces. </t>
  </si>
  <si>
    <t xml:space="preserve">Stage access is not provided. Accessible seating is not provided. </t>
  </si>
  <si>
    <t xml:space="preserve">This building is prevented from attaining a higher accessibility rating due to lack of accessible bathrooms throughout the building. </t>
  </si>
  <si>
    <t xml:space="preserve">Fire Alarm System does not include strobe lights feature. Holding rooms or areas or refuge have not been specifically designated. </t>
  </si>
  <si>
    <t xml:space="preserve">This site does not include central air. Air-conditioning units provided in the classrooms. </t>
  </si>
  <si>
    <t>430 Howard Avenue, Brooklyn, NY 11233</t>
  </si>
  <si>
    <t>The nearest accessible subway station is the Utica Avenue Station (A and C trains), 1.0 miles distant. MTA bus service (B47 and B7) is also nearby. The main entrance of K012 is accessible, located on Howard Avenue (Exit 1). The accessible entrance includes a doorbell, reception, and security cameras. The doorbell is located within reach range (Height 47 inches).</t>
  </si>
  <si>
    <t xml:space="preserve">Two passenger elevators provide access to all floors. Elevators include audible signals on each floor.  </t>
  </si>
  <si>
    <t xml:space="preserve">E1 and E2 
Doors: 41 inches, Cabs: 79 inches wide, 51 inches deep. </t>
  </si>
  <si>
    <t>Room 330</t>
  </si>
  <si>
    <t>Rooms 136 and 321</t>
  </si>
  <si>
    <t>Room 428</t>
  </si>
  <si>
    <t>Rooms 113 and 419</t>
  </si>
  <si>
    <t>Room 118</t>
  </si>
  <si>
    <t>Room 230</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</si>
  <si>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cafeteria.</t>
  </si>
  <si>
    <t xml:space="preserve">Stage access is provided via lift. Accessible seating is provided.  </t>
  </si>
  <si>
    <t xml:space="preserve">Accessible seating available upon request. Assistive listening systems have been provided. </t>
  </si>
  <si>
    <t xml:space="preserve">There are accessible student bathrooms (boys and girls) available on all floors. There are accessible single-user (unisex) bathrooms (for student and staff use) available on all floors.   </t>
  </si>
  <si>
    <t>Rooms 144B, 244, 336 and 414</t>
  </si>
  <si>
    <t>Rooms 144A, 246, 314, 404, and 438</t>
  </si>
  <si>
    <t>Rooms 120, 122, 221A, 222, 220, 209A, 322, 324, and 422</t>
  </si>
  <si>
    <t xml:space="preserve">Fire alarm system has been upgraded and includes a strobe light feature. Holding rooms have been specifically designated as rooms 216, 316, and 416. </t>
  </si>
  <si>
    <t>557 Pennsylvania Avenue, Brooklyn, NY 11207</t>
  </si>
  <si>
    <t xml:space="preserve">The nearest accessible subway station is the Wilson Av subway (accessible northbound only) Station (L trains), 2.2 miles distant. MTA bus service (B20 and B83) is also nearby. The main entrance of K013 is accessible, located on Pennsylvania Avenue Street (Exit 1). The accessible entrance includes a doorbell and reception. The accessible entrance does not include security cameras. The doorbell is not within reach range (Height 60 inches). </t>
  </si>
  <si>
    <t xml:space="preserve">One passenger elevator provides access to all floors. Elevator includes audible signals on each floor.  </t>
  </si>
  <si>
    <t xml:space="preserve">Doors: 41 inches, Cab: 48 inches wide, 47 inches deep. </t>
  </si>
  <si>
    <t xml:space="preserve">This site provides limited accessibility; all classrooms are accessible and are located along accessible routes. </t>
  </si>
  <si>
    <t>Room 227</t>
  </si>
  <si>
    <t>Rooms 109 (19K013) and 329 (84K358)</t>
  </si>
  <si>
    <t>Room 136</t>
  </si>
  <si>
    <t>Rooms 126</t>
  </si>
  <si>
    <t xml:space="preserve">The auditorium is accessible and is located on the first floor. Accessible seating is provided. The cafeteria is accessible and is located on the first floor. The gymnasium is accessible and is located on the first floor. Assistive listening systems have been provided in the auditorium and cafeteria. </t>
  </si>
  <si>
    <t xml:space="preserve">Accessible seating is provided. Assistive listening systems have been provided. </t>
  </si>
  <si>
    <t xml:space="preserve">There are no accessible bathrooms in the building. </t>
  </si>
  <si>
    <t>Rooms 104, 157, and 216</t>
  </si>
  <si>
    <t>Rooms 103, 159, and 217</t>
  </si>
  <si>
    <t>Room 106</t>
  </si>
  <si>
    <t>Room 158</t>
  </si>
  <si>
    <t xml:space="preserve">Fire alarm system has not been upgraded and includes a strobe light feature. No holding rooms or areas of refuge have been specifically designated. </t>
  </si>
  <si>
    <t xml:space="preserve">This site does not include central air; Air-conditioning units have been provided in classrooms.  </t>
  </si>
  <si>
    <t>2424 Batchelder Street, Brooklyn, NY 11235</t>
  </si>
  <si>
    <t xml:space="preserve">The nearest accessible subway station is the Sheepshead Bay Station (B and Q trains), 1.1 miles distant. MTA bus service (BM3 and B44) is also nearby and stops next to the school. The accessible entrance to K014 is not the same as the main entrance; the accessible entrance is located on Brown Street (Exits 1 and 2) via exterior ramp. The accessible entrance does not include a doorbell, security cameras, or reception. Visitors may need to contact site in advance to gain access to the facility through the accessible entrance.  </t>
  </si>
  <si>
    <t xml:space="preserve">Many of the water fountains protrude into the corridor more than 4 inches and may present barriers for individual with visual disabilities. Braille signs are not included throughout the building. </t>
  </si>
  <si>
    <t xml:space="preserve">One passenger elevator provides service to all floors in the building. Elevator includes audible signals on each floor.  </t>
  </si>
  <si>
    <t xml:space="preserve">Door: 43 inches; Cab: 72 inches deep, 81 inches wide. </t>
  </si>
  <si>
    <t xml:space="preserve">This site is moderately accessible; all classrooms are accessible and located on accessible routes.  </t>
  </si>
  <si>
    <t>Room 317</t>
  </si>
  <si>
    <t>Rooms 216 and 316</t>
  </si>
  <si>
    <t>Room 320</t>
  </si>
  <si>
    <t>Room 114</t>
  </si>
  <si>
    <t xml:space="preserve">The auditorium is accessible and is located on the first floor. Stage access is provided. Accessible seating is provided. The cafeteria is accessible and is located in the basement. The gymnasium is accessible and is located on the first floor. Assistive listening systems have not been provided in the public assembly spaces. </t>
  </si>
  <si>
    <t xml:space="preserve">Stage access is provided. Accessible seating is provided. </t>
  </si>
  <si>
    <t xml:space="preserve">Basement </t>
  </si>
  <si>
    <t xml:space="preserve">This site is moderately accessible and is prevented from having a higher accessibility rating due to a lack of accessible bathrooms. There are accessible student (girls) bathrooms on the first floor. There are accessible staff (female) bathrooms on the first floor. </t>
  </si>
  <si>
    <t>Basement, Secound, and Third Floors</t>
  </si>
  <si>
    <t>Women's Room 116</t>
  </si>
  <si>
    <t>Basement, Second, and Third floors</t>
  </si>
  <si>
    <t xml:space="preserve">Fire alarm system has been upgraded and includes a strobe light feature. Holding rooms have been specifically designated as rooms 126, 226, and 326.  </t>
  </si>
  <si>
    <t>157 Wilson Street, Brooklyn, NY 11211</t>
  </si>
  <si>
    <t>The nearest accessible subway station is the Marcy Avenue Station (J, M, and Z trains), 0.28 miles distant. MTA bus service (B44 and B44SBS) is also nearby. The accessible entrance to K016 is not the same as the main entrance; the accessible entrance is located in the rear of the building and is accessed via the play yard from Bedford Avenue (Exit 4). The accessible entrance does not include a doorbell, reception, or security cameras; visitors may need to contact the site in advance to gain access to this facility through the accessible entrance.</t>
  </si>
  <si>
    <t>Some door saddles are high, which may be difficult for some users to navigate. Some water fountains and other wall-mounted objects protrude into the corridors more than 4 inches, which may present difficulties for individuals with visual disabilities. Changes in elevation on the first floor prevent access to some program areas. Braille signs are not included throughout the building.</t>
  </si>
  <si>
    <t>This site does not include an elevator, preventing access to floors other than the first floor.</t>
  </si>
  <si>
    <t>This site offers limited accessibility; some classrooms are accessible and are located along accessible routes.</t>
  </si>
  <si>
    <t>Classrooms – First Floor</t>
  </si>
  <si>
    <t>Classrooms – Second Through Fifth Floors</t>
  </si>
  <si>
    <t>Computer Room – Room 229</t>
  </si>
  <si>
    <t>Library – Room 233</t>
  </si>
  <si>
    <t>Main Office – Rooms 211 and 433</t>
  </si>
  <si>
    <t>Nurse’s Office – Room 204</t>
  </si>
  <si>
    <t>The auditorium is accessible and is located on the first floor. Stage access is not provided. Accessible seating is provided. The cafeteria is accessible and is located on the first floor. The gymnasium is not accessible and is located on the third floor. Assistive listening systems have been provided in the auditorium.</t>
  </si>
  <si>
    <t>Stage access is not provided. Accessible seating is provided. Assistive listening systems have been provided in AV closet 235.</t>
  </si>
  <si>
    <t>Multi-Purpose Room – Dance Room</t>
  </si>
  <si>
    <t>There are accessible single-user (unisex) bathrooms (for student and staff use) available on the first floor.</t>
  </si>
  <si>
    <t>Boys Bathrooms – Rooms 214 and 314</t>
  </si>
  <si>
    <t>Boys Bathrooms – First Floor Cafeteria and Room 416</t>
  </si>
  <si>
    <t>Girls Bathrooms – Room 234</t>
  </si>
  <si>
    <t>Girls Bathrooms – First Floor and Room 434</t>
  </si>
  <si>
    <t>Staff Bathrooms – First Floor Lobby Left and Rooms 230, 334A, and 534A</t>
  </si>
  <si>
    <t>Single-User (Unisex) Bathrooms – First Floor Lobby Right and Rooms 204B</t>
  </si>
  <si>
    <t>Room 204B is located in the nurse’s office and is not located on an accessible route.</t>
  </si>
  <si>
    <t>Multi-User (Unisex) Bathrooms – Classrooms 101/105</t>
  </si>
  <si>
    <t>site does not include central air; Air-conditioning units have been provided in classrooms.</t>
  </si>
  <si>
    <t>325 South  3 Street, Brooklyn, NY 11211</t>
  </si>
  <si>
    <t>The nearest accessible subway station is the Marcy Avenue Station (J, M, and Z trains), 0.19 miles distant. MTA bus service (B24, B60, and Q54) is also nearby. The accessible entrance to K019 is not the same as the main entrance; the accessible entrance is located to the left of the main entrance on South 3rd Street (Exit 2). The accessible entrance includes a doorbell. The doorbell is not within reach range (height 60 inches.) The accessible entrance does not include reception, or security cameras; visitors may need to contact the site in advance to gain access to this facility through the accessible entrance.</t>
  </si>
  <si>
    <t>Some door saddles are high, which may be difficult for some users to navigate. Some water fountains and other wall-mounted objects protrude into the corridors more than 4 inches, which may present difficulties for individuals with visual disabilities. Changes in elevation in the basement and on the first and second floors prevent access to some program areas. Braille signs are not included throughout the building.</t>
  </si>
  <si>
    <t>Changes in elevation between the original building and the 1961 addition prevent access between these two structures.</t>
  </si>
  <si>
    <t>This site does not include an elevator, preventing access to floors other than the basement floor of the 1961 addition.</t>
  </si>
  <si>
    <t>Art Rooms – Room 122</t>
  </si>
  <si>
    <t>Classrooms – First Through Fourth Floors</t>
  </si>
  <si>
    <t>Computer Rooms – Rooms 214 and 401</t>
  </si>
  <si>
    <t>Library – Room 108</t>
  </si>
  <si>
    <t>Main Office – Room 114</t>
  </si>
  <si>
    <t>Nurse’s Office – Room 116</t>
  </si>
  <si>
    <t>The auditorium is not accessible and is located on the first floor. Stage access is not provided. Accessible seating is provided. The cafeteria is not accessible and is located in the lower basement. The gymnasium is accessible and is located in the basement of the 1961 addition. Assistive listening systems have been provided in the auditorium and cafeteria.</t>
  </si>
  <si>
    <t>Auditorium – First Floor, Original Building</t>
  </si>
  <si>
    <t>Not on accessible route. Stage access is not provided. Accessible seating is provided. Assistive listening systems have been provided.</t>
  </si>
  <si>
    <t>Cafeteria – Lower Basement, Original Building</t>
  </si>
  <si>
    <t>Not on accessible route. Accessible seating available upon request. Assistive listening systems have been provided.</t>
  </si>
  <si>
    <t>Gymnasium – Basement, 1961 Addition</t>
  </si>
  <si>
    <t>This site is prevented from attaining a higher accessibility rating due to lack of accessible bathrooms throughout the building. There are accessible single-user (unisex) bathrooms (for student and staff use) available in the basement of the 1961 addition.</t>
  </si>
  <si>
    <t>Boys Bathrooms – Room 109</t>
  </si>
  <si>
    <t>Boys Bathrooms – Rooms B18, 205, 305, and 416</t>
  </si>
  <si>
    <t>Girls Bathrooms – Rooms 105</t>
  </si>
  <si>
    <t>Girls Bathrooms – Rooms B25, 218, 318, and 405</t>
  </si>
  <si>
    <t>Staff Bathrooms – Rooms 121A, 121C, 251A, 302A, and 402A</t>
  </si>
  <si>
    <t>Located inside corresponding rooms.</t>
  </si>
  <si>
    <t>Single-User (Unisex) Bathrooms – Rooms B13 and B1-3</t>
  </si>
  <si>
    <t>Room B13 is accessed via Depot Room B3 and the gymnasium. Room B1-3 is located in the gymnasium office and includes a shower.</t>
  </si>
  <si>
    <t>This site does not include central air; Air-conditioning units have been provided in classrooms.</t>
  </si>
  <si>
    <t>443 St Marks Avenue, Brooklyn, NY 11238</t>
  </si>
  <si>
    <t xml:space="preserve">The nearest accessible subway station is the Franklin Av Station (C trains), 0.6 miles distant. MTA bus service (B48 and B65) is also nearby. The main entrance of K022 is accessible, located on Saint Marks Avenue (Exit 1). The accessible entrance includes reception and security cameras. The accessible entrance does not include a doorbell. </t>
  </si>
  <si>
    <t xml:space="preserve">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</si>
  <si>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 xml:space="preserve">Doors: 42 inches; Cab: 80 inches wide, 51 inches deep </t>
  </si>
  <si>
    <t>Room 331</t>
  </si>
  <si>
    <t>Room 424</t>
  </si>
  <si>
    <t>Rooms 130 (17K705) and 422 (84K333)</t>
  </si>
  <si>
    <t>Room 231</t>
  </si>
  <si>
    <t xml:space="preserve">The auditorium is accessible and is located on the second floor. Stage access is provided via lift. Accessible seating is provided. The cafeteria is accessible and is located on the first floor. The gymnasium is accessible and is located on the first floor. Assistive listening systems have been provided in the auditorium. </t>
  </si>
  <si>
    <t xml:space="preserve">Stage access is provided via lift. Accessible seating is provided. Assistive listening systems have been provided. </t>
  </si>
  <si>
    <t xml:space="preserve">There are accessible student bathrooms (boys and girls) available on all floors. There are accessible single-user (unisex) bathrooms (for student and staff use) available between the second and fourth floors.   </t>
  </si>
  <si>
    <t>Rooms 104, 202, 310, and 420</t>
  </si>
  <si>
    <t>Rooms 107, 213, 320, and 410</t>
  </si>
  <si>
    <t>Rooms 217A, 223A, 232, 234, 235A, 330, 332, 430, 432, and 446</t>
  </si>
  <si>
    <t xml:space="preserve">Fire alarm system has been upgraded and includes a strobe light feature. Holding rooms have been specifically designated as rooms 222, 322, and 422. </t>
  </si>
  <si>
    <t>545 Willoughby Avenue, Brooklyn, NY 11206</t>
  </si>
  <si>
    <t>The nearest accessible subway station is Flushing Avenue Station (J, M, and Z trains), 0.7 miles distant. MTA bus service (B43 and B54) is also nearby. The main entrance is accessible, located on Willoughby Avenue (Exit 1). The accessible entrance includes a ramp, doorbell, reception, and security cameras. The doorbell is not within reach range (height 63 inches).</t>
  </si>
  <si>
    <t>Some water fountains and other wall-mounted objects protrude into the corridors more than 4 inches, which may present difficulties for individuals with visual disabilities. Braille signs are not included throughout the building.</t>
  </si>
  <si>
    <t>This site does not include an elevator, preventing access to floors other than the ground floor.</t>
  </si>
  <si>
    <t>This site offers limited accessibility; all classrooms located on the ground floor are accessible and are located on accessible routes.</t>
  </si>
  <si>
    <t>Art Rooms – Room 220</t>
  </si>
  <si>
    <t>Classrooms – Second, and Third Floors</t>
  </si>
  <si>
    <t>Computer Rooms – Room 209</t>
  </si>
  <si>
    <t>Library – Room 207</t>
  </si>
  <si>
    <t>Main Office – Room 124 (14K023)</t>
  </si>
  <si>
    <t>Main Office – Room 327 (84K701)</t>
  </si>
  <si>
    <t>Nurse’s Office- Room 118</t>
  </si>
  <si>
    <t>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been provided in the cafeteria.</t>
  </si>
  <si>
    <t>Stage access is not provided. Accessible seating is not provided.</t>
  </si>
  <si>
    <t>Cafeteria - First Floor</t>
  </si>
  <si>
    <t>Multi-Purpose Room – Music – Room 320</t>
  </si>
  <si>
    <t>Multi-Purpose Room – Sensory Gym – Room 101</t>
  </si>
  <si>
    <t>This site is prevented from attaining a higher accessibility rating due to lack of accessible bathrooms throughout the building. There are accessible staff bathrooms (male and female) available on the first floor.</t>
  </si>
  <si>
    <t>Boys Bathroom – Room 311</t>
  </si>
  <si>
    <t>Boys Bathroom – First Floor and Room 211</t>
  </si>
  <si>
    <t>Girls Bathroom – Room 317</t>
  </si>
  <si>
    <t>Girls Bathroom – First Floor and Room 217</t>
  </si>
  <si>
    <t>Staff Bathrooms – Female – Room 127</t>
  </si>
  <si>
    <t>Staff Bathrooms – Male – Room 123</t>
  </si>
  <si>
    <t>Single-User (Unisex) Bathrooms – Room 118A</t>
  </si>
  <si>
    <t>Room 118A is located in the nurse’s office.</t>
  </si>
  <si>
    <t>This site includes recreational spaces. The exterior recreational spaces are accessible. The recreational equipment is not accessible.</t>
  </si>
  <si>
    <t>427 38 Street, Brooklyn, NY 11232</t>
  </si>
  <si>
    <t>The nearest accessible subway station is the Atlantic Terminal Station (2, 3, 4, 5, B, D, N, Q, R and W trains), 2.6 miles distant. MTA bus service (B70 and B35) is also nearby. The main entrance of K024 is accessible, located on 38th Street (Exit 1). The accessible entrance includes a ramp. The accessible entrance does not include a doorbell or security camera feature.</t>
  </si>
  <si>
    <t xml:space="preserve">Braille signs are included throughout the building.  </t>
  </si>
  <si>
    <t xml:space="preserve">Two passenger elevators include elevator access to all floors. Elevators include audible signals on each floor.  </t>
  </si>
  <si>
    <t>E1; Doors: 37 Inches, Cabs: 68 Inches wide, 71 Inches deep.
E2; Doors: 37 Inches, Cabs: 68 Inches wide, 71 Inches deep.</t>
  </si>
  <si>
    <t>Room 315</t>
  </si>
  <si>
    <t>Room 304, and 312</t>
  </si>
  <si>
    <t>Room 324</t>
  </si>
  <si>
    <t>Room 111</t>
  </si>
  <si>
    <t>Room 115</t>
  </si>
  <si>
    <t>The auditorium is accessible and is located on the first floor. Stage access is provided via ramp, and accessible seating is provided. The cafeteria is accessible and is located on the first floor. The gymnasium is accessible and is located on the first floor. Assistive listening systems have been provided in the cafeteria and gymnasium.</t>
  </si>
  <si>
    <t xml:space="preserve">Stage access via ramp. Accessible seating is provided. </t>
  </si>
  <si>
    <t xml:space="preserve">Assistive listening systems have been provided. </t>
  </si>
  <si>
    <t>There are accessible bathrooms (student) boys and girls available on all floors. There are accessible staff bathrooms (male and female) available on the first floor. There are accessible single-user (unisex) bathrooms (for student and staff use) available on all floors. There are accessible single-user (unisex) bathrooms (for student and staff use) available within the classrooms on the second floor.</t>
  </si>
  <si>
    <t>Rooms 109, 209, 311, and 409</t>
  </si>
  <si>
    <t>Rooms 105, 208, 307, and 405</t>
  </si>
  <si>
    <t>Room 120</t>
  </si>
  <si>
    <t xml:space="preserve">Rooms 106, 108, 210, 212, 308, 310, 406, and 408 </t>
  </si>
  <si>
    <t xml:space="preserve">Available for student and staff use </t>
  </si>
  <si>
    <t xml:space="preserve">All Second Floor Classrooms </t>
  </si>
  <si>
    <t xml:space="preserve">Fire alarm system has been upgraded and includes a strobe light feature. Holding rooms have been specifically designated as rooms 320 and 417. </t>
  </si>
  <si>
    <t>This site includes central air.</t>
  </si>
  <si>
    <t>1014 Lafayette Avenue, Brooklyn, NY 11221</t>
  </si>
  <si>
    <t>The nearest accessible subway station is Utica Avenue Station (A and C train), 1.7 miles distant. MTA bus service (B46, B46-SBS, B38, B47, B52, and Q24) is also nearby. The accessible entrance to K026 is not the same as the main entrance. The accessible entrances one is located on Lafayette Avenue (Exit 9). The accessible entrance includes security cameras. There is a doorbell at the accessible entrance located within reach range (Height 48 inches).</t>
  </si>
  <si>
    <t>Water fountains and other wall-mounted objects protrude in to the corridors more than 4 inches, which may present difficulties for individuals with visual disabilities. Braille signs are not included throughout the building.</t>
  </si>
  <si>
    <t>A passenger elevator provides access to all floors. Access is provided via a ramp to the ground floor of the south wing of the building.</t>
  </si>
  <si>
    <t xml:space="preserve">Doors: 42 inches, Cabs: 64 inches wide, 79 inches deep. </t>
  </si>
  <si>
    <t xml:space="preserve">This site is highly accessible; all classrooms are accessible and located on accessible routes. </t>
  </si>
  <si>
    <t>Room 104</t>
  </si>
  <si>
    <t>Rooms 205, and 308</t>
  </si>
  <si>
    <t>Rooms, 113, 212, and 312</t>
  </si>
  <si>
    <t>Room 109</t>
  </si>
  <si>
    <t>Rooms 234, and 236</t>
  </si>
  <si>
    <t>The auditorium is accessible and is located on the ground floor. There is accessible seating and stage access via lift. The cafeteria is accessible and is located on the ground floor. Assistive listening systems have been provided in the auditorium.</t>
  </si>
  <si>
    <t>Stage access is provided via lift. Accessible seating is not provided. Assistive listening systems have been provided.</t>
  </si>
  <si>
    <t xml:space="preserve">Accessible student bathrooms (girls and boys) are not present in the original building. There is accessible single-user (unisex) bathroom (available for students and staff) in the 1999 wing classrooms. Accessible staff women's bathrooms exist on the first floor. Accessible staff men's bathrooms exists on the third floor. </t>
  </si>
  <si>
    <t>Third Floor</t>
  </si>
  <si>
    <t>Men's Bathroom</t>
  </si>
  <si>
    <t>Women's Bathroom</t>
  </si>
  <si>
    <t xml:space="preserve">Fire alarm system has been upgraded and includes a strobe light feature. Holding rooms have been specifically designated as 202, 203, 213, 233, 240, 303, 308, 313, and 340. </t>
  </si>
  <si>
    <t>The site does not include central air; Air-conditioning units provided in classrooms.</t>
  </si>
  <si>
    <t>425 Henry Street, Brooklyn, NY 11201</t>
  </si>
  <si>
    <t>The nearest accessible subway station is Jay Street - Metrotech Station (A, C, F, and R trains), 0.67 miles distant. MTA bus service (B57 and B61) is also nearby. The accessible entrance to K029 is not the same as the main entrance; the accessible entrance is located in the play yard and is accessed via a ramp from Kane Street (Exit 5). The accessible entrance does not include a doorbell, reception, or security cameras. Visitors may need to contact site in advance to gain access to this facility through the accessible entrance.</t>
  </si>
  <si>
    <t>Concrete degradation and handrails are old</t>
  </si>
  <si>
    <t>Only basement spaces are accessible. 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t>
  </si>
  <si>
    <t>Art Rooms – Room 323</t>
  </si>
  <si>
    <t>Classrooms – Room 113</t>
  </si>
  <si>
    <t>Classrooms – All Others</t>
  </si>
  <si>
    <t>Library – Room 408</t>
  </si>
  <si>
    <t>Main Office – Room 205</t>
  </si>
  <si>
    <t>Nurse’s Office – Room 104</t>
  </si>
  <si>
    <t>The auditorium is not accessible and is located on the second floor. Stage access is not provided. Accessible seating is not provided. The cafeteria is accessible and is located on the first floor. The gymnasium is not accessible and is located on the fourth floor. The multi-purpose room is not accessible and is located on the third floor. Assistive listening systems have not been provided in the public assembly spaces.</t>
  </si>
  <si>
    <t>Auditorium – Second Floor</t>
  </si>
  <si>
    <t>Not on accessible route. Stage access is not provided. Accessible seating is not provided.</t>
  </si>
  <si>
    <t>Gymnasium – Fourth Floor</t>
  </si>
  <si>
    <t>Multi-Purpose Room – Third Floor</t>
  </si>
  <si>
    <t>Boys Bathrooms – Cafeteria, Rooms 201, 302, 402, and 515</t>
  </si>
  <si>
    <t>Girls Bathrooms – Rooms 115, 202, 310, 412, and 512</t>
  </si>
  <si>
    <t>Staff Bathrooms – Rooms 319, 415, and 516</t>
  </si>
  <si>
    <t>Single-User (Unisex) Bathrooms – Rooms 109</t>
  </si>
  <si>
    <t>420 Union Street, Brooklyn, NY 11231</t>
  </si>
  <si>
    <t>The nearest accessible subway station is Atlantic Avenue Barclays Center Station (2, 3, 4, 5, B, D, N, Q, and R trains), 1.0 miles distant. MTA bus service (B57) is also nearby. The main entrance to building K032 is accessible, located on Union Street (Exit 11). The accessible entrance includes a doorbell, security cameras, and reception. The doorbell is within reach range (height 35 inches).</t>
  </si>
  <si>
    <t>Braille signs are included throughout the new addition. Braille signs are not included throughout the old building. There is a change in elevation on the first floor of the old building but it does not prevent access to any educational</t>
  </si>
  <si>
    <t>One passenger elevator provides access to the basement through second floor in the new addition. Elevator provides audible signals on each floor.</t>
  </si>
  <si>
    <t>Doors: 42 inches; Cab: 91 inches wide, 66 inches deep.</t>
  </si>
  <si>
    <t>This site is highly accessible; all classrooms and educational spaces are accessible and are located along accessible routes.</t>
  </si>
  <si>
    <t>Art Rooms – Room 205 and 313</t>
  </si>
  <si>
    <t>Library – Room B100</t>
  </si>
  <si>
    <t>Main Office – Room B105</t>
  </si>
  <si>
    <t>Nurse’s Office – Room B102</t>
  </si>
  <si>
    <t>Science Lab – Room 222</t>
  </si>
  <si>
    <t>The auditorium is accessible and is located on the first floor. Accessible seating is provided. Stage access is not provided. The gymnasium is accessible and is located on the first floor. The cafeteria is accessible and is located in the basement of the new addition. Assistive listening systems have not been provided in the public assembly spaces.</t>
  </si>
  <si>
    <t>Stage access is not provided. Accessible seating is provided.</t>
  </si>
  <si>
    <t>There are accessible bathrooms students (boys and girls) available on all floors in the new addition. There are accessible staff bathrooms (male and female) available on all floors in the new addition. There are accessible single- user (unisex) bathrooms (for student and staff use) available in the classrooms 140, 141, 142, 146, 148, 149, 151, 153, 240, 241, and 242.</t>
  </si>
  <si>
    <t>Boys Bathroom – Rooms B102B, B118, 145B, and 239B</t>
  </si>
  <si>
    <t>Boys Bathroom – All Floors</t>
  </si>
  <si>
    <t>Bathrooms located in the old building.</t>
  </si>
  <si>
    <t>Girls Bathroom – Rooms B102C, B118A, 145A, and 239A</t>
  </si>
  <si>
    <t>Staff Bathrooms – Rooms B118, 145, and B239</t>
  </si>
  <si>
    <t>Staff Bathrooms – All Floors</t>
  </si>
  <si>
    <t>Single-User (Unisex) Bathroom – Rooms 140A, 141A, 142A, 146A, 148A, 149A, 151A, 153A, 240A, 241A, and 242A</t>
  </si>
  <si>
    <t>Bathrooms located inside corresponding classrooms.</t>
  </si>
  <si>
    <t>This site includes include exterior recreational spaces. The exterior recreational spaces are accessible. The recreational equipment is not accessible.</t>
  </si>
  <si>
    <t>Fire alarm system has been upgraded and includes a strobe light feature. Holding rooms have been specifically designated as rooms 155 and 255.</t>
  </si>
  <si>
    <t>The new addition includes central air. The old building does not include central air. Air-conditioning units have been provided in classrooms.</t>
  </si>
  <si>
    <t>70 Tompkins Avenue, Brooklyn, NY 11206</t>
  </si>
  <si>
    <t>The nearest accessible subway station is the Flushing Avenue Station (J and M trains), 0.04 miles distant. MTA bus service (B54 and B43) is also nearby. The accessible entrance to K033 is not the same as the main entrance; the accessible entrance is located on Tompkins Avenue (Exits 2 and 3). The accessible entrance does not include a doorbell or security cameras. Visitors may need to contact site in advance to gain access to this facility through the accessible entrance.</t>
  </si>
  <si>
    <t xml:space="preserve">This exterior ramp is located at the cafeteria entry. It is the accessible entrance between play yard and cafeteria. </t>
  </si>
  <si>
    <t xml:space="preserve">Some hallway doors are heavy and without closers, which may be difficult for some users to navigate. Braille signs are not included throughout the building. </t>
  </si>
  <si>
    <t xml:space="preserve">This site offers limited accessibility; all classrooms located on first floor are accessible and are located along accessible routes. </t>
  </si>
  <si>
    <t xml:space="preserve">114B </t>
  </si>
  <si>
    <t>Rooms 231 and 301</t>
  </si>
  <si>
    <t>Not Acessible</t>
  </si>
  <si>
    <t>Not located along an accessible route.</t>
  </si>
  <si>
    <t>Second, Third and Fourth Floors</t>
  </si>
  <si>
    <t>Room 114A</t>
  </si>
  <si>
    <t>Room 106 (75K368)</t>
  </si>
  <si>
    <t>Room 214 (84K367)</t>
  </si>
  <si>
    <t>Not located on an accessible route.</t>
  </si>
  <si>
    <t>Room 122</t>
  </si>
  <si>
    <t>Rooms 302 and 310</t>
  </si>
  <si>
    <t xml:space="preserve">Not Accessible </t>
  </si>
  <si>
    <t>The auditorium is accessible and is located on the first floor. Stage access is not provided. Accessible seating is provided. The cafeteria is accessible and is located in the basement. The gymnasium is accessible and is located on the first floor. Assistive listening systems have not been provided in the public assembly spaces.</t>
  </si>
  <si>
    <t>Stage access is not provided. Accessible seating is provided. No assistive listening systems have been provided.</t>
  </si>
  <si>
    <t>Basement</t>
  </si>
  <si>
    <t xml:space="preserve">Since there is no elevator at this site, individuals are able to access the cafeteria from the accessible entrance through the play yard. This accessible entrance includes an exterior ramp to circumvent change in elevation. Assistive listening systems have not be provided.  </t>
  </si>
  <si>
    <t xml:space="preserve">Assistive listening systems have not been provided. </t>
  </si>
  <si>
    <t>Rooms B17, 113, Second Floor, 319 and Fourth Floor</t>
  </si>
  <si>
    <t xml:space="preserve">Door entry is less than 32". </t>
  </si>
  <si>
    <t>Rooms B15, B34, 115, Second Floor, 313 and 413</t>
  </si>
  <si>
    <t>Not Accessible.</t>
  </si>
  <si>
    <t>Rooms 134, 136, 242, 236, 342 and 336</t>
  </si>
  <si>
    <t xml:space="preserve">Door entry is less than 32" </t>
  </si>
  <si>
    <t xml:space="preserve">Fire alarm system has been upgraded and includes a strobe light feature. Holding rooms or areas of refuge have not been specifically designated. </t>
  </si>
  <si>
    <t xml:space="preserve">This site does not include central air. Air-conditioning units have been provided in classrooms. </t>
  </si>
  <si>
    <t>Jyoti Folch</t>
  </si>
  <si>
    <t>272 Macdonough Street, Brooklyn, NY 11233</t>
  </si>
  <si>
    <t>The nearest accessible subway station is Franklin Avenue Station (A and C trains), 1.1 miles distant. MTA bus service (B15 and B25) is also nearby. The accessible entrance is not the same as the main entrance; the accessible entrance is located on Lewis Avenue (Exit 8). The accessible entrance includes a doorbell and video intercom. The doorbell is within reach range (height 46 inches). The accessible entrance does not include reception or security cameras.</t>
  </si>
  <si>
    <t>Includes automatic door openers</t>
  </si>
  <si>
    <t>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included throughout the building.</t>
  </si>
  <si>
    <t>Two passenger elevators provide access throughout the building. Elevator A provides access from the basement to the third floor. Elevator B provides access from the third to the fourth floor. Elevators include audible signals on each floor.</t>
  </si>
  <si>
    <t>E1; Doors: 42 inches, Cab: 78 inches wide, 65 inches deep. E2; Doors: 35 inches, Cab: 41 inches wide, 60 inches deep.</t>
  </si>
  <si>
    <t>Art Rooms – Rooms 119 and 216</t>
  </si>
  <si>
    <t>Classrooms – All floors</t>
  </si>
  <si>
    <t>Library – Room 328</t>
  </si>
  <si>
    <t>Main Office – Rooms 115, 312, and 325</t>
  </si>
  <si>
    <t>Nurse’s Office – Room 230</t>
  </si>
  <si>
    <t>Science Lab – Rooms 102 and 201</t>
  </si>
  <si>
    <t>The auditorium is accessible and is located in the basement. Stage access is provided via lift. Accessible seating is provided. The cafeteria is accessible and is located in the basement. The gymnasiums are accessible and are located in the basement and on second floor. Assistive listening systems have been provided in the cafeteria, gymnasium, and auditorium.</t>
  </si>
  <si>
    <t>Auditorium – Basement</t>
  </si>
  <si>
    <t>Stage access is provided via lift. Accessible seating is provided. Assistive listening systems have been provided.</t>
  </si>
  <si>
    <t>Gymnasium – Second Floor</t>
  </si>
  <si>
    <t>There are accessible student bathrooms (boys and girls) available on all floors. There are accessible single-user (unisex) bathrooms (for student and staff use) available on all floors.</t>
  </si>
  <si>
    <t>Boys Bathrooms – Rooms B18, 114, 218, 324, 336A, and 432</t>
  </si>
  <si>
    <t>Girls Bathrooms – Rooms B12, 224, 336, and 432A</t>
  </si>
  <si>
    <t>Single-User (Unisex) Bathrooms – Rooms B8, 205, 226, 226A, 312, 330, and 436</t>
  </si>
  <si>
    <t>Fire alarm system has been upgraded and includes a strobe light feature. Holding rooms have been specifically designated as rooms 009, 105, 117, 134, 210, 227, 310, 329, and 429.</t>
  </si>
  <si>
    <t>Kot Elizabeth</t>
  </si>
  <si>
    <t>411 Thatford Avenue, Brooklyn, NY 11212</t>
  </si>
  <si>
    <t>The nearest accessible subway station is the Crown Heights/Utica Avenue Station (3 and 4 trains), 1.8 miles distant. MTA bus service (B60, B35, and B15) is also nearby. The accessible entrance to K041 is not the same as the main entrance; the accessible entrance is located on Newport Street (Exit 5). The accessible entrance includes reception and security cameras. The accessible entrance does not include a doorbell. Visitors may need to contact site in advance to gain access to this facility through the accessible entrance.</t>
  </si>
  <si>
    <t>Accessible entrance into K041 is located at 2225 Newport Street through the First Step NYC program.</t>
  </si>
  <si>
    <t>Accessible NYC program.</t>
  </si>
  <si>
    <t>Ramp is located at 2225 Newport Street through the First Step</t>
  </si>
  <si>
    <t>Braille signs are not included throughout the building.</t>
  </si>
  <si>
    <t>Non-compliant door hardware.</t>
  </si>
  <si>
    <t>This site does not include an elevator. Lack of elevator prevents access to floors other than the first floor.</t>
  </si>
  <si>
    <t>This site offers limited accessibility; all classrooms on the first floor are accessible and are located along accessible routes.</t>
  </si>
  <si>
    <t>Art Room – Room 218</t>
  </si>
  <si>
    <t>Not on an accessible route.</t>
  </si>
  <si>
    <t>Classrooms – Second and Third Floors</t>
  </si>
  <si>
    <t>Computer Room – Room 318</t>
  </si>
  <si>
    <t>Library – Room 217</t>
  </si>
  <si>
    <t>Main Office – Rooms 117B and 142</t>
  </si>
  <si>
    <t>The auditorium is accessible and is located on the first floor. Stage access is provided via lift. Accessible seating is not provided. The cafeteria is accessible and is located on the first floor. The gymnasium is accessible and is located on the first floor. Assistive listening systems have not been provided in the public assembly spaces.</t>
  </si>
  <si>
    <t>Stage access is provided via lift. Accessible seating is not provided.</t>
  </si>
  <si>
    <t>This building is prevented from attaining a higher accessibility rating due to lack of accessible bathrooms throughout the building. There are accessible student bathrooms (boys and girls) available on the first floor. There are accessible staff bathrooms (male and female) available on the first floors. There are accessible single- user (unisex) bathrooms (for student and staff use) available on the first floor. There are accessible single-user (unisex) bathrooms located in some classrooms of the first floor.</t>
  </si>
  <si>
    <t>Boys Bathroom – Room 129</t>
  </si>
  <si>
    <t>Bathroom is located inside First Step NYC program.</t>
  </si>
  <si>
    <t>Boys Bathrooms – Rooms 161, 233, and 333</t>
  </si>
  <si>
    <t>Girls Bathroom – Rooms 128</t>
  </si>
  <si>
    <t>Staff Bathroom –113B</t>
  </si>
  <si>
    <t>Staff Bathrooms – Rooms 164, 165, 223, and 321</t>
  </si>
  <si>
    <t>Single-User (Unisex) Bathroom – Room 323</t>
  </si>
  <si>
    <t>Single-User (Unisex) Bathrooms – Classrooms 106, 108, 110, 112, 114, 116, 118, 120, 122, and 124</t>
  </si>
  <si>
    <t>Located inside corresponding classrooms inside First Step NYC program.</t>
  </si>
  <si>
    <t>288 4 Street, Brooklyn, NY 11215</t>
  </si>
  <si>
    <t>The nearest accessible subway station is Atlantic Avenue Station (2, 3, 4, 5, B, D, N, Q, and R trains), 0.9 miles distant. MTA bus service (B63 and B103) is also nearby. The accessible entrance to K051 is not the same as the main entrance; the accessible entrance is located on 4th Street (Exit A). At the accessible entrance there is a ramp, and security cameras. There is no doorbell at the accessible entrance, visitors will need to call in advance to gain access.</t>
  </si>
  <si>
    <t>A passenger elevator provides access to all floors. Elevator includes audible signals on each floor.</t>
  </si>
  <si>
    <t>Doors: 48 inches, Cabs: 77 inches wide, 53 inches deep.</t>
  </si>
  <si>
    <t>Art Rooms – Room 315</t>
  </si>
  <si>
    <t>Computer Rooms – Room 201</t>
  </si>
  <si>
    <t>Library – Room 333</t>
  </si>
  <si>
    <t>Main Office – Room 138</t>
  </si>
  <si>
    <t>Nurse’s Office- Room 134</t>
  </si>
  <si>
    <t>The auditorium is accessible and is located on the first floor. Stage access is provided via corridor. Accessible seating is provided. The cafeteria is accessible and is located in the basement. The gymnasium is accessible and is located on the first floor. Assistive listening systems have not been provided in the public assembly spaces.</t>
  </si>
  <si>
    <t>Stage access is provided via corridor. Accessible seating is provided.</t>
  </si>
  <si>
    <t>Cafeteria- Basement</t>
  </si>
  <si>
    <t>There are accessible student bathrooms (girls and boys) on the first floor. There are no accessible staff bathrooms in the building.</t>
  </si>
  <si>
    <t>Boys Bathroom – Second, Third Floors</t>
  </si>
  <si>
    <t>Girls Bathroom – First Floor</t>
  </si>
  <si>
    <t>Fire alarm system has been upgraded and includes a strobe light feature. No holding rooms or areas of refuge have been specifically designated.</t>
  </si>
  <si>
    <t>2021 Bergen Street, Brooklyn, NY 11233</t>
  </si>
  <si>
    <t>The nearest accessible subway station is Crown Heights – Utica Avenue (A and C trains), 1.2 miles distant. MTA bus service (B60 and B7) is also nearby. The accessible entrance to K055 is not the same as the main entrance; the accessible entrance is located on Bergen Street, adjacent to the main entrance. The accessible entrance includes a ramp, a doorbell, and security cameras. The doorbell is located within reach range (height 45 inches).</t>
  </si>
  <si>
    <t>Door: 35 inches, Cab: 59 inches wide, 66 inches deep.</t>
  </si>
  <si>
    <t>Art Room – Rooms 341 and 403</t>
  </si>
  <si>
    <t>Computer Rooms – Rooms 303, 429, and 441</t>
  </si>
  <si>
    <t>Library – Room 137</t>
  </si>
  <si>
    <t>Main Office – Rooms 111, 251, and 351</t>
  </si>
  <si>
    <t>Nurse’s Office – Room 129</t>
  </si>
  <si>
    <t>Science Lab – Rooms 333, 337, 433, 437, and 439</t>
  </si>
  <si>
    <t>The auditorium is not accessible and is located on the first floor. Stage access is provided via lift. Accessible seating is not provided. The cafeteria is accessible and is located in the basement. The gymnasium is accessible and is located on the first floor. Assistive listening systems have been provided in the auditorium.</t>
  </si>
  <si>
    <t>Entrance doors do not provide clear path. Stage access is provided via lift. Accessible seating is not provided. Assistive listening systems have been provided.</t>
  </si>
  <si>
    <t>There are accessible student bathrooms (girls and boys) available on the basement, first, and forth floors. There is an accessible staff bathroom (female) available on the first floor. There is an accessible single-user (unisex) bathroom (for student and staff use) available on the first floor.</t>
  </si>
  <si>
    <t>Boys Bathrooms – Rooms 410, 432, 132, and Cafeteria B</t>
  </si>
  <si>
    <t>Boys Bathrooms – Rooms 332, 310, 232, and 210</t>
  </si>
  <si>
    <t>Girls Bathrooms – Rooms 422, 406, 136, and Cafeteria A</t>
  </si>
  <si>
    <t>Staff Bathrooms – Room 119 (female)</t>
  </si>
  <si>
    <t>Staff Bathrooms – 428, 246, 328, and 326</t>
  </si>
  <si>
    <t>Single-User (Unisex) Bathroom – Room 120</t>
  </si>
  <si>
    <t>Fire alarm system includes a strobe light feature. Holding rooms have been designated as rooms 403, 303, and 203.</t>
  </si>
  <si>
    <t>170 Gates Avenue, Brooklyn, NY 11238</t>
  </si>
  <si>
    <t xml:space="preserve">The nearest accessible subway Station is Franklin Avenue Station (A, C trains) 0.5 miles distant. MTA bus service (B48 and B26) is also nearby. The accessible entrance to K445 is the same as the main entrance, located on Gates Avenue (Exit 1). This entrance is reached via a ramp, and includes a doorbell and security cameras. However, the doorbell is far outside of reach range (height 64”). A passenger elevator provides access to all floors in the building, but is an older model with limited maneuvering clearance that may be difficult for some users to navigate. </t>
  </si>
  <si>
    <t xml:space="preserve">A passenger elevator provides access to all floors in the building, but is an older model with limited maneuvering clearance that may be difficult for some users to navigate. </t>
  </si>
  <si>
    <t xml:space="preserve">Door: 36”, Cab: 51” wide, 70” deep. </t>
  </si>
  <si>
    <t xml:space="preserve">This site is moderately accessible; all classrooms and public assembly areas are accessible and located on accessible routes. Accessible bathrooms for students and staff exist on the first floor; this site is prevented from having a higher accessibility rating due to a lack of accessible bathrooms on the upper floors of the building. There is also a need to provide signage including braille throughout the building to identify spaces. </t>
  </si>
  <si>
    <t>Room 301</t>
  </si>
  <si>
    <t>Room 207</t>
  </si>
  <si>
    <t>Room 129, 134, 333</t>
  </si>
  <si>
    <t>Room 134</t>
  </si>
  <si>
    <t>Room 300</t>
  </si>
  <si>
    <t xml:space="preserve">All public assembly areas are accessible and located on accessible routes. There is an accessible auditorium on the first floor with stage access provided via ramp and accessible seating provided. An assistive listening systems have been provided in the auditorium. </t>
  </si>
  <si>
    <t>Stage access provided via ramp. Accessible seating is provided. Assistive listening systems have been provided.</t>
  </si>
  <si>
    <t>First Floor (Students)</t>
  </si>
  <si>
    <t>Accessible seating available upon request</t>
  </si>
  <si>
    <t xml:space="preserve">Accessible bathrooms for students and staff exist on the first floor; this site is prevented from having a higher accessibility rating due to a lack of accessible bathrooms on the upper floors of the building. </t>
  </si>
  <si>
    <t>Secound and Third Floors</t>
  </si>
  <si>
    <t>Seound and Third Floor</t>
  </si>
  <si>
    <t>Second and Third Floor</t>
  </si>
  <si>
    <t xml:space="preserve">Fire Alarm System includes a strobe light feature. Holding rooms or areas of refuge have not been specifically designated. </t>
  </si>
  <si>
    <t>An assistive listening system has been installed in the auditorium.</t>
  </si>
  <si>
    <t>211 Throop Avenue, Brooklyn, NY 11206</t>
  </si>
  <si>
    <t>The nearest accessible subway station is the Flushing Avenue Station (J and M trains), 0.21 miles distant. MTA bus service (B15, B43, B47, and B54) is also nearby. This building does not include an accessible entrance.</t>
  </si>
  <si>
    <t>Changes in elevation prevent access at all entrances to this building.</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</si>
  <si>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all floors prevent access to some program areas. Braille signs are not included throughout the building.</t>
  </si>
  <si>
    <t>This site does not include an elevator, preventing vertical access throughout the building.</t>
  </si>
  <si>
    <t>This site is not accessible; all classrooms are not accessible and are not located along accessible routes.</t>
  </si>
  <si>
    <t>Art Rooms – Room 308</t>
  </si>
  <si>
    <t>Classrooms – First Through Third Floor</t>
  </si>
  <si>
    <t>Computer Rooms – Room 111/113</t>
  </si>
  <si>
    <t>Library – Second Floor</t>
  </si>
  <si>
    <t>Main Office – Rooms 124 and 316</t>
  </si>
  <si>
    <t>Not on accessible route. Room 124 - (P.S. 59) Room 316 - (Success Academy Bedford Stuyvesant2)</t>
  </si>
  <si>
    <t>Nurse’s Office – Room 128B</t>
  </si>
  <si>
    <t>The auditorium is not accessible and is located in the basement. Stage access is not provided. Accessible seating is provided. The cafeteria is not accessible and is located on the first floor. The gymnasium is not accessible and is located in the basement. Assistive listening systems have been provided in the auditorium and cafeteria.</t>
  </si>
  <si>
    <t>Not on accessible route. Stage access is not provided. Accessible seating is provided. Assistive listening systems have been provided in the mezzanine AV room.</t>
  </si>
  <si>
    <t>This site is prevented from attaining a higher accessibility rating due to lack of accessible bathrooms throughout the building. There are accessible student bathrooms (boys and girls) available in the basement.</t>
  </si>
  <si>
    <t>Boys Bathrooms – Room B09</t>
  </si>
  <si>
    <t>Boys Bathrooms – Rooms 120, 217, and 319</t>
  </si>
  <si>
    <t>Girls Bathrooms – Room B13</t>
  </si>
  <si>
    <t>Girls Bathrooms – Rooms 115, 219, and 317</t>
  </si>
  <si>
    <t>Staff Bathrooms – Rooms 229A</t>
  </si>
  <si>
    <t>Located in corresponding rooms.</t>
  </si>
  <si>
    <t>Single-User (Unisex) Bathrooms – Rooms 128A, 103A, and 203A</t>
  </si>
  <si>
    <t>Room 128A is located in the nurse’s office.</t>
  </si>
  <si>
    <t>Single-User (Unisex) Bathrooms – Classrooms 101/102A, 105A, and 106A</t>
  </si>
  <si>
    <t>Fire alarm system has not been upgraded and does not include a strobe light feature. Holding rooms or areas of refuge have not been specifically designated.</t>
  </si>
  <si>
    <t>https://nycdoe.sharepoint.com/:w:/s/BAP/EXl3SqBRaYFMlkgRYDNeTLkBwS2kl7-4azyS9M7vTLK32w</t>
  </si>
  <si>
    <t>700 Cortelyou Road, Brooklyn, NY 11218</t>
  </si>
  <si>
    <t>The nearest accessible subway station is the Church Avenue Station (F and G trains), 0.7 miles distant. MTA bus service (B68, BM103, and BM1) is also nearby. The main entrance of K062 is accessible, located on East 7th Street (Exit 1). The accessible entrance includes a ramp, security cameras, and a doorbell. The doorbell is not within reach range (57 inches).</t>
  </si>
  <si>
    <t>Some hallway doors are heavy and without closers, which may be difficult for some users to navigate. Braille signs are not included throughout the building.</t>
  </si>
  <si>
    <t>Located at entry.</t>
  </si>
  <si>
    <t>This site is moderately accessible; all classrooms located on the first floor are accessible and are located along accessible routes.</t>
  </si>
  <si>
    <t>Room B1</t>
  </si>
  <si>
    <t>Not on an accessible route</t>
  </si>
  <si>
    <t xml:space="preserve">Not on an accessible route. </t>
  </si>
  <si>
    <t>Room 102</t>
  </si>
  <si>
    <t>Rooms 234A, 323, and 334</t>
  </si>
  <si>
    <t>Room 333</t>
  </si>
  <si>
    <t>Room 138</t>
  </si>
  <si>
    <t>The auditorium is accessible and is located on the first floor. Stage access is not provided. Accessible seating is provided. The gymnasium is accessible and is located on the first floor. The cafeteria is not accessible and is located in the basement. Assistive listening systems have not been provided in the public assembly spaces.</t>
  </si>
  <si>
    <t>Changes in elevation (12 steps) prevent access.</t>
  </si>
  <si>
    <t>This building is prevented from attaining a higher accessibility rating due to lack of accessible bathrooms throughout the building. There are accessible student bathrooms (boys and girls) available on the first floor.</t>
  </si>
  <si>
    <t>Room 128</t>
  </si>
  <si>
    <t>Basement, Rooms 228 and 328</t>
  </si>
  <si>
    <t>Basement, Rooms 214 and 314</t>
  </si>
  <si>
    <t>845 East  96 Street, Brooklyn, NY 11236</t>
  </si>
  <si>
    <t xml:space="preserve">The nearest accessible subway station is the Canarsie-Rockaway Pkwy Station (L train), 0.5 miles distant. MTA bus service (B60 and B42) is also nearby. The main entrance of K066 is accessible, located on East 96 Street (Exit 1). The accessible entrance includes a doorbell, reception, and security cameras. The doorbell is located within reach range (Height 48 inches). </t>
  </si>
  <si>
    <t xml:space="preserve">Some water fountains and other wall-mounted objects protrude into the corridors more than 4 inches, which may present difficulties for individuals with visual disabilities. Braille signs are included throughout the building.  </t>
  </si>
  <si>
    <t xml:space="preserve">Two passenger elevators provide access to all floors. Elevators include audible signals on each floor. </t>
  </si>
  <si>
    <t xml:space="preserve">E1 and E2 
Doors: 41 inches, Cabs: 49 inches wide, 80 inches deep. </t>
  </si>
  <si>
    <t>Rooms 219 and 313</t>
  </si>
  <si>
    <t>Room 217</t>
  </si>
  <si>
    <t>Room 215</t>
  </si>
  <si>
    <t>Rooms 121 (18K066) and 228 (75K771)</t>
  </si>
  <si>
    <t>Rooms 218 and 308</t>
  </si>
  <si>
    <t xml:space="preserve">The auditorium is accessible and is located on the first floor. Stage access is provided via ramp. Accessible seating is provided. The cafeteria is accessible and is located on the first floor. The gymnasium is accessible and is located on the second floor. Assistive listening systems have been provided in the auditorium, cafeteria, and gymnasium.  </t>
  </si>
  <si>
    <t xml:space="preserve">Stage access via ramp. Accessible seating is provided. Assistive listening systems have been provided. </t>
  </si>
  <si>
    <t xml:space="preserve">Assistive listening systems have been provided. Accessible seating available upon request. </t>
  </si>
  <si>
    <t xml:space="preserve">There are accessible student bathrooms (boys and girls) available on all floors. There are accessible staff bathrooms (male and female) available on the second floor. There are accessible single-user (unisex) bathrooms (for student and staff use) available on the first floor. </t>
  </si>
  <si>
    <t>Rooms 118B, 221A, and 306A</t>
  </si>
  <si>
    <t>Rooms 118A, 221B, and 306B</t>
  </si>
  <si>
    <t>Room 215A</t>
  </si>
  <si>
    <t>Room 215B</t>
  </si>
  <si>
    <t xml:space="preserve"> Room 120A</t>
  </si>
  <si>
    <t xml:space="preserve">Fire alarm system has been upgraded and includes a strobe light feature. Holding rooms have been specifically designated as rooms 202 and 302.  </t>
  </si>
  <si>
    <t>51 Saint Edwards Street, Brooklyn, NY 11205</t>
  </si>
  <si>
    <t xml:space="preserve">The nearest accessible subway station is the Jay Street – MetroTech Station (A, C, F, and R trains), 0.7 miles distant. MTA bus service (B54 and B62) is also nearby. The main entrance is not accessible due to changes in elevation and slopes upon entering school entrance. The main entrance includes security cameras and reception and a doorbell. This site does not include an accessible entrance. </t>
  </si>
  <si>
    <t xml:space="preserve">Change in elevation (3 steps) prevents access. </t>
  </si>
  <si>
    <t xml:space="preserve">Some water fountains and other wall-mounted objects protrude in the corridors more than 4 inches, which may present difficulties for individuals with visual disabilities. Braille signs are not included throughout the building.  </t>
  </si>
  <si>
    <t xml:space="preserve">This site does not include an elevator, preventing access to floors other than the first floor.  </t>
  </si>
  <si>
    <t xml:space="preserve">This site is not accessible. All classrooms are not accessible and are not located along accessible routes.  </t>
  </si>
  <si>
    <t>Rooms 322 and 413A</t>
  </si>
  <si>
    <t>Rooms 233 and 413</t>
  </si>
  <si>
    <t>Room 102 (13K067), Room 328 (84K536) and Room 428 (75K369)</t>
  </si>
  <si>
    <t>Rooms 109 and 401</t>
  </si>
  <si>
    <t xml:space="preserve">This site does not include a gymnasium; the auditorium fulfills this function. The auditorium is not accessible and is located on the first floor. The cafeteria is not accessible and is located in the basement. Assistive listening systems have not been provided in the public assembly spaces. </t>
  </si>
  <si>
    <t xml:space="preserve">Not on an accessible route. Stage access is not provided. Accessible seating available upon request. </t>
  </si>
  <si>
    <t xml:space="preserve">Not on an accessible route. Accessible seating available upon request.  </t>
  </si>
  <si>
    <t xml:space="preserve">This building is prevented from attaining a higher accessibility rating due to lack of accessible bathrooms throughout the building.  </t>
  </si>
  <si>
    <t xml:space="preserve">This site includes exterior recreational spaces. The exterior recreational spaces are accessible. The recreational equipment is not accessible.  </t>
  </si>
  <si>
    <t xml:space="preserve">This site does not include central air. Air-conditioning units have been provided in classrooms.  </t>
  </si>
  <si>
    <t>956 East  82 Street, Brooklyn, NY 11236</t>
  </si>
  <si>
    <t>The nearest accessible subway station is the Rockaway Pkwy Station (L train), 1.1 mile distant. MTA bus service (B6, B82, B103, and B82-SBS) is also nearby. The accessible entrance to K068 is not the same as the main entrance; the accessible entrance is located on East 81st Street (Exit 5). The accessible entrance includes a doorbell. The accessible entrance does not include reception or security cameras. The doorbell is not within reach range (height 59 inches). Visitors may need to contact site in advance to gain access to this facility through the accessible entrance.</t>
  </si>
  <si>
    <t>Non-compliant door hardware throughout building.</t>
  </si>
  <si>
    <t>This site occupies multiple floors and does not include an elevator. Lack of elevator prevents vertical access throughout the building.</t>
  </si>
  <si>
    <t>This site offers no accessibility; all classrooms are not accessible and are not located along accessible routes.</t>
  </si>
  <si>
    <t>Classrooms – Basement to Third Floor</t>
  </si>
  <si>
    <t>Computer Rooms – Rooms 230 and 316</t>
  </si>
  <si>
    <t>Library – Room 232</t>
  </si>
  <si>
    <t>Main Office – Rooms B2 and 135</t>
  </si>
  <si>
    <t>Nurse’s Office – Room 130</t>
  </si>
  <si>
    <t>Science Lab – Room 304</t>
  </si>
  <si>
    <t>The auditorium is not accessible and is located on the first floor. Stage access is not provided via lift. Accessible seating is not provided. The cafeteria is accessible though the exterior of building (Exit 5) and is located in the basement. The gymnasium is not accessible and is located on the first floor. Assistive listening systems have not been provided in the public assembly spaces.</t>
  </si>
  <si>
    <t>Not on an accessible route. Stage access is not provided (via corridor/lift). Accessible seating is not provided.</t>
  </si>
  <si>
    <t>Accessible through the exterior of building (Exit 5). Interior cafeteria doors do not provide clear path. Accessible seating available upon request.</t>
  </si>
  <si>
    <t>Boys Bathrooms – Rooms B14, C1, 118, 218, and 318</t>
  </si>
  <si>
    <t>Room 118 is compliant but not on an accessible route.</t>
  </si>
  <si>
    <t>Girls Bathrooms – Rooms B18, C2, 222, and 322</t>
  </si>
  <si>
    <t>Room 122 is compliant but not on an accessible route.</t>
  </si>
  <si>
    <t>Staff Bathrooms – Room B30, 111, 141, 240, 246, 340, and 346</t>
  </si>
  <si>
    <t>Room 111 (Men’s Room) is compliant but not on an accessible route.</t>
  </si>
  <si>
    <t>This site includes exterior recreational space. The exterior recreational spaces are accessible. The recreational equipment is not accessible.</t>
  </si>
  <si>
    <t>Fire alarm system has not been upgraded. Holding rooms or areas of refuge have not been specifically designated.</t>
  </si>
  <si>
    <t>6302 9Th Avenue, Brooklyn, NY 11220</t>
  </si>
  <si>
    <t xml:space="preserve">The nearest accessible subway station is the Church Avenue Station (F and G trains), 1.76 miles distant. MTA bus service (B16 and B70) is also nearby. The main entrance of K069 is accessible, located at the corner of 63rd Street and 9th Avenue (Exit 3). The accessible entrance includes a ramp, a doorbell, and reception. The accessible entrance does not include security cameras. The doorbell is not within reach range (Height 51 Inches). </t>
  </si>
  <si>
    <t xml:space="preserve">Ramped access from the street to first floor. </t>
  </si>
  <si>
    <t xml:space="preserve">Some bathroom door saddles are high, which may be difficult for some users to navigate. Braille signs are included throughout the building.  </t>
  </si>
  <si>
    <t xml:space="preserve">E1 and E2 
Doors: 36 Inches, Cabs: 68 Inches wide, 52 Inches deep. </t>
  </si>
  <si>
    <t>Room 421</t>
  </si>
  <si>
    <t>Room 108</t>
  </si>
  <si>
    <t xml:space="preserve">The auditorium is accessible and is located on the first and second floors. Stage access is provided via corridor. Accessible seating is provided. The cafeteria is accessible and is located on the first floor. The gymnasium is accessible and is located on the third floor. Assistive listening systems have been provided in the auditorium and cafeteria. </t>
  </si>
  <si>
    <t xml:space="preserve">Stage access is provided via corridor. Accessible seating is provided. Assistive listening systems have been provided. </t>
  </si>
  <si>
    <t xml:space="preserve">There are accessible student bathrooms (boys and girls) available on floors one through four. There are accessible single-user (unisex) bathrooms (for student and staff use) available on all floors.   </t>
  </si>
  <si>
    <t>Rooms 117, 209, 309, and 409</t>
  </si>
  <si>
    <t xml:space="preserve">Automatic door opener on interior side.  Room 117 is accessed from hallway and cafeteria. </t>
  </si>
  <si>
    <t>Rooms 111, 215, 315, and 415</t>
  </si>
  <si>
    <t xml:space="preserve">Room 111 is accessed from hallway and cafeteria. </t>
  </si>
  <si>
    <t>Rooms C09, C27, 113, 211, 311, and 411</t>
  </si>
  <si>
    <t>Available for student and staff use</t>
  </si>
  <si>
    <t xml:space="preserve">This site includes central air. Temperature control units have been provided in classrooms. </t>
  </si>
  <si>
    <t>Olga Lysenko</t>
  </si>
  <si>
    <t>215 Heyward Street, Brooklyn, NY 11206</t>
  </si>
  <si>
    <t xml:space="preserve">The nearest accessible subway station is the Flushing Avenue Station (J, M, and Z trains), 0.8 miles distant. MTA bus service (B44 and B44‐SBS) is also nearby. The accessible entrance to K071 is not the same as the main entrance; the accessible entrance is located on Heyward Street and is reached via a ramp. This entrance includes a doorbell. The doorbell is within reach range (height 41 inches).  </t>
  </si>
  <si>
    <t xml:space="preserve">Braille signs are not provided throughout the building. </t>
  </si>
  <si>
    <t xml:space="preserve">One passenger elevator provides service to all floors. Elevator provides audible signals on all floors. </t>
  </si>
  <si>
    <t xml:space="preserve">Door: 43 inches, Cab: 62 inches wide, 74 inches deep. </t>
  </si>
  <si>
    <t xml:space="preserve">This site is moderately accessible; all classrooms are accessible and are located on accessible routes. </t>
  </si>
  <si>
    <t>Rooms 235 and 350</t>
  </si>
  <si>
    <t>Rooms 308 and 310</t>
  </si>
  <si>
    <t>Room 253</t>
  </si>
  <si>
    <t>Rooms 107 (75K141), 122 (84K047), and 211 (75K141)</t>
  </si>
  <si>
    <t>Rooms 106A and 241</t>
  </si>
  <si>
    <t>Rooms 151/153, 209, 305, and 309</t>
  </si>
  <si>
    <t xml:space="preserve">The auditorium is accessible and is located on the second floor. Stage access is provided via a corridor. Accessible seating is provided. The cafeteria is accessible and is located on the first floor. The gymnasium is accessible and is located on the first floor. Assistive listening systems have not been provided in the public assembly areas. </t>
  </si>
  <si>
    <t xml:space="preserve">Stage access is provided via corridor. Accessible seating is provided. </t>
  </si>
  <si>
    <t xml:space="preserve">There are accessible student bathrooms (boys and girls) available on all floors. This site is prevented from attaining a higher accessibility rating due to lack of accessible staff bathrooms in the building. </t>
  </si>
  <si>
    <t>Assistive listening systems have not been provided in the public assembly areas.</t>
  </si>
  <si>
    <t>605 Shepherd Avenue, Brooklyn, NY 11208</t>
  </si>
  <si>
    <t>The nearest accessible subway station is Euclid Avenue Station (A and C train), 0.8 miles distant. MTA bus service (Q7, Q8, and B13) is also nearby. The main entrance on Shepherd Avenue is accessible (Exit 1). The accessible entrance includes security cameras, doorbell, and reception. The doorbell is within reach range (height 43 inches). There is a passenger elevator that provides access to all floors of the building.</t>
  </si>
  <si>
    <t>Non-compliant hardware</t>
  </si>
  <si>
    <t>Doors: 39 inches, Cab: 55 inches wide, 77 inches deep.</t>
  </si>
  <si>
    <t>Computer Rooms – Room 320</t>
  </si>
  <si>
    <t>Library – Room 317</t>
  </si>
  <si>
    <t>Main Office – Rooms 122</t>
  </si>
  <si>
    <t>Nurse’s Office- Room 440D</t>
  </si>
  <si>
    <t>Science Lab – Room 420</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</si>
  <si>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and cafeteria.</t>
  </si>
  <si>
    <t>Stage access is not provided. Accessible seating is provided. Assistive listening systems have been provided.</t>
  </si>
  <si>
    <t>Multi-Purpose Room – Room 429</t>
  </si>
  <si>
    <t>This site is prevented from having a higher accessibility rating due to a lack of accessible bathrooms. There are accessible student bathrooms (boys and girls) available on the first floor. There are no accessible staff bathrooms in the building.</t>
  </si>
  <si>
    <t>Boys Bathroom – Room 112 Boys Bathrooms – Rooms 119, 206, 224, 226, 236, 306, 324, 326, 336, 406, 424, 426, and 436</t>
  </si>
  <si>
    <t>Girls Bathroom – Room 113</t>
  </si>
  <si>
    <t>Staff Bathrooms (Male) – Rooms 117, 210, 310, and 410</t>
  </si>
  <si>
    <t>Staff Bathrooms (Female) – Rooms 115, 212, 312, and 412</t>
  </si>
  <si>
    <t>Single-User (Unisex) Bathrooms – Rooms 101, 105, 111A, 127, 131, 135, 139, and 328</t>
  </si>
  <si>
    <t>Fire alarm system has been upgraded and includes a strobe light feature. Holding rooms have been specifically designated as rooms 207, 307, and 402.</t>
  </si>
  <si>
    <t>95 Grove Street, Brooklyn, NY 11221</t>
  </si>
  <si>
    <t>The nearest accessible subway station is Myrtle – Wyckoff Avenues Station (L train), 0.8 miles distant. MTA bus service (B38 and B52) is also nearby. The accessible entrance to K075 is not the same as the main entrance; the accessible entrance is located on the back of the school on Grove street (Exit 9). The accessible entrance includes a ramp. The accessible entrance does not include security cameras or a doorbell, visitors should call for access.</t>
  </si>
  <si>
    <t xml:space="preserve">Braille signs are not included throughout the building. This site has many changes of elevation, and access is limited only to the cafeteria. </t>
  </si>
  <si>
    <t>No elevator in the building.</t>
  </si>
  <si>
    <t>This site is minimally accessible; no classrooms are accessible all are located on inaccessible routes.</t>
  </si>
  <si>
    <t>Rooms 304</t>
  </si>
  <si>
    <t>Room 310</t>
  </si>
  <si>
    <t>Room 214</t>
  </si>
  <si>
    <t>The auditorium is not accessible due to it being on an inaccessible route. The auditorium provides stage access via a lift and there is accessible seating. The cafeteria is accessible located in the basement. The gymnasium is inaccessible located on the third floor. Assistive listening systems have been provided in the auditorium.</t>
  </si>
  <si>
    <t>No bathrooms are accessible and located on accessible routes. There is an accessible single user bathroom on the first floor, but it is not on an accessible route.</t>
  </si>
  <si>
    <t>Located on an inacessible route.</t>
  </si>
  <si>
    <t>Fire alarm system has been upgraded and includes a strobe light feature. Holding rooms or areas of refuge have been specifically designated; Rooms 116, 211, 308, and 408.</t>
  </si>
  <si>
    <t>990 Dekalb Avenue, Brooklyn, NY 11221</t>
  </si>
  <si>
    <t>The nearest accessible subway station is Flushing Avenue (J, M, and Z trains), 0.7 miles distant; MTA bus service (B38) is also nearby. The accessible entrance to K081 is not the same as the main entrance; the accessible entrance is located on Dekalb Ave (Exit 1). The accessible entrance includes a ramp, doorbell, and intercom. The doorbell is within reach range (height 32 inches). The accessible entrance does not include reception or security cameras.</t>
  </si>
  <si>
    <t>This site offers limited accessibility; all classrooms located on the first floor are accessible and are located along accessible routes.</t>
  </si>
  <si>
    <t>Art Room – Room 350</t>
  </si>
  <si>
    <t>Classrooms – Second though Fourth Floors</t>
  </si>
  <si>
    <t>Computer Rooms – Rooms 229 and 253</t>
  </si>
  <si>
    <t>Library – Room 215</t>
  </si>
  <si>
    <t>Main Office – Room 107 (P.S. 81)</t>
  </si>
  <si>
    <t>Main Office – Room 332 (P4 District 75)</t>
  </si>
  <si>
    <t>Nurse’s Office – Room 133 (P.S. 81)</t>
  </si>
  <si>
    <t>Nurse’s Office – Room 450A (P4 District 75)</t>
  </si>
  <si>
    <t>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not been provided in the public assembly spaces.</t>
  </si>
  <si>
    <t>There are accessible student bathrooms (girls and boys) available on the first floor.</t>
  </si>
  <si>
    <t>Staff Bathrooms –</t>
  </si>
  <si>
    <t>Accessible Not Accessible Accessible Not Accessible Not Accessible</t>
  </si>
  <si>
    <t>Limited maneuvering clearance at doorway.</t>
  </si>
  <si>
    <t>Fire alarm system has been updated and includes a strobe light feature. Holding rooms or areas of refuge have not been specifically designated.</t>
  </si>
  <si>
    <t>250 Berry Street, Brooklyn, NY 11249</t>
  </si>
  <si>
    <t>The nearest accessible subway station is the Marcy Avenue Station (J, M, and Z trains), 0.07 miles distant. MTA bus service (B32 and Q59) is also nearby. The main entrance of K084 is accessible, located on Berry Street (Exit 1). The accessible entrance includes a doorbell and reception. The doorbell is within reach range (height 43 inches).</t>
  </si>
  <si>
    <t>A change of elevation on the first floor prevents access to some program areas. Braille signs are not included throughout the building.</t>
  </si>
  <si>
    <t>A change in elevation (8 steps) on the first floor prevents access to some program areas.</t>
  </si>
  <si>
    <t>This site offers limited accessibility; all classrooms located on first floor are accessible and are located along accessible routes.</t>
  </si>
  <si>
    <t>Art Rooms – Room 149</t>
  </si>
  <si>
    <t>Art Rooms – Room 337</t>
  </si>
  <si>
    <t>Classrooms – Second, Third, and Fourth Floors</t>
  </si>
  <si>
    <t>Computer Rooms – Room 324</t>
  </si>
  <si>
    <t>Library – Room 208</t>
  </si>
  <si>
    <t>Main Office – Room 129/131</t>
  </si>
  <si>
    <t>Nurse’s Office – Room 135</t>
  </si>
  <si>
    <t>The auditorium is accessible from Exit 3 only and is located on the first floor. Stage access is not provided. Accessible seating is provided. The cafeteria is accessible via Exit 3 only and is located on the first floor. This site does not include a gymnasium; the multi-purpose room fulfills this function. The multi-purpose room is accessible via Exit 3 only and is located on the first floor. Assistive listening systems have not been provided in the public assembly spaces.</t>
  </si>
  <si>
    <t>Accessible via Exit 3 only; change in elevation in the corridor (8 steps) prevents internal access. Stage access is not provided. Accessible seating is provided.</t>
  </si>
  <si>
    <t>Accessible via Exit 3 only; change in elevation in the corridor (8 steps) prevents internal access. Accessible seating available upon request.</t>
  </si>
  <si>
    <t>Multi-Purpose Room – First Floor</t>
  </si>
  <si>
    <t>Accessible via Exit 3 only; change in elevation in the corridor (8 steps) prevents internal access.</t>
  </si>
  <si>
    <t>There are student bathrooms (girls and boys) available on the first floor and access is only available through Exit 3. This building is prevented from attaining a higher accessibility rating due to lack of accessible bathrooms throughout the building.</t>
  </si>
  <si>
    <t>Boys Bathroom – Room 104</t>
  </si>
  <si>
    <t>Accessible via Exit 3 only and located outside of the auditorium.</t>
  </si>
  <si>
    <t>Boys Bathrooms – Rooms 244, 316, and 344</t>
  </si>
  <si>
    <t>Girls Bathroom – Room 108</t>
  </si>
  <si>
    <t>Girls Bathrooms – Rooms 234, 320, and 334</t>
  </si>
  <si>
    <t>Staff Bathrooms – Rooms B14, B16, B32, Second Floor, 128, 130, 303 and Fourth Floor</t>
  </si>
  <si>
    <t>Folch Jyoti</t>
  </si>
  <si>
    <t>510 Clermont Avenue, Brooklyn, NY 11238</t>
  </si>
  <si>
    <t xml:space="preserve">The nearest accessible subway station is the Franklin Avenue Station (C and S trains), 0.8 miles distant. MTA bus service (B25, B26, and B45) is also nearby. The main entrance of K085 is accessible, located on Clermont Avenue (Exit 1). The accessible entrance includes a doorbell, reception, and security cameras. The doorbell is not within reach range (height 65 inches). </t>
  </si>
  <si>
    <t>Doors: 48 inches, Cabs: 49 inches wide, 67 inches deep.</t>
  </si>
  <si>
    <t>This site offers limited accessibility; all classrooms are accessible and are located along accessible routes.</t>
  </si>
  <si>
    <t>Room 202</t>
  </si>
  <si>
    <t>Room 205</t>
  </si>
  <si>
    <t>Room 210</t>
  </si>
  <si>
    <t>Room 211</t>
  </si>
  <si>
    <t>The auditorium is accessible and is located on the first floor. Stage access is not provided. Accessible seating is provided. The cafeteria is accessible and is located on the first floor. The gymnasium is not accessible and is located on the first floor. Assistive listening systems have not been provided in the public assembly spaces.</t>
  </si>
  <si>
    <t xml:space="preserve">Accessible seating is provided. </t>
  </si>
  <si>
    <t>Change of elevation five steps.</t>
  </si>
  <si>
    <t xml:space="preserve">This building is prevented from attaining a higher accessibility rating due to lack of accessible bathrooms throughout the building.   </t>
  </si>
  <si>
    <t>Rooms 105, 201 and 317</t>
  </si>
  <si>
    <t>Rooms 125, 215, and 318</t>
  </si>
  <si>
    <t>Rooms 127, 200, and 316</t>
  </si>
  <si>
    <t>This site does not include exterior recreational spaces.</t>
  </si>
  <si>
    <t>Fire alarm system has been upgraded and includes a strobe light feature. Holding rooms or areas of refuge have not been specifically designated.  </t>
  </si>
  <si>
    <t>Nicole Kyprios</t>
  </si>
  <si>
    <t>544 7Th Avenue, Brooklyn, NY 11215</t>
  </si>
  <si>
    <t xml:space="preserve">The nearest accessible subway station is Church Avenue (F, G trains), 1.2 miles distant. MTA bus service (B67 and B69) is also nearby. The main entrance to K088 is accessible, located on 186th Street. The accessible entrance includes a ramp, doorbell, and security cameras. The doorbell is within reach range (Height 42 Inches).  </t>
  </si>
  <si>
    <t xml:space="preserve">Signs with braille are not provided throughout the building. </t>
  </si>
  <si>
    <t xml:space="preserve">One passenger elevator provides access to all floors in the building. Elevator provides audible signals on all floors. </t>
  </si>
  <si>
    <t xml:space="preserve">Door: 42 Inches; Cab: 80 Inches wide, 55 Inches deep. </t>
  </si>
  <si>
    <t xml:space="preserve">This site is moderately accessible; all classrooms are accessible and are located on accessible routes.  </t>
  </si>
  <si>
    <t>Rooms B42B and 132</t>
  </si>
  <si>
    <t>Rooms 231 and 235</t>
  </si>
  <si>
    <t>Room 228/230</t>
  </si>
  <si>
    <t>Rooms B23, 158</t>
  </si>
  <si>
    <t>Rooms B48B and 103</t>
  </si>
  <si>
    <t>Rooms 342, 343, 345 (Alternate Use), and 347</t>
  </si>
  <si>
    <t xml:space="preserve">The auditorium is accessible and is located on the first floor. The auditorium provides stage access and accessible seating. The cafeteria is accessible and is located in the basement. The gymnasium is accessible and is located on the first floor. Assistive listening systems have been provided in the cafeteria.  </t>
  </si>
  <si>
    <t xml:space="preserve">Accessible seating available upon request. Assistive listening systems have been provided.  </t>
  </si>
  <si>
    <t xml:space="preserve">There are accessible student (boys) bathrooms available in the basement. There are accessible student (girls) bathrooms available on all floors. There are accessible staff (male and female) bathrooms available on the first floor. </t>
  </si>
  <si>
    <t>Room B37</t>
  </si>
  <si>
    <t>All Others</t>
  </si>
  <si>
    <t xml:space="preserve">Fire Alarm System is a legacy bell system and does not include strobe lights. Holding rooms or areas of refuge have not been specifically designated. </t>
  </si>
  <si>
    <t xml:space="preserve">The site does not include central air; Air-conditioning units provided in classrooms. </t>
  </si>
  <si>
    <t>2840 West  12 Street, Brooklyn, NY 11224</t>
  </si>
  <si>
    <t>The nearest accessible subway station is Coney Island-Stillwell Avenue Station (D, F, N, and Q trains), 0.1 miles distant. MTA bus service (B64, B68, B74, and B82) is also nearby. The main entrance to K090 is accessible, located on West 12th Street (Exit 6). The accessible entrance includes reception, a doorbell and intercom, and a lift to remediate changes at the entrance. The doorbell is within reach range (height 40 inches).</t>
  </si>
  <si>
    <t>Located at the secondary entrance</t>
  </si>
  <si>
    <t>Some water fountains and other wall-mounted objects protrude into the corridors more than 4 inches, which may present difficulties for individuals with visual disabilities. Braille signs are included throughout the building.</t>
  </si>
  <si>
    <t>One passenger elevator provides access to all floors in the building. Elevator includes audible signals on all floors.</t>
  </si>
  <si>
    <t>Remediates change in elevation at main entry (6 steps).</t>
  </si>
  <si>
    <t>Door: 47 inches, Cab: 63 inches wide, 77 inches deep.</t>
  </si>
  <si>
    <t>This site is highly accessible; all classrooms are accessible and are located on accessible routes.</t>
  </si>
  <si>
    <t>Computer Rooms – Room 304</t>
  </si>
  <si>
    <t>Library – Room 213/215</t>
  </si>
  <si>
    <t>Main Office – Room 110</t>
  </si>
  <si>
    <t>Nurse’s Office – Room 100C</t>
  </si>
  <si>
    <t>The auditorium is accessible and is located on the first floor. Stage access is provided. Accessible seating is provided. The cafeteria is accessible and is located on the first floor. The gymnasium is accessible and is located on the first floor. Assistive listening systems have been provided in the auditorium.</t>
  </si>
  <si>
    <t>Stage access is provided. Accessible seating is provided. Assistive listening systems have been provided.</t>
  </si>
  <si>
    <t>There are accessible student bathrooms (boys and girls) available on the first and third floors. There are accessible staff bathrooms (male and female) available on the first floor. There is a single-user bathroom (for staff and student use) available on the third floor.</t>
  </si>
  <si>
    <t>Fire alarm system includes a strobe light feature. Holding rooms have been specifically designated as rooms 207, 215, 307, and 312.</t>
  </si>
  <si>
    <t>This site does not include central air. Air conditioning units have been provided in the classrooms.</t>
  </si>
  <si>
    <t>An assistive listening system is provided in the auditorium.</t>
  </si>
  <si>
    <t>601 Parkside Avenue, Brooklyn, NY 11226</t>
  </si>
  <si>
    <t>The nearest accessible subway station is the Prospect Park Station (B, Q, and S trains), 0.66 miles distant. MTA bus service (B16, B41, B43, and B48) is also nearby. The accessible entrance to K092 is not the same as the main entrance; the accessible entrance is located on Rogers Avenue (Exit I).</t>
  </si>
  <si>
    <t>This site is prevented from attaining a higher accessibility rating due to a lack of an elevator in the building.</t>
  </si>
  <si>
    <t>This site provides limited accessibility; classrooms above the basement floor are not located along accessible routes.</t>
  </si>
  <si>
    <t>Classrooms – First through Fourth Floors</t>
  </si>
  <si>
    <t>No elevator in building. Not on an accessible route.</t>
  </si>
  <si>
    <t>Computer Rooms – Room 225</t>
  </si>
  <si>
    <t>Library – Room 102</t>
  </si>
  <si>
    <t>Main Office – Rooms 108 and 315</t>
  </si>
  <si>
    <t>Nurse’s Office- Room B24</t>
  </si>
  <si>
    <t>The auditorium is not accessible and is located on the first floor. Stage access is provided via corridor. The cafeteria is accessible and is located on the basement floor. The gymnasium is not accessible and is located on the first floor. Assistive listening systems have been provided in the auditorium and gymnasium.</t>
  </si>
  <si>
    <t>Stage access via corridor. Assistive listening systems have been provided. Not on an accessible route.</t>
  </si>
  <si>
    <t>There are accessible student bathrooms (boys and girls) available on first and second floors; unfortunately they are not accessible due to no elevator access to the first and second floors.</t>
  </si>
  <si>
    <t>Boys Bathrooms – Rooms 109, 121 and 222</t>
  </si>
  <si>
    <t>No elevator in building. Not on an accessible route. Bathrooms contain accessible stalls.</t>
  </si>
  <si>
    <t>Boys Bathrooms – Basement, Third, and Fourth Floors</t>
  </si>
  <si>
    <t>Girls Bathrooms – Rooms 111, 133, and 208</t>
  </si>
  <si>
    <t>Girls Bathrooms – Basement, Third, and Fourth Floors</t>
  </si>
  <si>
    <t>This site includes exterior recreational spaces. The exterior recreational spaces are not accessible. The recreational</t>
  </si>
  <si>
    <t>equipment is not accessible.</t>
  </si>
  <si>
    <t>This site does not include central air; Air-conditioning units provided in classrooms.</t>
  </si>
  <si>
    <t>Herrera William</t>
  </si>
  <si>
    <t>31 New York Avenue, Brooklyn, NY 11216</t>
  </si>
  <si>
    <t xml:space="preserve">The nearest accessible subway station is the Franklin Avenue Station (A and C trains), 0.6 miles distant. MTA bus service (B25, B43, and B44) is also nearby. The accessible entrance to K093 is not the same as the main entrance; the accessible entrance is located on New York Avenue (Exits 2 and 4). The accessible entrance leads into the cafeteria, which is located in the basement. The accessible entrance does not include a doorbell; visitors may need to contact the site prior to gain access to facility through accessible entrance. </t>
  </si>
  <si>
    <t xml:space="preserve">There are several changes of elevation on the first floor. Braille signs are not included throughout the building.  </t>
  </si>
  <si>
    <t xml:space="preserve">Changes in elevation on the basement floor leading to cafeteria (6 steps).  </t>
  </si>
  <si>
    <t xml:space="preserve">This site is not accessible. There are 4 classrooms located in the basement that are located on an accessible route. Otherwise, all other classrooms and educational spaces are not accessible and are not located along accessible routes.  </t>
  </si>
  <si>
    <t>First, Second, Third, and Fourth Floors</t>
  </si>
  <si>
    <t>Room 314</t>
  </si>
  <si>
    <t>Room 114 (13K093) and Room 416 (13K301)</t>
  </si>
  <si>
    <t>Room B5</t>
  </si>
  <si>
    <t xml:space="preserve">The gymnasium is accessible and is located in the basement. The cafeteria is not accessible due to changes in elevation and is located in the basement. The auditorium is not accessible and is located on the first floor. Assistive listening systems have not been provided in the public assembly spaces. </t>
  </si>
  <si>
    <t xml:space="preserve">Changes in elevation prevents access (6 steps). Accessible seating available upon request.  </t>
  </si>
  <si>
    <t>99 Avenue P, Brooklyn, NY 11204</t>
  </si>
  <si>
    <t xml:space="preserve">The nearest accessible subway station is the Bay Parkway Station (D train), 0.7 miles distant. MTA bus service (B4 and B82) is also nearby. The accessible entrance to K096 is not the same as the main entrance; the accessible entrance is located on West 12th Street (Exit 10).  The accessible entrance does include a doorbell and security camera feature. The doorbell is within reach range (Height 47 inches). </t>
  </si>
  <si>
    <t xml:space="preserve">Some water fountains and other wall-mounted objects protrude in to the corridors more than 4 inches, which may present difficulties for individuals with visual disabilities. Braille signs are included throughout the building.  </t>
  </si>
  <si>
    <t xml:space="preserve">The accessible entrance leads directly into a main corridor and is adjacent to one of the passenger elevators, providing access to all floors. Elevators include audible signals on each floor.  </t>
  </si>
  <si>
    <t xml:space="preserve">Doors: 42 Inches, Cabs: 55 Inches wide, 79 Inches deep. </t>
  </si>
  <si>
    <t xml:space="preserve">This site is highly accessible; all classrooms are accessible, and are located along accessible routes. </t>
  </si>
  <si>
    <t>Room 326</t>
  </si>
  <si>
    <t>Rooms 205 and 331</t>
  </si>
  <si>
    <t>Room 307</t>
  </si>
  <si>
    <t>Room 203 (I.S. 96) and Room 417 (Success Academy)</t>
  </si>
  <si>
    <t>Rooms 215, 217, 315, and 319</t>
  </si>
  <si>
    <t xml:space="preserve">The auditorium is accessible and is located on the first floor. Stage access is provided via lift. Accessible seating is provided. The cafeteria is accessible and is located on the basement floor. The cafeteria food service area is not accessible. The gymnasium is located on the fourth floor is accessible. The gymnasium located on the third floor is not accessible. Assistive listening systems have been provided in the third and fourth floor gymnasium. </t>
  </si>
  <si>
    <t xml:space="preserve">Food service area doors are 27 inches wide. Accessible seating available upon request. </t>
  </si>
  <si>
    <t xml:space="preserve">Change in elevation (11 steps). Assistive listening systems have been provided. </t>
  </si>
  <si>
    <t>Fourth Floor</t>
  </si>
  <si>
    <t xml:space="preserve">There are accessible bathrooms (student and staff) available on all floors. There are accessible staff bathrooms (male and female) available on all floors. There are accessible single-user (unisex) bathrooms (for student and staff use) available on all floors.   </t>
  </si>
  <si>
    <t xml:space="preserve">This site includes exterior recreational spaces. The exterior recreational spaces are accessible. </t>
  </si>
  <si>
    <t xml:space="preserve">Fire alarm system has been upgraded and includes a strobe light feature. No holding rooms or areas of refuge have been specifically designated.  </t>
  </si>
  <si>
    <t>1855 Stillwell Avenue, Brooklyn, NY 11223</t>
  </si>
  <si>
    <t>The nearest accessible subway station is the Bay Pkwy Station (D train), 0.5 miles distant. MTA bus service (B4) is also nearby. The main entrance of K097 is accessible, located on 1855 Stillwell Avenue (Exit 1). The accessible entrance does not include a doorbell, reception, and security cameras. Visitors may need to contact site in advance to gain access to this facility through the accessible entrance.</t>
  </si>
  <si>
    <t xml:space="preserve">Accessible		</t>
  </si>
  <si>
    <t>Some water fountains and other wall-mounted objects protrude into the original building corridors more than 4 inches, which may present difficulties for individuals with visual disabilities. Braille signs are included in the new addition but are not included throughout the original building.</t>
  </si>
  <si>
    <t>Non-complaint door hardware in the original building.</t>
  </si>
  <si>
    <t xml:space="preserve">E1 and E2
Doors: 42 inches, Cabs: 80 inches wide, 64 inches deep.
</t>
  </si>
  <si>
    <t>Room 420</t>
  </si>
  <si>
    <t>Room 308</t>
  </si>
  <si>
    <t>Room 305</t>
  </si>
  <si>
    <t>Room 203</t>
  </si>
  <si>
    <t xml:space="preserve">The auditorium is accessible and is located on the second floor. The cafeteria is accessible and is located on the first floor. The gymnasium is accessible and is located on the fourth floor. Assistive listening systems have been provided in the auditorium. </t>
  </si>
  <si>
    <t>Assistive listening system has been provided.</t>
  </si>
  <si>
    <t xml:space="preserve">There are accessible student bathrooms (boys and girls) available on all floors. There are accessible staff bathrooms (male and female) available on all floors. There are accessible single-user (unisex) bathrooms (for student and staff use) available on the first floor.  </t>
  </si>
  <si>
    <t>Rooms 237, 257, 359, and 457</t>
  </si>
  <si>
    <t>Room 101, and 354</t>
  </si>
  <si>
    <t>Rooms 261, 357, 363, and 461</t>
  </si>
  <si>
    <t>Rooms 257, and 157A</t>
  </si>
  <si>
    <t>Rooms 152B, 160, 250, 358, and 463</t>
  </si>
  <si>
    <t>Rooms 258, and 357</t>
  </si>
  <si>
    <t>Room 156E</t>
  </si>
  <si>
    <t>Located inside Nurse Office.</t>
  </si>
  <si>
    <t>Classrooms 162, 164, and 166</t>
  </si>
  <si>
    <t>This site includes an exterior recreational space. The exterior recreational space is accessible. The recreational equipment is accessible.</t>
  </si>
  <si>
    <t>Fire alarm system has been upgraded and includes a strobe light feature. Holding rooms have been specifically designated as rooms 252, 352, and 456.</t>
  </si>
  <si>
    <t xml:space="preserve">This site includes central air in the new addition. Air-conditioning units have been provided in classrooms in the original building. </t>
  </si>
  <si>
    <t>Elizabeth Kot</t>
  </si>
  <si>
    <t>8696 24 Avenue, Brooklyn, NY 11214</t>
  </si>
  <si>
    <t>The nearest accessible subway station is the Bay Parkway Station (D train), 0.4 miles distant. MTA bus service (B64 and B1) is also nearby. The main entrance of K101 is accessible, located on 24th Avenue (Exit 5). The accessible entrance includes a ramp, doorbell, reception, and security cameras. The doorbell is within reach range (height 48 inches).</t>
  </si>
  <si>
    <t xml:space="preserve">Some water fountains and other wall-mounted objects protrude into the corridors more than 4 inches, which may present difficulties for individuals with visual disabilities. Braille signs are included throughout the building. </t>
  </si>
  <si>
    <t>Two passenger elevators provide access to all floors. Elevators include audible signals on each floor. A lift on the third floor provides access to the gymnasium.</t>
  </si>
  <si>
    <t>E1 and E2
Doors: 44 inches, Cabs: 62 inches wide, 79 inches deep.</t>
  </si>
  <si>
    <t>Room 307 and 405</t>
  </si>
  <si>
    <t>Room 452</t>
  </si>
  <si>
    <t>Room 103</t>
  </si>
  <si>
    <t>Room 123</t>
  </si>
  <si>
    <t>Room 401</t>
  </si>
  <si>
    <t>The auditorium is accessible and is located on the first floor. Stage access is provided via lift. Accessible seating is provided. The cafeteria is accessible and is located on the first floor. The gymnasium is accessible and is located on the third floor. The multi-purpose room is accessible and is located on the fourth floor. Assistive listening systems have been provided in the cafeteria and multi-purpose room.</t>
  </si>
  <si>
    <t>Access is provided via a corridor lift.</t>
  </si>
  <si>
    <t>There are accessible student bathrooms (boys and girls) available on all floors. There are accessible single-user (unisex) bathrooms (for student and staff use) available in several second-floor classrooms.</t>
  </si>
  <si>
    <t>Rooms 104B, 150, 215, 315 and 350</t>
  </si>
  <si>
    <t>Rooms 104A, 146, 211, 311 and 411</t>
  </si>
  <si>
    <t>Rooms 223A, 227A, and 229A</t>
  </si>
  <si>
    <t>Fire alarm system has been upgraded and includes a strobe light feature. Holding rooms have been specifically designated as rooms 201, 301, and 401.</t>
  </si>
  <si>
    <t xml:space="preserve">This site includes central air in the 2019 addition; temperature control units have been provided in the classrooms of the 2019 addition. This site does not include central air in the original building. Air-conditioning units have been provided in the classrooms of the original building. </t>
  </si>
  <si>
    <t>211 72 Street, Brooklyn, NY 11209</t>
  </si>
  <si>
    <t>The nearest accessible subway station is 59th Street Station (N and R trains), 0.77 miles distant. MTA bus service (B9, B37, and B64) is also nearby. The main entrance is accessible, located on 72nd Street (Exit 1). The accessible entrance includes a ramp, a doorbell, reception, and security cameras. The doorbell is within reach range (height 47 inches).</t>
  </si>
  <si>
    <t>Some water fountains and other wall-mounted objects protrude into the corridors more than 4 inches, which may present difficulties for individuals with visual disabilities. Changes in elevation between the original building and addition on all floors prevent access to program areas. Braille signs are not included throughout the building.</t>
  </si>
  <si>
    <t>This site does not include an elevator, preventing access to floors other than the first floor of the new building.</t>
  </si>
  <si>
    <t>Cafeteria ramp slope is steep and may pose difficulty for some.</t>
  </si>
  <si>
    <t>This site offers limited accessibility; Three kindergarten classrooms 123, 125, and 126 are accessible and are located along accessible routes. All other classrooms are not accessible and are not located along accessible routes.</t>
  </si>
  <si>
    <t>Art Rooms – Room 206</t>
  </si>
  <si>
    <t>Classrooms – First Floor, Addition</t>
  </si>
  <si>
    <t>Main Office – Room 228</t>
  </si>
  <si>
    <t>Nurse’s Office – Room 103A</t>
  </si>
  <si>
    <t>The auditorium is accessible and is located on the first floor of the addition. Stage access is not provided. Accessible seating is provided. The cafeteria is accessible and is located in the basement of the original building. The gymnasium is not accessible and is located on the third floor of the addition. Assistive listening systems have been provided in the auditorium.</t>
  </si>
  <si>
    <t>Auditorium – First Floor, Addition</t>
  </si>
  <si>
    <t>Stage access is not provided. Accessible seating is provided. Auditorium upgrade in progress and includes platform lift to stage. Assistive listening systems have been provided.</t>
  </si>
  <si>
    <t>Cafeteria – Basement, Original Building</t>
  </si>
  <si>
    <t>Accessible via steep ramp from play yard only. No interior building access to other program spaces. Accessible seating available upon request.</t>
  </si>
  <si>
    <t>Gymnasium – Third Floor, Addition</t>
  </si>
  <si>
    <t>Changes in elevation (5 steps) prevent access.</t>
  </si>
  <si>
    <t>Multi-Purpose Room – Play Room - First Floor, Addition</t>
  </si>
  <si>
    <t>This site is prevented from attaining a higher accessibility rating due to lack of accessible bathrooms throughout the building. There are accessible student bathrooms (boys and girls) available on the first floor of the addition.</t>
  </si>
  <si>
    <t>Boys Bathrooms – Room 111</t>
  </si>
  <si>
    <t>Boys Bathrooms – Rooms 101B, 201B, 221B, 301B, and 311</t>
  </si>
  <si>
    <t>Girls Bathrooms – Room 124</t>
  </si>
  <si>
    <t>Girls Bathrooms – Rooms 109, 209G, 221A, 309G, and 327</t>
  </si>
  <si>
    <t>Single-User (Unisex) Bathrooms – Rooms 101C, 201C, 210, 301C, 309B, 310, and 410</t>
  </si>
  <si>
    <t>Single-User (Unisex) Bathrooms – Classrooms 123A-125A, 217A-225A, 213A, 215A, 224A, and 226A</t>
  </si>
  <si>
    <t>This site includes exterior recreational spaces. The large exterior recreational space is accessible. The small exterior recreational space is not accessible. The recreational equipment is not accessible.</t>
  </si>
  <si>
    <t>9115 5 Avenue, Brooklyn, NY 11209</t>
  </si>
  <si>
    <t>The nearest accessible subway station is 85th Street Station (R train), 0.31 miles distant. MTA bus service (B8 and B63) is also nearby. The main entrance is accessible, located on Fifth Avenue (Exit 1). The accessible entrance includes a doorbell, reception, and security cameras. The doorbell is within reach range (height 40 inches).</t>
  </si>
  <si>
    <t>Some door saddles are high, which may be difficult for some users to navigate. Some water fountains and other wall-mounted objects protrude into the corridors more than 4 inches, which may present difficulties for individuals with visual disabilities. Changes in elevation on the ground floor prevent access to program areas other than the auditorium. Braille signs are not included throughout the building.</t>
  </si>
  <si>
    <t>This site offers limited accessibility; all classrooms are not accessible and are not located along accessible routes.</t>
  </si>
  <si>
    <t>Art Rooms – Room 312</t>
  </si>
  <si>
    <t>Classrooms – Basement Through Third Floor</t>
  </si>
  <si>
    <t>Computer Room – Room 309</t>
  </si>
  <si>
    <t>Library – Room 214</t>
  </si>
  <si>
    <t>Main Office – Room 152</t>
  </si>
  <si>
    <t>Nurse’s Office – Room 157</t>
  </si>
  <si>
    <t>Science Lab – Rooms 311 and 318</t>
  </si>
  <si>
    <t>The auditorium is accessible and is located on the ground floor. Stage access is not provided. Accessible seating is provided. The cafeteria is not accessible and is located in the basement. The gymnasium is not accessible and is located on the second floor. Assistive listening systems have not been provided in the public assembly spaces.</t>
  </si>
  <si>
    <t>Auditorium – Ground Floor</t>
  </si>
  <si>
    <t>Not on accessible route. Accessible seating available upon request.</t>
  </si>
  <si>
    <t>This site is prevented from attaining a higher accessibility rating due to lack of accessible bathrooms throughout the building.</t>
  </si>
  <si>
    <t>Boys Bathrooms – Rooms B17, 256, and 355</t>
  </si>
  <si>
    <t>Girls Bathrooms – Rooms B8, 255,</t>
  </si>
  <si>
    <t>Single-User (Unisex) Bathrooms – Rooms 157A, 158, 258, and 358</t>
  </si>
  <si>
    <t>Room 157A is located in the nurse’s office.</t>
  </si>
  <si>
    <t>Multi-User (Unisex) Bathrooms – Classrooms 109A, 116A, and 118A</t>
  </si>
  <si>
    <t>1301 8 Avenue, Brooklyn, NY 11215</t>
  </si>
  <si>
    <t>The nearest accessible subway station is Atlantic Avenue – Barclays Center Station (B, D, N, Q, R, 2, 3, 4, and 5 trains), 1.43 miles distant. MTA bus service (B61, B67, and B69) is also nearby. The accessible entrance to K107 is not the same as the main entrance; the accessible entrance is located on 8th Avenue and 13th Street (Exit 5). The accessible entrance includes a ramp. The accessible entrance does not include a doorbell, reception, or security cameras; visitors may need to contact site in advance to gain access to this facility through the accessible entrance.</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</si>
  <si>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the XX floor prevent access to some program areas. Braille signs are not included throughout the building.</t>
  </si>
  <si>
    <t>This site does not include an elevator, preventing access to floors other than the basement floor.</t>
  </si>
  <si>
    <t>This site offers limited accessibility; all classrooms are accessible but are not located along accessible routes.</t>
  </si>
  <si>
    <t>Art Rooms – Room 302</t>
  </si>
  <si>
    <t>Library – Room 402A/B</t>
  </si>
  <si>
    <t>Main Office – Room 103</t>
  </si>
  <si>
    <t>Nurse’s Office – Room 111</t>
  </si>
  <si>
    <t>This site does not include an auditorium, a cafeteria, or a gymnasium; the multi-purpose room fulfills these functions. The multi-purpose room is accessible and is located in the basement. The multi-purpose room does not include a stage. Accessible seating is provided. Assistive listening systems have not been provided.</t>
  </si>
  <si>
    <t>Does not include a stage. Accessible seating is available on request.</t>
  </si>
  <si>
    <t>There are accessible student bathrooms (boys and girls) available on the second and third floors. There are no bathroom facilities on the fourth floor. There are accessible single-user (unisex) bathrooms (for student and staff use) available in the basement.</t>
  </si>
  <si>
    <t>Boys Bathrooms – Rooms 216 and 314</t>
  </si>
  <si>
    <t>Boys Bathrooms – Room B5</t>
  </si>
  <si>
    <t>Girls Bathrooms – Rooms 217 and 315</t>
  </si>
  <si>
    <t>Girls Bathrooms – Room B6</t>
  </si>
  <si>
    <t>Single-User (Unisex) Bathrooms – Rooms B21B and B22B</t>
  </si>
  <si>
    <t>Single-User (Unisex) Bathrooms – Rooms 211, and 311</t>
  </si>
  <si>
    <t>Rooms 211 and 311 are accessible but are not located on an accessible route.</t>
  </si>
  <si>
    <t>Multi-User (Unisex) Bathrooms – Rooms 107A, 108A, and 207A</t>
  </si>
  <si>
    <t>124 Monitor Street, Brooklyn, NY 11222</t>
  </si>
  <si>
    <t xml:space="preserve">The nearest accessible subway station is the Marcy Avenue Station (J, M, and Z trains), 1.35 miles distant. MTA bus service (B24 and B48) is also nearby. The accessible entrance to K110 is not the same as the main entrance; the accessible entrance is located on Monitor Street (Exit 8).  The accessible entrance includes a ramp. The accessible entrance does not include a doorbell, security cameras, or reception; visitors have to contact the site prior to arrival. </t>
  </si>
  <si>
    <t xml:space="preserve">Ramped access from street to accessible entrance via courtyard. </t>
  </si>
  <si>
    <t xml:space="preserve">Doors: 42 Inches. Cab: 72 inches wide, 78 inches deep. </t>
  </si>
  <si>
    <t xml:space="preserve">This site is highly accessible; most classrooms are accessible and are located along accessible routes. One classroom on the fourth floor is not accessible due to clear opening size. </t>
  </si>
  <si>
    <t>Room 303</t>
  </si>
  <si>
    <t>First Through Fourth Floors</t>
  </si>
  <si>
    <t>Room 405</t>
  </si>
  <si>
    <t xml:space="preserve">Clear opening prevents access. </t>
  </si>
  <si>
    <t>Room 209</t>
  </si>
  <si>
    <t>Room 207/208</t>
  </si>
  <si>
    <t>Room 106A</t>
  </si>
  <si>
    <t xml:space="preserve">The auditorium is accessible and is located on the fourth floor. Stage access is provided via lift. Accessible seating is provided. The cafeteria is accessible and is located on the first floor. The gymnasium is accessible and is located on the third floor. Assistive listening systems have been provided in the gymnasium. </t>
  </si>
  <si>
    <t>Third Floor, Next To Room 306 (No Room Number)</t>
  </si>
  <si>
    <t>Basement, By Exit 4 (No Room Number)</t>
  </si>
  <si>
    <t xml:space="preserve">Not on an accessible route. Changes in elevation (15 steps) prevent access. </t>
  </si>
  <si>
    <t xml:space="preserve">Second Floor, next to Room 206 (No room number)  </t>
  </si>
  <si>
    <t>Basement, By Exit 5 (No Room Number)</t>
  </si>
  <si>
    <t xml:space="preserve">Not on an accessible route.  Changes in elevation (15 steps) prevent access. </t>
  </si>
  <si>
    <t>Rooms 101, 201, 301, and 401</t>
  </si>
  <si>
    <t xml:space="preserve">Fire alarm system has been upgraded and includes a strobe light feature. Holding rooms have been specifically designated as rooms 200, 300, and 404.  </t>
  </si>
  <si>
    <t>300 Adelphi Street, Brooklyn, NY 11205</t>
  </si>
  <si>
    <t xml:space="preserve">The nearest accessible subway station is the DeKalb Avenue Subway Station (D, N, Q, R, and W trains) 0.6 miles distant. MTA bus service (B38 and B52) is also nearby. The main entrance to K113 is accessible, located on Adelphi Street. The accessible entrance includes a doorbell and security cameras. The doorbell is within reach range (height 41 inches).  </t>
  </si>
  <si>
    <t xml:space="preserve">One passenger elevator provides access to all floors in the building. Elevator includes audible signals on each floor. </t>
  </si>
  <si>
    <t>Door: 35 inches, Cab: 74 inches wide, 59 inches deep.</t>
  </si>
  <si>
    <t>Rooms 229, 429, and B46</t>
  </si>
  <si>
    <t>Rooms 320, 331, and 329</t>
  </si>
  <si>
    <t>Rooms B4 (75K372) and 127 (13K113)</t>
  </si>
  <si>
    <t xml:space="preserve">The auditorium is accessible and is located on the first floor. Stage access is provided via lift. Accessible seating is provided. The cafeteria is accessible and located in the basement. The gymnasium is accessible and is located on the first floor. Assistive listening systems have not been provided in the public assembly spaces. </t>
  </si>
  <si>
    <t>Stage access is provided. Accessible seating is provided.</t>
  </si>
  <si>
    <t xml:space="preserve">There are accessible student (boys) bathrooms available on the first, and fourth floors. There are accessible student (girls) bathrooms available on the first, third, and fourth floors.   </t>
  </si>
  <si>
    <t xml:space="preserve">First and Fourth Floors </t>
  </si>
  <si>
    <t>Basement, Second, and Third Floors</t>
  </si>
  <si>
    <t>First, Third, and Fourth Floors</t>
  </si>
  <si>
    <t>Basement and Second Floors</t>
  </si>
  <si>
    <t>This site does not include exterior recreational spaces. </t>
  </si>
  <si>
    <t xml:space="preserve">Fire alarm system does include strobe lights feature. Holding rooms or areas of rescue have been specifically designated as rooms 214, 318, and 418. </t>
  </si>
  <si>
    <t>1077 Remsen Avenue, Brooklyn, NY 11236</t>
  </si>
  <si>
    <t xml:space="preserve">The nearest accessible Subway Station is Rockaway Parkway Station, (L train) 0.9mi. MTA bus (B6 and B82) is also nearby. The main entrance to K114 is accessible, located on Glenwood Road. The accessible entrance includes a doorbell. The doorbell is located within reach range (Height 45 inches). The accessible entrance does not include security cameras or reception. </t>
  </si>
  <si>
    <t>Handrail for ramp is missing.</t>
  </si>
  <si>
    <t>Braille signs are not included throughout the building. </t>
  </si>
  <si>
    <t>The passenger elevator is located along the main corridor. The passenger elevator provides access to all floors in the building. Elevator includes audible signals on each floor.</t>
  </si>
  <si>
    <t>Doors: 36 inches; Cab: 67 inches wide, 49 inches deep. </t>
  </si>
  <si>
    <t xml:space="preserve">This site is highly accessible, all classrooms are accessible and located on accessible routes.  </t>
  </si>
  <si>
    <t>Room 309</t>
  </si>
  <si>
    <t>Room 311</t>
  </si>
  <si>
    <t>Room 306 - 310</t>
  </si>
  <si>
    <t>Rooms 106, and 107</t>
  </si>
  <si>
    <t>All public assembly areas are accessible. The auditorium is and located on the second floor. The stage in the auditorium is accessible via portable lift. Accessible seating in provided. The cafeteria in the basement is accessible. The gymnasium on the third floor is accessible. Assistive listening systems have not been provided in the public assembly spaces.</t>
  </si>
  <si>
    <t>Stage access is provided with portable lift. Accessible seating is provided. </t>
  </si>
  <si>
    <t>There are accessible bathrooms for boys on all floors and for girls on the second, third, and basement floor. There is a single user accessible bathroom on each floor. </t>
  </si>
  <si>
    <t>Basement, Secound, and Third Floor</t>
  </si>
  <si>
    <t>Fire Alarm System include strobe lights. Holding rooms or areas of refuge have not been designated.</t>
  </si>
  <si>
    <t>The school does have HVAC/Climate control. Air conditioning units provided in classrooms.</t>
  </si>
  <si>
    <t>1500 East  92 Street, Brooklyn, NY 11236</t>
  </si>
  <si>
    <t>The nearest accessible subway station is Rockaway Parkway Station (L train), 1.1 mile distant. MTA bus (B17 and B42) is also nearby. The accessible entrance to K115 is not the same as the main entrance. The accessible entrance (Exit 9) is located on East 92nd Street. The accessible entrance includes a doorbell. The accessible entrance does not include security cameras or reception. The doorbell is not within reach range (height: 51 inches).</t>
  </si>
  <si>
    <t>Two passenger elevators provide access to all floors in the building. Elevators include audible signals on each floor.</t>
  </si>
  <si>
    <t>E1 and E2 - Doors: 35 inches, Cabs: 52 inches deep, 80 inches wide.</t>
  </si>
  <si>
    <t>This site is highly accessible, all classrooms are accessible and located on accessible routes.</t>
  </si>
  <si>
    <t>Art Room – Room 339</t>
  </si>
  <si>
    <t>Computer Rooms – Room 312</t>
  </si>
  <si>
    <t>Library – Room 239</t>
  </si>
  <si>
    <t>Main Office – Rooms 221</t>
  </si>
  <si>
    <t>Nurse’s Office – Room 123</t>
  </si>
  <si>
    <t>The auditorium is accessible and is located on the second floor. Stage access is provided via lift. Accessible seating is provided. The cafeteria is accessible and is located on the first floor. The gymnasium is accessible and located on the first floor. The multi-purpose room is accessible and is located on the first floor. Assistive listening systems have not been provided in the public assembly spaces.</t>
  </si>
  <si>
    <t>There are accessible student bathrooms (boys and girls) available on all floors. There are accessible single user (unisex) bathrooms (for student and staff use) available on the second and third floors.</t>
  </si>
  <si>
    <t>Boys Bathrooms – First Floor Multi-Purpose Room, Cafeteria, 244, and 344</t>
  </si>
  <si>
    <t>Boys Bathrooms – 258 and 358</t>
  </si>
  <si>
    <t>Bathrooms located in original building.</t>
  </si>
  <si>
    <t>Girls Bathrooms – First Floor Multi-Purpose Room, Cafeteria, 240, and 340</t>
  </si>
  <si>
    <t>Girls Bathrooms – 257 and 357</t>
  </si>
  <si>
    <t>Staff Bathrooms – 252, 262, 332, and 366</t>
  </si>
  <si>
    <t>Single-User (Unisex) Bathrooms – Classrooms 231/232, 234, 235, 237, 246, and 334</t>
  </si>
  <si>
    <t>Fire alarm system includes strobe lights. Holding rooms or areas of refuge have not been designated.</t>
  </si>
  <si>
    <t>This site does not include central air. Air conditioning units have been provided in classrooms.</t>
  </si>
  <si>
    <t xml:space="preserve">An assistive listening system have not been provided. </t>
  </si>
  <si>
    <t>18 Beaver Street, Brooklyn, NY 11206</t>
  </si>
  <si>
    <t>The nearest accessible subway station is Flushing Ave Station (J and M trains), 0.2 miles distant. MTA bus service (B57, B15, B46, and B47) is also nearby. The accessible entrance to K120 is not the same as the main entrance; the accessible entrance is located on Garden Street (Exit 6). The accessible entrance includes a ramp. The accessible entrance does not include a doorbell, reception, or security cameras. Visitors may need to contact the site in advance to gain access to this facility through the accessible entrance.</t>
  </si>
  <si>
    <t>Non-Compliant Door Hardware.</t>
  </si>
  <si>
    <t>This site is moderately accessible; all classrooms located in the basement are accessible and are located along accessible routes.</t>
  </si>
  <si>
    <t>Art Rooms – Rooms 240 and 338</t>
  </si>
  <si>
    <t>Not on Accessible Route.</t>
  </si>
  <si>
    <t>Classrooms – First to Third Floor</t>
  </si>
  <si>
    <t>Computer Rooms – Rooms 241 and 346</t>
  </si>
  <si>
    <t>Library – Room 205</t>
  </si>
  <si>
    <t>Main Office – Room 140 and 318</t>
  </si>
  <si>
    <t>Nurse’s Office – Room 146 and 339</t>
  </si>
  <si>
    <t>The auditorium is accessible and is located in the basement. Stage access is not provided. Accessible seating is not provided. The cafeteria is accessible and is located in the basement. The gymnasium is accessible and is located in the basement. Assistive listening systems have not been provided in the public assembly spaces.</t>
  </si>
  <si>
    <t>Stage access in not provided. Accessible seating is not provided.</t>
  </si>
  <si>
    <t>This building is prevented from attaining a higher accessibility rating due to lack of accessible bathrooms throughout the building. There are accessible student bathrooms (boys and girls) available in the basement.</t>
  </si>
  <si>
    <t>Boys Bathroom – Room B28</t>
  </si>
  <si>
    <t>Boys Bathrooms – Rooms 116, 216, and 316</t>
  </si>
  <si>
    <t>Girls Bathroom – Room B24</t>
  </si>
  <si>
    <t>Staff Bathrooms – Rooms B32, B34, 252, and 352</t>
  </si>
  <si>
    <t>Single-User (Unisex) Bathrooms – Classrooms 100, 102, 104, and 106</t>
  </si>
  <si>
    <t>424 Leonard Street, Brooklyn, NY 11222</t>
  </si>
  <si>
    <t>The nearest accessible subway station is Marcy Avenue Station (J, M, and Z trains), 1.0 miles distant. MTA bus service (B43 and B48) is also nearby. The accessible entrance to K126 is not the same as the main entrance; the accessible entrance is located on Manhattan Avenue (Exit 5). The accessible entrance includes security cameras. The accessible entrance does not include a doorbell or reception: Visitors may wish to contact the site prior to arrival in order to gain entrance via the accessible entrance.</t>
  </si>
  <si>
    <t>One passenger elevator provides access to all floors in the building. Elevators provide audible signals on all floors.</t>
  </si>
  <si>
    <t>Door: 45 inches; Cab: 81 inches wide, 101 inches deep.</t>
  </si>
  <si>
    <t>This site is highly accessible; all classrooms and public assembly areas are accessible and located on accessible routes.</t>
  </si>
  <si>
    <t>Art Room – Rooms 300 and 435</t>
  </si>
  <si>
    <t>Main Office – Rooms 127 and 428</t>
  </si>
  <si>
    <t>Room 127- John Ericsson Middle School 126 Room 428- Northside Charter High School</t>
  </si>
  <si>
    <t>Nurse’s Office – Room 105</t>
  </si>
  <si>
    <t>Science Lab – Rooms 327, 331, 332, 333, and 334</t>
  </si>
  <si>
    <t>The auditorium is accessible and is located on the first floor. Stage access is provided via ramp. Accessible seating is provided. The cafeteria is accessible and is located on the first floor. The gymnasium is accessible and is located on the first floor. Assistive listening systems have been provided in the auditorium.</t>
  </si>
  <si>
    <t>Stage access is provided via ramp. Accessible seating is provided. Assistive listening systems have been provided.</t>
  </si>
  <si>
    <t>There are accessible student bathrooms (boys and girls) available on the first, second, and fourth floors. There are accessible single-user (unisex) bathrooms (for student and staff use) available on the first and third floors.</t>
  </si>
  <si>
    <t>Boys Bathroom – Rooms 161C, 210, and 410</t>
  </si>
  <si>
    <t>Boys Bathroom – Room 310</t>
  </si>
  <si>
    <t>Girls Bathroom – Rooms 168B, 216, and 416</t>
  </si>
  <si>
    <t>Girls Bathroom – Room 316</t>
  </si>
  <si>
    <t>Staff Bathrooms – Rooms 110, 116, 222, 224, 320, 322, 420, and 422</t>
  </si>
  <si>
    <t>Single-user (Unisex) Bathrooms – Rooms 105, 192, and 314</t>
  </si>
  <si>
    <t>Single-user (Unisex) Bathrooms – Room 105</t>
  </si>
  <si>
    <t>Room 105 is located in the nurse’s office. Lacks clear width at entry.</t>
  </si>
  <si>
    <t>Fire alarm system includes a strobe light feature. Holding rooms or areas of refuge have not been specifically designated.</t>
  </si>
  <si>
    <t>7805 7 Avenue, Brooklyn, NY 11228</t>
  </si>
  <si>
    <t xml:space="preserve">The nearest accessible subway station is the 8th Avenue Station (N trains), 0.9 miles distant. MTA bus service (B16 and B70) is also nearby. The main entrance of K127 is accessible, located on 78th Street (Exit 11). The accessible entrance includes reception, and security cameras. </t>
  </si>
  <si>
    <t xml:space="preserve">Some water fountains and other wall-mounted objects protrude in the corridors of the original building more than 4 inches, which may present difficulties for individuals with visual disabilities. Braille signs are included in the new addition but are not included throughout the original building. </t>
  </si>
  <si>
    <t xml:space="preserve">Non-complaint door hardware in the original building. </t>
  </si>
  <si>
    <t xml:space="preserve">Two passenger elevators provide access to all floors. Elevators included audible signals on each floor.  </t>
  </si>
  <si>
    <t xml:space="preserve">E1 and E2 
Doors: 47 inches, Cabs: 75 inches wide, 60 inches deep. </t>
  </si>
  <si>
    <t>Ramps located on the second, third, and fourth floors connect the addition to original building.</t>
  </si>
  <si>
    <t xml:space="preserve">This site is moderately accessible; most classrooms are accessible and are located along accessible routes.  </t>
  </si>
  <si>
    <t>Room 337</t>
  </si>
  <si>
    <t>Room 437</t>
  </si>
  <si>
    <t>Room 145 and 210A</t>
  </si>
  <si>
    <t>Room 237</t>
  </si>
  <si>
    <t xml:space="preserve">This site does not include an auditorium; the 3rd floor multi-purpose room fulfills this function. Stage access is provided via ramp. Accessible seating is provided. The cafeteria is accessible and is located in the basement. The gymnasium is accessible and is located on the fourth floor. Assistive listening systems have not been provided in the public assembly spaces. </t>
  </si>
  <si>
    <t xml:space="preserve">Stage access is provided via ramp.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</si>
  <si>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
  </si>
  <si>
    <t xml:space="preserve">Rooms B8, 101C, 201C, and 301C </t>
  </si>
  <si>
    <t>Rooms B37C, 201C, 244,301C, 344, and 444</t>
  </si>
  <si>
    <t>Rooms B6, 210, and 310</t>
  </si>
  <si>
    <t>Rooms B37D, 245, 345, and 445</t>
  </si>
  <si>
    <t>Rooms 201B, and 301B</t>
  </si>
  <si>
    <t>Rooms B43, 246, 343 and 443</t>
  </si>
  <si>
    <t>Room 101B</t>
  </si>
  <si>
    <t>Classrooms 133, 134, 136, 137, 138, and 145</t>
  </si>
  <si>
    <t xml:space="preserve">Located inside corresponding classrooms. </t>
  </si>
  <si>
    <t xml:space="preserve">This site includes an exterior recreational space. The exterior recreational space is accessible. </t>
  </si>
  <si>
    <t xml:space="preserve">Fire alarm system has been upgraded and includes a strobe light feature. Holding rooms have been specifically designated as rooms B37A, 137, 237, 337, and 437. </t>
  </si>
  <si>
    <t>This site includes central air in the new addition. Air-conditioning units have been provided in classrooms in the original building.</t>
  </si>
  <si>
    <t>70 Ocean Parkway, Brooklyn, NY 11218</t>
  </si>
  <si>
    <t>The nearest accessible subway station is Church Avenue Station (F &amp; G trains), 0.5 miles distant. MTA bus service (B67 and B69) is also nearby. The accessible entrance to K130 is not the same as the main entrance; the accessible entrance is located on East Fifth Street (Exit 8). The accessible entrance includes a ramp, doorbell, and intercom. The doorbell is within reach range (height 36 inches). The accessible entrance does not include reception or security cameras.</t>
  </si>
  <si>
    <t>Classrooms – Second to Fourth Floors</t>
  </si>
  <si>
    <t>Main Office – Room 206</t>
  </si>
  <si>
    <t>Nurse’s Office – Room 300</t>
  </si>
  <si>
    <t>The auditorium is not accessible and is located on the fourth floor. Stage access is not provided. Accessible seating is provided. The cafeteria is accessible and is located on the first floor. The gymnasium is accessible and is located on the first floor. Assistive listening systems have been provided in the auditorium.</t>
  </si>
  <si>
    <t>Auditorium – Fourth Floor</t>
  </si>
  <si>
    <t>Not on an accessible route. Stage access is not provided. Accessible seating is provided. Assistive listening systems have been provided.</t>
  </si>
  <si>
    <t>There are accessible student bathrooms (boys and girls) available on the first floor. There are accessible staff bathrooms (male and female) available on the first floor. There are accessible single-user (unisex) bathrooms (for student and staff use) available on the first floor.</t>
  </si>
  <si>
    <t>Boys Bathrooms – First Floor</t>
  </si>
  <si>
    <t>Boys Bathrooms – Third Floor</t>
  </si>
  <si>
    <t>Girls Bathrooms – First Floor</t>
  </si>
  <si>
    <t>Girls Bathrooms – Second and Fourth Floors</t>
  </si>
  <si>
    <t>Lack of clear path at entry prevents access. (bathrooms next to room 204 and auditorium).</t>
  </si>
  <si>
    <t>Staff Bathrooms – First Floor</t>
  </si>
  <si>
    <t>Staff Bathroom Bathrooms – Second and Fourth Floors</t>
  </si>
  <si>
    <t>320 Manhattan Avenue, Brooklyn, NY 11211</t>
  </si>
  <si>
    <t xml:space="preserve">The nearest accessible subway station is the Kings Highway Station (B and Q trains), 0.5 miles distant. MTA bus service (B68) is also nearby. The accessible entrance to K132 is not the same as the main entrance; the accessible entrance is located on Conselyea Street (Exit B). The accessible entrance includes a ramp and security cameras. There is no doorbell installed at the accessible entrance. Visitors may need to call in advance to gain access to this facility through the accessible entrance. </t>
  </si>
  <si>
    <t xml:space="preserve">One passenger elevator provides access to all floors. Elevators include audible signals on each floor. </t>
  </si>
  <si>
    <t>Doors: 40 inches, Cabs: 70 inches wide, 60 inches deep.</t>
  </si>
  <si>
    <t>This site is highly accessible; all classrooms are accessible and located on accessible routes.</t>
  </si>
  <si>
    <t>Room 153</t>
  </si>
  <si>
    <t xml:space="preserve">The cafeteria is accessible and located in the basement. This site does not include a gymnasium; the multi-purpose room fulfills this function. The multi-purpose room is accessible and is located on the third floor. Assistive listening systems have not been provided in the public assembly spaces. </t>
  </si>
  <si>
    <t xml:space="preserve">There are accessible student bathrooms (girls and boys) available on all floors.  </t>
  </si>
  <si>
    <t>This site includes exterior recreational spaces. The exterior recreational spaces are accessible. The recreational equipment is not accessible. </t>
  </si>
  <si>
    <t xml:space="preserve">Fire alarm system has been upgraded and includes a strobe light feature. Holding rooms have been specifically designated as rooms 217, 317, and 417. </t>
  </si>
  <si>
    <t>4004 4 Avenue, Brooklyn, NY 11232</t>
  </si>
  <si>
    <t>The nearest accessible subway station is 59th Street Station (R trains), 0.90 miles distant. MTA bus service (B37, B63, and B70) is also nearby. Building K136 is the primary site for secondary building K939. The accessible entrance to K136 is not the same as the main entrance; the accessible entrance is located on 40th Street (Exit 4). The accessible entrance does not include a doorbell, reception, or security cameras. Visitors may need to contact the site in advance to gain access to this facility through the accessible entrance.</t>
  </si>
  <si>
    <t>Degrading conditions at concrete surface and handrails are present.</t>
  </si>
  <si>
    <t>Some door saddles are high, which may be difficult for some users to navigate. Some water fountains and other wall-mounted objects protrude in the corridors more than 4 inches, which may present difficulties for individuals with visual disabilities. Changes in elevation in the basement prevent access to some program areas located. Braille signs are not included throughout the building.</t>
  </si>
  <si>
    <t>Suite of classrooms in the back of the auditorium is only accessible from auditorium stage level. Stage access is not currently provided. A change in elevation (5 steps) prevents interior access between cafeteria and auditorium.</t>
  </si>
  <si>
    <t>This site is moderately accessible; all basement classrooms are accessible and are located along accessible routes. /</t>
  </si>
  <si>
    <t>Art Rooms – Room 406</t>
  </si>
  <si>
    <t>The one general classroom located in the basement off the cafeteria is accessible.</t>
  </si>
  <si>
    <t>Not on accessible route. Theater classrooms in the back of the auditorium are only accessible from the auditorium stage.</t>
  </si>
  <si>
    <t>Computer Rooms – Rooms 107 and 412</t>
  </si>
  <si>
    <t>Library – Room 110</t>
  </si>
  <si>
    <t>Main Office – Rooms 106 and 409</t>
  </si>
  <si>
    <t>Nurse’s Office – Room 159</t>
  </si>
  <si>
    <t>Science Lab – Rooms 302, 303, 401, 402, 403, and 404</t>
  </si>
  <si>
    <t>The auditorium is accessible via Exit 1 from 40th Street only and is located in the basement. Stage access is not provided. Accessible seating is not provided. The cafeteria is accessible and is located in the basement. The gymnasium is not accessible and is located on the first floor. Assistive listening systems have not been provided in the public assembly spaces.</t>
  </si>
  <si>
    <t>Accessible only via Exit 1 from the outside. Change in elevation (5 steps) prevents interior access from cafeteria and hallway. Stage access is not provided. Accessible seating is not provided.</t>
  </si>
  <si>
    <t>Accessible seating available upon request. Food service line is not accessible.</t>
  </si>
  <si>
    <t>Multi-Purpose Room – Dance Room B1</t>
  </si>
  <si>
    <t>There are accessible student bathrooms (boys and girls) available in the basement. This building is prevented from attaining a higher accessibility rating due to lack of accessible bathrooms throughout the building.</t>
  </si>
  <si>
    <t>Boys Bathrooms – Room B21</t>
  </si>
  <si>
    <t>Boys Bathrooms – All Others</t>
  </si>
  <si>
    <t>Girls Bathrooms – Room B14</t>
  </si>
  <si>
    <t>760 Prospect Place, Brooklyn, NY 11216</t>
  </si>
  <si>
    <t xml:space="preserve">The nearest accessible subway station is the Franklin Avenue Station (A and C train), 0.7 miles distant. MTA bus service (B49 and B44) is also nearby. The accessible entrance to K138 is not the same as the main entrance; the accessible entrance is located on Prospect Place (Exit 2). The accessible entrance includes security cameras. There is no doorbell at the accessible entrance. Visitors may need to call in advance to gain access to this facility through the accessible entrance. </t>
  </si>
  <si>
    <t xml:space="preserve">One passenger elevator provides access to most floors. The fourth floor on north wing of the building is not accessible. Elevator includes audible signals on each floor. </t>
  </si>
  <si>
    <t>Doors: 36 inches, Cabs: 51 inches wide, 39 inches deep.</t>
  </si>
  <si>
    <t xml:space="preserve">This site is moderately accessible; most classrooms are accessible and located on accessible routes. </t>
  </si>
  <si>
    <t>First through Fourth Floor (South Wing)</t>
  </si>
  <si>
    <t>Fourth Floor (North Wing)</t>
  </si>
  <si>
    <t>North Wing of the building does not include an elevator. South wing elevator provides access to first to third floors in the North Wing.</t>
  </si>
  <si>
    <t>Rooms 321 and 322</t>
  </si>
  <si>
    <t>Room 204</t>
  </si>
  <si>
    <t>Rooms 126 and 412</t>
  </si>
  <si>
    <t>Rooms 206 and 332</t>
  </si>
  <si>
    <t xml:space="preserve">The auditorium is accessible and is located on the first floor. The auditorium does not provide stage access. Accessible seating is not provided. The cafeteria is accessible and is located on the ground floor. The gymnasium is not accessible due to a change of elevation in the sub-basement. Assistive listening systems have been provided in the auditorium. </t>
  </si>
  <si>
    <t xml:space="preserve">Stage access is not provided. Accessible seating is not provided. Assistive listening systems have been provided. </t>
  </si>
  <si>
    <t>Sub-Basement</t>
  </si>
  <si>
    <t>Change in elevation (10 steps).</t>
  </si>
  <si>
    <t xml:space="preserve">There is an accessible student bathroom available on the first-floor pre-K classroom. This building is prevented from attaining a higher accessibility rating due to lack of accessible bathrooms throughout the building. </t>
  </si>
  <si>
    <t>Men's</t>
  </si>
  <si>
    <t>Women's</t>
  </si>
  <si>
    <t>Assistive listening systems have been provided in the auditorium.</t>
  </si>
  <si>
    <t>100 Noll Street, Brooklyn, NY 11206</t>
  </si>
  <si>
    <t xml:space="preserve">The nearest accessible subway station is the Flushing Avenue Station (J, M, and Z trains), 0.6 miles distant. MTA bus service (B57, B38 and B54) is also nearby. The accessible entrance to K145 is not the same as the main entrance; the accessible entrance is located on Central Avenue (Exit 7). The accessible entrance at Central Avenue includes a doorbell, but it is not within reach range (height 70 inches). An additional accessible entrance is located on Noll Street (Exit 9). The accessible entrance on Noll Street is accessed through an accessible ramp, but there is no doorbell. There is no security camera present at either entrance. As a result, visitors may need to contact site in advance to gain access to the facility through the accessible entrance.  </t>
  </si>
  <si>
    <t xml:space="preserve">Braille signs are not included throughout the building.  </t>
  </si>
  <si>
    <t>Door: 35 inches; Cab: 54 inches wide, 78 inches deep.</t>
  </si>
  <si>
    <t>Room 403</t>
  </si>
  <si>
    <t>Rooms 314 and 412</t>
  </si>
  <si>
    <t>Room 107</t>
  </si>
  <si>
    <t>Room 113E</t>
  </si>
  <si>
    <t xml:space="preserve">The auditorium is accessible and is located on the second floor. Stage access is provided via lift. Accessible seating is also provided. The cafeteria is accessible and is located on the first floor. It is important to note that the cafeteria doors to the food service counter does not provide clear path. The gymnasium is accessible and is located on the second floor. Assistive listening systems have not been provided in the public assembly spaces. </t>
  </si>
  <si>
    <t>Accessible seating available on request. Pathway to food service counter does not provide clear width (Doorway under 32 inches).</t>
  </si>
  <si>
    <t xml:space="preserve">There are accessible student bathrooms (boys and girls) available on each floor. There are accessible staff bathrooms available on each floor.  </t>
  </si>
  <si>
    <t xml:space="preserve">Fire Alarm System includes a strobe light feature. Holding rooms have been specifically designated as rooms 204, 304, and 404. </t>
  </si>
  <si>
    <t xml:space="preserve">This site does not include central air. Air conditioning units provided in classrooms. </t>
  </si>
  <si>
    <t>185 Ellery Street, Brooklyn, NY 11206</t>
  </si>
  <si>
    <t>The nearest accessible subway station is Flushing Avenue (J, M, and Z trains), 0.3 miles distant. MTA bus service (B43 and B57) is also nearby. The accessible entrance to K148 is not the same as the main entrance; the accessible entrance is located on Ellery Street, adjacent to the main entrance, and is reached via a ramp. The accessible entrance includes security cameras and reception. The accessible entrance does not include a doorbell; visitors may want to contact the site prior to arrival.</t>
  </si>
  <si>
    <t>Multiple changes in elevation.</t>
  </si>
  <si>
    <t>This site is not accessible due to lack of accessible route into the building; Once inside the building, only three classrooms are accessible and located on accessible routes. Changes in elevation prevent access to much of the ground floor.</t>
  </si>
  <si>
    <t>Art Room – Room 416</t>
  </si>
  <si>
    <t>Classrooms – Room 126, 127, 128</t>
  </si>
  <si>
    <t>Computer Rooms – Room 415</t>
  </si>
  <si>
    <t>Library – Room 401</t>
  </si>
  <si>
    <t>Main Office – Room 212 (75K373)</t>
  </si>
  <si>
    <t>Nurse’s Office – Room 213B</t>
  </si>
  <si>
    <t>The auditorium is not accessible and is located in the basement. Stage access is not provided. Accessible seating is not provided. The cafeteria is not accessible and is located on the first floor. The gymnasium is not accessible and is located on the third floor. The multi-purpose room is not accessible and is located on the fourth floor. Assistive listening systems have been provided in the cafeteria.</t>
  </si>
  <si>
    <t>Not on an accessible route. Accessible seating available upon request. Assistive listening systems have been provided.</t>
  </si>
  <si>
    <t>Multi-Purpose Room – Fourth Floor</t>
  </si>
  <si>
    <t>There are accessible student bathrooms (boys and girls) available in the cafeteria on the first floor.</t>
  </si>
  <si>
    <t>designated.</t>
  </si>
  <si>
    <t>Fire alarm system includes a strobe light feature. Holding rooms or areas of refuge have not been specifically</t>
  </si>
  <si>
    <t>725 East  23 Street, Brooklyn, NY 11210</t>
  </si>
  <si>
    <t>The nearest accessible Subway Station is Flatbush Avenue Station, (2 and 5) 0.5mi. MTA bus (B6 and B11) is also nearby. The main entrance is accessible, located on East 23 Street (Exit 1). The accessible entrance includes a doorbell and reception. The doorbell is not within reach range (height 61 inches). The accessible entrance does not include security cameras.</t>
  </si>
  <si>
    <t>Braille signs are not present in the building.</t>
  </si>
  <si>
    <t>One passenger elevator provides access to all floors in the building. Elevator includes audible signals on each floor.</t>
  </si>
  <si>
    <t>Door: 35 inches; Cab: 67 inches wide, 49 inches deep.</t>
  </si>
  <si>
    <t>This site is moderately accessible, all classrooms are accessible and located on accessible routes.</t>
  </si>
  <si>
    <t>Art Room – Room 123</t>
  </si>
  <si>
    <t>Computer Rooms –</t>
  </si>
  <si>
    <t>Library – Basement, and Room 303</t>
  </si>
  <si>
    <t>Main Office – Rooms 102 (P.S. 152) and Room 217 (P.S. 315)</t>
  </si>
  <si>
    <t>The auditorium is accessible and is located on the second floor. Stage access is provided via a lift. Accessible seating is not provided. The cafeteria is accessible and is located on the first floor. The gymnasium is accessible and is located on the first floor. Assistive listening systems have not been provided in the public assembly spaces.</t>
  </si>
  <si>
    <t>Multi-Purpose Room –</t>
  </si>
  <si>
    <t>There are accessible student bathrooms (boys) available on the third floor. There are accessible staff bathrooms (male) available on the first floor. There are accessible staff bathrooms (female) available on the second and third floors. There are accessible single-user (unisex) bathrooms available on the second and third floors.</t>
  </si>
  <si>
    <t>Boys Bathroom – Third Floor</t>
  </si>
  <si>
    <t>Boys Bathroom – First, Second, and Fourth Floors</t>
  </si>
  <si>
    <t>Girls Bathrooms – All Floors</t>
  </si>
  <si>
    <t>Fire alarm system include strobe lights. Holding rooms have been designated as room 401.</t>
  </si>
  <si>
    <t>The school does not include central air. Air conditioning units have been provided in classrooms.</t>
  </si>
  <si>
    <t>5105 Fort Hamilton Parkway, Brooklyn, NY 11219</t>
  </si>
  <si>
    <t xml:space="preserve">The nearest accessible subway station is Church Avenue Station (F and G train), 1.3 miles distant. MTA bus service (B11 and B16) is also nearby. The main entrance to K160 is accessible, located on 52nd Street. (Exit 1). The accessible entrance includes a doorbell and security cameras. The doorbell is located within reach range (height 43 inches). </t>
  </si>
  <si>
    <t>Water fountains and other wall-mounted objects protrude in to the corridors more than 4 inches, which may present difficulties for individuals with visual disabilities (original building). Braille signs are not included throughout the building (original building).</t>
  </si>
  <si>
    <t xml:space="preserve">One passenger elevator provides access to all floors of the 2012 Addition. Elevator does include audible signals on each floor (2012 Addition). Elevator does not provide access to the original building. </t>
  </si>
  <si>
    <t>Doors: 48 inches, Cabs: 80 inches wide, 39 inches deep.</t>
  </si>
  <si>
    <t>Room 415</t>
  </si>
  <si>
    <t>All Floors (2012 Addition)</t>
  </si>
  <si>
    <t>All Floors (Original Building)</t>
  </si>
  <si>
    <t>Room 324 (2012 Addition)</t>
  </si>
  <si>
    <t>Room 309 (Original building)</t>
  </si>
  <si>
    <t>Room 313</t>
  </si>
  <si>
    <t>Room 416</t>
  </si>
  <si>
    <t>The auditorium is not accessible and is located on the first floor. The auditorium does not provide stage access, although accessible seating is provided. The cafeteria is accessible and is located on the ground floor. The gym is accessible and is located on the ground floor. Assistive listening systems have been provided in the auditorium, cafeteria, and gymnasium.</t>
  </si>
  <si>
    <t>First Floor (orignal Building)</t>
  </si>
  <si>
    <t>Accessible seating available upon request. Assistive listening systems provided.</t>
  </si>
  <si>
    <t>Assistive listening systems provided.</t>
  </si>
  <si>
    <t>There are accessible student bathrooms (girls and boys) on all floors in the building. There are accessible staff bathrooms on all floors in the building.</t>
  </si>
  <si>
    <t xml:space="preserve">Fire alarm system has been upgraded and includes a strobe light feature. Holding rooms have been specifically designated as 201, 301, 401, and 501. </t>
  </si>
  <si>
    <t>1390 Willoughby Avenue, Brooklyn, NY 11237</t>
  </si>
  <si>
    <t>The nearest accessible subway station is the Myrtle-Wyckoff Avenues Subway Station (L and M trains), 0.8 miles distant. MTA bus service (B38 and B13) is also nearby. The accessible entrance to K162 is not the same as the main entrance; the accessible entrance is located on Willoughby Avenue (Exit 3). The accessible entrance includes a ramp. The accessible entrance does not include a doorbell, reception, or security cameras; Visitors may need to contact site in advance to gain access to this facility through the accessible entrance.</t>
  </si>
  <si>
    <t>Some door saddles are high, which may be difficult for some users to navigate. Some water fountains and other wall-mounted objects protrude into the corridors more than 4 inches, which may present difficulties for individuals with visual disabilities. Braille signs are not included throughout the building.</t>
  </si>
  <si>
    <t>Non-Compliant door hardware.</t>
  </si>
  <si>
    <t>Doors: 35 inches, Cab: 66 inches wide, 50 inches deep.</t>
  </si>
  <si>
    <t>This site is moderately accessible; all classrooms are accessible and are located along accessible routes.</t>
  </si>
  <si>
    <t>Computer Rooms – 211</t>
  </si>
  <si>
    <t>Library – Room 309</t>
  </si>
  <si>
    <t>Main Office – Room 109</t>
  </si>
  <si>
    <t>Nurse’s Office – Room 105A</t>
  </si>
  <si>
    <t>Science Lab – Rooms 301, 310 and 311</t>
  </si>
  <si>
    <t>The auditorium is accessible and is located on the first floor. Stage access provided from corridor. Accessible seating is provided via lift from stage. The cafeteria is accessible and is located on the ground floor. The gymnasium is accessible and is located on the first floor. The multi-purpose room is accessible and is located on the third floor. Assistive listening systems have been provided in the auditorium and cafeteria.</t>
  </si>
  <si>
    <t>Stage access provided from corridor. Accessible seating is provided via lift from stage. Assistive listening systems have been provided.</t>
  </si>
  <si>
    <t>Cafeteria – Ground Floor</t>
  </si>
  <si>
    <t>There are accessible student bathrooms (boys and girls) available on the ground and third floors.</t>
  </si>
  <si>
    <t>Boys Bathrooms – Ground Floor and Room 300</t>
  </si>
  <si>
    <t>Girls Bathrooms – Rooms 005 and 314</t>
  </si>
  <si>
    <t>Staff Bathrooms – Rooms 100 and 200</t>
  </si>
  <si>
    <t>This site does not include exterior recreational spaces. Construction is ongoing at the time of survey.</t>
  </si>
  <si>
    <t>Fire alarm system has been upgraded and includes a strobe light feature. Holding rooms have been specifically designated as rooms 101, 201, 301, and 401.</t>
  </si>
  <si>
    <t>4211 14 Avenue, Brooklyn, NY 11219</t>
  </si>
  <si>
    <t>The nearest accessible subway station is Church Avenue Station (F and G trains), 0.5 miles distant. MTA bus service (B16 and B11) is also nearby. The accessible entrance to K164 is not the same as the main entrance; the accessible entrance is located on 43rd Street (Exit 8). The accessible entrance includes a ramp. The accessible entrance does not include a doorbell, reception, or security cameras. Visitors may need to contact the site in advance to gain access to this facility through the accessible entrance.</t>
  </si>
  <si>
    <t>Some water fountains and other wall-mounted objects protrude in the corridors more than 4 inches, which may present difficulties for individuals with visual disabilities. Braille signs are not included throughout the building.</t>
  </si>
  <si>
    <t>This site offers no accessibility; no classrooms are accessible or are located along accessible routes.</t>
  </si>
  <si>
    <t>Art Room – Room 202</t>
  </si>
  <si>
    <t>Computer Room – Room 102</t>
  </si>
  <si>
    <t>Library – Room 306</t>
  </si>
  <si>
    <t>Main Office – Rooms 105, and 406</t>
  </si>
  <si>
    <t>Nurse’s Office – Room 206A, and 410</t>
  </si>
  <si>
    <t>The auditorium is accessible and is located in the basement. Stage access is provided through the basement lobby. Accessible seating is provided. The cafeteria is accessible and is located in the basement. This site does not include a gymnasium, the multi–purpose room fulfills this function. The multi-purpose room is accessible and is located in the basement. Assistive listening systems have not been provided in the public assembly spaces.</t>
  </si>
  <si>
    <t>The auditorium is accessible through Exit 6, located at the exterior of the building. Stage access is provided through the interior auditorium hall, accessed via the accessible entrance (Exit 8).</t>
  </si>
  <si>
    <t>Boys Bathrooms – Rooms B2, 112A, 212A and 402A</t>
  </si>
  <si>
    <t>Girls Bathrooms – Rooms B9 and 312A</t>
  </si>
  <si>
    <t>Staff Bathrooms – Rooms 102A, 202A, 302A and 412A</t>
  </si>
  <si>
    <t>800 Van Siclen Ave, Brooklyn, NY 11207</t>
  </si>
  <si>
    <t xml:space="preserve">The nearest accessible subway station is the Euclid Avenue Station (A and C trains), 1.6 miles distant. MTA bus service (B83 and B20) is also nearby. The main entrance of K166 is accessible, located on Van Siclen Avenue Street (Exit 3). The accessible entrance includes a ramp, lift, doorbell, reception, and security cameras. The doorbell is not located within reach range (Height 78 inches). </t>
  </si>
  <si>
    <t xml:space="preserve">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</si>
  <si>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 xml:space="preserve">Doors: 42 inches, Cab: 62 inches wide, 79 inches deep. </t>
  </si>
  <si>
    <t>Room 204 </t>
  </si>
  <si>
    <t>Room 232</t>
  </si>
  <si>
    <t>Rooms 132 (19K654), 222 (84K788), and 332 (84K359)</t>
  </si>
  <si>
    <t xml:space="preserve">The auditorium is accessible and is located on the first floor. Stage access is not provided. Accessible seating is not provided. The cafeteria is accessible and is located in the basement. The gymnasium is accessible and is located on the first floor. Assistive listening systems have not been provided in the public assembly spaces. </t>
  </si>
  <si>
    <t xml:space="preserve">There are accessible student bathrooms (boys and girls) available on first and third floors. There are accessible single-user (unisex) bathrooms (for students and staff use) available on the third floor. </t>
  </si>
  <si>
    <t>Rooms 118 and 318</t>
  </si>
  <si>
    <t>Basement and Second Floor</t>
  </si>
  <si>
    <t>Rooms 114 and 314</t>
  </si>
  <si>
    <t>Room 315A</t>
  </si>
  <si>
    <t xml:space="preserve">Fire alarm system has not been upgraded and includes a strobe light feature. No holding rooms or areas of refuge have been specifically designated.  </t>
  </si>
  <si>
    <t>619 72 Street, Brooklyn, NY 11209</t>
  </si>
  <si>
    <t xml:space="preserve">The nearest accessible subway station is the Atlantic Avenue Barclays Center Station (2, 3, 4, 5, B, D, N, Q and R trains), 4.6 miles distant. MTA bus service (B64 and B70) is also nearby. The main entrance of K170 is accessible, located on 72nd Street (Exit 1). The accessible entrance includes a doorbell, reception, and security cameras. The doorbell is located within reach range (Height 47 inches). </t>
  </si>
  <si>
    <t xml:space="preserve">E1 and E2 
Doors: 41 inches, Cabs: 63 inches wide, 79 inches deep. </t>
  </si>
  <si>
    <t>Room 471</t>
  </si>
  <si>
    <t>Room 373</t>
  </si>
  <si>
    <t xml:space="preserve">The auditorium is accessible and is located on the second floor. Stage access is provided via lift. Accessible seating is provided. The cafeteria is accessible and is located on the first floor. The gymnasium is accessible and is located on the fifth floor. Assistive listening systems have been provided in the cafeteria and the gymnasium. </t>
  </si>
  <si>
    <t>Fifth Floor</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</si>
  <si>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corresponding classrooms on the first and second floors.  </t>
  </si>
  <si>
    <t>Rooms 173A, 251, 311, 387, 452, and 512</t>
  </si>
  <si>
    <t>Rooms C072, 173B, 258, 382, 458</t>
  </si>
  <si>
    <t xml:space="preserve">Rooms C070, 112, 106, 108, 255, 300A </t>
  </si>
  <si>
    <t>Classrooms 101A, 203A, 275A, 267A, 277A, and 278A</t>
  </si>
  <si>
    <t xml:space="preserve">This site includes exterior recreational spaces. The exterior recreational spaces are accessible.  </t>
  </si>
  <si>
    <t xml:space="preserve">Fire alarm system has been upgraded and includes a strobe light feature. Holding rooms have been specifically designated as rooms 201, 205, 301, 309, 384, 401, 409, 501, and 509. </t>
  </si>
  <si>
    <t xml:space="preserve">This site includes central air (new wing). Air-conditioning units have been provided in classrooms (old wing).  </t>
  </si>
  <si>
    <t>825 4 Avenue, Brooklyn, NY 11232</t>
  </si>
  <si>
    <t>The nearest accessible subway station is 59th Street Station (D, N, R, and W trains), 1.45 miles distant. MTA bus service (B37, B63, and B70) is also nearby. The accessible entrance to K172 is not the same as the main entrance; the accessible entrance is located on 29th Street (Exit 9). The accessible entrance includes a ramp. The accessible entrance does not include a doorbell, reception, or security cameras: Visitors may need to contact the site in advance to gain access to this facility through the accessible</t>
  </si>
  <si>
    <t>Tight maneuvering clearance may pose difficulty for some. Threshold at entry is degrading.</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</si>
  <si>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at basement cafeteria prevent access to other program areas. Braille signs are not included throughout the building.</t>
  </si>
  <si>
    <t>Changes in elevation (3 steps on one side, 6 to 8 steps on the other sides) prevent access.</t>
  </si>
  <si>
    <t>This site is not accessible; most classrooms are not accessible and are not located along accessible routes.</t>
  </si>
  <si>
    <t>Art Rooms – In Basement Cafeteria</t>
  </si>
  <si>
    <t>Main Office – Room 104</t>
  </si>
  <si>
    <t>Nurse’s Office – Room 254</t>
  </si>
  <si>
    <t>This site does not include an auditorium or a gymnasium; the cafeteria fulfills these functions. The cafeteria is accessible and is located in the basement. The cafeteria does not include a stage. Assistive listening systems have been provided in the cafeteria.</t>
  </si>
  <si>
    <t>Boys Bathrooms – Basement Through Third Floor</t>
  </si>
  <si>
    <t>Girls Bathrooms – Basement Through Third Floor</t>
  </si>
  <si>
    <t>Staff Bathrooms – Basement Through Third Floor</t>
  </si>
  <si>
    <t>Fire alarm system has not been upgraded and does not a strobe light feature. Holding rooms or areas of refuge have not been specifically designated.</t>
  </si>
  <si>
    <t>226 Bristol Street, Brooklyn, NY 11212</t>
  </si>
  <si>
    <t>The nearest accessible subway station is Crown Heights – Utica Avenue (4 and 5 trains), 1.3 miles distant. MTA bus service (B7 and B60) is also nearby. The accessible entrance to K175 is not the same as the main entrance; the accessible entrance is located on Bristol Street. The accessible entrance includes a ramp, a doorbell, and security cameras. The doorbell is not within reach range (height 50 inches).</t>
  </si>
  <si>
    <t>Braille signs are not provided throughout the building.</t>
  </si>
  <si>
    <t>One passenger elevator provides access to all floors. Elevator provides audible signals on each floor.</t>
  </si>
  <si>
    <t>Doors: 55 inches; Cab: 55 inches wide, 72 inches deep.</t>
  </si>
  <si>
    <t>This site is moderately accessible; all classrooms and public assembly areas are accessible and located on accessible routes.</t>
  </si>
  <si>
    <t>Art Room – Rooms 308 and 501</t>
  </si>
  <si>
    <t>Computer Rooms – Room 202</t>
  </si>
  <si>
    <t>Library – Room 503</t>
  </si>
  <si>
    <t>Main Office – Rooms 209 and 509</t>
  </si>
  <si>
    <t>Nurse’s Office – Room 118</t>
  </si>
  <si>
    <t>Science Lab – Room 406</t>
  </si>
  <si>
    <t>This site does not include an auditorium; the gymnasium fulfills this function. The gymnasium is accessible and is located on the first floor. Stage access is not provided. Accessible seating is provided. The cafeteria is accessible and is located on the first floor. Assistive listening systems have not been provided in the public assembly areas.</t>
  </si>
  <si>
    <t>Does Not Exist Accessible</t>
  </si>
  <si>
    <t>Accessible seating available on request.</t>
  </si>
  <si>
    <t>Accessible student bathrooms (boys) are available on the first and fifth floors. Accessible student bathrooms (girls) are available on the first floor. Accessible staff bathrooms (male and female) are available on the first floor. Accessible single-user (unisex) bathrooms (for student and staff use) are available on the first floor.</t>
  </si>
  <si>
    <t>Boys Bathroom – First and Fifth Floor</t>
  </si>
  <si>
    <t>Boys Bathroom – Second through Fourth Floor</t>
  </si>
  <si>
    <t>Staff Bathrooms – Second Through Fifth Floors</t>
  </si>
  <si>
    <t>Single-User (Unisex) Bathrooms – Rooms 119 and 120</t>
  </si>
  <si>
    <t>Fire alarm system includes a strobe light feature. Holding rooms or areas of refuge have been designated; Rooms 501, 513, 401, 413, 301, 313, 201, 213, and B18.</t>
  </si>
  <si>
    <t>1225 69 Street, Brooklyn, NY 11219</t>
  </si>
  <si>
    <t xml:space="preserve">The nearest accessible subway station is the Coney Island-Stillwell Av Station (D, F, and Q train), 3.8 miles distant. MTA bus service (B64 and B1) is also nearby. The accessible entrance to K176 is not the same as the main entrance; the accessible entrance is located on 1242 Bay Ridge Avenue (Exit 9). The accessible entrance does not include security cameras or doorbell. Visitors may need to call in advance to gain access to this facility through the accessible entrance. </t>
  </si>
  <si>
    <t>Elevator provides access to all floors. Elevator does include audible signals on each floor.</t>
  </si>
  <si>
    <t>Doors: 35 inches, Cab: 79 inches wide, 56 inches deep.</t>
  </si>
  <si>
    <t xml:space="preserve">This site is moderately accessible; all classrooms are accessible and located on accessible routes. </t>
  </si>
  <si>
    <t>Rooms 510 and 518</t>
  </si>
  <si>
    <t>Second through Fifth Floors</t>
  </si>
  <si>
    <t>Room 404A</t>
  </si>
  <si>
    <t xml:space="preserve">The auditorium is accessible and is located on the second floor. Stage access is not provided. Accessible seating is provided. The cafeteria is accessible and is located on the first floor. This site does not include a gymnasium; the multi-purpose room fulfills this function. The multi-purpose room (North Wing) on the first floor is not accessible due to a change in elevation. The multi-purpose room (South Wing) is accessible and located on the first floor. Assistive listening systems have been provided in the auditorium.  </t>
  </si>
  <si>
    <t>Accessible seating available upon request. Food service counter stanchiones do not provide clear width.</t>
  </si>
  <si>
    <t>First Floor (North Wing)</t>
  </si>
  <si>
    <t>Change in elevation (5 steps)</t>
  </si>
  <si>
    <t>First Floor (South Wing)</t>
  </si>
  <si>
    <t xml:space="preserve">There are accessible student bathrooms (girls and boys) in the building. </t>
  </si>
  <si>
    <t>First, Third, and Fifth Floors</t>
  </si>
  <si>
    <t>Second and Fourth Floors</t>
  </si>
  <si>
    <t>Secound through Fifth Floors</t>
  </si>
  <si>
    <t xml:space="preserve">Fire alarm system has been upgraded and includes a strobe light feature. Holding rooms have been specifically designated 205, 309, 409, and 509. </t>
  </si>
  <si>
    <t>1023 New York Avenue, Brooklyn, NY 11203</t>
  </si>
  <si>
    <t>The nearest accessible subway station is Church Avenue Station (2 and 5 trains), 0.4 miles distant. MTA bus service (B44 and B35) is also nearby. The accessible entrance (Exit 8) is not the same as the main entrance. The accessible entrance to building K181 is adjacent to the playground along E34th Street. The accessible entrance on E34th Street is reached via a ramp. There are security cameras and a doorbell. The doorbell is not within reach range at the accessible entrance (Height 66 Inches).</t>
  </si>
  <si>
    <t>Accessible entrance via ramp on E34th Street.</t>
  </si>
  <si>
    <t>Ramped access from the sidewalk to the main floor.</t>
  </si>
  <si>
    <t xml:space="preserve">The accessible entrance leads directly into a main corridor and is near the two passenger elevators. Some hallway doors are heavy and without closers, which may be difficult for some users to navigate. Braille signs are not included throughout the building. A few spaces are missing signs altogether. </t>
  </si>
  <si>
    <t xml:space="preserve">The accessible entrance leads directly into a main corridor to one of the passenger elevators, providing access to all floors. Elevators include audible signals on each floor. </t>
  </si>
  <si>
    <t>There are two elevators. Doors: 35 inches, Cab: 67 inches deep, 50 inches wide.</t>
  </si>
  <si>
    <t xml:space="preserve">This site is highly accessible; all classrooms are accessible and located on accessible routes.  </t>
  </si>
  <si>
    <t>Room 313 and 402</t>
  </si>
  <si>
    <t>Room 306</t>
  </si>
  <si>
    <t>Room 203 (P.S. 181), 509A (P.S. K396)</t>
  </si>
  <si>
    <t>Room 110, and 507</t>
  </si>
  <si>
    <t>Room 419</t>
  </si>
  <si>
    <t xml:space="preserve">There is an accessible auditorium on the second floor with stage access provided via lift and accessible seating in the rear of the seating area. The student cafeteria on the first floor is accessible. The gymnasium on the first floor is accessible. There is also an accessible play yard in the rear of the building. An assistive listening systems have been provided in the auditorium. </t>
  </si>
  <si>
    <t>There are accessible student bathrooms (girls and boys) on all floors. There is also an accessible staff bathroom on all floors in the building.</t>
  </si>
  <si>
    <t>Fire alarm system has been upgraded and includes a strobe light feature. Holding rooms are 201, 301, 401, and 501.</t>
  </si>
  <si>
    <t>The site does not include central air in the old wing. Air-conditioning units provided in classrooms. The auditorium is air-conditioned.</t>
  </si>
  <si>
    <t>3314 Neptune Avenue, Brooklyn, NY 11224</t>
  </si>
  <si>
    <t>The nearest accessible subway station is the Coney Island – Stillwell Avenue Station (D, F, and Q trains), 1.00 mile distant. MTA bus service (B36 and B74) is also nearby. The main entrance of K188 is accessible, located on Neptune Avenue (Exit 1). The accessible entrance includes a lift, a doorbell, reception, and security cameras. The doorbell is within reach range (height 37 inches).</t>
  </si>
  <si>
    <t>Some door saddles are high, which may be difficult for some users to navigate. Some water fountains and other wall-mounted objects protrude into the corridors more than 4 inches, which may present difficulties for individuals with visual disabilities. Changes in elevation prevent access throughout the cellar (5 steps) and to floors other than the first (20 steps). Braille signs are present throughout the medical suite and the new gymnasium addition but are not included throughout the original building.</t>
  </si>
  <si>
    <t>Non-compliant hardware throughout the original building.</t>
  </si>
  <si>
    <t>Change of elevation (20 steps) prevents access to areas other than the lobby and medical suite.</t>
  </si>
  <si>
    <t>This site does not include an elevator, preventing access to floors other than the first.</t>
  </si>
  <si>
    <t>Computer Room – Room 306</t>
  </si>
  <si>
    <t>Library – Room 409</t>
  </si>
  <si>
    <t>Nurse’s Office – Room 101J</t>
  </si>
  <si>
    <t>The auditorium is not accessible and is located on the second floor of the original building. Stage access is not provide. Accessible seating is provided. The cafeteria is not accessible and is located on the first floor of the original building. The gymnasium is accessible and is located on the first floor of the new addition. There is no connectivity between the original building and the new gym addition: accessible from the street. Assistive listening systems have been provided in the gymnasium.</t>
  </si>
  <si>
    <t>Auditorium – Second Floor (Original Building)</t>
  </si>
  <si>
    <t>Cafeteria – First Floor (Original Building)</t>
  </si>
  <si>
    <t>Gymnasium – First Floor (New Addition)</t>
  </si>
  <si>
    <t>This site is prevented from attaining a higher accessibility rating due to lack of accessible bathrooms on the upper floors of the building. There are accessible student bathrooms (boys and girls) available on the first floor of the new gymnasium addition, inside the gymnasium itself. There are accessible single-user (unisex) bathrooms (for student and staff use) available on the first floor of the original building, and on the first floor of the new gymnasium addition, inside the gymnasium itself.</t>
  </si>
  <si>
    <t>Located inside the new gymnasium addition.</t>
  </si>
  <si>
    <t>Boys Bathrooms – First Floor Adjacent To Stair C, and Rooms 251 and 358</t>
  </si>
  <si>
    <t>Room 251 is a gender-neutral Pre-K bathroom.</t>
  </si>
  <si>
    <t>Girls Bathrooms – Room 105</t>
  </si>
  <si>
    <t>Single-User (Unisex) Bathrooms – Rooms 101F and 110</t>
  </si>
  <si>
    <t>Room 101F is located in the nurse’s office. Room 110 is located inside the new gymnasium addition.</t>
  </si>
  <si>
    <t>Single-User (Unisex) Bathrooms – Original Building First Floor Lobby, and Rooms 351A, 413, and 451A</t>
  </si>
  <si>
    <t>This site includes exterior recreational spaces. The exterior recreational spaces are accessible from the outside only. The recreational equipment is not accessible.</t>
  </si>
  <si>
    <t>Fire alarm system has been upgraded and includes a strobe light feature. Holding rooms have been specifically designated as rooms 201, 212, 301, 312, 401, 412, 501, and 512.</t>
  </si>
  <si>
    <t>This site includes central air in the new gymnasium addition. Temperature control units have been provided. This site does not include central air in the original building; Air-conditioning units have been provided in classrooms.</t>
  </si>
  <si>
    <t>590 Sheffield Avenue, Brooklyn, NY 11207</t>
  </si>
  <si>
    <t>The nearest accessible subway station is Utica Avenue Station (2, 3, 4, and 5 trains), 2.4 miles distant. MTA bus service (B20 and B83) is also nearby. The main entrance is accessible, located on Sheffield Avenue (Exit 10). The accessible entrance includes a ramp, security cameras, doorbell, and reception. The doorbell is not within reach range (height 57 inches).</t>
  </si>
  <si>
    <t>Doors: 48 inches, Cab: 49 inches wide, 67 inches deep.</t>
  </si>
  <si>
    <t>Art Rooms – Room 511</t>
  </si>
  <si>
    <t>Library – Room 403</t>
  </si>
  <si>
    <t>Nurse’s Office- Room 330</t>
  </si>
  <si>
    <t>Science Lab – Room 402</t>
  </si>
  <si>
    <t>The auditorium is accessible and is located on the second floor. Stage access is provided via lift. Accessible seating is provided. The cafeteria is accessible and is located on the first floor. This site does not include a gymnasium; the multi-purpose room fulfills this function. The multi-purpose rooms are accessible and are located on the first floor. Assistive listening systems have not been provided in the public assembly spaces.</t>
  </si>
  <si>
    <t>Gymnasium –</t>
  </si>
  <si>
    <t>Multi-Purpose Room – First Floor – North and South</t>
  </si>
  <si>
    <t>There are accessible student bathrooms (boys and girls) available on all floors. There are accessible single user bathrooms (for student and staff use) available on all floors.</t>
  </si>
  <si>
    <t>Girls Bathroom – All Floors</t>
  </si>
  <si>
    <t>Single-User (Unisex) Bathroom – All Floors</t>
  </si>
  <si>
    <t>Fire alarm system has been upgraded and includes a strobe light feature. Holding rooms or areas of refuge have been specifically designated as rooms 201, 301, and 401.</t>
  </si>
  <si>
    <t>131 Irwin Street, Brooklyn, NY 11235</t>
  </si>
  <si>
    <t>The nearest accessible subway station is Kings Highway Station (B and Q trains), 2.4 miles distant. MTA bus service (B49 and B44) is also nearby. The accessible entrance to K195 is not the same as the main entrance. The accessible entrance is located on Irwin Street (Exit 4). The accessible entrance includes a doorbell. The doorbell is within reach range (Height 44 inches). The accessible entrance does not include security cameras.</t>
  </si>
  <si>
    <t>Some water fountains and other wall-mounted objects may protrude into the corridors more than 4 inches, which may present difficulties for individuals with visual disabilities. Braille signage is not included throughout the building.</t>
  </si>
  <si>
    <t>Door: 42 inches, Cab: 80 inches deep, 53 inches wide.</t>
  </si>
  <si>
    <t>This site offers limited accessibility; all classrooms are accessible and located on accessible routes.</t>
  </si>
  <si>
    <t>Art Room – Room 385</t>
  </si>
  <si>
    <t>Computer Rooms – Room 224</t>
  </si>
  <si>
    <t>Library – Room 116</t>
  </si>
  <si>
    <t>Main Office – Rooms 124</t>
  </si>
  <si>
    <t>Nurse’s Office – Room 110</t>
  </si>
  <si>
    <t>The auditorium is accessible and is located on the first floor. Accessible seating is provided. Stage access is provided via ramp. The cafeteria is accessible and is located on the first floor. The gymnasium is accessible and is located on the second floor. Assistive listening systems have not been provided in the public assembly spaces.</t>
  </si>
  <si>
    <t>Stage access is provided via ramp. Accessible seating is provided.</t>
  </si>
  <si>
    <t>There are accessible student bathrooms (girls) available on the first and second floors. There are accessible staff bathrooms (women) available on all floors.</t>
  </si>
  <si>
    <t>Boys Bathrooms – All Floors</t>
  </si>
  <si>
    <t>Girls Bathrooms – Rooms 125 and 221</t>
  </si>
  <si>
    <t>Staff Bathrooms (Male) – All Floors</t>
  </si>
  <si>
    <t>Staff Bathrooms (Female) – All Floors</t>
  </si>
  <si>
    <t>Fire alarm system has been upgraded and includes a strobe light feature. A holding room has been specifically designated as room 234.</t>
  </si>
  <si>
    <t>4105 Farragut Road, Brooklyn, NY 11210</t>
  </si>
  <si>
    <t xml:space="preserve">The nearest accessible subway station is the Flatbush Avenue Station (2 and 5 trains), 0.3 miles distant. MTA bus service (B6) is also nearby. The main entrance of K198 is accessible, located on East 42nd Street (Exit 1). The accessible entrance includes a ramp, doorbell, reception, and security cameras. The doorbell is not within reach range (height 79 inches). </t>
  </si>
  <si>
    <t>Doors: 35 inches, Cab: 49 inches wide, 66 inches deep.</t>
  </si>
  <si>
    <t>Room 222</t>
  </si>
  <si>
    <t xml:space="preserve">The auditorium is accessible and located on the first floor. Stage access is not provided. Accessible seating is provided. The cafeteria is accessible and located on the first floor. The gymnasium is accessible and is located on the second floor. Assistive listening systems have been provided in the auditorium. </t>
  </si>
  <si>
    <t xml:space="preserve">Stage access is not provided. Accessible seating is not provided. Assistive listening systems have been provided.  </t>
  </si>
  <si>
    <t>There are accessible student bathrooms (boys) on the third floor. No accessible student bathrooms (girls). There are no accessible staff bathrooms in the building.</t>
  </si>
  <si>
    <t>First and Second Floors</t>
  </si>
  <si>
    <t>8010 12 Avenue, Brooklyn, NY 11228</t>
  </si>
  <si>
    <t>The nearest accessible subway station is Bay Parkway Station (D train), 1.6 miles distant. MTA bus service (B6 and B82) is also nearby. The accessible entrance is not the same as the main entrance. The accessible entrance is located on 81st Street (Exit 3). The accessible entrance does not have security cameras or a doorbell present. Once inside a passenger elevator provides access to all floors of the building.</t>
  </si>
  <si>
    <t>The accessible entrance leads directly into a main corridor and is adjacent to the passenger elevator. Braille signs are not included throughout the building. Some water fountains and other wall-mounted objects protrude in to the corridors more than 4 inches, which may present difficulty to individuals with visual disabilities.</t>
  </si>
  <si>
    <t>Doors: 42 inches, Cab: 59 inches wide, 80 inches deep.</t>
  </si>
  <si>
    <t>Art Rooms – Room 507, and 514</t>
  </si>
  <si>
    <t>Computer Rooms – Room 206</t>
  </si>
  <si>
    <t>Library – Room 301</t>
  </si>
  <si>
    <t>Nurse’s Office- Room 253</t>
  </si>
  <si>
    <t>The auditorium is accessible and is located on the first floor. Stage access is provided via lift. Accessible seating is provided. The cafeteria is accessible and is located on the first floor. The fifth-floor gymnasium is accessible. The third-floor gymnasium is not accessible due to a change in elevation. Assistive listening systems have been provided in the auditorium, cafeteria, and fifth-floor gymnasium.</t>
  </si>
  <si>
    <t>Change of elevation (12 steps) prevents access.</t>
  </si>
  <si>
    <t>Gymnasium – Fifth Floor</t>
  </si>
  <si>
    <t>Multi-Purpose Room -</t>
  </si>
  <si>
    <t>There are accessible bathrooms for students (boys and girls) on the second through fifth floor. Accessible staff bathrooms exist on the first floor.</t>
  </si>
  <si>
    <t>Boys Bathroom – Second to Fifth Floor</t>
  </si>
  <si>
    <t>Girls Bathroom – Second to Fifth Floor</t>
  </si>
  <si>
    <t xml:space="preserve">This site does not include exterior recreational spaces. </t>
  </si>
  <si>
    <t>8101 15 Avenue, Brooklyn, NY 11228</t>
  </si>
  <si>
    <t>The nearest accessible subway station is Bay Parkway Station (D train), 1.04 miles distant. MTA bus service (B1, B6, and B82) is also nearby. The accessible entrance to K204 is not the same as the main entrance; the accessible entrance is located on 81st Street (Exit 10). The accessible entrance does not include security cameras. The accessible entrance does not include a doorbell; visitors will need to call in advance to gain access.</t>
  </si>
  <si>
    <t>Some water fountains and other wall-mounted objects may protrude in the corridors more than 4 inches, which may present difficulties for individuals with visual disabilities. Braille signs are not included throughout the building.</t>
  </si>
  <si>
    <t>One passenger elevator provides access to all floors. Elevator does not include audible signals on each floor.</t>
  </si>
  <si>
    <t>Doors: 41 inches, Cab: 79 inches wide, 51 inches deep.</t>
  </si>
  <si>
    <t>Room 460</t>
  </si>
  <si>
    <t>The auditorium is accessible and is located on the first floor. Stage access is not provided. Accessible seating is provided. The cafeteria is accessible and is located on the first floor. The gymnasium is not accessible and is located on the third floor. Assistive listening systems have been provided in the multi-purpose room.</t>
  </si>
  <si>
    <t xml:space="preserve">Stage access is not provided. Accessible seating is provided. </t>
  </si>
  <si>
    <t>Change in elevation (11 steps) prevents access</t>
  </si>
  <si>
    <t>Assistive listening systems have been provided</t>
  </si>
  <si>
    <t>There are accessible student bathrooms (girls and boys) available on the first floor. There are accessible staff bathrooms available on the second floor.</t>
  </si>
  <si>
    <t>Room 197</t>
  </si>
  <si>
    <t>Second through Fourth Floors</t>
  </si>
  <si>
    <t>Room 198</t>
  </si>
  <si>
    <t>Room 271</t>
  </si>
  <si>
    <t>Fire alarm system has been upgraded and includes a strobe light feature. Holding rooms have been specifically designated as rooms 277 and 371</t>
  </si>
  <si>
    <t>The site includes central air in the addition of the building (2000). Air-conditioning units provided in classrooms within the original building (1929).</t>
  </si>
  <si>
    <t>6701 20 Avenue, Brooklyn, NY 11204</t>
  </si>
  <si>
    <t xml:space="preserve">The nearest accessible subway station is the Bay Parkway Station (D train), 0.95 miles distant. MTA bus service (B1, B6, and B82) is also nearby. The main entrance of K205 is accessible, located on 20th Avenue (Exit 1). The accessible entrance is accessed via ramp and includes reception and doorbell. The doorbell is within reach range (height 48 inches).  </t>
  </si>
  <si>
    <t xml:space="preserve">Water fountains and other wall-mounted objects protrude in the corridors more than 4 inches, which may present difficulties for individuals with visual disabilities. Braille signs are not included throughout the building. </t>
  </si>
  <si>
    <t xml:space="preserve">One passenger elevator provides access to all floors. Elevators include audible signals on each floor.  </t>
  </si>
  <si>
    <t xml:space="preserve">Provides access to gymnasium. </t>
  </si>
  <si>
    <t>Doors: 41 inches, Cab: 80 inches wide, 65 inches deep.</t>
  </si>
  <si>
    <t>Rooms 406 and 506</t>
  </si>
  <si>
    <t>Rooms 318A</t>
  </si>
  <si>
    <t xml:space="preserve">The auditorium is accessible and located on the second floor. Stage access is provided via lift. Accessible seating is also provided. The cafeteria is accessible and is located on the first floor. The gymnasium located in the basement is accessible via lift. The gymnasium located on the fifth floor is accessible. Assistive listening systems have not been provided in the public assembly areas. </t>
  </si>
  <si>
    <t>Access provided via a lift.</t>
  </si>
  <si>
    <t>There are accessible student bathrooms (girls and boys) on the first, second, fourth, and fifth floors. There are no accessible staff bathrooms.</t>
  </si>
  <si>
    <t>First, Second, Fourth, and Fifth Floors</t>
  </si>
  <si>
    <t>Fire alarm system has been upgraded and includes a strobe light feature. Holding rooms have been specifically designated as rooms 205, 305, 405, and 505.</t>
  </si>
  <si>
    <t>1001 East 100 Street, Brooklyn, NY 11236</t>
  </si>
  <si>
    <t>The nearest accessible subway station is Rockaway Parkway Station (L train), 0.7 miles distant. MTA bus service (B42 and B17) is also nearby. The main entrance is accessible, located on Avenue J. The accessible entrance includes a doorbell and reception. The doorbell is within reach range (height 39 inches). The accessible entrance does not include security cameras.</t>
  </si>
  <si>
    <t>Doors: 42 inches, Cab: 56 inches wide, 80 inches deep.</t>
  </si>
  <si>
    <t>This site is moderately accessible; all classrooms are accessible and are located on accessible routes.</t>
  </si>
  <si>
    <t>Art Rooms – Room 213</t>
  </si>
  <si>
    <t>Main Office – Rooms 123 and 327</t>
  </si>
  <si>
    <t>Nurse’s Office- Room 124</t>
  </si>
  <si>
    <t>Science Lab – Rooms 207 and 209</t>
  </si>
  <si>
    <t>The auditorium is accessible and is located on the first floor. Stage access is provided via lift. Accessible seating is provided. The cafeteria is accessible and is located in the basement. The gymnasium is accessible and is located on the first floor. Assistive listening systems have not been provided in the public assembly areas.</t>
  </si>
  <si>
    <t>Cafeteria - Basement</t>
  </si>
  <si>
    <t>There are accessible student bathrooms (boys) available in the basement, and on the first and second floors. There are accessible student bathrooms (girls) available in the basement, and on the second floor.</t>
  </si>
  <si>
    <t>Boys Bathroom – Basement, First, and Second Floors</t>
  </si>
  <si>
    <t>Girls Bathroom – Basement, and Second Floors</t>
  </si>
  <si>
    <t>specifically designated as rooms 211 and 311.</t>
  </si>
  <si>
    <t>Fire alarm system has been upgraded and includes a strobe light feature. Holding rooms or areas of refuge have been</t>
  </si>
  <si>
    <t>415 Avenue S, Brooklyn, NY 11223</t>
  </si>
  <si>
    <t>The nearest accessible subway station is East 180th Street Station (B and Q trains), 0.9 miles distant. MTA bus service (B82) is also nearby. The accessible entrance to K215 is not the same as the main entrance. The accessible entrance is located on East 2nd Street (Exit 2). The accessible entrance includes a ramp, a lift, and security cameras. The accessible entrance does not include a doorbell; Visitors should call in advance in order to gain access to the facility.</t>
  </si>
  <si>
    <t>Accessible entrance ramp needs handrails.</t>
  </si>
  <si>
    <t>Some hallway doors are heavy and without closers, which may be difficult for some users to navigate. Braille signs are provided throughout the building but are degrading and need replacement.</t>
  </si>
  <si>
    <t>One passenger elevator provides access to all floors. Elevator includes audible signals on all floors.</t>
  </si>
  <si>
    <t>Incline stair lift remediates change of elevation at accessible entry. Incline stair lift remediates change of elevation at gymnasium.</t>
  </si>
  <si>
    <t>Art Room</t>
  </si>
  <si>
    <t>Computer Rooms – Room 308</t>
  </si>
  <si>
    <t>Library – Room 307</t>
  </si>
  <si>
    <t>Main Office – Rooms 212 and 561</t>
  </si>
  <si>
    <t>Nurse’s Office – Room 352</t>
  </si>
  <si>
    <t>The auditorium is accessible and is located on the first floor. Accessible seating is not provided. Stage access is provided via lift. The cafeteria is accessible and is located on the first floor. The gymnasium is accessible and is located on the third floor. Assistive listening systems have been provided in the auditorium.</t>
  </si>
  <si>
    <t>Accessible via lift.</t>
  </si>
  <si>
    <t>There are accessible student (boys) bathrooms available on the first and fifth floors. There are accessible student (girls) bathrooms available on the first and third floors. There are accessible single-user (unisex) bathrooms available on the third and fifth floors.</t>
  </si>
  <si>
    <t>Boys Bathrooms – Rooms 113 and 570</t>
  </si>
  <si>
    <t>Boys Bathrooms – Room 459</t>
  </si>
  <si>
    <t>Girls Bathrooms – Rooms 114 and 315</t>
  </si>
  <si>
    <t>Girls Bathrooms – Rooms 456 and 556</t>
  </si>
  <si>
    <t>Staff Bathrooms – Room 435</t>
  </si>
  <si>
    <t>Single-User (Unisex) Bathrooms – Rooms 354, 355, 555, and 556</t>
  </si>
  <si>
    <t>Single-User (Unisex) Bathrooms in Classrooms – Rooms 207A, 208A, 213A, and 214A</t>
  </si>
  <si>
    <t>Located in corresponding classrooms.</t>
  </si>
  <si>
    <t>This site includes exterior recreational spaces. The exterior recreational spaces are not accessible. The recreational equipment is not accessible.</t>
  </si>
  <si>
    <t>Fire alarm system has been upgraded and includes a strobe light feature. Holding rooms have been specifically designated as rooms 207, 214, 307, 314, 407, 414, 507, and 514.</t>
  </si>
  <si>
    <t>An assistive listening systems has been installed in the auditorium.</t>
  </si>
  <si>
    <t>1100 Newkirk Avenue, Brooklyn, NY 11230</t>
  </si>
  <si>
    <t>The nearest accessible subway station is Avenue H (Q train), 0.5 miles distant. MTA bus service (B8 and B68) is also nearby. The accessible entrance to K217 is not the same as the main entrance; the accessible entrance is located on Newkirk Avenue (Exit 6). The accessible entrance includes a ramp. The accessible entrance does not include a doorbell, reception, or security cameras. Visitors may need to contact site in advance to gain access to this facility through the accessible entrance.</t>
  </si>
  <si>
    <t>Doors: 41 inches, Cab: 79 inches wide, 55 inches deep.</t>
  </si>
  <si>
    <t>Art Rooms – Room 407</t>
  </si>
  <si>
    <t>Computer Rooms – Room 515</t>
  </si>
  <si>
    <t>Nurse’s Office- Room 255</t>
  </si>
  <si>
    <t>The auditorium is accessible and is located on the first floor. Stage access is provided via lift. Accessible seating is provided. The cafeteria is accessible and is located on the first floor. The gymnasium is accessible and is located on the third floor. Assistive listening systems have not been provided in the public assembly areas.</t>
  </si>
  <si>
    <t>Accessible via lift from third floor.</t>
  </si>
  <si>
    <t>There are accessible student bathrooms (girls) available on the first, third and fifth floors. There are accessible student bathrooms (boys) available on the first and third floors. There are accessible staff bathrooms available on all floors. There are accessible single-user (unisex) bathrooms (for students and staff) available on all floors.</t>
  </si>
  <si>
    <t>Boys Bathroom – First and Third Floors</t>
  </si>
  <si>
    <t>Boys Bathroom – Second, Fourth, and Fifth Floors</t>
  </si>
  <si>
    <t>Girls Bathroom – First, Third, and Fifth Floors</t>
  </si>
  <si>
    <t>Girls Bathroom – Second Floor</t>
  </si>
  <si>
    <t>Single-User (Unisex) Bathroom – First through Fifth Floors</t>
  </si>
  <si>
    <t>Fire alarm system has been upgraded and includes a strobe light feature. Holding rooms have been specifically designated; Rooms 214, 314, 414, and 514.</t>
  </si>
  <si>
    <t>The site does not include central air; Air-conditioning units are provided in classrooms.</t>
  </si>
  <si>
    <t>3301 Quentin Road, Brooklyn, NY 11234</t>
  </si>
  <si>
    <t>The nearest accessible subway station is Kings Highway Station (B and Q trains), 1.1 miles distant. MTA bus service (B2 and B44) is also nearby. The accessible entrance to K222 is not the same as the main entrance; the accessible entrance is located on East 33rd Street (Exit 10). The accessible entrance includes a ramp, doorbell, and security cameras. The doorbell is within reach range (height 47 inches).</t>
  </si>
  <si>
    <t>This site occupies floors one through four in the building. One passenger elevator provides access to all floors.</t>
  </si>
  <si>
    <t>A stairlift provides stage access from interior staircase in auditorium.</t>
  </si>
  <si>
    <t>Doors: 35 inches, Cab: 80 inches wide, 56 inches deep.</t>
  </si>
  <si>
    <t>Computer Rooms – Room 302</t>
  </si>
  <si>
    <t>Library – Room 326</t>
  </si>
  <si>
    <t>Main Office – Room 255</t>
  </si>
  <si>
    <t>Nurse’s Office- Room 165</t>
  </si>
  <si>
    <t>The auditorium is accessible and is located on the first floor. Stage access is provided via lift. Accessible seating is provided. The cafeteria is accessible and is located on the first floor. The third-floor gymnasium is not accessible due to a change in elevation. The fourth-floor gymnasium is accessible. Assistive listening systems have been provided in the auditorium.</t>
  </si>
  <si>
    <t>Change in elevation (10 steps) prevents access.</t>
  </si>
  <si>
    <t>There are accessible student bathrooms (girls and boys) available on the first, third, and forth floors. There is an accessible single-user (unisex) bathroom (available for students and staff) on the fourth floor. There are accessible staff bathrooms available on the third and fourth floors.</t>
  </si>
  <si>
    <t>Boys Bathroom – Rooms 158, 359, and 461</t>
  </si>
  <si>
    <t>Boys Bathroom – Room 261</t>
  </si>
  <si>
    <t>Girls Bathroom - Rooms 155, 358, and 459</t>
  </si>
  <si>
    <t>Girls Bathroom – Room 260</t>
  </si>
  <si>
    <t>Staff Bathrooms – Rooms 356, and 457</t>
  </si>
  <si>
    <t>Single-User (Unisex) Bathroom – Room 164</t>
  </si>
  <si>
    <t>Room 164 includes an adult size changing table.</t>
  </si>
  <si>
    <t>This site includes exterior recreational spaces. The exterior recreational spaces are accessible. The recreational</t>
  </si>
  <si>
    <t>Fire alarm system has been upgraded and includes a strobe light feature. Holding rooms or areas of refuge have been specifically designated; Room 217, 317, and 417.</t>
  </si>
  <si>
    <t>4200 16 Avenue, Brooklyn, NY 11204</t>
  </si>
  <si>
    <t xml:space="preserve">The nearest accessible subway station is Church Avenue Station (F train), 0.7 miles distant. MTA bus service (B16) is also nearby. The accessible entrance to K223 is not the same as the main entrance. The accessible entrance is located on 43rd Street. The accessible entrance includes a ramp and security cameras. The accessible entrance does not include a doorbell; visitors should call in advance to gain access to the facility. </t>
  </si>
  <si>
    <t xml:space="preserve">Braille signs included throughout the building. </t>
  </si>
  <si>
    <t>One passenger elevator provides access to all floors in the building.</t>
  </si>
  <si>
    <t xml:space="preserve">Door: 70 inches; Cab: 85 inches deep, 85 inches wide. </t>
  </si>
  <si>
    <t>Rooms 127, 326, and 421</t>
  </si>
  <si>
    <t>Rooms 105 and 405</t>
  </si>
  <si>
    <t>Room 203 (20K223) and Room 428 (20K609)</t>
  </si>
  <si>
    <t xml:space="preserve">Room 103 </t>
  </si>
  <si>
    <t>Rooms 128, 407, 411, 425, and 429</t>
  </si>
  <si>
    <t>The auditorium is accessible and is located on the first floor. Stage access is not provided. Accessible seating is provided. The cafeteria is accessible and is located in the basement. The third-floor gymnasium is not accessible. The fourth-floor gymnasium is accessible. Assistive listening systems have not been provided in the public assembly areas.</t>
  </si>
  <si>
    <t>Change in elevation prevents access.</t>
  </si>
  <si>
    <t>There are accessible student bathrooms available on the first floor. There are accessible single‐user bathrooms (for staff and student use) available on the third floor.</t>
  </si>
  <si>
    <t>Basement, Second, Third, and Fourth Floors</t>
  </si>
  <si>
    <t>Unisex</t>
  </si>
  <si>
    <t xml:space="preserve">This site does not include central air. Air-conditioning units provided in classrooms. </t>
  </si>
  <si>
    <t>757 Wortman Avenue, Brooklyn, NY 11208</t>
  </si>
  <si>
    <t>The nearest accessible subway station is Euclid Avenue Station (A and C trains), 0.9 mile distant. MTA bus service (B13 and B14) is also nearby. The main entrance is accessible, located on Autumn Avenue. The accessible entrance includes a ramp, security cameras, a doorbell, and reception. The doorbell is within reach range (Height 47 inches).</t>
  </si>
  <si>
    <t>Doors: 45 inches, Cab: 75 inches wide, 80 inches deep.</t>
  </si>
  <si>
    <t>Computer Rooms – Rooms 229 and 285</t>
  </si>
  <si>
    <t>Library - Room 207</t>
  </si>
  <si>
    <t>Main Office – Room 127</t>
  </si>
  <si>
    <t>Nurse’s Office- Room 122</t>
  </si>
  <si>
    <t>The auditorium is accessible and is located on the first floor. Stage access is not provided. Accessible seating is not provided. The cafeteria is accessible and is located on the first floor. The gymnasium is accessible located on the second floor. Assistive listening systems have not been provided in the public assembly areas.</t>
  </si>
  <si>
    <t>There are accessible student bathrooms (girls and boys) on all floor. There is also an accessible single user (unisex) bathrooms (available for students and staff) on all floors.</t>
  </si>
  <si>
    <t xml:space="preserve">This site includes exterior recreational spaces. The exterior recreational spaces are accessible. The recreational equipment is not accessible. 
 </t>
  </si>
  <si>
    <t>Fire alarm system has been upgraded and includes a strobe light feature. Holding rooms or areas of refuge have been specifically designated, Rooms 219, and 319.</t>
  </si>
  <si>
    <t>1075 Ocean View Avenue, Brooklyn, NY 11235</t>
  </si>
  <si>
    <t>The nearest accessible subway is Coney Island‐Stillwell Ave Station (D, F, N, and Q trains), 1.6 miles distant; MTA bus service (B1 and B49) is also nearby. The accessible entrance to K225 is not the same as the main entrance. The accessible entrance is located in the inner courtyard and is accessed from Brighton 12th Street. The accessible entrance includes a ramp and reception. The accessible entrance does not include a doorbell or security cameras: Visitors may want to contact the site prior to arrival in order to gain access via the accessible entrance.</t>
  </si>
  <si>
    <t>Via courtyard to Exit 11 to cafeteria</t>
  </si>
  <si>
    <t>Braille signage is not provided throughout the building.</t>
  </si>
  <si>
    <t>One passenger elevator provides service to all floors in the building. Elevator provides audible signals on all floors. A lift on the third floor remediates a change in elevation to provide access to the gymnasium.</t>
  </si>
  <si>
    <t>Placement of lift controls may pose difficulty for some.</t>
  </si>
  <si>
    <t>Door: 48 inches; Cab: 65 inches wide, 83 inches deep.</t>
  </si>
  <si>
    <t>This site is moderately accessible; all classrooms and public assembly spaces are on accessible routes.</t>
  </si>
  <si>
    <t>Art Room – Room 327</t>
  </si>
  <si>
    <t>Library – Room 211</t>
  </si>
  <si>
    <t>Main Office – Room 201 (P.S. 225), Room 413 (P771)</t>
  </si>
  <si>
    <t>Nurse’s Office – Rooms 202B and 460</t>
  </si>
  <si>
    <t>Science Lab – Room 307</t>
  </si>
  <si>
    <t>The auditorium is accessible and is located on the first floor. Stage access is provided via lift. Accessible seating is not provided. The cafeteria is accessible and is located on the first floor. The gymnasium is accessible and is located on the third and fourth floors. The multi-purpose room is accessible and is located on the first floor. Assistive listening systems have not been provided in the public assembly areas.</t>
  </si>
  <si>
    <t>Gymnasium – Third and Fourth Floor</t>
  </si>
  <si>
    <t>Accessible via a corridor lift.</t>
  </si>
  <si>
    <t>There are accessible student (boys and girls) bathrooms available on the first through fourth floors. There are accessible staff (male and female) bathrooms available on the second and fourth floors.</t>
  </si>
  <si>
    <t>Boys Bathroom – First Floor in Cafeteria</t>
  </si>
  <si>
    <t>Boys Bathroom – Second through Fourth Floors</t>
  </si>
  <si>
    <t>Girls Bathroom – First Floor in Cafeteria</t>
  </si>
  <si>
    <t>Girls Bathroom – Second through Fourth Floors</t>
  </si>
  <si>
    <t>Not accessible</t>
  </si>
  <si>
    <t>Single-User (Unisex) Bathrooms – Rooms 202C, 359A, 460, and 461A</t>
  </si>
  <si>
    <t>Fire alarm system includes a strobe light feature. Fire holding rooms have not been specifically designated.</t>
  </si>
  <si>
    <t>The site does not include central air. Air conditioning units have been provided in classrooms.</t>
  </si>
  <si>
    <t>6006 23 Avenue, Brooklyn, NY 11204</t>
  </si>
  <si>
    <t xml:space="preserve">The nearest accessible subway station is the Avenue N Station (F train), 0.3 miles distant. MTA bus service (B9 and B6) is also nearby. The main entrance to K226 is not accessible. The accessible entrance is on 23rd (Exit 2) includes a ramp and a doorbell. The accessible entrance does not include security cameras. The doorbell is within reach range (Height 26 Inches). </t>
  </si>
  <si>
    <t>Some hallway doors are heavy and without closures, which may be difficult for some users to navigate. Braille signage is provided throughout the building.</t>
  </si>
  <si>
    <t>Two passenger elevators provide access to all floors in the building.</t>
  </si>
  <si>
    <t>Doors: 41”, Cabs: 57” wide, 80” deep.</t>
  </si>
  <si>
    <t xml:space="preserve">This site is highly accessible; all classrooms are accessible and are located on accessible routes. </t>
  </si>
  <si>
    <t>Room 426</t>
  </si>
  <si>
    <t>Rooms 224 and 429</t>
  </si>
  <si>
    <t>Room 425</t>
  </si>
  <si>
    <t>Room 223A</t>
  </si>
  <si>
    <t>The auditorium is accessible and is located on the first floor. Stage access is provided via a lift. Accessible seating is not provided. The cafeteria is accessible and is located on the first floor. The gymnasium is accessible and is located on the third floor.  Assistive listening systems have been provided in the auditorium.</t>
  </si>
  <si>
    <t xml:space="preserve">Stage access is provided via lift. Accessible seating is not provided. Assistive listening systems have been provided. </t>
  </si>
  <si>
    <t>Access via a lift.</t>
  </si>
  <si>
    <t>There are accessible student bathrooms (boys) available on the first, third, and fourth floors. There are accessible student bathrooms (girls) available on all floors. There are accessible staff bathrooms (male and female) available on the second floor. There is an accessible single-user (unisex) bathroom (for student and staff use) available on the first floor.</t>
  </si>
  <si>
    <t>Secound Floor</t>
  </si>
  <si>
    <t>Rooms 262 and 264</t>
  </si>
  <si>
    <t>Third and Fourth Floors</t>
  </si>
  <si>
    <t>(Single User)</t>
  </si>
  <si>
    <t>Fire Alarm System includes a strobe light feature. Holding rooms have been specifically designated: 217, 317, and 417.</t>
  </si>
  <si>
    <t>The school does have HVAC/Climate control. A/C units in classrooms.</t>
  </si>
  <si>
    <t>6500 16 Avenue, Brooklyn, NY 11204</t>
  </si>
  <si>
    <t>The nearest accessible subway station is Church Avenue Station (F and G train), 1.39 miles distant. MTA bus service (B1, B6 and B82) is also nearby. The accessible entrance to K227 is not the same as the main entrance; the accessible entrances are located on 66th Street (Exit 3). The accessible entrance includes ramp, cameras, and doorbell. The doorbell is within reach range (47 inches).</t>
  </si>
  <si>
    <t>Some water fountains and other wall-mounted objects protrude in to the corridors more than 4 inches, which may present difficulties for individuals with visual disabilities. Braille signs are not included throughout the building. There are changes of elevations on the third floor, this prevents access to the third-floor gymnasium.</t>
  </si>
  <si>
    <t>Art Rooms – Rooms 228, 326, and 328</t>
  </si>
  <si>
    <t>Main Office – Room 203</t>
  </si>
  <si>
    <t>Nurse’s Office- Room 111</t>
  </si>
  <si>
    <t>Science Lab – Room 407</t>
  </si>
  <si>
    <t>The auditorium is accessible and is located on the first floor. Stage access is provided via lift. Accessible seating is provided. The cafeteria is accessible and is located on the first floor. The fourth-floor gymnasium is accessible. The third-floor gymnasium is not accessible due to a change in elevation. Assistive listening systems have not been provided in the public assembly areas.</t>
  </si>
  <si>
    <t>Accessible seating is provided. Stage access is provided via lift.</t>
  </si>
  <si>
    <t>Change in elevation (11 steps) prevents access.</t>
  </si>
  <si>
    <t>There are accessible student bathrooms (girls) on the third, second, and first floors. There are accessible student bathrooms (boys) on the first floor.</t>
  </si>
  <si>
    <t>Boys Bathroom – Room 153</t>
  </si>
  <si>
    <t>Boys Bathroom – Second Through Fourth Floor</t>
  </si>
  <si>
    <t>Girls Bathroom – Rooms 354, 255, and First Floor</t>
  </si>
  <si>
    <t>Staff Bathroom – All Floors</t>
  </si>
  <si>
    <t>Fire alarm system has been upgraded and includes a strobe light feature. Holding rooms have been specifically designated as rooms 225, 325, and 425.</t>
  </si>
  <si>
    <t>228 Avenue S, Brooklyn, NY 11223</t>
  </si>
  <si>
    <t>The nearest accessible subway station is Avenue N Station (F train), 0.3 miles distant; MTA bus service (B82) is also nearby. The accessible entrance to K228 is not the same as the main entrance. There are two accessible entrances: one located in the rear of the building on West 4th Street, and one on the West 5th Street side of the building. Security cameras are installed at the West 4th Street accessible entrance, but no doorbell exists. Visitors should call in advance in order to gain access.</t>
  </si>
  <si>
    <t>Braille signs are provided throughout the building.</t>
  </si>
  <si>
    <t>Door: 42 Inches, Cab: 56 Inches wide, 79 Inches deep.</t>
  </si>
  <si>
    <t>This site offers minimal accessibility; all classrooms and public assembly areas are accessible and located on accessible routes.</t>
  </si>
  <si>
    <t>Art Room – Room 126</t>
  </si>
  <si>
    <t>Classrooms –All Floors</t>
  </si>
  <si>
    <t>Computer Rooms – Room 322</t>
  </si>
  <si>
    <t>Library – Room 321</t>
  </si>
  <si>
    <t>Main Office – Room 113</t>
  </si>
  <si>
    <t>Science Lab – Room 405</t>
  </si>
  <si>
    <t>The auditorium is accessible and is located on the first floor. Stage access is provided. Accessible seating is provided. The cafeteria is accessible and is located on the first floor. The first-floor gymnasium is not accessible. The third-floor gymnasium is accessible. Assistive listening systems have not been provided in the public assembly areas.</t>
  </si>
  <si>
    <t>Stage access is provided. Accessible seating is</t>
  </si>
  <si>
    <t>There are accessible student (girls) bathrooms available on the fourth floor. There are accessible staff bathrooms (male and female) available on the first floor. There are accessible single-user (unisex) bathrooms (for student and staff use) available on the third floor.</t>
  </si>
  <si>
    <t>Girls Bathroom – Fourth Floor</t>
  </si>
  <si>
    <t>Staff Bathrooms – Second and Fourth Floors</t>
  </si>
  <si>
    <t>Fire Alarm System includes a strobe light feature. No fire holding rooms or areas of refuge have been specifically</t>
  </si>
  <si>
    <t>The school does not have HVAC/Climate control. A/C units in classrooms.</t>
  </si>
  <si>
    <t>1400 Benson Avenue, Brooklyn, NY 11228</t>
  </si>
  <si>
    <t xml:space="preserve">The nearest accessible subway station is the Coney Island-Stillwell Avenue Station (D, F, N, and Q trains), 2.92 miles distant. MTA bus service (B1, B64, X28, X38 and Q34) is also nearby. The main entrance of K229 is accessible, located on Andrew and Vincent Abate Way 167th Street (Exit 1). The accessible entrance includes a ramp, doorbell, reception, and security cameras. The doorbell is within reach range (height 39 inches). </t>
  </si>
  <si>
    <t xml:space="preserve">A two-passenger elevator provides access to all floors. Elevators include audible signals on each floor. </t>
  </si>
  <si>
    <t>Doors: 36 inches, Cabs: 60 inches wide, 67 inches deep.</t>
  </si>
  <si>
    <t>Room 358</t>
  </si>
  <si>
    <t>Room 469</t>
  </si>
  <si>
    <t>Rooms 457 and 458</t>
  </si>
  <si>
    <t xml:space="preserve">This site does not include an auditorium; the multipurpose room fulfills this function. The multipurpose room is accessible and is located on the first floor. The multi-purpose room does not provide stage access. The multi-purpose room has accessible seating. The cafeteria is accessible and located in the basement. The gymnasium is accessible and is located on the first floor. Assistive listening systems have been provided in the cafeteria and multi-purpose rooms. </t>
  </si>
  <si>
    <t xml:space="preserve">Stage access is not provided. Accessible seating is provided. Assistive listening systems provided. </t>
  </si>
  <si>
    <t xml:space="preserve">There are accessible student bathrooms (girls and boys) available on all floors. There are accessible staff bathrooms located on all floors.  </t>
  </si>
  <si>
    <t>Fire alarm system has been upgraded and includes a strobe light feature. Holding rooms have been specifically designated as rooms 157, 257, 357, and 457.</t>
  </si>
  <si>
    <t>The site does include central air on the in 2009 new addition. Air-conditioning units provided in classrooms.</t>
  </si>
  <si>
    <t>1 Albemarle Road, Brooklyn, NY 11218</t>
  </si>
  <si>
    <t xml:space="preserve">The nearest accessible subway station is the East 180th Street Station (2 and 5 trains), 0.4 miles distant. MTA bus service (Bx21 and Bx9) is also nearby. The accessible entrance to K230 is not the same as the main entrance; the accessible entrance is located on Dahill Road (Exit K). The accessible entrance includes a ramp and security cameras. There is no doorbell at the accessible entrance, so visitors may need to call in advance to gain access to this facility through the accessible entrance. </t>
  </si>
  <si>
    <t xml:space="preserve">Braille signs are not included throughout the building. There is a change in elevation on the third floor which prevents access to the gymnasium.  </t>
  </si>
  <si>
    <t xml:space="preserve">Change in elevation on the third floor (11 steps). </t>
  </si>
  <si>
    <t xml:space="preserve">One passenger elevator provides access to all floors. </t>
  </si>
  <si>
    <t>Doors: 50 inches, Cab: 59 inches wide, 58 inches deep.</t>
  </si>
  <si>
    <t>Rooms 209 and 429</t>
  </si>
  <si>
    <t>Room 254</t>
  </si>
  <si>
    <t>Room 263</t>
  </si>
  <si>
    <t xml:space="preserve">The auditorium is accessible and is located on the first floor. Stage access is not provided. Accessible seating is provided. The cafeteria is accessible and is located on the first floor. The gymnasium on the third floor is not accessible due to a change in elevation. Assistive listening systems have not been provided in the public assembly areas. </t>
  </si>
  <si>
    <t xml:space="preserve">Stage access is not provided. Accessible seating is provided.  </t>
  </si>
  <si>
    <t xml:space="preserve">A change in elevation prevents access (11 steps). </t>
  </si>
  <si>
    <t xml:space="preserve">There are accessible student bathrooms (girls and boys) on the first floor. There is also an accessible single-user (unisex) bathroom available (students and staff) from the second through fourth floors.  </t>
  </si>
  <si>
    <t>Secound through Fourth Floors</t>
  </si>
  <si>
    <t>360 36 Street, Brooklyn, NY 11232</t>
  </si>
  <si>
    <t>The nearest accessible subway station is the 59th Street Station (N, R, and W trains), 1.03 miles distant. MTA bus service (B35, B37, and B70) is also nearby. This building is the secondary site to primary building K371. This site does not include an accessible entrance; changes in elevation prevent access across all entries to the building.</t>
  </si>
  <si>
    <t>Changes in elevation across all entrances prevent access to the building.</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</si>
  <si>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t>
  </si>
  <si>
    <t>This site is not accessible all classrooms are not accessible and are not located along accessible routes.</t>
  </si>
  <si>
    <t>Library – Room 304/306</t>
  </si>
  <si>
    <t>Main Office – Rooms 105, 107, and 302</t>
  </si>
  <si>
    <t>Nurse’s Office – Room 221</t>
  </si>
  <si>
    <t>This site does not include public assembly spaces.</t>
  </si>
  <si>
    <t>9301 Avenue B, Brooklyn, NY 11236</t>
  </si>
  <si>
    <t>The nearest accessible subway station is Rockway Station (L train), 0.9 miles distant. MTA bus service (B15, B17, and B35) is also nearby. The main entrance is accessible, located on East 93rd Street. This entrance includes security cameras and a doorbell. The doorbell is not within reach range (height 59 inches).</t>
  </si>
  <si>
    <t>Some hallway doors are heavy and without closers, which may be difficult for some users to navigate. Braille signs are nor provided throughout the building.</t>
  </si>
  <si>
    <t>One passenger elevator provides access to all floors. Elevator include audible signals on each floor.</t>
  </si>
  <si>
    <t>Door: 41 inches, Cab: 51 inches deep, 80 inches wide.</t>
  </si>
  <si>
    <t>This site is moderately accessible, all classrooms and public assembly areas, except the gym, are accessible and located on accessible routes.</t>
  </si>
  <si>
    <t>Art Rooms – Room 207</t>
  </si>
  <si>
    <t>Computer Rooms – Room 271</t>
  </si>
  <si>
    <t>Main Office – Room 219</t>
  </si>
  <si>
    <t>Nurse’s Office - Room 116</t>
  </si>
  <si>
    <t>There auditorium is accessible and is located on the first floor. Stage access is provided via lift. Accessible seating is provided. The cafeteria is accessible and is located on the first floor. The gymnasium is not accessible and is located on the third floor. The multi-purpose room is accessible and is located on the first floor. Assistive listening systems have not been provided in the public assembly areas.</t>
  </si>
  <si>
    <t>There are accessible student bathrooms (girls and boys) available on all floors. There are accessible staff bathrooms (male) available on the second and third floors. There are staff bathrooms (female) available on all floors.</t>
  </si>
  <si>
    <t>Boys Bathrooms –</t>
  </si>
  <si>
    <t>Girls Bathrooms –</t>
  </si>
  <si>
    <t>Staff Bathrooms – Male - Second and</t>
  </si>
  <si>
    <t>Staff Bathrooms – Female – All Floors</t>
  </si>
  <si>
    <t>The fire alarm system has been upgraded and includes a strobe light feature. Holding rooms have been specifically designated as rooms 105, 205, 305 and 405.</t>
  </si>
  <si>
    <t>The new wing of the building has central air; air-conditioning units have been provided in classrooms in the original building.</t>
  </si>
  <si>
    <t>1875 East  17 Street, Brooklyn, NY 11229</t>
  </si>
  <si>
    <t>The nearest accessible subway station is Kings Highway Station (A train), 0.4 miles distant. MTA bus service (B49, B68, and B103) is also nearby. The accessible entrance to K234 is not the same as the main entrance; the accessible entrance is located on East 17th Street (Exit 3). The accessible entrance includes a doorbell. The accessible entrance does not include security cameras or reception. The doorbell is not within reach range (height 54 inches).</t>
  </si>
  <si>
    <t>Doors: 47 inches, Cab: 68 inches wide, 100 inches deep.</t>
  </si>
  <si>
    <t>This site is moderately accessible; all classrooms are located on accessible routes and are accessible.</t>
  </si>
  <si>
    <t>Art Rooms – Rooms 308, and 313</t>
  </si>
  <si>
    <t>Computer Rooms – Rooms 121 and 203</t>
  </si>
  <si>
    <t>Library – Room A105</t>
  </si>
  <si>
    <t>Main Office – Room 209</t>
  </si>
  <si>
    <t>Nurse’s Office- Room 114</t>
  </si>
  <si>
    <t>Science Lab – Room A205</t>
  </si>
  <si>
    <t>The auditorium is accessible and is located on the first floor. Stage access is not provided. Accessible seating is provided. The cafeteria is accessible and is located on the first floor. The gymnasiums are not accessible due to changes in elevation and are located on the third and fourth floors. Assistive listening systems have not been provided in the public assembly areas.</t>
  </si>
  <si>
    <t>Change in elevation (5 steps) prevents access</t>
  </si>
  <si>
    <t>Change in elevation (6 steps) prevents access</t>
  </si>
  <si>
    <t>There are accessible student bathrooms (girls and boys) available on all floors of the new wing. There are accessible student bathrooms (boys) available on the third floor of the original wing. There are accessible single-user (unisex) bathrooms (for students and staff) available on the second and third floors of the new wing.</t>
  </si>
  <si>
    <t>Boys Bathrooms – Rooms 102A, 359, A113, A213, and A315</t>
  </si>
  <si>
    <t>Rooms starting with ”A” are located in the new wing.</t>
  </si>
  <si>
    <t>Boys Bathrooms – Rooms 255 and 459</t>
  </si>
  <si>
    <t>Girls Bathrooms – Rooms A112, A212, and A314</t>
  </si>
  <si>
    <t>Girls Bathrooms – Rooms 253, 363, and 462</t>
  </si>
  <si>
    <t>Staff Bathrooms – Room 112</t>
  </si>
  <si>
    <t>Multi-user unisex bathroom.</t>
  </si>
  <si>
    <t>Single-User (Unisex) Bathrooms – A216, A217, A316, and A317</t>
  </si>
  <si>
    <t>Single-User (Unisex) Bathrooms – A114A, A259, A353, and A453</t>
  </si>
  <si>
    <t>525 Lenox Road, Brooklyn, NY 11203</t>
  </si>
  <si>
    <t>The nearest accessible subway station is Church Avenue Station (2 and 5 trains), 0.7 miles distant. MTA bus service (B12 and B44) is also nearby. Building K235 is the primary location for attached building K835. The accessible entrance to building K235 is not the same as the main entrance: Building K235 is accessed from East 39th Street via the main entrance of building K835. The accessible entrance does not include a doorbell or security camera feature; visitors may need to contact site in advance to gain access to this facility through the accessible entrance.</t>
  </si>
  <si>
    <t>Ramped access from the sidewalk to the mini building.</t>
  </si>
  <si>
    <t>Some water fountains and other wall-mounted objects protrude into the corridors more than 4 inches, which may present difficulties for individuals with visual disabilities. Changes in elevation to the upper floors prevent access to some program areas. Braille signs are not included throughout the building.</t>
  </si>
  <si>
    <t>This site offers limited accessibility; all classrooms located on the first floor are accessible.</t>
  </si>
  <si>
    <t>Art Rooms – Room 101</t>
  </si>
  <si>
    <t>Classrooms – Second Through Fourth Floors</t>
  </si>
  <si>
    <t>Computer Rooms – Room 309</t>
  </si>
  <si>
    <t>Library – Room 209</t>
  </si>
  <si>
    <t>Nurse’s Office- Room 263</t>
  </si>
  <si>
    <t>Science Lab – Room 431</t>
  </si>
  <si>
    <t>The auditorium is accessible and is located on the first floor. Accessible seating is provided. Stage access is not provided. The cafeteria is accessible and is located on the first floor. The gymnasium is not accessible and is located on the third floor. Assistive listening systems have been provided in the auditorium.</t>
  </si>
  <si>
    <t>Accessible seating is provided. Stage access is not provided. Assistive listening systems have been provided.</t>
  </si>
  <si>
    <t>There are accessible student bathrooms (boys and girls) available on the first floor.</t>
  </si>
  <si>
    <t>Boys Bathroom – Room 157</t>
  </si>
  <si>
    <t>Boys Bathrooms – Rooms 260A, 358, 351, and 459</t>
  </si>
  <si>
    <t>Staff Bathrooms – Room 356</t>
  </si>
  <si>
    <t>Fire alarm system has been upgraded and includes a strobe light feature. Holding rooms have been specifically designated as Room M212 in the attached building K835.</t>
  </si>
  <si>
    <t>50 Avenue P, Brooklyn, NY 11204</t>
  </si>
  <si>
    <t xml:space="preserve">The nearest accessible subway station is the Bay Parkway Station (D trains), 0.6 miles distant. MTA bus service (B6 and B82) is also nearby. The main entrance of K237 is accessible, located on Avenue P (Exit 4). The accessible entrance includes a doorbell, reception, and security cameras. The doorbell is located within reach range (Height 47 inches). </t>
  </si>
  <si>
    <t xml:space="preserve">One passenger elevator and one freight elevator provide access to all floors. Elevators include audible signals on each floor.  </t>
  </si>
  <si>
    <t xml:space="preserve">Doors: 48 inches, Cabs: 65 inches wide, 71 inches deep. 
Freight elevator also present  </t>
  </si>
  <si>
    <t>Rooms 309 and 324</t>
  </si>
  <si>
    <t>Rooms 201, 214, and 414</t>
  </si>
  <si>
    <t>Room C14</t>
  </si>
  <si>
    <t>Rooms 320 and 409</t>
  </si>
  <si>
    <t xml:space="preserve">The auditorium is accessible and is located on the first floor. Stage access is provided via ramp. Accessible seating is provided. The cafeteria is accessible and is located in the basement. The gymnasium is accessible and is located in the basement. Assistive listening systems have been provided in the auditorium, cafeteria, and gymnasium. </t>
  </si>
  <si>
    <t xml:space="preserve">Stage access via a ramp. Accessible seating is provided. Assistive listening systems have been provided. </t>
  </si>
  <si>
    <t xml:space="preserve">There are accessible student bathrooms (boys and girls) available on all floors. There are accessible staff bathrooms (male and female) available on the first floor. There are accessible single-user (unisex) bathrooms (for student and staff use) available between the first and third floors.   </t>
  </si>
  <si>
    <t xml:space="preserve">Rooms C05C, 118, 124, 229, 329, and 429 </t>
  </si>
  <si>
    <t>Rooms C05B, 116, 221, 321, and 421</t>
  </si>
  <si>
    <t>Rooms 120A, 137, 204, and 303</t>
  </si>
  <si>
    <t xml:space="preserve">Fire alarm system has been upgraded and includes a strobe light feature. Holding rooms have been specifically designated as rooms 212, 312, and 412. </t>
  </si>
  <si>
    <t>1633 East  8 Street, Brooklyn, NY 11223</t>
  </si>
  <si>
    <t xml:space="preserve">The nearest accessible subway station is the Kings Highway Station (B and Q trains), 0.5 miles distant. MTA bus service (B68) is also nearby. The accessible entrance to K238 is not the same as the main entrance; the accessible entrance is located on East 9th Street (Exit 9). The accessible entrance includes a ramp, security cameras and a doorbell. The doorbell is within reach range (height 36 inches).  </t>
  </si>
  <si>
    <t xml:space="preserve">A change in elevation on the third floor prevents access to some program areas. Braille signs are not provided throughout the building. </t>
  </si>
  <si>
    <t xml:space="preserve">Change in elevation on the third floor (11 steps) prevents access to a gymnasium. </t>
  </si>
  <si>
    <t xml:space="preserve">Door: 48 inches, Cab: 80 inches wide, 65 inches deep. </t>
  </si>
  <si>
    <t xml:space="preserve">This site provides limited accessibility; all classrooms are accessible and are located along accessible routes.  </t>
  </si>
  <si>
    <t>Room 411</t>
  </si>
  <si>
    <t>Room 322</t>
  </si>
  <si>
    <t>Room 254 (21K238)</t>
  </si>
  <si>
    <t>Room 402B (75K231)</t>
  </si>
  <si>
    <t>Room 265</t>
  </si>
  <si>
    <t xml:space="preserve">The auditorium is accessible and is located on the first floor. Stage access is provided. Accessible seating is provided. The cafeteria is accessible and is located on the first floor. The third-floor gymnasium is not accessible due to a change in elevation. The fourth-floor gymnasium is accessible. Assistive listening systems have not been provided in the public assembly spaces. </t>
  </si>
  <si>
    <t xml:space="preserve">Change in elevation (11 steps) prevents access. </t>
  </si>
  <si>
    <t xml:space="preserve">There are accessible student bathrooms (boys and girls) available on the first floor.  </t>
  </si>
  <si>
    <t>Room 157</t>
  </si>
  <si>
    <t>Room 161</t>
  </si>
  <si>
    <t>Fire Alarm System includes a strobe light feature. Holding rooms or areas of refuge have been specifically designated as rooms 217, 317, and 417.</t>
  </si>
  <si>
    <t>2500 Nostrand Avenue, Brooklyn, NY 11210</t>
  </si>
  <si>
    <t xml:space="preserve">The nearest accessible subway station is the Flatbush Avenue Station (2 and 5 trains), 0.6 miles distant. MTA bus service (B44, B9, and BM4) is also nearby. The main entrance is not accessible due to changes in elevation, which is located on Nostrand Avenue (Exit 1). The main entrance includes a doorbell and reception. The doorbell is within reach range (height 38 inches). This site does not include an accessible entrance. </t>
  </si>
  <si>
    <t>Rooms 317 and 319</t>
  </si>
  <si>
    <t>Rooms 312 and 316</t>
  </si>
  <si>
    <t>Room 108 (22K240) and Room 328 (22K381)</t>
  </si>
  <si>
    <t>Rooms 135, 201, 202, 203, 204, 301, 303 and 305</t>
  </si>
  <si>
    <t xml:space="preserve">The auditorium is not accessible and is located on the first floor. Stage access is not provided. Accessible seating is provided. The cafeteria is not accessible and is located in the basement. The gymnasium is not accessible and is located on the first floor. Assistive listening systems have been provided in the auditorium, cafeteria, and gymnasium. </t>
  </si>
  <si>
    <t xml:space="preserve">Not on an accessible route. Stage access is not provided. Accessible seating is provided. Assistive listening systems have been provided. </t>
  </si>
  <si>
    <t xml:space="preserve">Not on an accessible route. Accessible seating available upon request. Assistive listening systems have been provided. </t>
  </si>
  <si>
    <t xml:space="preserve">Not on an accessible route. Assistive listening systems have been provided. </t>
  </si>
  <si>
    <t>Basement, Rooms 109, 124, 230, and 330</t>
  </si>
  <si>
    <t>Basement, Rooms 116, 208, and 308</t>
  </si>
  <si>
    <t>5404 Tilden Avenue, Brooklyn, NY 11203</t>
  </si>
  <si>
    <t xml:space="preserve">The nearest accessible subway station is the Church Avenue Station (2 and 5 trains), 2.2 miles distant. MTA bus service (B7 and B8) is also nearby. The accessible entrance to K244 is not the same as the main entrance; the accessible entrance is located on East 55th Street (Exit 3). The accessible entrance includes a ramp, reception, and a doorbell. The doorbell is located within reach range (Height 48 inches). The accessible entrance does not include security cameras. </t>
  </si>
  <si>
    <t xml:space="preserve">Doors: 42 inches, Cabs: 78 inches wide, 62 inches deep. </t>
  </si>
  <si>
    <t>Rooms 205 and 211</t>
  </si>
  <si>
    <t>Rooms 109 (18K244) and 434 (18K763)</t>
  </si>
  <si>
    <t xml:space="preserve">The auditorium is accessible and is located on the first floor. Stage access is provided via lift. Accessible seating is provided. The cafeteria is accessible and is located on the first floor. The gymnasium is accessible and is located on the third floor. Assistive listening systems have been provided in the auditorium. </t>
  </si>
  <si>
    <t xml:space="preserve">There are accessible student bathrooms (boys and girls) available on the first and third floors. There are accessible staff bathrooms (male and female) available on the first and second floors. There are accessible single-user (unisex) bathrooms (for student and staff use) available within corresponding classrooms on the second floor.     </t>
  </si>
  <si>
    <t xml:space="preserve">Rooms 133 and 358 </t>
  </si>
  <si>
    <t xml:space="preserve">Rear grab bar missing in 358. </t>
  </si>
  <si>
    <t>Rooms 120, 306, and 418</t>
  </si>
  <si>
    <t>Rooms 154 and 359</t>
  </si>
  <si>
    <t>Rooms 226, 318, and 406</t>
  </si>
  <si>
    <t xml:space="preserve">Rooms 129, 130, 229, and 230, 233, 235, 237, 239, 242, 245, 246, 256, 262, and 264 </t>
  </si>
  <si>
    <t xml:space="preserve">Changing table in 230. </t>
  </si>
  <si>
    <t>Rooms 314 and 414</t>
  </si>
  <si>
    <t xml:space="preserve">Fire alarm system has been upgraded and includes a strobe light feature. Holding rooms have been specifically designated as rooms 127, 227, 327, and 427. </t>
  </si>
  <si>
    <t xml:space="preserve">Site includes central air (new wing). Air-conditioning units have been provided in classrooms (old wing).  </t>
  </si>
  <si>
    <t>72 Veronica Place, Brooklyn, NY 11226</t>
  </si>
  <si>
    <t>The nearest accessible subway station is Church Avenue Station (2 and 5 trains), 0.3 miles distant. MTA bus service (B49 and B35) is also nearby. The accessible entrance to building K246 is not the same as the main entrance; the accessible entrance is located in the rear of the building on Snyder Avenue. The accessible entrance includes a ramp and a doorbell. The doorbell is within reach range (height 48 inches). The accessible entrance does not include security cameras.</t>
  </si>
  <si>
    <t>Accessible floor.</t>
  </si>
  <si>
    <t>Ramped access from the sidewalk to the ground</t>
  </si>
  <si>
    <t>Some hallway doors are heavy and without closers, which may be difficult for some users to operate. Braille signs are included throughout the building, but not consistently.</t>
  </si>
  <si>
    <t>One passenger elevator provides access to the cafeteria and first floor. A second passenger elevator provides access to first floor and upper floors. Elevators include audible signals on each floor.</t>
  </si>
  <si>
    <t>Elevator 1 (Cafeteria to first floor): Door: 40 inches, Cab: 67 inches wide, 51 inches deep; Elevator 2 (First floor and above): Door: 41 inches, Cab: 63 inches wide, 80 inches deep.</t>
  </si>
  <si>
    <t>Art Rooms – Room 107 and 405</t>
  </si>
  <si>
    <t>Computer Rooms – Rooms 119 and 338</t>
  </si>
  <si>
    <t>Library – Room 223</t>
  </si>
  <si>
    <t>Main Offices – Rooms 125 (K246) and 333 (K726)</t>
  </si>
  <si>
    <t>Science Labs – Rooms 202 and 204</t>
  </si>
  <si>
    <t>The auditorium is accessible and is located on the first floor. Stage access is provided via lift. Accessible seating is provided. The cafeteria is accessible and is located in the basement. The fourth-floor gymnasium is accessible. The third-floor gymnasium is not accessible due to a change in elevation. Assistive listening systems have been provided in the auditorium.</t>
  </si>
  <si>
    <t>There are accessible student (boys and girls) bathrooms available in the basement and on the first floor. There is also an accessible single-user (unisex) bathroom located on the first floor.</t>
  </si>
  <si>
    <t>Boys Bathroom – B31 and 116</t>
  </si>
  <si>
    <t>Boys Bathroom – 102A, 218, 318, and 418</t>
  </si>
  <si>
    <t>Single-User Bathrooms – First Floor</t>
  </si>
  <si>
    <t>This site does not include recreational spaces.</t>
  </si>
  <si>
    <t>The new wing includes central air. air-conditioning units provided in classrooms in the original building.</t>
  </si>
  <si>
    <t>18 Marlborough Road, Brooklyn, NY 11226</t>
  </si>
  <si>
    <t>The nearest accessible subway station is Prospect Park Station (B, Q, and S trains), 1.0 miles distant. MTA bus service (B16, B35, and B41) is also nearby. The accessible entrance to K249 is not the same as the main entrance and is located on Marlborough Road (Exit 3). The accessible entrance does not include a doorbell, reception, or security cameras: Visitors may want to contact the site prior to arrival in order to gain entrance through the accessible entrance.</t>
  </si>
  <si>
    <t>One passenger elevator providing access to all floors. Elevator includes audible signals on each floor.</t>
  </si>
  <si>
    <t>Doors: 35 inches, Cab: 50 inches deep, 68 inches wide.</t>
  </si>
  <si>
    <t>This site provides limited accessibility; all classrooms are accessible and are located on accessible routes.</t>
  </si>
  <si>
    <t>Computer Rooms – Room 400</t>
  </si>
  <si>
    <t>Main Office – Room 120</t>
  </si>
  <si>
    <t>Nurse’s Office – Room 148</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</si>
  <si>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spaces.</t>
  </si>
  <si>
    <t>This site is prevented from attaining a higher accessibility rating due to lack of accessible bathrooms throughout the building. There is an accessible staff bathroom (male) available on the second floor.</t>
  </si>
  <si>
    <t>Boys Bathroom –</t>
  </si>
  <si>
    <t>Staff Bathrooms (Male) – Second Floor</t>
  </si>
  <si>
    <t>The site does not include central air; Air-conditioning units are provided in classrooms. The auditorium is air- conditioned.</t>
  </si>
  <si>
    <t>108 Montrose Avenue, Brooklyn, NY 11206</t>
  </si>
  <si>
    <t>The nearest accessible subway station is Bedford Station (L train), 0.95 miles distant. MTA bus service (B43, B48, and B60) is also nearby. The accessible entrance to K250 is not the same as the main entrance; the accessible entrance is located on Leonard Street (Exit 5). The accessible entrance includes security cameras. The accessible entrance does not include a doorbell or reception; visitors may need to contact site in advance to gain access to this facility through the accessible entrance.</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</si>
  <si>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the first floor prevent access to some program areas. Braille signs are not included throughout the building.</t>
  </si>
  <si>
    <t>Art Rooms – Room 104</t>
  </si>
  <si>
    <t>Computer Rooms – Room 231</t>
  </si>
  <si>
    <t>Library – Room 220/224</t>
  </si>
  <si>
    <t>The auditorium is not accessible and is located on the first floor. Stage access is not provided. Accessible seating is not provided. The cafeteria is accessible and is located on the first floor. The gymnasium is accessible and is located on the first floor. Assistive listening systems have not been provided in the public assembly spaces.</t>
  </si>
  <si>
    <t>There are accessible student bathrooms (boys) available on the first and fourth floors. There are accessible student bathrooms (girls) available on the first floor.</t>
  </si>
  <si>
    <t>Boys Bathrooms – First floor and Room 408</t>
  </si>
  <si>
    <t>Boys Bathrooms – Second and Third Floors</t>
  </si>
  <si>
    <t>Girls Bathrooms – Second and Third Floors</t>
  </si>
  <si>
    <t>Staff Bathrooms – First Through Fourth Floors</t>
  </si>
  <si>
    <t>Single-User (Unisex) Bathrooms – First Through Fourth Floors</t>
  </si>
  <si>
    <t>Fire alarm system has been upgraded and includes a strobe light feature. Holding rooms have been specifically designated as rooms 202, 302, and 402.</t>
  </si>
  <si>
    <t>1084 Lenox Road, Brooklyn, NY 11212</t>
  </si>
  <si>
    <t>The nearest accessible subway station is Utica Avenue Station (2, 3, and 4 trains), 1.2 miles distant. MTA bus service (B7 and B47) is also nearby. The accessible entrance to K252 is not the same as the main entrance; the accessible entrance is located on East 95th Street (Exit 3). The accessible entrance includes a ramp. The accessible entrance does not include a doorbell, reception, or security cameras. Visitors may need to contact site in advance to gain access to this facility through the accessible entrance.</t>
  </si>
  <si>
    <t>E1 Doors: 35 inches, Cab: 78 inches wide, 55 inches deep.</t>
  </si>
  <si>
    <t>Art Rooms – Room 223</t>
  </si>
  <si>
    <t>Library – Rooms 313 and 315</t>
  </si>
  <si>
    <t>Main Office – Room 211 and 429</t>
  </si>
  <si>
    <t>Nurse’s Office – Room 121</t>
  </si>
  <si>
    <t>Science Lab – Rooms 227</t>
  </si>
  <si>
    <t>The auditorium is accessible and is located on the first floor. Stage access is not provided. Accessible seating is provided. The cafeteria is accessible and is located in the basement. The fourth-floor gymnasium is accessible. The third-floor gymnasium is not accessible. Assistive listening systems have not been provided in the public assembly spaces.</t>
  </si>
  <si>
    <t>This building is prevented from attaining a higher accessibility rating due to lack of accessible bathrooms throughout the building. There are accessible staff bathrooms (male and female) available on the first floor.</t>
  </si>
  <si>
    <t>Boys Bathrooms – Rooms 125, 314 and 418</t>
  </si>
  <si>
    <t>Girls Bathrooms – Rooms 126, 214 and 318</t>
  </si>
  <si>
    <t>Staff Bathrooms – Rooms 119 and 121</t>
  </si>
  <si>
    <t>2469 East 18 Street, Brooklyn, NY 11235</t>
  </si>
  <si>
    <t>The nearest accessible subway station is Coney Island-Stillwell Avenue Station (D, F, N, and Q trains), 2.1 miles distant. MTA bus service (B4, B36, and B49) is also nearby. The main entrance is accessible, located on 18 Street (Exit 0). The accessible entrance includes a doorbell, reception, and security cameras. The doorbell is within reach range (height 49 inches).</t>
  </si>
  <si>
    <t>Braille signs are included throughout the 2000 and 2022 building additions.</t>
  </si>
  <si>
    <t>This site occupies floors first through third in the building. Three passenger elevators provided access to all floors. Elevators includes audible signals on each floor.</t>
  </si>
  <si>
    <t>E1: Located within original building. Doors: 47 inches, Cab: 68 inches wide, 89 inches deep. E2 &amp; E3: Located within 2022 addition. Doors: 41 inches, Cab: 60 inches wide, 88 inches deep.</t>
  </si>
  <si>
    <t>Interior ramp is located on first floor and connects 2022 building to 2000 addition.</t>
  </si>
  <si>
    <t>Art Rooms – Room 165</t>
  </si>
  <si>
    <t>Main Office – Room 172</t>
  </si>
  <si>
    <t>Nurse’s Office- Room 178</t>
  </si>
  <si>
    <t>This site includes a combined auditorium and gymnasium that are accessible and located on the fourth floor. Stage access is provided via lift. Accessible seating is provided. The cafeteria is accessible and is located on the first floor. The multi-purpose room is accessible and located on the first floor. Assistive listening systems have been provided in the auditorium, gymnasium, cafeteria, and multi-purpose room. The auditorium is accessible and located on the first- floor, stage access is provided via a lift. The auditorium provides accessible seating. The cafeteria and multi-purpose room are accessible and located on the first floor. Assistive listening systems have been provided in the cafeteria and multi-purpose room.</t>
  </si>
  <si>
    <t>There are accessible student bathrooms (girls and boys) on all floors. There are accessible staff bathrooms on all floors in the building.</t>
  </si>
  <si>
    <t>Boys Bathrooms – Rooms 132, 168, 238, 268, 334, 368 and 466</t>
  </si>
  <si>
    <t>Boys Bathrooms – Rooms 124, and 322</t>
  </si>
  <si>
    <t>Girls Bathrooms – Rooms 127, 138, 162, 234, 262, 320, 338, 362, and 462</t>
  </si>
  <si>
    <t>Girls Bathrooms – Rooms 320</t>
  </si>
  <si>
    <t>Staff Bathrooms – Rooms 216, and 316</t>
  </si>
  <si>
    <t>Single-User (Unisex) Bathrooms – Rooms 135, 136, 164, 176, 178, 237, 264, 364, 337, and 464</t>
  </si>
  <si>
    <t>Room 178 is located in the nurse’s office.</t>
  </si>
  <si>
    <t>Single-User (Unisex) Bathrooms – Classrooms 265, 270, and 272</t>
  </si>
  <si>
    <t>Fire alarm system has been upgraded and includes a strobe light feature. Holding rooms have been specifically designated as rooms 169, 243, 269, 343, 369, and at staircase J in room 470.</t>
  </si>
  <si>
    <t>The site does not include central air. Air-conditioning units provided in classrooms.</t>
  </si>
  <si>
    <t>60 Cook Street, Brooklyn, NY 11206</t>
  </si>
  <si>
    <t>The nearest accessible subway station is Flushing Avenue Station (M, J, and Z trains), 0.2 miles distant. MTA bus service (B43 and B46) is also nearby. The main entrance is accessible, located on Cook Street (Exit 7). The accessible entrance includes a doorbell, reception, and security cameras. The doorbell is within reach range (height 43 inches).</t>
  </si>
  <si>
    <t>One passenger elevator provides access to all floors. Elevator includes audible signals on each floor. Interior ramp remediates changes in elevation on the first floor.</t>
  </si>
  <si>
    <t>Doors: 42 inches, Cab: 62 inches wide, 80 inches deep.</t>
  </si>
  <si>
    <t>Remediates changes in elevation on the first floor.</t>
  </si>
  <si>
    <t>Computer Rooms – Room 318</t>
  </si>
  <si>
    <t>Main Office – Room 140</t>
  </si>
  <si>
    <t>Nurse’s Office – Room 136</t>
  </si>
  <si>
    <t>The auditorium is accessible and is located on the first floor. Stage access is provided via lift. Accessible seating is provided. The cafeteria is accessible and is located on the first floor. The gymnasium is accessible and is located on the second floor. Assistive listening systems have not been provided in the public assembly spaces.</t>
  </si>
  <si>
    <t>This site is prevented from attaining a higher accessibility rating due to lack of accessible bathrooms throughout the building. There are accessible student bathrooms (girls) available on all floors. There are accessible staff (female) bathrooms available on the first floor.</t>
  </si>
  <si>
    <t>Boys Bathrooms – Rooms 129, 229, and 329</t>
  </si>
  <si>
    <t>Boys Bathrooms – Room 129</t>
  </si>
  <si>
    <t>Girls Bathrooms – Rooms 131, 221, and 321</t>
  </si>
  <si>
    <t>Staff Bathroom (Female) – Room 145</t>
  </si>
  <si>
    <t>Staff Bathrooms – First floor and Rooms 225, 325, and 329</t>
  </si>
  <si>
    <t>Single-User (Unisex) Bathrooms – Rooms 136A and 143</t>
  </si>
  <si>
    <t>Room 136A is located in the nurse’s office. Room 143 is the designated changing room and includes a changing table.</t>
  </si>
  <si>
    <t>Fire alarm system has been upgraded and includes a strobe light feature. Holding rooms have been specifically designated as rooms 208 and 308.</t>
  </si>
  <si>
    <t>141 Macon Street, Brooklyn, NY 11216</t>
  </si>
  <si>
    <t>The nearest accessible subway station is Franklin Avenue Station (A and C trains), 0.6 miles distant. MTA bus service (B25 and B26) is also nearby. The main entrance of K258 is accessible, located on Macon Street. The accessible entrance includes reception. The accessible entrance does not include a doorbell or security cameras.</t>
  </si>
  <si>
    <t>One passenger elevator provides access to all floors. Elevator includes audible signals on each floor. An interior lift provides access over a change in elevation in the basement.</t>
  </si>
  <si>
    <t>Remediates a change of elevation (5 steps) in the basement.</t>
  </si>
  <si>
    <t>Doors: 41 inches, Cab: 80 inches wide, 52 inches deep.</t>
  </si>
  <si>
    <t>Library – Room 235</t>
  </si>
  <si>
    <t>Main Office – Rooms C6, 133, 232, and 334</t>
  </si>
  <si>
    <t>Room C6 - Alternate Learning Center Rooms 133 and 232- Leadership Prep Bedstuy Academy Room 334 - P140K</t>
  </si>
  <si>
    <t>Nurse’s Office – Room 127</t>
  </si>
  <si>
    <t>Science Lab – Room 330</t>
  </si>
  <si>
    <t>The auditorium is accessible and is located on the first floor. Stage access is provided via corridor. Accessible seating is provided. The cafeteria is accessible and is located in the basement. The gymnasium is accessible and is located on the first floor. The multi-purpose rooms are accessible and are located in the basement. Assistive listening systems have been provided in the auditorium.</t>
  </si>
  <si>
    <t>Stage access is provided via corridor. Accessible seating is provided. Assistive listening systems have been provided.</t>
  </si>
  <si>
    <t>Multi-Purpose Room – Basement</t>
  </si>
  <si>
    <t>Located in the east and west wings.</t>
  </si>
  <si>
    <t>There are accessible student bathrooms (girls and boys) available on the first and third floors. There are accessible single-user (unisex) bathrooms (for students and staff) available on all floors.</t>
  </si>
  <si>
    <t>Boys Bathroom – Basement and Second Floors</t>
  </si>
  <si>
    <t>Girls Bathroom – First and Third Floors</t>
  </si>
  <si>
    <t>Girls Bathroom – Basement and Second Floors</t>
  </si>
  <si>
    <t>Single-User (Unisex) Bathroom – Rooms B11, 106A, 206, and 206</t>
  </si>
  <si>
    <t>This site does not include exterior spaces.</t>
  </si>
  <si>
    <t>7305 Ft Hamilton Parkway, Brooklyn, NY 11228</t>
  </si>
  <si>
    <t>The nearest accessible subway station is Church Avenue Station (F and G trains), 3.0 miles distant. MTA bus service (B16, B4, and B63) is also nearby. The main entrance is accessible, located on 73rd Street (Exit 2). The accessible entrance includes reception, security cameras, and a doorbell. The doorbell is within reach range (height 47 inches).</t>
  </si>
  <si>
    <t>Braille signs are included in the 2010 addition but are lacking throughout the rest of the building.</t>
  </si>
  <si>
    <t>Doors: 48 inches, Cab: 65 inches wide, 82 inches deep.</t>
  </si>
  <si>
    <t>Art Rooms – Rooms 126 and 356</t>
  </si>
  <si>
    <t>Computer Rooms – Rooms 318 and 331</t>
  </si>
  <si>
    <t>Main Office – Rooms 113 and 244</t>
  </si>
  <si>
    <t>Nurse’s Office- Room 123</t>
  </si>
  <si>
    <t>Science Lab – Room 125</t>
  </si>
  <si>
    <t>The auditorium is accessible and is located on the first floor. Stage access is provided via ramp and lift. Accessible seating is provided. The cafeteria is accessible and is located on the first floor. The fourth-floor gymnasium is accessible. The third-floor gymnasium is not accessible due to a change in elevation. Assistive listening systems have been provided in the cafeteria.</t>
  </si>
  <si>
    <t>Stage access is provided via ramp and lift. Accessible seating is provided.</t>
  </si>
  <si>
    <t>There are accessible student bathrooms (boys and girls) available on all floors. There are accessible staff bathrooms (male and female) available on the fourth floor. There are accessible single-user (unisex) bathrooms (for student and staff use) available in the cellar, and on the first floor. There are accessible single-user (unisex) bathrooms available in two classrooms on the first floor.</t>
  </si>
  <si>
    <t>Boys Bathrooms – Rooms C21, 114, 132B, 232B, 318, 332B, 418, and 432B</t>
  </si>
  <si>
    <t>Girls Bathrooms – Rooms C18, 118, 132D, 232D, 332D, and 432D</t>
  </si>
  <si>
    <t>Staff Bathrooms – Rooms 414 and 432A</t>
  </si>
  <si>
    <t>Staff Bathrooms – Rooms 218 and 314</t>
  </si>
  <si>
    <t>Single-User (Unisex) Bathroom – Rooms C19, 134A, 135B, 104, 106, 136A, and 136B</t>
  </si>
  <si>
    <t>Available for student and staff.</t>
  </si>
  <si>
    <t>Single-User (Unisex) Bathrooms Located in Classrooms – Rooms 136A and 141A</t>
  </si>
  <si>
    <t>Fire alarm system has been upgraded and includes a strobe light feature. Holding rooms or areas of refuge have been specifically designated as rooms 211, 230, 311, 330, 411, and 430.</t>
  </si>
  <si>
    <t>314 Pacific Street, Brooklyn, NY 11201</t>
  </si>
  <si>
    <t xml:space="preserve">The nearest accessible subway station is the Dekalb Avenue Subway Station (B, D, N, Q, R, and W trains), 0.6 miles distant. MTA bus service (B103 and B65) is also nearby. The accessible entrance to K261 is not the same as the main entrance; the accessible entrance is located on through the playground on Pacific Street (Exit 2). The accessible entrance includes security cameras and a doorbell. The doorbell is not within reach range (height 75 inches). </t>
  </si>
  <si>
    <t xml:space="preserve">Some water fountains and other wall-mounted objects protrude in the corridors more than 4 inches, which may present difficulties for individuals with visual disabilities. Braille signs are not included throughout the building. </t>
  </si>
  <si>
    <t xml:space="preserve">This site does not include an elevator, preventing access to floors other than the first. </t>
  </si>
  <si>
    <t xml:space="preserve">This site offers limited accessibility; all classrooms located on the ground floor are accessible. </t>
  </si>
  <si>
    <t xml:space="preserve">Not on accessible route. </t>
  </si>
  <si>
    <t xml:space="preserve">The auditorium is located in the basement and is not accessible. Stage access is not provided. Accessible seating is not provided. The gymnasium is located in the basement and is not accessible. The cafeteria is accessible and is located on the first floor. Assistive listening systems have been provided in the auditorium.  </t>
  </si>
  <si>
    <t xml:space="preserve">Not on accessible route. Stage access is not provided. Accessible seating is not provided. Assistive listening systems have been provided. </t>
  </si>
  <si>
    <t xml:space="preserve">There are accessible student bathrooms (girls and boys) available on the first floor. </t>
  </si>
  <si>
    <t xml:space="preserve">Fire alarm system has been upgraded and includes a strobe light feature. No holding rooms or areas of refuge have been specifically designated. </t>
  </si>
  <si>
    <t>210 Chester Street, Brooklyn, NY 11212</t>
  </si>
  <si>
    <t xml:space="preserve">The nearest accessible subway station is the Utica Avenue Station (A and C trains), 1.8 miles distant. MTA bus service (B60 and B7) is also nearby. The main entrance is accessible, located on Chester Street (Exit 10). The accessible entrance includes a ramp and reception. The accessible entrance does not include a doorbell or security cameras. Visitors may need to contact site in advance to gain access to this facility through the accessible entrance. </t>
  </si>
  <si>
    <t xml:space="preserve">Non-Compliant Door Hardware </t>
  </si>
  <si>
    <t xml:space="preserve">This site provides limited accessibility; all classrooms on the first floor are accessible and are located along accessible routes. </t>
  </si>
  <si>
    <t>Rooms 204 and 308</t>
  </si>
  <si>
    <t>Basement and Second through Third Floors</t>
  </si>
  <si>
    <t xml:space="preserve">Not on accessible route.  </t>
  </si>
  <si>
    <t>Room 206</t>
  </si>
  <si>
    <t>Room 229/231</t>
  </si>
  <si>
    <t>Room 127</t>
  </si>
  <si>
    <t>Rooms 249 and 304</t>
  </si>
  <si>
    <t>Room 133</t>
  </si>
  <si>
    <t>Rooms 205 and 308</t>
  </si>
  <si>
    <t xml:space="preserve">The auditorium is accessible and is located on the first floor. Stage access is provided via a corridor. Accessible seating is provided. The cafeteria is not accessible and located in the basement. The gymnasium is accessible and is located on the first floor. Assistive listening systems have not been provided in the public assembly spaces. </t>
  </si>
  <si>
    <t xml:space="preserve">Stage access is provided via corridor. Accessible seating is provided.  </t>
  </si>
  <si>
    <t xml:space="preserve">This site includes exterior recreational spaces. The exterior recreational spaces are accessible. The recreational equipment is accessible. </t>
  </si>
  <si>
    <t xml:space="preserve">Fire alarm system has not been upgraded. Holding rooms or areas of refuge have not been specifically designated.  </t>
  </si>
  <si>
    <t>371 89Th Street, Brooklyn, NY 11209</t>
  </si>
  <si>
    <t xml:space="preserve">The nearest accessible subway station is the 86th Street Station (R trains), 0.2 miles distant. MTA bus service (B37 and S93) is also nearby. The main entrance of K264 is accessible, located on 89th Street (Exit 1). The accessible entrance includes a doorbell, reception, and security cameras. The doorbell is located within reach range (Height 46 inches). </t>
  </si>
  <si>
    <t xml:space="preserve">E1 and E2 
Doors: 47 inches, Cabs: 83 inches wide, 66 inches deep. </t>
  </si>
  <si>
    <t>Room 319</t>
  </si>
  <si>
    <t>Room 408</t>
  </si>
  <si>
    <t>Rooms 108 (20K264) and 210 (75K231)</t>
  </si>
  <si>
    <t>Room B10</t>
  </si>
  <si>
    <t>Room 318</t>
  </si>
  <si>
    <t xml:space="preserve">The auditorium is accessible and is located on the first floor. Stage access is provided via lift. Accessible seating is provided. The cafeteria is accessible and is located in the basement. The gymnasium is accessible and is located on the fourth floor. Assistive listening systems have been provided in the cafeteria and gymnasium.  </t>
  </si>
  <si>
    <t>Rooms B02B, 102B, 215B, 311B, and 407</t>
  </si>
  <si>
    <t>Rooms B02G, 102G, 215G, 315G, and 411G</t>
  </si>
  <si>
    <t>Rooms 104, 213A, 217, 317, 407, and 411</t>
  </si>
  <si>
    <t xml:space="preserve">This site includes include exterior recreational spaces. The exterior recreational spaces are accessible. The recreational equipment is not accessible. </t>
  </si>
  <si>
    <t xml:space="preserve">Fire alarm system has been upgraded and includes a strobe light feature. Holding rooms have been specifically designated as rooms B01, 201, 301, and 401. </t>
  </si>
  <si>
    <t>101 Park Avenue, Brooklyn, NY 11205</t>
  </si>
  <si>
    <t>The nearest accessible subway station is DeKalb Station (B, Q, and R trains), 0.55 miles distant. MTA bus service (B54, B57, and B62) is also nearby. This site does not include an accessible entrance. The main entrance of K265 is not accessible, located on Park Avenue. The main entrance includes a doorbell, reception, and security cameras. The doorbell is not within reach range (height 60 inches).</t>
  </si>
  <si>
    <t>Changes in elevation (7 steps outside, 5 steps inside) prevent access.</t>
  </si>
  <si>
    <t>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not included throughout the building.</t>
  </si>
  <si>
    <t>Art Rooms – Rooms B7 and 322</t>
  </si>
  <si>
    <t>Library – Room 225</t>
  </si>
  <si>
    <t>Main Office – Rooms 106, 131, and 325A</t>
  </si>
  <si>
    <t>Nurse’s Office – Room 117A</t>
  </si>
  <si>
    <t>Science Lab – Rooms 101A, 205, 206, 208, and 210</t>
  </si>
  <si>
    <t>The auditorium is not accessible and is located on the first floor. Stage access is not provided. Accessible seating is not provided. The cafeteria is not accessible and is located in the basement. The gymnasium is not accessible and is located on the first floor. Assistive listening systems have not been provided in the public assembly spaces.</t>
  </si>
  <si>
    <t>Not on accessible route. Accessible seating available upon request. Food service line doors do not provide clear path.</t>
  </si>
  <si>
    <t>Multi-Purpose Rooms – Dance Room and Black Box Theater - Basement</t>
  </si>
  <si>
    <t>There are accessible student bathrooms (boys and girls) available in the basement, and on the first and second floors. Bathrooms are not located on accessible routes.</t>
  </si>
  <si>
    <t>Boys Bathrooms – Rooms B11, 111, and 211</t>
  </si>
  <si>
    <t>Boys Bathrooms – Room 311</t>
  </si>
  <si>
    <t>Girls Bathrooms – Rooms B15, 115, and 215</t>
  </si>
  <si>
    <t>Staff Bathrooms – Rooms 127, 128, and 209</t>
  </si>
  <si>
    <t>Single-User (Unisex) Bathrooms – Room 309</t>
  </si>
  <si>
    <t>1957 Nostrand Avenue, Brooklyn, NY 11210</t>
  </si>
  <si>
    <t>The nearest accessible subway station is Flatbush Avenue Station (2 and 5 trains), 0.4 miles distant. MTA bus service (B44, B41, and B6) is also nearby. The accessible entrance to K269 is not the same as the main entrance; the accessible entrance (Exit 7) is located on Nostrand Avenue. The accessible entrance includes a ramp and security cameras. The accessible entrance does not include a doorbell; visitors may want to call the site prior to arrival in order to gain access via the accessible entrance.</t>
  </si>
  <si>
    <t>One passenger elevator provides access to all floors. Elevator provides audible signals on all floors.</t>
  </si>
  <si>
    <t>Doors: 46 inches, Cab: 52 inches wide, 76 inches deep.</t>
  </si>
  <si>
    <t>Computer Rooms – Rooms 202 and 302</t>
  </si>
  <si>
    <t>Library – Rooms 113 and 117</t>
  </si>
  <si>
    <t>Main Office – Room 116</t>
  </si>
  <si>
    <t>Nurse’s Office – Room 114</t>
  </si>
  <si>
    <t>Science Lab – Room 366</t>
  </si>
  <si>
    <t>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been provided in the auditorium.</t>
  </si>
  <si>
    <t>There are accessible student bathrooms (girls and boys) available on all floors. There are accessible single-user (unisex) bathrooms (for students and staff) available on all floors.</t>
  </si>
  <si>
    <t>Boys Bathrooms – Rooms 110, 242, and 342</t>
  </si>
  <si>
    <t>Girls Bathrooms – Rooms 112, 246, and 346</t>
  </si>
  <si>
    <t>Single-User (Unisex) Bathrooms- Rooms 115, 240, 244, 340, and 344</t>
  </si>
  <si>
    <t>985 Rockaway Avenue, Brooklyn, NY 11212</t>
  </si>
  <si>
    <t xml:space="preserve">The nearest accessible subway station is the Canarsie – Rockaway Parkway Station (L train), 0.74 miles distant. MTA bus service (B8, B15, B35, and B60) is also nearby. The main entrance of K275 is accessible, located on Rockaway Avenue (Exit 8). The accessible entrance includes a ramp, a doorbell, reception, and security cameras. </t>
  </si>
  <si>
    <t xml:space="preserve">One passenger elevator provides access to all floors. Elevator does not include audible signals on each floor.  </t>
  </si>
  <si>
    <t xml:space="preserve">Doors: 48 inches, Cabs: 79 inches wide, 62 inches deep. </t>
  </si>
  <si>
    <t xml:space="preserve">This site is highly accessible; most classrooms are accessible and are located along accessible routes. </t>
  </si>
  <si>
    <t>Rooms 229 and 359</t>
  </si>
  <si>
    <t>Room 211 (Metropolitan Diploma Plus High School), Room 249 (Brooklyn Democracy Academy), Room 309 (Leadership Prep Brownsville), Room 329B (KAPPA V - Know</t>
  </si>
  <si>
    <t>Room 101</t>
  </si>
  <si>
    <t>Room 336</t>
  </si>
  <si>
    <t xml:space="preserve">The auditorium is accessible and is located on the first floor. Stage access is provided at grade. Accessible seating is provided. The cafeteria is accessible and is located on the first floor. The gymnasium is accessible and is located on the first floor. Assistive listening systems have been provided in the cafeteria and gymnasium. </t>
  </si>
  <si>
    <t xml:space="preserve">Stage access at grade. Accessible seating is provided. Assistive listening systems have been provided. </t>
  </si>
  <si>
    <t>Rooms 110, 218, and 318</t>
  </si>
  <si>
    <t>Rooms 242 and 342</t>
  </si>
  <si>
    <t xml:space="preserve">Interior partitions do not provide clear floor space. </t>
  </si>
  <si>
    <t>Rooms 112, 216, and 316</t>
  </si>
  <si>
    <t>Rooms 244 and 344</t>
  </si>
  <si>
    <t>Rooms 212 and 214</t>
  </si>
  <si>
    <t>Rooms 148A, 148C, 212, 214, 312, and 314</t>
  </si>
  <si>
    <t>Available for students and staff</t>
  </si>
  <si>
    <t>1070 East 104 Street, Brooklyn, NY 11236</t>
  </si>
  <si>
    <t xml:space="preserve">The nearest accessible subway station is the Canarsie-Rockaway Parkway Station (L train), 0.7 miles distant. MTA bus service (B103 and BM2) is also nearby. The accessible entrance to K279 is not the same as the main entrance; the accessible entrance is located on East 104th Street (Exit 12). The accessible entrance includes a ramp and a doorbell. The doorbell is not within reach range (height 56 inches). </t>
  </si>
  <si>
    <t xml:space="preserve">Doors: 41 Inches, Cabs: 79 Inches wide, 54 Inches deep. </t>
  </si>
  <si>
    <t>Room 221</t>
  </si>
  <si>
    <t>Rooms 121 (18K279)</t>
  </si>
  <si>
    <t>Room 315 (84K724)</t>
  </si>
  <si>
    <t xml:space="preserve">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been provided in the cafeteria, gymnasium, and auditorium. </t>
  </si>
  <si>
    <t xml:space="preserve">There are accessible bathrooms (student and staff) available on the first floor. There are accessible single-user (unisex) bathrooms (for student and staff use) available on all floors. There are accessible single-user (unisex) bathrooms (for student and staff use) available within some classrooms of the 2000 addition.   </t>
  </si>
  <si>
    <t>Rooms 115, 215 and 315</t>
  </si>
  <si>
    <t xml:space="preserve">Classrooms A324, A325, A326, A327, A224, A225, A226, A127, A124, A125, A126, and A127  </t>
  </si>
  <si>
    <t xml:space="preserve">Fire alarm system has been upgraded and includes a strobe light feature. Holding rooms have been specifically designated as rooms 207 and 307. </t>
  </si>
  <si>
    <t xml:space="preserve">This site includes central air in the 2000 addition. The original site does not include central air; Air-conditioning units provided in classrooms. </t>
  </si>
  <si>
    <t>500 19 Street, Brooklyn, NY 11215</t>
  </si>
  <si>
    <t>The nearest accessible subway station is the Church Avenue Station (F and G trains), 0.88 miles distant. MTA bus service (B61, B67, and B69) is also nearby. The accessible entrance to K280 is not the same as the main entrance; the accessible entrance is located on 20th Street. The accessible entrance includes a doorbell, cameras, and reception. The doorbell is not within reach range (height 55 inches).</t>
  </si>
  <si>
    <t>Most door saddles are high, which may be difficult for some users to navigate. Some water fountains and other wall-mounted objects protrude into the corridors more than 4 inches, which may present difficulties for individuals with visual disabilities. Braille signs are not included throughout the building.</t>
  </si>
  <si>
    <t>Change in elevation (14 steps) remediated by elevator.</t>
  </si>
  <si>
    <t>One passenger elevator provides access to all floors. Elevator dimensions may present difficulty for some. Elevator includes audible signals on each floor.</t>
  </si>
  <si>
    <t>Lift remediates changes in elevation at gymnasium lobby.</t>
  </si>
  <si>
    <t>Doors: 36 Inches, Cabs: 72 Inches wide, 44 Inches deep.</t>
  </si>
  <si>
    <t>Ramped hallway by room 143 lacks handrails.</t>
  </si>
  <si>
    <t>Art Rooms – Rooms 279 and 369</t>
  </si>
  <si>
    <t>Main Office – Rooms 190 and 240</t>
  </si>
  <si>
    <t>Main Office – Room 240</t>
  </si>
  <si>
    <t>Nurse’s Office – Room 224</t>
  </si>
  <si>
    <t>Science Lab – Rooms 178 and 378</t>
  </si>
  <si>
    <t>The auditorium is accessible and is located on the first floor. Stage access is not provided. Accessible seating is provided. The cafeteria is accessible and is located on the first floor. The gymnasium is accessible and is located on the second floor. Assistive listening systems have been provided in the auditorium and gymnasium.</t>
  </si>
  <si>
    <t>Stage access not provided. Accessible seating is provided. Assistive listening systems have been provided.</t>
  </si>
  <si>
    <t>This site is prevented from attaining a higher accessibility rating due to lack of accessible bathrooms throughout the building. There are accessible student bathrooms (girls) available on the first floor. There are accessible single-user (unisex) bathrooms (for student and staff use) available on the second floor. There are no accessible student (boys) or staff bathrooms available in the building.</t>
  </si>
  <si>
    <t>Boys Bathrooms – Rooms 184, 222, 282, and boys (gym)</t>
  </si>
  <si>
    <t>Girls Bathrooms – Room 123</t>
  </si>
  <si>
    <t>Girls Bathrooms – Rooms 120, 180, 218, 249, and girls (gym)</t>
  </si>
  <si>
    <t>Staff Bathrooms – Room 152</t>
  </si>
  <si>
    <t>Single-User (Unisex) Bathrooms – Room 247</t>
  </si>
  <si>
    <t>Single-User (Unisex) Bathrooms – Room 248</t>
  </si>
  <si>
    <t>8787 24 Avenue, Brooklyn, NY 11214</t>
  </si>
  <si>
    <t>The nearest accessible subway station is at Bay Parkway Station 0.7mi. MTA bus service (B1, B6, and B82) is also nearby. The accessible entrance to K281 is not the same as the main entrance; the accessible entrance is located 24th Avenue (Exit 6). Security cameras is present. There is no doorbell or door hardware at the accessible entrance, visitors will need to call in advance to gain access.</t>
  </si>
  <si>
    <t>Several changes in elevation prevent access to some classrooms. Some water fountains and other wall-mounted objects may protrude in to the corridors more than 4 inches, which may present difficulties for individuals with visual disabilities. Braille signs are not included throughout the building.</t>
  </si>
  <si>
    <t>No elevator in the building, preventing access to floors above the first floor.</t>
  </si>
  <si>
    <t>This site is moderately accessible; classrooms located on the first floor are accessible and located on accessible routes. This site is prevented from having a higher accessibility rating due to the lack of an accessible elevator and accessible bathrooms in the building.</t>
  </si>
  <si>
    <t>Second Through Fourth Floors</t>
  </si>
  <si>
    <t>Rooms 339 and 346</t>
  </si>
  <si>
    <t>Room 234</t>
  </si>
  <si>
    <t>Rooms 137 (I.S. 281), and 108 (D75)</t>
  </si>
  <si>
    <t>Room 444 (Prep)</t>
  </si>
  <si>
    <t>The auditorium is not accessible due to a change in elevation of four steps and is located on the first floor. The auditorium does provide stage access via corridor and accessible seating is provided. The cafeteria is not accessible and is located in the basement. The gymnasium is not accessible due to a change in elevation of four steps and is located on the first floor. Assistive listening systems have not been provided in the public assembly areas.</t>
  </si>
  <si>
    <t>Change of elevation in the corridor (four steps). Not on an accessible route. Stage access is provided via corridor. Accessible seating is provided.</t>
  </si>
  <si>
    <t>Food service doors are not accessible. Not locate on an accessible route.</t>
  </si>
  <si>
    <t xml:space="preserve">There are no accessible bathrooms. </t>
  </si>
  <si>
    <t>Fire Alarm System includes a strobe light feature. Fire holding rooms have not been designated.</t>
  </si>
  <si>
    <t>The site does not include HVAC/Climate control; A/C units provided in classrooms.</t>
  </si>
  <si>
    <t>180 6 Avenue, Brooklyn, NY 11217</t>
  </si>
  <si>
    <t>The nearest accessible subway station is Atlantic Avenue – Barclays Center Station (B, D, N, R, 2, 3, 4, and 5 trains), 0.49 miles distant. MTA bus service (B41, B63, B67, and B103) is also nearby. The main entrance is accessible, located on Sixth Avenue (Exit A). The accessible entrance includes a ramp, a doorbell, reception, and security cameras. The doorbell is not within reach range (height 67 inches).</t>
  </si>
  <si>
    <t>Temporary metal ramp remediates change of elevation at main entry threshold.</t>
  </si>
  <si>
    <t>Some water fountains and other wall-mounted objects protrude into the corridors more than 4 inches, which may present difficulties for individuals with visual disabilities. Braille signs are not included throughout the building. The basement and the first floor are both accessible via exterior ramps from the street. There is no interior vertical transportation in the building.</t>
  </si>
  <si>
    <t>This site does not include an elevator, preventing access to floors above the first floor. There is no interior vertical access between the basement and first floor: Both are accessible via exterior ramps.</t>
  </si>
  <si>
    <t>Interior ramp at Exit D in the basement lacks handrails.</t>
  </si>
  <si>
    <t>This site offers limited accessibility; all basement and first-floor classrooms are accessible and are located along accessible routes.</t>
  </si>
  <si>
    <t>Art Rooms – Room 326</t>
  </si>
  <si>
    <t>Classrooms – Basement and First Floor</t>
  </si>
  <si>
    <t>Library – Room 220</t>
  </si>
  <si>
    <t>Main Office – Room 133</t>
  </si>
  <si>
    <t>Nurse’s Office – Room 138</t>
  </si>
  <si>
    <t>Science Lab – Room 305</t>
  </si>
  <si>
    <t>The auditorium is accessible and is located on the first floor. Stage access is provided via the gymnasium. Accessible seating is provided. The cafeteria is accessible and is located in the basement. The gymnasium is accessible and is located on the first floor. Assistive listening systems have not been provided in the public assembly spaces.</t>
  </si>
  <si>
    <t>Stage access is provided via the gymnasium. Accessible seating is provided.</t>
  </si>
  <si>
    <t>Accessible via exterior ramp from courtyard (Exit D). Accessible seating available upon request.</t>
  </si>
  <si>
    <t>Single-User (Unisex) Bathrooms – Room 138A</t>
  </si>
  <si>
    <t>Room 138A is located in the nurse’s office.</t>
  </si>
  <si>
    <t>Single-User (Unisex) Bathrooms – Classroom 011A</t>
  </si>
  <si>
    <t>Located inside corresponding classroom.</t>
  </si>
  <si>
    <t>This site includes exterior recreational spaces. The exterior recreational spaces are accessible. The recreational equipment is not accessible. The horticulture area at the front of the building to the left of the main entry is not accessible due to changes of elevation from Berkley place and from the interior of the building.</t>
  </si>
  <si>
    <t>2525 Haring Street, Brooklyn, NY 11235</t>
  </si>
  <si>
    <t xml:space="preserve">The nearest accessible subway station is the Kings Highway Station (B and Q trains), 2.2 miles distant. MTA bus service (B36 and B44) is also nearby. The accessible entrance to building K286 is not the same as the main entrance; the accessible entrance is located off of Haring Street (Exit 9). The accessible entrance includes a ramp and a doorbell. The doorbell is slightly not within reach range (height 49 inches).  </t>
  </si>
  <si>
    <t xml:space="preserve">Concrete and handrail degradation may present difficulties for some.  </t>
  </si>
  <si>
    <t xml:space="preserve">One passenger elevator provides access to all floors in the building. Elevator includes audible signals on all floors. </t>
  </si>
  <si>
    <t>Door: 60 inches; Cab: 115 inches wide, 120 inches deep.</t>
  </si>
  <si>
    <t xml:space="preserve">This site is moderately accessible; most classrooms and public assembly areas are on accessible routes. </t>
  </si>
  <si>
    <t>Rooms 205 and 206</t>
  </si>
  <si>
    <t>Room 121</t>
  </si>
  <si>
    <t xml:space="preserve">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areas. </t>
  </si>
  <si>
    <t xml:space="preserve">Accessible seating available upon request. Food server doors do not provide clear path. </t>
  </si>
  <si>
    <t>The only accessible student bathrooms (boys and girls) are located on the third floor of the building, and accessible staff bathrooms are located on the first floor.</t>
  </si>
  <si>
    <t xml:space="preserve">Fire alarm system includes a strobe light feature. Holding rooms have been specifically designated as rooms 207, 221A/B, 307, and 319. </t>
  </si>
  <si>
    <t>900 St Marks Avenue, Brooklyn, NY 11213</t>
  </si>
  <si>
    <t>The nearest accessible subway station is Utica Avenue Station (A and C trains), 0.7 miles distant. MTA bus service (B43 and B65) is also nearby. The accessible entrance to building K289 is not the same as the main entrance. The accessible entrance is located on Kingston Avenue (Exit 7). The accessible entrance includes a doorbell. The doorbell is within reach range (height 33 inches). The accessible entrance does not include security cameras or reception.</t>
  </si>
  <si>
    <t>Door: 35 inches, Cab: 54 inches deep, 61 inches wide.</t>
  </si>
  <si>
    <t>Art Rooms – Room 219</t>
  </si>
  <si>
    <t>Computer Rooms – Room 211</t>
  </si>
  <si>
    <t>Library – Room 203</t>
  </si>
  <si>
    <t>Main Office – Rooms 103 and 242</t>
  </si>
  <si>
    <t>Nurse’s Office- Room 107</t>
  </si>
  <si>
    <t>Science Lab – Room 209</t>
  </si>
  <si>
    <t>The auditorium is accessible and is located on the first floor. Stage access is provided via corridor and lift. Accessible seating is provided in the rear of the auditorium. The cafeteria is accessible and is located on the first floor. The gymnasium is accessible and is located on the first floor. Assistive listening systems have been provided in the auditorium, gymnasium, and cafeteria.</t>
  </si>
  <si>
    <t>Stage access is provided via corridor and lift. Accessible seating is provided. Assistive listening systems have been provided.</t>
  </si>
  <si>
    <t>There are accessible student bathrooms (boys) available on the first and second floors. There are accessible student bathrooms (girls) available on the first floor. There are accessible (male) staff bathrooms available on the first floor.</t>
  </si>
  <si>
    <t>Boys Bathrooms – Rooms 108 and 208</t>
  </si>
  <si>
    <t>Boys Bathrooms – Room 312</t>
  </si>
  <si>
    <t>Girls Bathroom – Room 120</t>
  </si>
  <si>
    <t>Staff Bathrooms – Rooms 101</t>
  </si>
  <si>
    <t>Staff Bathrooms – Rooms 149 and 205</t>
  </si>
  <si>
    <t>Single-User (Unisex) Bathrooms – Rooms 107A and 129</t>
  </si>
  <si>
    <t>Room 107A is located in the nurse’s office.</t>
  </si>
  <si>
    <t>Fire alarm system has been upgraded and includes a strobe light feature. Holding rooms have been specifically designated as rooms 223 and 323.</t>
  </si>
  <si>
    <t>The site does not include central air; Air-conditioning units have been provided in classrooms and in the auditorium.</t>
  </si>
  <si>
    <t>135 Schenck Avenue, Brooklyn, NY 11207</t>
  </si>
  <si>
    <t>The nearest accessible subway station is Livonia Avenue Station (L train), 1.14 miles distant. MTA bus service (Q24) is also nearby. The main entrance is accessible, located on Schneck Avenue (Exit 1). The accessible entrance includes a doorbell, security cameras, and reception. The doorbell is not within reach range (height 69 inches).</t>
  </si>
  <si>
    <t>Accessible via an inclined approach from the street. Lacks level landing at entry.</t>
  </si>
  <si>
    <t>Located in the play yard.</t>
  </si>
  <si>
    <t>One passenger elevator provides access to all floors. Elevator includes audible signals on each floor. Elevator doors and cab dimensions are narrow and may pose difficulty for some.</t>
  </si>
  <si>
    <t>Doors: 32 inches, Cab: 33 inches wide, 59 inches deep.</t>
  </si>
  <si>
    <t>Main Office – Room 111</t>
  </si>
  <si>
    <t>This site does not include an auditorium, a gymnasium, or a cafeteria: The multi-purpose room fulfills these functions. The multi-purpose room is accessible and is locates in the basement. Stage access is not provided. Accessible seating is provided. Assistive listening systems have not been provided in the public assembly spaces.</t>
  </si>
  <si>
    <t>Stage access is not provided. Accessible seating is provided. Accessible seating available upon request.</t>
  </si>
  <si>
    <t>There are accessible student bathrooms (boys and girls) available on all floors. There are accessible staff bathrooms (male and female) available on all floors. There are accessible single-user (unisex) bathrooms (for student and staff use) available on all floors.</t>
  </si>
  <si>
    <t>Boys Bathrooms – Room 216</t>
  </si>
  <si>
    <t>Girls Bathrooms – Room 208</t>
  </si>
  <si>
    <t>Single-User (Unisex) Bathrooms – Room 108</t>
  </si>
  <si>
    <t>Single-User (Unisex) Bathrooms – Rooms 114, 210, 310, 314, 410, and 414</t>
  </si>
  <si>
    <t>231 Palmetto Street, Brooklyn, NY 11221</t>
  </si>
  <si>
    <t xml:space="preserve">The nearest accessible subway station is the Myrtle–Wyckoff Avenue Station (L and M trains), 0.4 miles distant. MTA bus service (B52 and B60) is also nearby. The main entrance to K291 is accessible, located on Palmetto Street. The accessible entrance includes a ramp and security cameras. The accessible entrance does not include a doorbell. </t>
  </si>
  <si>
    <t>Door: 48 inches; Cab: 60 inches deep, 48 inches wide.</t>
  </si>
  <si>
    <t xml:space="preserve">An interior ramp leads to entryway of the auditorium.  </t>
  </si>
  <si>
    <t xml:space="preserve">This site offers limited accessibility; all classrooms and public assembly areas are accessible and located on accessible routes. </t>
  </si>
  <si>
    <t>Rooms 122, 129, 213, 215, 310, 315 and 343C</t>
  </si>
  <si>
    <t>Room 338</t>
  </si>
  <si>
    <t xml:space="preserve">Rooms 318 (32K564), 109 (32K291), and 372A (84K733) </t>
  </si>
  <si>
    <t>Rooms 210, 228, 242, 256, 308, 327, and 342</t>
  </si>
  <si>
    <t xml:space="preserve">The auditorium is accessible and is located on the first floor. Stage access is provided via a lift. Accessible seating is provided. The cafeteria is accessible and is located on the first floor. The gymnasium is accessible and is located on the first floor. Assistive listening systems have not been provided in the public assembly spaces. </t>
  </si>
  <si>
    <t xml:space="preserve">Stage access is provided via lift. Accessible seating is provided. Sloped hallway at entry may pose difficulty for some. </t>
  </si>
  <si>
    <t>First floor</t>
  </si>
  <si>
    <t>Fire Alarm System includes a strobe light feature. Holding rooms or areas of refuge have not been specifically designated.</t>
  </si>
  <si>
    <t>284 Baltic Street, Brooklyn, NY 11201</t>
  </si>
  <si>
    <t>The nearest accessible subway station is Jay Street - Metrotech Station (A, C, F, and R trains), 0.65 miles distant. MTA bus service (B57) is also nearby. The accessible entrance to K293 is not the same as the main entrance; the accessible entrance is located on Butler Street (Exit 7). The accessible entrance includes a ramp and security cameras. The accessible entrance does not include a doorbell or reception. Though there is no vertical transportation at this site, the basement level is accessible via an additional accessible entrance from the courtyard on Baltic Street (Exit 2). Visitors may need to contact site in advance to gain access to this facility through the accessible entrance.</t>
  </si>
  <si>
    <t>Due to lack of vertical transportation in this building, there is no internal access between the basement and the first floor. Both floors are accessible from the exterior of the building. Some water fountains and other wall-mounted objects protrude in the corridors more than 4 inches, which may present difficulties for individuals with visual disabilities. Braille signs are not included throughout the building.</t>
  </si>
  <si>
    <t>Change in elevation prevents access to the lobby from the main entry. Lobby and first floor is accessible via Exit 2.</t>
  </si>
  <si>
    <t>This site offers limited accessibility; all basement and first floor classrooms are accessible and are located along accessible routes.</t>
  </si>
  <si>
    <t>The auditorium is accessible and is located on the first floor. Stage access is provided via the corridor. Accessible seating is provided. The cafeteria is accessible and is located in the basement. The gymnasium is accessible and is located on the first floor. The multi-purpose room is accessible and is located on the first floor. Assistive listening systems have been provided in the cafeteria and multi-purpose room.</t>
  </si>
  <si>
    <t>Multi-Purpose Room – Room 112 (Dance)</t>
  </si>
  <si>
    <t>This building is prevented from attaining a higher accessibility rating due to lack of accessible bathrooms throughout the building. There is an accessible single-user (unisex) bathroom (for student and staff use) available on the first floor.</t>
  </si>
  <si>
    <t>Boys Bathrooms – Rooms B20, 120, 220, and 320</t>
  </si>
  <si>
    <t>Girls Bathrooms – Rooms B24, 124, 224, and 324</t>
  </si>
  <si>
    <t>Staff Bathrooms (Male) – Rooms B14, 213, and 313</t>
  </si>
  <si>
    <t>Staff Bathrooms (Female) – Rooms B16, Next to Room 64, 215, and 315</t>
  </si>
  <si>
    <t>Single-User (Unisex) Bathrooms – Rooms 64 and 165C</t>
  </si>
  <si>
    <t>Room 165C is located in the nurse’s office. Room 64 is the designated gender-neutral bathroom.</t>
  </si>
  <si>
    <t>Single-User (Unisex) Bathrooms – Room Next to Rm 64</t>
  </si>
  <si>
    <t>85 Watkins Street, Brooklyn, NY 11212</t>
  </si>
  <si>
    <t xml:space="preserve">The nearest accessible subway station is the Utica Avenue Subway Station (3 and 4 trains), 1.4 miles distant. MTA bus service (B14 and B60) is also nearby. The accessible entrance is not the same as the main entrance; the accessible entrance is located on Glenmore Avenue. The accessible entrance includes a ramp. The accessible entrance does not include security cameras or a doorbell. Visitors may need to contact site in advance to gain access to this facility through the accessible entrance. </t>
  </si>
  <si>
    <t xml:space="preserve">Braille signs are not included throughout the building. A lift provides access over the change in elevation on the ground floor.  </t>
  </si>
  <si>
    <t>A lift provides access over the change in elevation from the ground floor to the auditorium. There are no elevators in the building, access is limited to the ground floor.</t>
  </si>
  <si>
    <t xml:space="preserve">This site offers limited accessibility; classrooms located on the ground floor are accessible and are located on accessible routes. </t>
  </si>
  <si>
    <t>Room 329</t>
  </si>
  <si>
    <t>Room 423</t>
  </si>
  <si>
    <t>Room 105</t>
  </si>
  <si>
    <t xml:space="preserve">The auditorium is accessible via a lift and is located on the ground floor. Stage access is provided via lift. Accessible seating is provided. The gymnasium is not accessible and is located on the ground floor. The cafeteria is accessible and is located on the ground floor. Assistive listening systems have been provided in the auditorium. </t>
  </si>
  <si>
    <t>Accessible seating available upon request. Food servery does not provide clear path of travel (width 29 inches).</t>
  </si>
  <si>
    <t>Change in elevation (5 steps) prevents access.</t>
  </si>
  <si>
    <t xml:space="preserve">This site is prevented from attaining a higher accessibility rating due to lack of accessible bathrooms throughout the building. There are accessible student bathrooms (boys) available on the first floor.  </t>
  </si>
  <si>
    <t>350 Linwood Street, Brooklyn, NY 11208</t>
  </si>
  <si>
    <t>The nearest accessible subway station is Euclid Avenue Station (A trains), 0.8 mile distant. MTA bus service (Q24) is also nearby. The main entrance is accessible, located on Linwood Street (Exit 1). The accessible entrance includes security cameras, doorbell, and reception. The doorbell is not within reach range (Height 57 inches).</t>
  </si>
  <si>
    <t>One elevator provides access to all floors. Elevator includes audible signals on each floor.</t>
  </si>
  <si>
    <t>Doors: 48 inches, Cab: 68 inches wide, 75 inches deep.</t>
  </si>
  <si>
    <t>Main Office - Room 121</t>
  </si>
  <si>
    <t>Nurse’s Office- Room 145</t>
  </si>
  <si>
    <t>Science Lab – Rooms 239, 245, 345, and 339</t>
  </si>
  <si>
    <t>The auditorium is accessible and is located on the second floor. Stage access is not provided. Accessible seating is not provided. The cafeteria is accessible and is located on the first floor. The gymnasium is accessible and is located on the first floor. Assistive listening systems have not been provided in the public assembly spaces.</t>
  </si>
  <si>
    <t>There are accessible student bathrooms (girls) available on all floors. There are accessible single-user (unisex) bathrooms (for student and staff use) available on the first floor.</t>
  </si>
  <si>
    <t>Single-User (Unisex) Bathroom – First Floor</t>
  </si>
  <si>
    <t>Fire alarm system has been upgraded and includes a strobe light feature. Holding rooms or areas of refuge have been specifically designated as rooms 209, 309, and 409.</t>
  </si>
  <si>
    <t>501 West Avenue, Brooklyn, NY 11224</t>
  </si>
  <si>
    <t xml:space="preserve">The nearest accessible subway station is Coney Island ‐ Stillwell Avenue Station (D, F, N, and Q trains), 0.7 miles distant. MTA bus service (B1, B4 and B36) is also nearby. The accessible entrance to K303 is not the same as the main entrance of the building. The accessible entrance is located off of Shore Parkway (this is the main entrance for the Rachel Carson High School) and includes installation of security cameras and reception. This site is two buildings interconnected with changes of elevation between each. In order to maneuver from one building to the next you must use the lift located on the first floor. Once inside two passenger elevator provides access to all floors in the building. </t>
  </si>
  <si>
    <t xml:space="preserve">Braille signs are not included throughout the building. The facility is two buildings interconnected. A lift located on the first floor is the only accessible means of transferring between the buildings, although each building contains elevators providing access to all floors. </t>
  </si>
  <si>
    <t xml:space="preserve">Two passenger elevator provides access to all floors in the building. Elevatos include audible signals on each floor. </t>
  </si>
  <si>
    <t xml:space="preserve">Door: 48 inches; Cab: 83 inches deep, 62 inches wide. </t>
  </si>
  <si>
    <t xml:space="preserve">This site is moderately accessible; but has one major drawback, because the site includes two interconnected buildings built at different times, there are changes in elevation on every floor preventing access between the buildings, except on the first floor where access is provided with the use of a vertical lift. All classrooms are on accessible routes in both buildings. </t>
  </si>
  <si>
    <t>Rooms 162, 168, 449, and 451</t>
  </si>
  <si>
    <t>Room 159</t>
  </si>
  <si>
    <t>Room 148</t>
  </si>
  <si>
    <t>Room 101, 123, and 248</t>
  </si>
  <si>
    <t>Room 152</t>
  </si>
  <si>
    <t>Rooms 327, and 361</t>
  </si>
  <si>
    <t xml:space="preserve">The auditorium is accessible and is located on the first floor. The auditorium provides stage access via a lift, and accessible seating. The cafeteria and gymnasium is accessible and is located on the first floor. Assistive listening systems have not been provided in the public assembly areas. </t>
  </si>
  <si>
    <t xml:space="preserve">There are accessible student bathrooms (girls and boys) available on the first floor. There are accessible staff bathrooms (male) available on the second floor. There are accessible staff bathrooms (female) available on the first and second floor. There are accessible single-user (unisex) bathrooms (available for students and staff) on all floors. </t>
  </si>
  <si>
    <t>Room 140</t>
  </si>
  <si>
    <t>Rooms 252 and 262</t>
  </si>
  <si>
    <t>Female and Male, respecitvely</t>
  </si>
  <si>
    <t>The school does not have HVAC/Climate control. A/C units provided in classrooms.</t>
  </si>
  <si>
    <t>616 Quincy Street, Brooklyn, NY 11221</t>
  </si>
  <si>
    <t xml:space="preserve">The nearest accessible subway station is Atlantic Avenue–Barclays Center Station (2, 3, 4, 5, B, D, N, Q, and R trains), 0.9 miles distant. MTA bus service (B35 and B52) is also nearby. The accessible entrance to K308 is not the same as the main entrance; the accessible entrance is located on Gates Avenue (Exit 3). The doorbell is within reach range (Height 42 inches). The accessible entrance does not include security cameras. Minor sidewalk degradation on the path of travel to the accessible entrance. </t>
  </si>
  <si>
    <t xml:space="preserve">Some water fountains and other wall-mounted objects protrude in to the corridors more than 4 inches, which may present difficulties for individuals with visual disabilities. Braille signs are not included throughout the building.  </t>
  </si>
  <si>
    <t>Doors: 41 inches, Cabs: 42 inches wide, 76 inches deep.</t>
  </si>
  <si>
    <t>Room 385</t>
  </si>
  <si>
    <t>Rooms 376, and 378</t>
  </si>
  <si>
    <t>Room 280</t>
  </si>
  <si>
    <t>Rooms 164, and 320</t>
  </si>
  <si>
    <t>Room 187B</t>
  </si>
  <si>
    <t>Room 366</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</si>
  <si>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areas. </t>
  </si>
  <si>
    <t>No access to stage. Accessible seating is provided.</t>
  </si>
  <si>
    <t xml:space="preserve">There are accessible student bathrooms (boys and girls) available on the first floor. There is an accessible staff (female) bathroom available on the first floor. There are no accessible staff (male) bathrooms available in the building. </t>
  </si>
  <si>
    <t>Room 177</t>
  </si>
  <si>
    <t>Room 185</t>
  </si>
  <si>
    <t>Female</t>
  </si>
  <si>
    <t>Male</t>
  </si>
  <si>
    <t>Fire alarm system has been upgraded and includes a strobe light feature. Holding rooms or areas of refuge have been specifically designated; Rooms 271, and 371.</t>
  </si>
  <si>
    <t>The site does not include central air; Air-conditioning units provided in classrooms. </t>
  </si>
  <si>
    <t>942 62 Street, Brooklyn, NY 11219</t>
  </si>
  <si>
    <t xml:space="preserve">The nearest accessible subway station is the Church Avenue Station (F and G trains), 1.66 miles distant. MTA bus service (B16) is also nearby. The main entrance of K310 is accessible, located on 62nd Street (Exit 1). The accessible entrance includes a doorbell, security cameras, and reception. The doorbell is within reach range (Height 47 Inches). </t>
  </si>
  <si>
    <t xml:space="preserve">Doors: 45 Inches, Cabs: 80 Inches wide, 64 Inches deep. </t>
  </si>
  <si>
    <t>Room 312A</t>
  </si>
  <si>
    <t>Room 501</t>
  </si>
  <si>
    <t xml:space="preserve">This site does not include an auditorium; the gymnasium fulfills this function at this site. The gymnasium is accessible and is located on the first floor. Stage access is provided via a lift. Accessible seating is provided. The cafeteria is accessible and is located in the basement. Assistive listening systems have been provided in the cafeteria. </t>
  </si>
  <si>
    <t xml:space="preserve">There are accessible student bathrooms (boys and girls) available in the basement, and on the first, third, fourth, and fifth floors. There are accessible single-user (unisex) bathrooms (for student and staff use) available on all floors.   </t>
  </si>
  <si>
    <t>Rooms C04B, 106B, 306B, 406B, and 506B</t>
  </si>
  <si>
    <t>Rooms C04G, 106G, 306G, 406G, and 506G</t>
  </si>
  <si>
    <t>Rooms C06, 111, 206B, 206G, 303, 403, and 503</t>
  </si>
  <si>
    <t xml:space="preserve">Available for student and staff use. </t>
  </si>
  <si>
    <t>Rooms 102A/104A and 202A/204A</t>
  </si>
  <si>
    <t xml:space="preserve">Multi-user: Located inside corresponding classrooms. </t>
  </si>
  <si>
    <t xml:space="preserve">Fire alarm system has been upgraded and includes a strobe light feature. Holding rooms have been specifically designated as rooms C09, 207, 307, and 407. </t>
  </si>
  <si>
    <t xml:space="preserve">This site includes central air. Temperature control units have been provided in classrooms.  </t>
  </si>
  <si>
    <t>7103 Avenue T, Brooklyn, NY 11234</t>
  </si>
  <si>
    <t xml:space="preserve">The nearest accessible subway station is the Kings Highway Station (B and Q trains), 1.9 miles distant. MTA bus service (B100 and B41) is also nearby. The accessible entrance to K312 is not the same as the main entrance; the accessible entrance is located on East 71st Street (Exit 10). The accessible entrance does not include a doorbell, reception, or security cameras. Visitors may need to contact site in advance to gain access to this facility through the accessible entrance. </t>
  </si>
  <si>
    <t xml:space="preserve">Surface disruptions along the path. </t>
  </si>
  <si>
    <t xml:space="preserve">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 </t>
  </si>
  <si>
    <t>Room 343</t>
  </si>
  <si>
    <t>Room 228</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</si>
  <si>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spaces. </t>
  </si>
  <si>
    <t>Food service area is not accessible. Accessible seating available upon request.</t>
  </si>
  <si>
    <t>Rooms 116, 248, and 346</t>
  </si>
  <si>
    <t>Rooms 124, 240, and 340</t>
  </si>
  <si>
    <t>(Male) – Rooms 118 and 255</t>
  </si>
  <si>
    <t xml:space="preserve">(Female) – Rooms 121 and 225 </t>
  </si>
  <si>
    <t>Rooms 325 and 355</t>
  </si>
  <si>
    <t>Marc Guillaume</t>
  </si>
  <si>
    <t>283 Adams Street, Brooklyn, NY 11201</t>
  </si>
  <si>
    <t>The nearest accessible subway station is the Borough Hall Station (2, 3, 4 and 5 trains), 0.09 miles distant. MTA bus service (B25, B26, B38, B41, B52 and B103) is also nearby. The main entrance of K313 is accessible, located on Adams Street (Exit 6). The accessible entrance includes a ramp, a doorbell, security cameras, and reception. The doorbell is within reach range (Height 48 inches).</t>
  </si>
  <si>
    <t xml:space="preserve">Ramped access from the sidewalk to the first floor. </t>
  </si>
  <si>
    <t xml:space="preserve">Some hallway doors are heavy and without closers, which may be difficult for some users to navigate. Some water fountains and other wall-mounted objects protrude in to the corridors more than 4 inches, which may present difficulties for individuals with visual disabilities. Braille signs are included throughout the building but are degrading and require replacement.  </t>
  </si>
  <si>
    <t xml:space="preserve">E1: Doors: 42 inches, Cab: 66 inches wide, 136 inches deep. 
E2: Doors: 42 inches, Cab: 66 inches wide, 136 inches deep. </t>
  </si>
  <si>
    <t>Room B49</t>
  </si>
  <si>
    <t>Rooms 155 and 158</t>
  </si>
  <si>
    <t>Rooms 145 (Insitute of Math and Science), 157 (School of Law and Justice) and 233 (P369K)</t>
  </si>
  <si>
    <t>Rooms 151 and 243</t>
  </si>
  <si>
    <t>Rooms 315, 343, 415, 443, 515 and 543</t>
  </si>
  <si>
    <t>This site does not include an auditorium; the gymnasium fulfills this function. The gymnasium is accessible and is located on the sixth floor. Stage access is provided via a ramp. Accessible seating is provided. The cafeteria is accessible and is located on the first floor. Assistive listening systems have been provided in the cafeteria and gymnasium.</t>
  </si>
  <si>
    <t>Sixth Floor</t>
  </si>
  <si>
    <t xml:space="preserve">Stage is portable. Stage access via ramp. Accessible seating is provided. Assistive listening systems have been provided. </t>
  </si>
  <si>
    <t xml:space="preserve">There are accessible student bathrooms (boys and girls) available on the fifth floor. There are accessible single-user (unisex) bathrooms (for student and staff use) available on all floors.   </t>
  </si>
  <si>
    <t>Room 502B</t>
  </si>
  <si>
    <t xml:space="preserve">Located inside the boys’ locker room. </t>
  </si>
  <si>
    <t>Rooms B32, 132, 232, 332, 432, and 532</t>
  </si>
  <si>
    <t xml:space="preserve">Interior partitions do not provide clear floor space.  </t>
  </si>
  <si>
    <t>Room 558B</t>
  </si>
  <si>
    <t xml:space="preserve">Located inside the girls’ locker room. </t>
  </si>
  <si>
    <t>Rooms B24, B34, 124, 134, 224, 234, 324, 334, 424, 434, 524, 526, and 534</t>
  </si>
  <si>
    <t xml:space="preserve">Interior partitions do not provide clear floor space. Room 526 is a boys’ bathroom but is located in the girls-only wing of the building, and is used exclusively by girls. </t>
  </si>
  <si>
    <t>Rooms B14, B20, B38, B44, 114, 120, 138, 144, 151D-1, 214, 220, 238, 243A, 244, 254, 314, 320, 338, 344, 402A, 414, 420, 438, 444, 458A, 514, 520, 528, and 544</t>
  </si>
  <si>
    <t xml:space="preserve">Available for student and staff use. Rooms 151D-1 and 243A are located in the corresponding nurses’ offices. Rooms ending in “A” are located inside corresponding classrooms.  </t>
  </si>
  <si>
    <t>Room 151B-1</t>
  </si>
  <si>
    <t xml:space="preserve">Room dimensions prevent access. </t>
  </si>
  <si>
    <t xml:space="preserve">Fire alarm system has been upgraded and includes a strobe light feature. Holding rooms have been specifically designated as rooms B57, 243, 343, 443, and 557. </t>
  </si>
  <si>
    <t>330 59 Street, Brooklyn, NY 11220</t>
  </si>
  <si>
    <t>The nearest accessible subway station is Atlantic Avenue - Barclays Center Station (B, D, N, Q, R, 2, 3, 4, and 5 trains), 3.7 miles distant. MTA bus service (B37 and B63) is also nearby. The main entrance is accessible, located on 60th Street (Exit 2). The accessible entrance includes reception. The accessible entrance does not include security cameras or a doorbell.</t>
  </si>
  <si>
    <t>E1: Doors: 48 inches, Cab: 68 inches wide, 58 inches deep. E2: Doors: 42 inches, Cab: 51 inches wide, 80 inches deep.</t>
  </si>
  <si>
    <t>Art Rooms – Room 356</t>
  </si>
  <si>
    <t>Computer Rooms – Room 318 and 331</t>
  </si>
  <si>
    <t>Main Office – Room 113 and 244</t>
  </si>
  <si>
    <t>Stage access is not provided. Accessible seating provided. Assistive listening systems have been provided.</t>
  </si>
  <si>
    <t>There are accessible student (boys) bathrooms available on the first through third floors. There are accessible student (girls) bathrooms available on the first floor. There are accessible staff bathrooms (male) available on the first and third floors. There are accessible staff bathrooms (female) available on the second and third floors. There is an accessible single-user (unisex) bathroom (for students and staff) available on the second floor.</t>
  </si>
  <si>
    <t>Boys Bathrooms – Rooms 143, 243, and 343</t>
  </si>
  <si>
    <t>Girls Bathrooms – Room 141</t>
  </si>
  <si>
    <t>Girls Bathrooms – 241 and 341</t>
  </si>
  <si>
    <t>Staff Bathrooms (Male) – Rooms 145 and 323</t>
  </si>
  <si>
    <t>Staff Bathrooms (Female) – Rooms 252 and 325</t>
  </si>
  <si>
    <t>Accessible Accessible</t>
  </si>
  <si>
    <t>Fire alarm system has been upgraded and includes a strobe light feature. Holding rooms have been specifically designated as rooms 209 and 309.</t>
  </si>
  <si>
    <t>The site does not include central air. Air-conditioning units are provided in classrooms.</t>
  </si>
  <si>
    <t>750 Classon Avenue, Brooklyn, NY 11238</t>
  </si>
  <si>
    <t>The nearest accessible subway station is the Park Place Station (S trains), 0.19 miles distant. MTA bus service (B45 and B48) is also nearby. The main entrance is accessible, located on Sterling Place (Exit 1). The accessible entrance includes a doorbell, reception, and security cameras. The doorbell is not within reach range (height 70 inches).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</si>
  <si>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between floors prevent access to some program areas. Braille signs are not included throughout the building.</t>
  </si>
  <si>
    <t>This site is moderately accessible; all first-floor classrooms are accessible and are located along accessible routes.</t>
  </si>
  <si>
    <t>Library – Room 204</t>
  </si>
  <si>
    <t>Room 103 – PS 316</t>
  </si>
  <si>
    <t>Main Office – Room 312</t>
  </si>
  <si>
    <t>Not on an accessible route. Room 312 – MS353.</t>
  </si>
  <si>
    <t>Nurse’s Office – Room 182</t>
  </si>
  <si>
    <t>The auditorium is not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spaces.</t>
  </si>
  <si>
    <t>There are accessible student bathrooms (boys) available on all floors. There are accessible student bathrooms (girls) available on the second and third floors.</t>
  </si>
  <si>
    <t>Boys Bathrooms – Room 125</t>
  </si>
  <si>
    <t>Boys Bathrooms – Rooms 226 and 326</t>
  </si>
  <si>
    <t>Not on Accessible Route</t>
  </si>
  <si>
    <t>Girls Bathrooms – Rooms 218 and 318</t>
  </si>
  <si>
    <t>Girls Bathrooms – Room 121</t>
  </si>
  <si>
    <t>Staff Bathrooms – Rooms 118, 127, 134A, 221, 319, and 321</t>
  </si>
  <si>
    <t>Single-User (Unisex) Bathrooms – Rooms 113A and 117A</t>
  </si>
  <si>
    <t>610 Baltic Street, Brooklyn, NY 11217</t>
  </si>
  <si>
    <t xml:space="preserve">The nearest accessible subway station is the Atlantic Avenue – Barclays Center – Fourth Avenue Station (2, 3, 4, 5, B, D, N, Q, R, and W trains), 0.27 miles distant. MTA bus service (B63 and B103) is also nearby. The main entrance of K317 is accessible, located on Baltic Street. The accessible entrance includes a ramp, a doorbell, security cameras, and reception. The doorbell is within reach range (height 48 inches). </t>
  </si>
  <si>
    <t xml:space="preserve">Some water fountains and other wall-mounted objects protrude in the corridors more than 4 inches, which may present difficulties for individuals with visual disabilities. Braille signs are included throughout the building.  </t>
  </si>
  <si>
    <t xml:space="preserve">Two elevators provide access to all floors. Elevators include audible signals on each floor.  </t>
  </si>
  <si>
    <t xml:space="preserve">E1 and E2:  
Doors: 47 inches, Cabs: 78 inches wide, 60 inches deep. </t>
  </si>
  <si>
    <t>Rooms 111 and 214</t>
  </si>
  <si>
    <t>Rooms C14 and 211</t>
  </si>
  <si>
    <t>Rooms 501, 503, and 504</t>
  </si>
  <si>
    <t xml:space="preserve">The auditorium is accessible and is located on the first floor. Stage access is provided at grade from the main doors and via a secondary side entrance. Accessible seating is provided. The cafeteria is accessible and located in the cellar. The gymnasium is accessible and is located on the third floor. Assistive listening systems have been provided in the cafeteria and gymnasium. </t>
  </si>
  <si>
    <t>Stage access is provided at grade. Accessible seating is provided.</t>
  </si>
  <si>
    <t>Cellar</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</si>
  <si>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
  </si>
  <si>
    <t>Rooms C15, 327, 427, and 527</t>
  </si>
  <si>
    <t>Rooms C19, 329, 429, and 529</t>
  </si>
  <si>
    <t>Rooms 113 and 115</t>
  </si>
  <si>
    <t>Rooms C14B, C23, 101A, 107A, 208, 210, 213, 308, 415, and 513</t>
  </si>
  <si>
    <t xml:space="preserve">Available for student and staff use. Rooms C14B is located inside the nurse’s office. Rooms 101A and 107A are located inside corresponding classrooms. </t>
  </si>
  <si>
    <t>Classrooms 118/120 and 127/129</t>
  </si>
  <si>
    <t xml:space="preserve">Fire alarm system has been upgraded and includes a strobe light feature. Holding rooms have been specifically designated as rooms 233, 333, 433, and 533. </t>
  </si>
  <si>
    <t>101 Walton Street, Brooklyn, NY 11206</t>
  </si>
  <si>
    <t xml:space="preserve">The nearest accessible subway station is the Flushing Avenue Station (J, M, and Z trains), 0.4 miles distant. MTA bus service (B48 and B46) is also nearby. The accessible entrance to K318 is not the same as the main entrance; the accessible entrance is located on Lorimer Street (Exit D). The accessible entrance includes a ramp and security cameras. The accessible entrance does not include a doorbell. Visitors may need to contact site in advance to gain access to this facility through the accessible entrance. </t>
  </si>
  <si>
    <t xml:space="preserve">This site offers limited accessibility; all classrooms located on the first floor are accessible and are located on accessible routes.  </t>
  </si>
  <si>
    <t>Rooms 105 and 114</t>
  </si>
  <si>
    <t>Room 323</t>
  </si>
  <si>
    <t>Room 152B</t>
  </si>
  <si>
    <t>Rooms 200, 201, 202, 203, 204, 205, 296, and 215</t>
  </si>
  <si>
    <t xml:space="preserve">The auditorium is not accessible and located in the basement. The cafeteria is not accessible and located in the basement. The gymnasium is not accessible and located in the basement. Assistive listening systems have not been provided in the public assembly spaces. </t>
  </si>
  <si>
    <t xml:space="preserve">Not on accessible route. Stage access is not provided. Accessible seating is not provided. </t>
  </si>
  <si>
    <t xml:space="preserve"> Not on accessible route.  Accessible seating available upon request.</t>
  </si>
  <si>
    <t xml:space="preserve">This site is prevented from attaining a higher accessibility rating due to lack of accessible bathrooms throughout the building. There are accessible staff bathrooms (male and female) available on the first floor. </t>
  </si>
  <si>
    <t>Male Bathrooms</t>
  </si>
  <si>
    <t>Female Bathroom</t>
  </si>
  <si>
    <t>360 Keap Street, Brooklyn, NY 11211</t>
  </si>
  <si>
    <t xml:space="preserve">The nearest accessible subway station is the Marcy Avenue Station (J, M, and Z trains), 0.3 miles distant. MTA bus service (B54 and B60) is also nearby. The main entrance to K319 is accessible, located on Keap Street (Exit 1). The accessible entrance includes reception and security cameras. The accessible entrance does not include a doorbell. Visitors may need to contact site in advance to gain access to this facility through the accessible entrance. </t>
  </si>
  <si>
    <t xml:space="preserve">This site occupies a single floor and does not include an elevator. Lack of elevator does not prevent access. </t>
  </si>
  <si>
    <t xml:space="preserve">This site offers minimal accessibility; all classrooms are accessible and are located on accessible routes. </t>
  </si>
  <si>
    <t xml:space="preserve">This site does not include an auditorium or gymnasium. The cafeteria is accessible and is located on the first floor. Assistive listening systems have not been provided in the cafeteria. </t>
  </si>
  <si>
    <t xml:space="preserve"> Accessible seating available upon request.</t>
  </si>
  <si>
    <t xml:space="preserve">This site is prevented from attaining a higher accessibility rating due to lack of accessible bathrooms throughout the building.  </t>
  </si>
  <si>
    <t>180 7 Avenue, Brooklyn, NY 11215</t>
  </si>
  <si>
    <t xml:space="preserve">The nearest accessible subway station is the Atlantic Avenue Barclays Center-4 Avenue Station (B, D, N, Q, R, 2, 3, 4, and 5 trains), 0.83 miles distant. MTA bus service (B67 and B69) is also nearby. The main entrance of K321 is accessible, located on 7th Avenue (Exit 1). The accessible entrance includes a doorbell, a ramp, security cameras, and reception. The doorbell is not within reach range (Height 62 inches). </t>
  </si>
  <si>
    <t xml:space="preserve">Ramped access from the sidewalk to the main entrance, via play yard. </t>
  </si>
  <si>
    <t xml:space="preserve">Doors: 42 inches, Cab: 80 inches wide, 64 inches deep. </t>
  </si>
  <si>
    <t>Room 126</t>
  </si>
  <si>
    <t xml:space="preserve">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cafeteria and in the gymnasium. </t>
  </si>
  <si>
    <t xml:space="preserve">There are accessible student bathrooms (boys and girls) available on the first and second floors. There are accessible single-user (unisex) bathrooms (for student and staff use) available on the first and second floors.   </t>
  </si>
  <si>
    <t>Rooms 103 and 209</t>
  </si>
  <si>
    <t>Rooms 105 and 213</t>
  </si>
  <si>
    <t>Rooms 127, 129, and 231</t>
  </si>
  <si>
    <t xml:space="preserve">Fire alarm system is being upgraded to include a strobe light feature. Holding rooms have been specifically designated as rooms 201, 239, 301, and 339. </t>
  </si>
  <si>
    <t>800 Gates Avenue, Brooklyn, NY 11221</t>
  </si>
  <si>
    <t>The nearest accessible subway station is Utica Ave Station (A and C trains), 0.6 miles distant. MTA bus service (B46 and B52) is also nearby. The main entrance is accessible, located on Gates Avenue. The accessible entrance includes security cameras, a doorbell, and reception. The doorbell is not within reach range (height 52 inches).</t>
  </si>
  <si>
    <t>Door: 48 inches, Cab: 48 inches deep, 79 inches wide.</t>
  </si>
  <si>
    <t>Art Room – Room 315</t>
  </si>
  <si>
    <t>Library – Room 221</t>
  </si>
  <si>
    <t>Main Office – Rooms 114, 325, and 424</t>
  </si>
  <si>
    <t>Room 114 – M.S. 267 Room 325 – La Cima Charter School Room 424 – Bedford Stuyvesant Collegiate Charter School</t>
  </si>
  <si>
    <t>Science Lab – Rooms 222, 226, 326, 422, and 426</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</si>
  <si>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been provided in the cafeteria.</t>
  </si>
  <si>
    <t>There are accessible student bathrooms (boys and girls) available on the first floor and second floors. There are accessible staff bathrooms (male and female) available on the first floor. There are accessible single-user (unisex) bathrooms (for student and staff use) available on the first and fourth floors.</t>
  </si>
  <si>
    <t>Boys Bathrooms – Rooms 110, 131, and 228</t>
  </si>
  <si>
    <t>Boys Bathrooms – Rooms 328, and 428</t>
  </si>
  <si>
    <t>Girls Bathrooms – Rooms 108 and 141, and 220</t>
  </si>
  <si>
    <t>Girls Bathrooms – Rooms 320, and 420</t>
  </si>
  <si>
    <t>Staff Bathrooms – Rooms 123 and 125</t>
  </si>
  <si>
    <t>Staff Bathrooms – 414 and 314</t>
  </si>
  <si>
    <t>Single-User (Unisex) Bathrooms – Rooms 118, and 430</t>
  </si>
  <si>
    <t>Room 118 is located in the nurse’s office.</t>
  </si>
  <si>
    <t>Fire alarm system includes strobe lights. Holding rooms have been specifically designated as rooms 236, 336, and 436.</t>
  </si>
  <si>
    <t>111 Bristol Street, Brooklyn, NY 11212</t>
  </si>
  <si>
    <t>The nearest accessible subway station is Utica Avenue Subway Station (2, 3, and 4 trains), 1.1 miles distant. MTA bus service (B14 and B60) is also nearby. Building K327 is tandem with building K396. These buildings share accessibility features on the first floor. The accessible entrance to K327 is not the same as the main entrance; the accessible entrance is located on Bristol Street. The accessible entrance does not include a doorbell or a security camera. Visitors should contact site prior to arrival.</t>
  </si>
  <si>
    <t xml:space="preserve">Exterior ramp on Bristol Street providing access to play yard. </t>
  </si>
  <si>
    <t xml:space="preserve">Some water fountains and other wall-mounted objects protrude into the corridors more than 4 inches, which may present difficulties for individuals with visual disabilities. Braille signs are included in the cafeteria, and gymnasium, but are lacking throughout the rest of the building. </t>
  </si>
  <si>
    <t xml:space="preserve">This site does not include an elevator.  </t>
  </si>
  <si>
    <t xml:space="preserve">This site provides limited accessibility; all classrooms located on the first floor are accessible and located on an accessible route.  </t>
  </si>
  <si>
    <t xml:space="preserve">No elevator in building, preventing access to floors other than the first.  </t>
  </si>
  <si>
    <t>Rooms 212 and 277</t>
  </si>
  <si>
    <t>Room 131</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</si>
  <si>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cafeteria and auditorium.</t>
  </si>
  <si>
    <t xml:space="preserve">This site does not include central air; Air-conditioning units provided in classrooms. </t>
  </si>
  <si>
    <t>2929 West  30 Street, Brooklyn, NY 11224</t>
  </si>
  <si>
    <t>The nearest accessible subway station is Coney Island Stillwell Avenue Station (D, F, N, and Q trains), 0.9 miles distant. MTA bus service (B74, B36, X28, and X38) is also nearby. The accessible entrance to K410 is not the same as the main entrance; the accessible entrance is located on West 29th Street (Exit 1). The accessible entrance includes a doorbell, a ramp, security cameras, and reception. The doorbell is located within reach range (Height 38 inches).</t>
  </si>
  <si>
    <t>Braille signs are not provided and are needed throughout the building.</t>
  </si>
  <si>
    <t>Rooms 321, 323</t>
  </si>
  <si>
    <t>Rooms 123, and 150</t>
  </si>
  <si>
    <t>Room 144 (21K329), and 240G (75K771)</t>
  </si>
  <si>
    <t>Room 148 and 200G</t>
  </si>
  <si>
    <t>The auditorium is accessible and is located on the first floor. Stage access is provided via a lift. Accessible seating is provided. The cafeteria is accessible and is located on the first floor. The gymnasium is accessible and is located on the first floor. Assistive listening systems have not been provided in the public assembly spaces.</t>
  </si>
  <si>
    <t>There are accessible student bathrooms (girls and boys) available on the first and third floors. There are no accessible staff bathrooms available in the building.</t>
  </si>
  <si>
    <t>Rooms 121 and 345</t>
  </si>
  <si>
    <t>Rooms 119 and 343</t>
  </si>
  <si>
    <t>7002 4Th Avenue, Brooklyn, NY 11209</t>
  </si>
  <si>
    <t xml:space="preserve">The nearest accessible subway station is the Atlantic Avenue Barclays Center Station (2, 3, 4, 5, B, Q, R, and N trains), 4.2 miles distant. MTA bus service (B64 and B9) is also nearby. The main entrance of K331 is accessible, located on 4th Avenue (Exit 1). The accessible entrance includes a doorbell, reception, and security cameras. The doorbell is located within reach range (Height 39 inches). </t>
  </si>
  <si>
    <t xml:space="preserve">E1 
Doors: 47 inches, Cabs: 83 inches wide, 64 inches deep. 
E2 
Doors: 48 inches, Cabs: 83 inches wide, 64 inches deep. </t>
  </si>
  <si>
    <t>Rooms 323</t>
  </si>
  <si>
    <t xml:space="preserve">Rooms 101 (20K030) and 221 
(75K231) </t>
  </si>
  <si>
    <t>Rooms 321</t>
  </si>
  <si>
    <t xml:space="preserve">The auditorium is accessible and is located on the first floor. Stage access is provided via the corridor. Accessible seating is provided. The cafeteria is accessible and is located in the basement. The gymnasium is accessible and is located on the third floor. Assistive listening systems have been provided in the auditorium, cafeteria, and gymnasium. </t>
  </si>
  <si>
    <t xml:space="preserve">Stage access is provided via the corridor.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</si>
  <si>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 on the first floor.    </t>
  </si>
  <si>
    <t>Rooms 114, 206, 306, 310D, and 406</t>
  </si>
  <si>
    <t xml:space="preserve">Rooms 112, 204, 214, 226, 304, and 404 </t>
  </si>
  <si>
    <t>Rooms 102E, 104, 212, 220, 224, 314, 418, and 423</t>
  </si>
  <si>
    <t xml:space="preserve">Room 102E is located in nurse's office. </t>
  </si>
  <si>
    <t>Classrooms 119, 121A, 124, and 126</t>
  </si>
  <si>
    <t xml:space="preserve">Fire alarm system has been upgraded and includes a strobe light feature. Holding rooms have been specifically designated as rooms 305 and 405. </t>
  </si>
  <si>
    <t>51 Christopher Avenue, Brooklyn, NY 11212</t>
  </si>
  <si>
    <t>The nearest accessible subway station is Utica Avenue Subway Station (3 and 4 trains), 1.4 miles distant. MTA bus service (B14 and B12) is also nearby. The accessible entrance is not the same as the main entrance, and is located on 219 Sackman Street (Exit 6). The accessible entrance does not include a doorbell; visitors may need to contact site in advance to gain access to this facility through the accessible entrance.</t>
  </si>
  <si>
    <t>This site occupies floors first through fourth in the building. One passenger elevator provides access to all floors. Elevator provides audible signals on each floor.</t>
  </si>
  <si>
    <t>Doors: 36 inches, Cabs: 79 inches wide, 54 inches deep</t>
  </si>
  <si>
    <t>Art Room – Room 139</t>
  </si>
  <si>
    <t>Computer Rooms – Room 223</t>
  </si>
  <si>
    <t>Main Office – Rooms 123, 327, and 427</t>
  </si>
  <si>
    <t>Science Lab – Room 413</t>
  </si>
  <si>
    <t>The auditorium is accessible and is located on the first floor. Stage access is provided via lift. Accessible seating is provided. The gymnasium is accessible and is located on the first floor. The cafeteria is accessible and is located on the first floor. Assistive listening systems have been provided in the auditorium.</t>
  </si>
  <si>
    <t>Accessible seating available upon request. Food servery does not provide clear path.</t>
  </si>
  <si>
    <t>There are accessible student bathrooms (boys) available on the first, second and third floors. There are accessible student bathrooms (girls) available on the first and third floors. There is an accessible staff bathroom (male) available on the first floor. There is an accessible single-user (unisex) bathroom (for student and staff use) available on the second floor.</t>
  </si>
  <si>
    <t>Boys Bathrooms – Rooms 141, 212, and 312</t>
  </si>
  <si>
    <t>Boys Bathrooms – Room 412</t>
  </si>
  <si>
    <t>Girls Bathrooms – Rooms 145, and 316</t>
  </si>
  <si>
    <t>Girls Bathrooms – Rooms 416</t>
  </si>
  <si>
    <t>Staff Bathrooms – Room 136</t>
  </si>
  <si>
    <t>Staff Bathrooms - 122, 134, 231, 233, 331,333, 431, and 433</t>
  </si>
  <si>
    <t>Single-User (Unisex) Bathrooms – Room 216</t>
  </si>
  <si>
    <t>4222 4Th Avenue, Brooklyn, NY 11232</t>
  </si>
  <si>
    <t xml:space="preserve">The nearest accessible subway station is the Atlantic Avenue-Barclays Center-4 Avenue Station (B, D, N, Q, R, 2, 3, 4, and 5 trains), 2.78 miles distant. MTA bus service (B35, B37, B63, and B70) is also nearby. The accessible entrance to K333 is not the same as the main entrance; the accessible entrance is located on Fourth Avenue and is reached through the courtyard to the right of the main entrance (Exit 3). The accessible entrance includes a ramp. The ramp is inaccessible due to a change of elevation (1 inch) at the entry point and includes no level landing. The accessible entrance does not include a doorbell or security cameras. Visitors may have to contact the site in advance to gain access to this facility through the accessible entrance. </t>
  </si>
  <si>
    <t xml:space="preserve">Accessible entrance located in courtyard adjacent to main entrance. </t>
  </si>
  <si>
    <t xml:space="preserve">Ramped access from the courtyard to the first floor. Ramp is inaccessible due to lack of level landing and a change of elevation (1 inches) at the accessible entrance. </t>
  </si>
  <si>
    <t xml:space="preserve">Some door saddles are high, which may be difficult for some users to navigate. Some water fountains and other wall-mounted objects protrude in the corridors more than 4 inches, which may present difficulties for individuals with visual disabilities. Braille signs are included throughout the building.  </t>
  </si>
  <si>
    <t xml:space="preserve">One passenger elevator provides access to the cellar through third floors. Elevator does not provide access to the fourth floor. Elevator does not include audible signals on each floor.  </t>
  </si>
  <si>
    <t>Doors: 42 inches, Cab: 80 inches wide, 51 inches deep.</t>
  </si>
  <si>
    <t xml:space="preserve">This site is not accessible. All classrooms are not accessible and are not located along accessible routes. </t>
  </si>
  <si>
    <t>Room 318A</t>
  </si>
  <si>
    <t xml:space="preserve"> Rooms 104A</t>
  </si>
  <si>
    <t>Room 313A</t>
  </si>
  <si>
    <t>Room 410</t>
  </si>
  <si>
    <t xml:space="preserve">This site does not include an auditorium; the gymnasium fulfills this function. The gymnasium is not accessible and is located on the first floor. Stage access is provided via a ramp. Accessible seating is provided. The cafeteria is not accessible and is located on the first floor. Assistive listening systems have been provided in the gymnasium.  </t>
  </si>
  <si>
    <t xml:space="preserve">Not on an accessible route. Accessible seating available upon request. </t>
  </si>
  <si>
    <t xml:space="preserve">Gymnasium fulfills the function of auditorium. 
Not on an accessible route. Stage access via ramp. Accessible seating is provided. Assistive listening systems have been provided. </t>
  </si>
  <si>
    <t>There are accessible student bathrooms (girls) in the basement and first floor. There are accessible student bathrooms (boys) in the basement. There is also an accessible single-user (unisex) bathroom (available for students and staff) on the third floor. Accessible staff bathrooms exist on the first, and third floors.</t>
  </si>
  <si>
    <t>Rooms C07 and 110</t>
  </si>
  <si>
    <t>Rooms C06, 112, 209 and 311</t>
  </si>
  <si>
    <t>Rooms C26, 103B, 107, 127, 129A, 210B, 225, 229, 313, 327, and 328</t>
  </si>
  <si>
    <t xml:space="preserve">Not on an accessible route. Available for students and staff. Rooms ending with letters are located inside corresponding classrooms. Room 313 is located inside the nurse’s office. Room 210B is located inside the teachers’ lounge. </t>
  </si>
  <si>
    <t>Rooms 101B, 101C, 302C, 304B, 306B and 308B</t>
  </si>
  <si>
    <t xml:space="preserve">Not on an accessible route. Available for students and staff. Located inside corresponding classrooms. Not on an accessible route. Interior dimensions do not provide clear space. </t>
  </si>
  <si>
    <t xml:space="preserve">Fire alarm system has been upgraded and includes a strobe light feature. Holding rooms have been specifically designated as Stairway F, and rooms 217 and 316. </t>
  </si>
  <si>
    <t>130 Rochester Avenue, Brooklyn, NY 11213</t>
  </si>
  <si>
    <t xml:space="preserve">The nearest accessible subway station is the Utica Avenue Subway Station (2, 3, and 4 trains), 0.60 miles distant. MTA bus service (B15, B65, and B46) is also nearby. The accessible entrance to K335 is not the same as the main entrance; the accessible entrance is located on Rochester Avenue (Exit F). The accessible entrance includes a ramp, doorbell, and security cameras. The doorbell is within reach range (height 46 inches). </t>
  </si>
  <si>
    <t xml:space="preserve">This site is moderately accessible; all classrooms located on the ground floor are accessible and are located on accessible routes.  </t>
  </si>
  <si>
    <t>Room 154</t>
  </si>
  <si>
    <t>Room 235</t>
  </si>
  <si>
    <t>Room 105/107</t>
  </si>
  <si>
    <t xml:space="preserve">Room 49 </t>
  </si>
  <si>
    <t>Room 37</t>
  </si>
  <si>
    <t>Room 302</t>
  </si>
  <si>
    <t xml:space="preserve">The auditorium is accessible and is located on the ground floor. Stage access is not provided. Accessible seating is provided. The cafeteria is accessible and is located on the ground floor. The gymnasium is accessible and is located on the ground floor. Assistive listening systems have been provided in the cafeteria. </t>
  </si>
  <si>
    <t xml:space="preserve">The food service line does not provide clear width. Accessible seating available upon request. Assistive listening systems have been provided. </t>
  </si>
  <si>
    <t xml:space="preserve">There are accessible student bathrooms (boys and girls) available on the ground floor. There are accessible single-user (unisex) bathrooms (for student and staff use) available on the ground floor. </t>
  </si>
  <si>
    <t>Room 46</t>
  </si>
  <si>
    <t>Room 232 and 328</t>
  </si>
  <si>
    <t>Room 48</t>
  </si>
  <si>
    <t>Rooms 224 and 324</t>
  </si>
  <si>
    <t>Rooms 50 and 52</t>
  </si>
  <si>
    <t>Rooms 136, 138, 236, and 238</t>
  </si>
  <si>
    <t>21 Hinckley Place, Brooklyn, NY 11218</t>
  </si>
  <si>
    <t xml:space="preserve">The nearest accessible subway station is the Church Avenue Station (F, and G trains), 0.6 miles distant. MTA bus service (B68, B103, BM3, and BM4) is also nearby. The main entrance of K338 is accessible, located on Hinckley Place (Exit # 1). The accessible entrance does include a doorbell and security cameras. The doorbell is located within reach range (Height 44 Inches) </t>
  </si>
  <si>
    <t xml:space="preserve">Doors: 41 Inches, Cabs: 64 Inches wide, 79 Inches deep. </t>
  </si>
  <si>
    <t>Rooms 213, and 511</t>
  </si>
  <si>
    <t>Room 414</t>
  </si>
  <si>
    <t>Room 117 A-E</t>
  </si>
  <si>
    <t>Room 402, 404, and 406</t>
  </si>
  <si>
    <t xml:space="preserve">The auditorium is accessible and is located on the first floor. Stage access is provided via lift. Accessible seating is provided. The cafeteria is accessible and is in the basement. The gymnasium is accessible and is located on the third floor. The multipurpose room which is the occupational training and physical therapy room is accessible and located in room 217. Assistive listening systems have been provided in the auditorium, cafeteria, and gymnasium. </t>
  </si>
  <si>
    <t>OT/PT – Room 217</t>
  </si>
  <si>
    <t xml:space="preserve">There are accessible student bathrooms (boys and girls) available on all floors. There are accessible staff bathrooms (male and female) available on the first floor. There are accessible single-user (unisex) bathrooms (for student and staff use) available on all floors. There are accessible single-user (unisex) bathrooms (for student and staff use) available in classrooms 105A, 102A, 101A, 104A, 301A, 203A, and 201A.     </t>
  </si>
  <si>
    <t>Rooms 510, 408, 310, 212, 108, and C12</t>
  </si>
  <si>
    <t>Rooms 514, 412, 314, 216, and C10</t>
  </si>
  <si>
    <t>Room 112</t>
  </si>
  <si>
    <t>Rooms 517A, 411, 416, 304, 220, 206, 219, 116, and 115</t>
  </si>
  <si>
    <t>Classrooms 105A, 102A, 101A, 104A, 301A, 203A, and 201A</t>
  </si>
  <si>
    <t xml:space="preserve">Fire alarm system has been upgraded and includes a strobe light feature. Holding rooms have been specifically designated as rooms 502, 401, 302, and 202. </t>
  </si>
  <si>
    <t xml:space="preserve">This site includes central air; Air-conditioning temperature control units provided in classrooms. </t>
  </si>
  <si>
    <t>1400 Pennsylvania Avenue, Brooklyn, NY 11239</t>
  </si>
  <si>
    <t>The nearest accessible subway station is Canarsie-Rockaway Parkway Station (L trains), 1.07 miles distant. MTA bus service (B82, B83, BM2, and BM5) is also nearby. The main entrance is accessible, located on Pennsylvania Avenue (Exit 1). The accessible entrance includes a ramp, doorbell, and reception. The doorbell is within reach range (height 44 inches).</t>
  </si>
  <si>
    <t>Ramps at Exit 1 and Exit 5 provide access into the building.</t>
  </si>
  <si>
    <t>Non-compliant door hardware exist throughout the building.</t>
  </si>
  <si>
    <t>This site occupies floors first through fourth in the building. One passenger elevator provides service to all floors. Elevator includes audible signals on each floor.</t>
  </si>
  <si>
    <t>Doors: 39 Inches, Cab: 53 Inches wide, 70 Inches deep.</t>
  </si>
  <si>
    <t>Art Rooms – Room 417</t>
  </si>
  <si>
    <t>Library – Rooms 337 and 339</t>
  </si>
  <si>
    <t>Main Office – Rooms 122 and 423</t>
  </si>
  <si>
    <t>The auditorium is accessible and is located on the first floor. Accessible seating is not provided. Stage access is not provided. The cafeteria is accessible and is located on the first floor. The gymnasium is accessible and is located on the first floor. Assistive listening systems have not been provided in the public assembly areas.</t>
  </si>
  <si>
    <t>Accessible seating is not provided. Stage access is not provided.</t>
  </si>
  <si>
    <t>There are no accessible student bathrooms (boys and girls) available. There are accessible single-user (unisex) bathrooms (for student and staff use) available on the first, third and fourth floors.</t>
  </si>
  <si>
    <t>Boys Bathrooms – Rooms 117, 206, 222, 226, 236, 306, and 322</t>
  </si>
  <si>
    <t>Girls Bathrooms – Rooms 115, 204, 224, 228, 238, 304, and 324</t>
  </si>
  <si>
    <t>Staff Bathrooms – 310, 312, 410, and 412</t>
  </si>
  <si>
    <t>Single-User (Unisex) Bathrooms – Rooms 121, 139, 326, 328, 336, 338, 422, and 424</t>
  </si>
  <si>
    <t>104 Sutter Avenue, Brooklyn, NY 11212</t>
  </si>
  <si>
    <t xml:space="preserve">The nearest accessible subway station is the Utica Avenue Station (2, 3, and 4 trains), 0.76 miles distant. MTA bus service (B7 and B15) is also nearby. The main entrance of K356 is accessible, located on Legion Street, and accessed via courtyard. (Exit 1). The accessible entrance includes a doorbell, reception, and a ramp. The accessible entrance does not include security cameras. The doorbell is not within reach range (Height 49 inches). </t>
  </si>
  <si>
    <t xml:space="preserve">Some door saddles are high, which may be difficult for some users to navigate. Braille signs are included throughout the building.  </t>
  </si>
  <si>
    <t xml:space="preserve">E1 and E2 
Doors: 42 inches, Cabs: 67 inches wide, 51 inches deep. </t>
  </si>
  <si>
    <t>Rooms 221 and 321</t>
  </si>
  <si>
    <t xml:space="preserve">Rooms 101, 314, and 422 </t>
  </si>
  <si>
    <t>Rooms 313, 414, and 421</t>
  </si>
  <si>
    <t xml:space="preserve">The auditorium is accessible and is located on the second floor. Stage access is provided via ramp. Accessible seating is provided. The cafeterias are accessible and are located on the first floor. The gymnasium is accessible and is located on the second floor. Assistive listening systems have been provided in the auditorium, cafeterias, gymnasium, and multi-purpose room. </t>
  </si>
  <si>
    <t>Rooms 126, 226, 318, and 418</t>
  </si>
  <si>
    <t>Rooms 114, 214, 316, and 416</t>
  </si>
  <si>
    <t>Rooms 114B, 116A, 131B, 138B, 214A, 314A, and 417A</t>
  </si>
  <si>
    <t xml:space="preserve">Located inside corresponding rooms. Room 114B is located in the nurse’s office. </t>
  </si>
  <si>
    <t>965 East 107Th Street, Brooklyn, NY 11236</t>
  </si>
  <si>
    <t xml:space="preserve">The nearest accessible subway station is the Flatbush Avenue Station (2 and 5 trains), 3.4 miles distant. MTA bus service (B60 and B82) is also nearby. The main entrance of K366 is accessible, located on 107th Street (Exit 1). The accessible entrance includes a doorbell, reception, and security cameras. The doorbell is located within reach range (Height 47 inches). </t>
  </si>
  <si>
    <t xml:space="preserve">E1 and E2 
Doors: 48 inches, Cabs: 78 inches wide, 61 inches deep. </t>
  </si>
  <si>
    <t>Room 105C</t>
  </si>
  <si>
    <t>Room 402</t>
  </si>
  <si>
    <t xml:space="preserve">This site does not include an auditorium; the gymnasium fulfills this function. The gymnasium is accessible and is located in the basement. Stage access is provided via a ramp. The cafeteria is accessible and is located in the basement. Assistive listening systems have been provided in the cafeteria. </t>
  </si>
  <si>
    <t xml:space="preserve">Stage access is provided via ramp. Accessible seating is provided.  </t>
  </si>
  <si>
    <t>Rooms B20B, B13, 208A, 308A, and 408A</t>
  </si>
  <si>
    <t>Rooms B20A, B7, 314A, and 414A</t>
  </si>
  <si>
    <t>Rooms B11, B9, 214A, 208B, 310, and 410</t>
  </si>
  <si>
    <t xml:space="preserve">This site includes exterior recreational spaces. The exterior recreational spaces are not accessible.  </t>
  </si>
  <si>
    <t xml:space="preserve">Fire alarm system has been upgraded and includes a strobe light feature. Holding rooms have been specifically designated as rooms B08, 201, 301, and 401. </t>
  </si>
  <si>
    <t>383 State Street, Brooklyn, NY 11217</t>
  </si>
  <si>
    <t>to changes in elevation and leads into a narrow lobby that is essentially the first-floor stair landing. This site is connected to the administrative building next door via a second-floor bridge.</t>
  </si>
  <si>
    <t>This site does not include an elevator, preventing accessible vertical transportation throughout the building.</t>
  </si>
  <si>
    <t>This site is not accessible; none of the classrooms are accessible and are located along accessible routes.</t>
  </si>
  <si>
    <t>Main Office – Room 200</t>
  </si>
  <si>
    <t>Nurse’s Office – Room 101B</t>
  </si>
  <si>
    <t>This site does not include an auditorium; the gymnasium fulfills this function. The gymnasium is not accessible and is located on the first floor. Stage access is not provided. Accessible seating is provided. The cafeteria is not accessible and is located in the basement. Assistive listening systems have not been provided in the public assembly spaces.</t>
  </si>
  <si>
    <t>Not on accessible route. Stage access is not provided. Accessible seating is provided.</t>
  </si>
  <si>
    <t>This site is prevented from obtaining a higher accessibility rating due to lack of accessible bathrooms throughout the building. There are accessible bathrooms available on the basement, first, and third floors, but these are not located on accessible routes.</t>
  </si>
  <si>
    <t>Boys Bathrooms – Room B100</t>
  </si>
  <si>
    <t>Bathroom space is accessible but is not located on accessible route.</t>
  </si>
  <si>
    <t>Girls Bathrooms</t>
  </si>
  <si>
    <t>Staff Bathrooms – Female – Room 105</t>
  </si>
  <si>
    <t>Single-User (Unisex) Bathrooms – Rooms 106 and 307</t>
  </si>
  <si>
    <t>Bathroom spaces are accessible but are not located on accessible routes.</t>
  </si>
  <si>
    <t>Single-User (Unisex) Bathrooms – Rooms 208 and 306</t>
  </si>
  <si>
    <t>Room dimensions are narrow and prevent access.</t>
  </si>
  <si>
    <t>3000 West 1 Street, Brooklyn, NY 11224</t>
  </si>
  <si>
    <t>The nearest accessible subway station is Coney Island Stillwell Ave (D, F, N, and Q trains), 0.9 miles distant. MTA bus service (B1 and B68) is also nearby. The main entrance is accessible, located in the front courtyard and accessed via the driveway from West Brighton Avenue, adjacent to Century Playground (Exit 1). The accessible entrance includes a doorbell, security cameras, and reception. The doorbell that is not within reach range (height 52 inches) and is located over an obstruction.</t>
  </si>
  <si>
    <t>Ramps at rear courtyard entrances lack handrails and edge protection.</t>
  </si>
  <si>
    <t>Braille signs are not included throughout the building. Some water fountains and other wall-mounted objects protrude into the corridors more than 4 inches, which may present difficulties for individuals with visual disabilities.</t>
  </si>
  <si>
    <t>Door: 48 inches; Cab: 120 inches wide, 95 inches deep.</t>
  </si>
  <si>
    <t>Art Room – Room 408</t>
  </si>
  <si>
    <t>Computer Rooms – Room 407</t>
  </si>
  <si>
    <t>Main Office – Room 207</t>
  </si>
  <si>
    <t>Nurse’s Office – Room 102</t>
  </si>
  <si>
    <t>The auditorium is accessible and is located on the second floor. Stage access is provided via corridor and lift. Accessible seating is provided. The cafeteria is accessible and is located on the first floor. The gymnasium is accessible and is located on the third floor. Assistive listening systems have been provided in the auditorium.</t>
  </si>
  <si>
    <t>There are accessible student bathrooms (boys) available on the second floor. There are accessible single-user (unisex) bathrooms (for students and staff) available on all floors.</t>
  </si>
  <si>
    <t>Girls Bathrooms – Across from Rm 308, Across from Rm 409</t>
  </si>
  <si>
    <t>Staff Bathrooms – Next to Rm 102 and Across from Rm 208</t>
  </si>
  <si>
    <t>Fire alarm system has been upgraded and includes a strobe light feature. Holding rooms or areas of refuge have been designated; 201, 301, and 401.</t>
  </si>
  <si>
    <t>355 37 Street, Brooklyn, NY 11232</t>
  </si>
  <si>
    <t>The nearest accessible subway station is the 59th Street Station (N, R, and W trains), 1.03 miles distant. MTA bus service (B35, B37, and B70) is also nearby. The accessible entrance to K371 is not the same as the main entrance; the accessible entrance is located on 37th Street (Exit 4) and is reached via the parking lot. The accessible entrance does not include a doorbell, reception, or security cameras. Visitors may want to contact the site prior to arrival in order to gain access via the accessible entrance.</t>
  </si>
  <si>
    <t>Leads directly into the cafeteria.</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</si>
  <si>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Changes in elevation at entry lobbies, vestibules, and stairwells, as well as the lack of vertical transportation, prevent vertical circulation throughout the building.</t>
  </si>
  <si>
    <t>Changes in elevation entry lobbies and vestibules persist throughout the building.</t>
  </si>
  <si>
    <t>This site is not accessible; all classrooms are not accessible and are not located along accessible routes. The cafeteria and auditorium, located in the basement, are the only accessible program areas of this building.</t>
  </si>
  <si>
    <t>Library – Room 202</t>
  </si>
  <si>
    <t>Main Office – Room 117</t>
  </si>
  <si>
    <t>Nurse’s Office – Room 112</t>
  </si>
  <si>
    <t>Science Lab – Room 301</t>
  </si>
  <si>
    <t>The auditorium is accessible and is located in the basement. Stage access is not provided. Accessible seating is not provided. The cafeteria is accessible and is located in the basement. The gymnasium is not accessible and is located on the second floor. Assistive listening systems have not been provided in the public assembly spaces.</t>
  </si>
  <si>
    <t>Boys Bathrooms – Rooms B8, 113A and 213A</t>
  </si>
  <si>
    <t>Rooms B8 and 113A are designated as gender-neutral but contain urinals. Room 213A is accessible but is not located on an accessible route.</t>
  </si>
  <si>
    <t>Girls Bathrooms – Room 313A</t>
  </si>
  <si>
    <t>Room 313A is accessible but is not located on an accessible route.</t>
  </si>
  <si>
    <t>Single-User (Unisex) Bathrooms – Rooms 107, 109, 112F, 207, 209, 309A, and 309B</t>
  </si>
  <si>
    <t>Not on accessible route. Interior partitions prevent access. No clear path at entry. Room 112F is located in the nurse’s office.</t>
  </si>
  <si>
    <t>194 Harman Street, Brooklyn, NY 11237</t>
  </si>
  <si>
    <t>The nearest accessible subway station is Myrtle – Wyckoff Avenues Station (L and M trains), 0.45 miles distant. MTA bus service (B54 and B60) is also nearby. The main entrance is accessible, located on Harman Street (Exit 2). The accessible entrance includes a doorbell and reception. The accessible entrance does not include security cameras. The doorbell is not within reach range (Height 51 inches).</t>
  </si>
  <si>
    <t>Two elevators provide access to all floors. Elevators include audible signals on each floor.</t>
  </si>
  <si>
    <t>E1 and E2 Doors: 45 inches, Cabs: 73 inches wide, 115 inches deep.</t>
  </si>
  <si>
    <t>Computer Rooms - Room 312</t>
  </si>
  <si>
    <t>Library – Room 323</t>
  </si>
  <si>
    <t>Nurse’s Office – Room 209</t>
  </si>
  <si>
    <t>The auditorium is accessible and is located on the first floor. Stage access is provided via corridor. Accessible seating is provided. The cafeteria spaces are accessible and are located on the first floor. The gymnasium is accessible and is located on the second floor. Assistive listening systems have not been provided in the public assembly spaces.</t>
  </si>
  <si>
    <t>There are accessible student bathrooms (boys and girls) available on all floors. There are accessible staff bathrooms (male and female) available on the first floor. There are accessible single-user (unisex) bathrooms (for student and staff use) available on the second and third floors.</t>
  </si>
  <si>
    <t>Boys Bathrooms – First-Floor Lobby and Rooms 204 and 304</t>
  </si>
  <si>
    <t>Girls Bathrooms – First-Floor Lobby and Rooms 208 and 308</t>
  </si>
  <si>
    <t>Staff Bathrooms – First Floor Lobby</t>
  </si>
  <si>
    <t>Single-User (Unisex) Bathrooms – Rooms 208A, 208B, 209A, 308A, and 308B</t>
  </si>
  <si>
    <t>Room 209A is located in the nurse’s office.</t>
  </si>
  <si>
    <t>Fire alarm system has been upgraded and includes a strobe light feature. Holding rooms have been specifically designated as rooms 213 and 313.</t>
  </si>
  <si>
    <t>200 Woodbine Street, Brooklyn, NY 11221</t>
  </si>
  <si>
    <t xml:space="preserve">The nearest accessible subway station is the Myrtle–Wyckoff Avenue Station (L and M trains), 0.5 miles distant. MTA bus service (B52 and B60) is also nearby. The main entrance to K377 is accessible, located on Woodbine Street. The accessible entrance includes a ramp, a doorbell, security cameras, and reception. The doorbell is within reach range (height 42 inches).  </t>
  </si>
  <si>
    <t xml:space="preserve">The ramp handrails are low (height 27 inches), which may present difficulty for some. </t>
  </si>
  <si>
    <t xml:space="preserve">A change in elevation prevents access to some program areas. Braille signs are not included throughout the building. </t>
  </si>
  <si>
    <t xml:space="preserve">A change of elevation (8 steps) prevents access to the gymnasium. </t>
  </si>
  <si>
    <t>Door: 42 inches; Cab: 50 inches deep, 82 inches wide.</t>
  </si>
  <si>
    <t xml:space="preserve">This site offers limited accessibility; all classrooms are accessible and located on accessible routes.  </t>
  </si>
  <si>
    <t>Room 249B</t>
  </si>
  <si>
    <t>Room 117 (32K377) and 309A (84K784)</t>
  </si>
  <si>
    <t>Rooms 331</t>
  </si>
  <si>
    <t xml:space="preserve">The auditorium is accessible and is located on the first floor. Stage access is not provided. Accessible seating is not provided. The cafeteria is accessible and is located on the first floor. The gymnasium is located on the second floor and is not accessible due to a change in elevation. Assistive listening systems have been provided in the auditorium. </t>
  </si>
  <si>
    <t>Change in elevation (8 steps) prevents access.</t>
  </si>
  <si>
    <t xml:space="preserve">This site is prevented from having a higher accessibility rating due to a lack of accessible bathrooms in the building. There are accessible student bathrooms (girls) available on the second floor. There is an accessible staff bathroom available on the first floor. </t>
  </si>
  <si>
    <t>370 Marcy Avenue, Brooklyn, NY 11206</t>
  </si>
  <si>
    <t xml:space="preserve">The nearest accessible subway station is the Flushing Avenue Station (J, M, and Z), 0.7 miles distant. MTA bus (B48) is also nearby. The main entrance to K380 is accessible via ramp, located on Marcy Avenue. The accessible entrance includes a doorbell, security cameras, and reception. The doorbell is within reach range (height 48 inches). </t>
  </si>
  <si>
    <t xml:space="preserve">There is a change in elevation on the first floor preventing access to some program areas. Braille signs are not included throughout the building. </t>
  </si>
  <si>
    <t xml:space="preserve">Change of elevation on first floor prevents access to the gymnasium (6 steps). </t>
  </si>
  <si>
    <t>Door: 41 inches, Cab: 52 inches wide, 81 inches deep.</t>
  </si>
  <si>
    <t xml:space="preserve">This site offers limited accessibility; all classrooms are accessible and located on accessible routes. </t>
  </si>
  <si>
    <t>Room 240</t>
  </si>
  <si>
    <t>Room 103 (14K380) and Room 140 (75K141)</t>
  </si>
  <si>
    <t>Rooms 125 and 127</t>
  </si>
  <si>
    <t xml:space="preserve">The auditorium is accessible and is located on the first floor. Stage access is provided via lift. Accessible seating is provided. The cafeteria is accessible and is located on the first floor. The gymnasium is located on the first floor, lower level and is not accessible due to a change in elevation. Assistive listening systems have not been provided in the public assembly spaces. </t>
  </si>
  <si>
    <t xml:space="preserve">Stage access is provided via lift. Accessible seating is provided. </t>
  </si>
  <si>
    <t>First Floor (Lower Level)</t>
  </si>
  <si>
    <t>Change in elevation prevents access (6 steps).</t>
  </si>
  <si>
    <t xml:space="preserve">There are accessible student bathrooms (girls and boys) available on the second floor. </t>
  </si>
  <si>
    <t>First and Third Floors</t>
  </si>
  <si>
    <t>1300 Greene Avenue, Brooklyn, NY 11237</t>
  </si>
  <si>
    <t>The nearest accessible subway station is Myrtle – Wyckoff Avenue Station (L and M trains), 0.5 miles distant. MTA bus service (B60 and B54) is also nearby. The accessible entrance to K383 is not the same as the main entrance. The accessible entrance is located on the corner of Greene Avenue and Wilson Avenue. The accessible entrance includes a doorbell and security cameras. The doorbell is not within reach range (height: 84 inches). Visitors should contact the site prior to arrival.</t>
  </si>
  <si>
    <t>Braille signs are included in the cafeteria, and gymnasium, but are lacking throughout the rest of the building.</t>
  </si>
  <si>
    <t>Door: 44 inches; Cab: 61 inches deep, 62 inches wide.</t>
  </si>
  <si>
    <t>Rooms 215 and 315</t>
  </si>
  <si>
    <t>Rooms 438 (84K538) and 139 (32K383)</t>
  </si>
  <si>
    <t>Room 135</t>
  </si>
  <si>
    <t>Rooms 201, 251, 301, 351, 401 and 424</t>
  </si>
  <si>
    <t>The auditorium is accessible and is located on the first floor. Stage access is provided via a lift. Accessible seating is not provided. The cafeteria is accessible and is located on the first floor. The gymnasium is accessible and is located on the second floor. Assistive listening systems have been provided in the auditorium.</t>
  </si>
  <si>
    <t xml:space="preserve">Stage access is provided via lift. Accessible seating is not provided.  Assistive listening systems have been provided </t>
  </si>
  <si>
    <t>There are accessible student bathrooms (girls) on the second floor. There are accessible single-user (unisex) bathrooms (for student and staff use) available on the first and second floors.</t>
  </si>
  <si>
    <t>Rooms 216 and 227</t>
  </si>
  <si>
    <t>First, Third and Fourth Floors</t>
  </si>
  <si>
    <t>First Floor and Rooms 217 and 230</t>
  </si>
  <si>
    <t>Maneuvering clearance in the bathroom on the first floor may present difficulties for some users.</t>
  </si>
  <si>
    <t xml:space="preserve">Fire Alarm System includes a strobe light feature. Holding rooms or areas of refuge have been specifically designated. </t>
  </si>
  <si>
    <t xml:space="preserve">The school does not have HVAC/Climate control; A/C units provided in classrooms. </t>
  </si>
  <si>
    <t>242 Cooper Street, Brooklyn, NY 11207</t>
  </si>
  <si>
    <t xml:space="preserve">The nearest accessible subway station is the Myrtle–Wyckoff Avenue (L and M trains), 1.0 mile distant. MTA bus service (B20 and B60) is also nearby. The main entrance to K384 is accessible, located on Cooper Street. The accessible entrance includes a ramp, a doorbell, and security cameras. The doorbell is within reach range (height 48 inches). </t>
  </si>
  <si>
    <t>Door: 42 inches; Cab: 50 inches wide, 65 inches deep.</t>
  </si>
  <si>
    <t xml:space="preserve">This site is offers limited accessibility; all classrooms and public assembly areas are accessible and located on accessible routes. </t>
  </si>
  <si>
    <t>Rooms 211 and 315</t>
  </si>
  <si>
    <t xml:space="preserve">Rooms 130/131 and 311 </t>
  </si>
  <si>
    <t>Room 105 (32K384) and 332K (75K053)</t>
  </si>
  <si>
    <t>Room 321</t>
  </si>
  <si>
    <t xml:space="preserve">The auditorium is accessible and is located on the first floor. Stage access is provided via a lift. Accessible seating is provided. The cafeteria is accessible and is located on the first floor. The gymnasium is accessible and is located on the first floor. Assistive listening systems have been provided in the auditorium. </t>
  </si>
  <si>
    <t xml:space="preserve">Stage access is provided via a lift. Accessible seating is provided. Assistive listening systems have been provided. </t>
  </si>
  <si>
    <t xml:space="preserve">This site is prevented from attaining a higher accessibility rating due to lack of accessible bathrooms throughout the building. There are accessible student bathrooms (girls) available on the first floor.  </t>
  </si>
  <si>
    <t xml:space="preserve">Limited maneuvering clearance may pose difficulty for some. </t>
  </si>
  <si>
    <t>790 East New York Avenue, Brooklyn, NY 11203</t>
  </si>
  <si>
    <t xml:space="preserve">The nearest accessible subway station is the Utica Avenue Station (4 and 5 trains), 0.5 miles distant. MTA bus service (B12 and B47) is also nearby. The accessible entrance to K391 is not the same as the main entrance; the accessible entrance is located on Maple Street. The accessible entrance includes a ramp, a doorbell, and security cameras. The doorbell is within reach range (height 40 inches). </t>
  </si>
  <si>
    <t>Door: 60 inches; Cab: 55 inches wide, 85 inches deep.</t>
  </si>
  <si>
    <t>Room B73</t>
  </si>
  <si>
    <t>Rooms 103 (17K722) and Room 173 (84K356)</t>
  </si>
  <si>
    <t>Rooms B23, 117, 121, and 223</t>
  </si>
  <si>
    <t xml:space="preserve">The auditorium is accessible and is located on the first floor. Stage access is provided via a lift. Accessible seating is provided. The cafeteria is accessible and located in the basement. The gymnasium is accessible and is located on the first floor. Assistive listening systems have not been provided in the public assembly areas. </t>
  </si>
  <si>
    <t xml:space="preserve">This site is prevented from attaining a higher accessibility rating due to lack of accessible bathrooms throughout the building. There are accessible student bathrooms (girls and boys) available on the first floor. </t>
  </si>
  <si>
    <t>1001 East  45 Street, Brooklyn, NY 11203</t>
  </si>
  <si>
    <t xml:space="preserve">The nearest accessible subway station is the Flatbush Avenue Station (2 and 5 trains), 0.80 miles distant. MTA bus service (B6 and B46) is also nearby. The main entrance of K395 is accessible, located on East 45th Street (Exit 1).  The accessible entrance does include a security camera and doorbell. The doorbell is within reach range (Height 47 inches). </t>
  </si>
  <si>
    <t xml:space="preserve">Some water fountains and other wall-mounted objects protrude in to the corridors more than 4 inches, which may present difficulties for individuals with visual disabilities. Braille signs are included throughout the building. Braille signs are high and may present difficulties for individuals with visual disabilities.  </t>
  </si>
  <si>
    <t xml:space="preserve">Doors: 36 Inches, Cab: 68 Inches wide, 50 Inches deep. 
Doors: 42 Inches, Cab: 80 Inches wide, 50 Inches deep. </t>
  </si>
  <si>
    <t>229, 311</t>
  </si>
  <si>
    <t>110 (D75); 213(P.S./I.S. 395)</t>
  </si>
  <si>
    <t>319 and 329</t>
  </si>
  <si>
    <t xml:space="preserve">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been provided in the auditorium and cafeteria. </t>
  </si>
  <si>
    <t>314 and 323</t>
  </si>
  <si>
    <t>1st, 2nd, and 4th Floor</t>
  </si>
  <si>
    <t>128, 316, 327</t>
  </si>
  <si>
    <t>2nd and 4th Floor</t>
  </si>
  <si>
    <t>Men's Bath</t>
  </si>
  <si>
    <t>120, 213, and 211</t>
  </si>
  <si>
    <t xml:space="preserve">211 is within the main office. </t>
  </si>
  <si>
    <t xml:space="preserve">Fire alarm system has been upgraded and includes a strobe light feature. Holding rooms have been specifically designated as rooms 201, 237, 301, and 337. </t>
  </si>
  <si>
    <t xml:space="preserve">This site includes central air. </t>
  </si>
  <si>
    <t>110 Chester Street, Brooklyn, NY 11212</t>
  </si>
  <si>
    <t xml:space="preserve">The nearest accessible subway station is the Utica Avenue Subway Station (2, 3, and 4 trains), 1.2 miles distant. MTA bus service (B60, and B14) is also nearby. The main entrance of K396 is accessible, located on Chester Street (Exit #8). The accessible entrance does not include security cameras. The accessible entrance includes a ramp, doorbell, an automatic door, and reception. The doorbell is within reach range (height 41 Inches). </t>
  </si>
  <si>
    <t xml:space="preserve">Some water fountains and other wall-mounted objects protrude in to the corridors more than 4 inches, which may present difficulties for individuals with visual disabilities. Braille signs are included throughout the building, although many are degrading.  </t>
  </si>
  <si>
    <t xml:space="preserve">A passenger elevator provides access to all floors; At the time of visit, the elevator was offline, the elevator was in the process of being upgraded. </t>
  </si>
  <si>
    <t xml:space="preserve">Elevator upgrade in process at time of visit. </t>
  </si>
  <si>
    <t xml:space="preserve">This site is moderately accessible; all classrooms are accessible and are located along accessible routes. </t>
  </si>
  <si>
    <t xml:space="preserve">Elevator upgrade in process. </t>
  </si>
  <si>
    <t>Room 164</t>
  </si>
  <si>
    <t>Room 174</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</si>
  <si>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and cafeteria. </t>
  </si>
  <si>
    <t xml:space="preserve">Stage access is not provided. Accessible seating is provided. Assistive listening systems have been provided. </t>
  </si>
  <si>
    <t>Room 374 </t>
  </si>
  <si>
    <t xml:space="preserve">There are accessible student bathrooms (boys) available on the second and third floors. There are accessible single-user (unisex) bathrooms (for student and staff use) available in the first-floor classrooms. There are accessible single-user (unisex) bathrooms (for student and staff use) available on the third floor.   </t>
  </si>
  <si>
    <t>Rooms 355 and 255</t>
  </si>
  <si>
    <t>Rooms 363 and 361</t>
  </si>
  <si>
    <t>Rooms 343 and 344</t>
  </si>
  <si>
    <t>Classrooms 171, 175, 159, 163, and 165</t>
  </si>
  <si>
    <t xml:space="preserve">Fire alarm system has been upgraded and includes a strobe light feature. Holding rooms have been specifically designated as rooms 368, 350, 268, and 250. </t>
  </si>
  <si>
    <t>490 Fenimore Street, Brooklyn, NY 11203</t>
  </si>
  <si>
    <t>The nearest accessible subway station is Church Avenue Station (2 and 5 trains), 0.7 miles distant. MTA bus service (B44 and B49) is also nearby. The accessible entrance to building K397 is not the same as the main entrance; the accessible entrance is located in the back of the school near the playground. The accessible entrance does not include a doorbell, reception, or security cameras; visitors should contact the site prior to arrival.</t>
  </si>
  <si>
    <t xml:space="preserve">Ramped access from the yard area into the multipurpose room. </t>
  </si>
  <si>
    <t xml:space="preserve">The accessible entrance leads directly into the multi-purpose room and is adjacent to the elevator. One passenger elevator provides access to all floors. Elevator doors do not provide clear width and may pose difficulty for some. Elevator includes audible signals on each floor. </t>
  </si>
  <si>
    <t xml:space="preserve">Door: 31 inches, Cab: 59 inches deep, 41 inches wide. </t>
  </si>
  <si>
    <t>Room 104A</t>
  </si>
  <si>
    <t xml:space="preserve">This site does not include an auditorium or gymnasium; the multi-purpose room fulfills these functions. The multi-purpose room is accessible and is located on the first floor. Stage access is not provided. Accessible seating is provided. The cafeteria is accessible and is located on the first floor. Assistive listening systems have not been provided in the public assembly areas. </t>
  </si>
  <si>
    <t xml:space="preserve">There are accessible student bathrooms (boys) available on the first floor. There are accessible student bathrooms (girls) available on the third floor. There are no accessible staff bathrooms in the building. </t>
  </si>
  <si>
    <t>Room 304D</t>
  </si>
  <si>
    <t>60 East  94 Street, Brooklyn, NY 11212</t>
  </si>
  <si>
    <t xml:space="preserve">The nearest accessible subway station is the Utica Avenue Station (2, 3, and 4 trains), 0.39miles distant. MTA bus service (B12) is also nearby. The main entrance of K398 is accessible, located on East 94th Street (Exit 5). The accessible entrance includes a ramp and reception. The accessible entrance does not include a doorbell or security cameras. </t>
  </si>
  <si>
    <t xml:space="preserve">Ramp lacks handrails. Minor concrete degradation. </t>
  </si>
  <si>
    <t xml:space="preserve">Doors: 42 inches, Cab: 78 inches wide, 52 inches deep. </t>
  </si>
  <si>
    <t>Room 180</t>
  </si>
  <si>
    <t>Room 189</t>
  </si>
  <si>
    <t>Room 151</t>
  </si>
  <si>
    <t>Rooms 117, 153, and 261</t>
  </si>
  <si>
    <t>Room 191</t>
  </si>
  <si>
    <t xml:space="preserve">The auditorium is accessible and is located on the first floor. Stage access is not provided. Accessible seating is provided. The cafeteria is accessible and is located on the first floor. The gymnasium is accessible and is located in the basement. The multi-purpose room is not accessible and is located on the third floor. Assistive listening systems have been provided in the auditorium. </t>
  </si>
  <si>
    <t xml:space="preserve">Change in elevation (2 steps) prevents access. </t>
  </si>
  <si>
    <t xml:space="preserve">This site is prevented from attaining a higher accessibility rating due to lack of accessible bathrooms throughout the building. There are accessible student bathrooms (boys and girls) available on the first floor.  </t>
  </si>
  <si>
    <t>Room 174A</t>
  </si>
  <si>
    <t>Room 174B</t>
  </si>
  <si>
    <t>Rooms 148, 253, 254, and 288A</t>
  </si>
  <si>
    <t>Rooms B14, B15, 146, and 191A</t>
  </si>
  <si>
    <t>All Second-Floor Classrooms</t>
  </si>
  <si>
    <t>2707 Albemarle Road, Brooklyn, NY 11226</t>
  </si>
  <si>
    <t>The nearest accessible subway station is Church Avenue Station (2 and 5 trains), 0.3 miles distant. MTA B35 and B44 bus service is also nearby. The accessible entrance to K399 is not the same as the main entrance; the accessible entrance is located behind the school near the play yard (Exit 2). At the accessible entrance there is a ramp. There is no doorbell or security cameras, visitors will need to call in advance to gain access.</t>
  </si>
  <si>
    <t>Some water fountains and other wall-mounted objects protrude in to the corridors more than 4 inches, which may present difficulties for individuals with visual disabilities. Braille signs are not included throughout the building.</t>
  </si>
  <si>
    <t>A passenger elevator provides access to all floors. Elevator does not include audible signals on each floor. Please note elevator is not accessible due to the dimensions of the cab not providing clear path of travel. </t>
  </si>
  <si>
    <t>Doors: 31 inches, Cabs: 59 inches wide, 44 inches deep.</t>
  </si>
  <si>
    <t>This site is minimally accessible; all classrooms located on the first floor are accessible and located on accessible routes. Classrooms located above the first floor may not be accessible due to elevator cab not providing clear path of travel. The accessibility of this site is greatly affected because of a lack of accessible student bathrooms.</t>
  </si>
  <si>
    <t>Second, and Third Floors</t>
  </si>
  <si>
    <t>Elevator doors do not provide clear path.</t>
  </si>
  <si>
    <t>Rooms 250, 254, and 256</t>
  </si>
  <si>
    <t>The multi-purpose room is accessible and is located on the first floor, accessible seating is provided. The multi-purpose room does not provide stage access to the temporary stage. The cafeteria is accessible and is located on the first floor. Assistive listening systems have not been provided in the public assembly areas.</t>
  </si>
  <si>
    <t>No stage access. Accessible seating is provided.</t>
  </si>
  <si>
    <t>There are no accessible student bathrooms (girls and boys) in the building. There are single-user (unisex) bathrooms (available for students and staff) on the second and third floor, although they may not accessible due to the elevator doors not providing clear path of travel.</t>
  </si>
  <si>
    <t>Fire alarm system has been upgraded and includes a strobe light feature. Holding rooms or areas of rescue have not been specifically designated.</t>
  </si>
  <si>
    <t>2630 Benson Avenue, Brooklyn, NY 11214</t>
  </si>
  <si>
    <t xml:space="preserve">The nearest accessible subway station is the Coney Island–Stillwell Ave Station (D, F, N, and Q trains), 1.2 miles distant. MTA bus service (B1 and B4) is also nearby. The accessible entrance to K400 is not the same as the main entrance; the accessible entrance is located on Nassau Avenue. The accessible entrance includes a ramp and security cameras. The accessible entrance does not include a doorbell. Visitors may need to contact site in advance to gain access to this facility through the accessible entrance. </t>
  </si>
  <si>
    <t xml:space="preserve">Hallway fire doors do not provide clear path. Non-compliant door hardware. </t>
  </si>
  <si>
    <t>Door: 48 inches; Cab: 79 inches deep, 80 inches wide.</t>
  </si>
  <si>
    <t xml:space="preserve">This site has a moderately accessible; all classrooms are accessible and located on accessible routes.   </t>
  </si>
  <si>
    <t>Rooms 249B, 321, and 325B</t>
  </si>
  <si>
    <t>Room 368</t>
  </si>
  <si>
    <t>Rooms 221 (21K572), 301 (21K337), 133 (21K468), 473 (21K348), and 341 (21K559)</t>
  </si>
  <si>
    <t>Rooms B48 and B59</t>
  </si>
  <si>
    <t>Rooms 107, 205, 306, and 311</t>
  </si>
  <si>
    <t xml:space="preserve">The auditorium is accessible and is located on the first floor. Stage access is provided via a lift. Accessible seating is provided. The cafeteria is accessible and is located in the basement. The gymnasiums are accessible and are located on the first and fourth floors. Assistive listening systems have been provided in the auditorium and the cafeteria. </t>
  </si>
  <si>
    <t>Accessible seating available upon request. Assistive listening have been provided.</t>
  </si>
  <si>
    <t>First and Fourth Floors</t>
  </si>
  <si>
    <t xml:space="preserve">There are accessible student bathrooms (girls and boys) available on the first and third floors. There is an accessible single-user (unisex) bathroom (for student and staff use) available on the second floor. </t>
  </si>
  <si>
    <t xml:space="preserve">Basement, Second, and Fourth Floors </t>
  </si>
  <si>
    <t>2839 Bedford Avenue, Brooklyn, NY 11210</t>
  </si>
  <si>
    <t>The nearest accessible subway station is the Flatbush Av-Brooklyn College Station (2 and 5 trains), 0.4 miles distant. MTA bus service (B6 and B11) is also nearby. This building does not include an accessible entrance.</t>
  </si>
  <si>
    <t>Ramp located at entrance Exit 11.</t>
  </si>
  <si>
    <t>This site occupies floors Basement through fourth in the building. One passenger elevator provides access to all floors. Elevator includes audible signals on each floor.</t>
  </si>
  <si>
    <t>Doors: 48 inches, Cabs: 71 inches wide, 88 inches deep.</t>
  </si>
  <si>
    <t>This site is not accessible; all classrooms are accessible but are not located along accessible routes. Changes in elevation on the third floor prevent access to some program areas.</t>
  </si>
  <si>
    <t>Art Rooms – Room 304</t>
  </si>
  <si>
    <t>Classrooms – Room 346A, 346B</t>
  </si>
  <si>
    <t>Change in elevation (4 steps) prevents access. Not on an accessible route.</t>
  </si>
  <si>
    <t>Computer Rooms – Rooms 353 and 480</t>
  </si>
  <si>
    <t>Library – Room 100- 1A</t>
  </si>
  <si>
    <t>Located in building K705.</t>
  </si>
  <si>
    <t>Nurse’s Office – Room 257</t>
  </si>
  <si>
    <t>Science Labs – Rooms 215, 219, 313, and 319</t>
  </si>
  <si>
    <t>Located in building K705</t>
  </si>
  <si>
    <t>Not on an accessible route. Stage access is not provided. Accessible seating is not provided.</t>
  </si>
  <si>
    <t>Not on an accessible route. Accessible seating available upon request.</t>
  </si>
  <si>
    <t>Boys Bathrooms – Rooms B21, and 221</t>
  </si>
  <si>
    <t>Girls Bathrooms – Rooms B63, and 463</t>
  </si>
  <si>
    <t>Girls Bathroom – Room 368</t>
  </si>
  <si>
    <t>Staff Bathrooms – Rooms 138, 152, 230, 258, 330, 358, 430, and 458</t>
  </si>
  <si>
    <t>This site includes does not include exterior recreational spaces.</t>
  </si>
  <si>
    <t>https://nycdoe.sharepoint.com/:w:/s/BAP/EZG_55MTnCJNmMnDPsLJnTwBCu0M0NXwAJeztkN8_6OXxQ</t>
  </si>
  <si>
    <t>2800 Ocean Parkway, Brooklyn, NY 11235</t>
  </si>
  <si>
    <t>The nearest accessible subway station is Coney Island ‐ Stillwell Ave Station (D, F, N, and Q trains), 1.0 miles distant. MTA bus service (B1, B4 and B36) is also nearby. The accessible entrance to K410 is not the same as the main entrance. The accessible entrance is located on West Ave (Exit 3). The accessible entrance includes a ramp, doorbell and security cameras. The doorbell is within reach range (height 49 inches).</t>
  </si>
  <si>
    <t>Braille signs are not included throughout the building. Access in the basement is limited to a single corridor due to the boiler room blocking access. This prevents access to a weight room and the pool.</t>
  </si>
  <si>
    <t>Door: 48 inches; Cab: 80 inches deep, 82 inches wide</t>
  </si>
  <si>
    <t>This site is highly accessible; all classrooms are accessible and on accessible routes.</t>
  </si>
  <si>
    <t>Art Room – Rooms 321, and 323</t>
  </si>
  <si>
    <t>Computer Rooms – Rooms 203, 204, 206, 221, 307, 319</t>
  </si>
  <si>
    <t>Library – Room 300</t>
  </si>
  <si>
    <t>Nurse’s Office – Room B2</t>
  </si>
  <si>
    <t>Science Lab – Rooms 140, 239, 240, 334</t>
  </si>
  <si>
    <t>The auditorium is accessible and is located on the first floor. Stage access is provided via a lift. Accessible seating is provided. The cafeteria is accessible and is located in the basement. The gymnasiums are accessible and are located on the first floor. The pool is not accessible and is located in the basement. Assistive listening systems have not been provided in the public assembly areas.</t>
  </si>
  <si>
    <t>Gymnasium – First Floor (Boys, Girls, and Girls South)</t>
  </si>
  <si>
    <t>Pool - Basement</t>
  </si>
  <si>
    <t>Change in elevation prevents access. At-grade access is prevented due to the location of the boiler room.</t>
  </si>
  <si>
    <t>There are accessible student bathrooms (girls and boys) available on all floors.</t>
  </si>
  <si>
    <t>This site includes exterior recreational spaces. The exterior recreational spaces are accessible.</t>
  </si>
  <si>
    <t>5800 Tilden Avenue, Brooklyn, NY 11203</t>
  </si>
  <si>
    <t>The nearest accessible subway station is Rockaway Parkway Station (L train), 1.5 miles distant. MTA bus service (B7 and B47) is also nearby. The accessible entrance to K415 is not the same as the main entrance. The accessible entrance is located on East 57th Street and is accessed via an inclined driveway from the street. The accessible entrance includes security cameras. The accessible entrance does not include a doorbell or reception; visitors should call in advance to gain access to the facility.</t>
  </si>
  <si>
    <t>Concrete degradation at accessible entrance.</t>
  </si>
  <si>
    <t>Inclined driveway from 57th street</t>
  </si>
  <si>
    <t>One passenger elevator provides access to all floors in the building. Elevator does not include audible signals on each floor.</t>
  </si>
  <si>
    <t>Door: 42 inches, Cab: 42 inches deep, 88 inches wide. Elevator lacks call-out function for emergency services.</t>
  </si>
  <si>
    <t>This site is moderately accessible, most classrooms are accessible and located on accessible routes.</t>
  </si>
  <si>
    <t>Art Room – Rooms 221, and 323</t>
  </si>
  <si>
    <t>Classrooms – Basement band, music, and theater classrooms, Room B80</t>
  </si>
  <si>
    <t>Computer Rooms – Rooms 119, 149, 203, 204, 321, and 333</t>
  </si>
  <si>
    <t>Main Office – Rooms 109, 137, 232, and 331A</t>
  </si>
  <si>
    <t>Nurse’s Office – Room B46</t>
  </si>
  <si>
    <t>Science Lab – Rooms 140, 240, 241, 340, 327, and 361</t>
  </si>
  <si>
    <t>The auditorium is accessible and is located on the first floor. Stage access is provided via a lift. Accessible seating is provided. The cafeteria is accessible and is located in the basement. The gymnasiums are accessible and are located on the first floor. The main gym elevated track is not accessible and is located on the second floor. The pool is not accessible and is located in the basement. Assistive listening systems have been provided in the auditorium.</t>
  </si>
  <si>
    <t>Auditorium – First Floors</t>
  </si>
  <si>
    <t>Gymnasiums (Gym 1, 2, and 3) – First Floor</t>
  </si>
  <si>
    <t>Gym 3 elevated track is not accessible.</t>
  </si>
  <si>
    <t>There are accessible bathrooms for students (boys) on the first floor. There are accessible bathrooms for students (girls) on the basement, first, and second floors. There are accessible staff bathrooms on the second, and third floors. There are accessible single-user (unisex) bathrooms (for student and staff use) available on the first through third floors.</t>
  </si>
  <si>
    <t>Boys Bathrooms – Room 144A</t>
  </si>
  <si>
    <t>Girls Bathroom – Rooms B43, 120B and 220B</t>
  </si>
  <si>
    <t>Girls Bathroom – Room 320</t>
  </si>
  <si>
    <t>Staff Bathrooms – Rooms 234A, 244, 245A</t>
  </si>
  <si>
    <t>Staff Bathrooms – Rooms 234A, 244A, 245A, and 346A</t>
  </si>
  <si>
    <t>Single-User (Unisex) Bathrooms – Rooms 120A, 136A, 136, 220A, and 345A</t>
  </si>
  <si>
    <t>Fire alarm system has been upgraded and includes a strobe light feature. Holding rooms have been specifically designated as rooms 109, 209, and 309.</t>
  </si>
  <si>
    <t>999 Jamaica Avenue, Brooklyn, NY 11208</t>
  </si>
  <si>
    <t>The nearest accessible subway station is Euclid Avenue Station (A and C trains), 1.4 miles distant. MTA bus service (Q56) is also nearby. The accessible entrance to K420 is not the same as the main entrance; the accessible entrance is located on Dexter Court (Exit 3). The accessible entrance includes a ramp, doorbell, and security cameras. The doorbell is within reach range (height 48 inches).</t>
  </si>
  <si>
    <t>Pull side clearance at accessible entrance limited by platform railing.</t>
  </si>
  <si>
    <t>Two passenger elevators provide access from the basement to the fourth floor of the building. Elevator access to the fifth and sixth floors is not provided, preventing access to the band room and some administrative offices. Elevators include audible signals on each floor.</t>
  </si>
  <si>
    <t>Door: 40 inches; Cabs: 90 inches deep, 75 inches wide.</t>
  </si>
  <si>
    <t>This site is moderately accessible; most classrooms are accessible and located on accessible routes. The fifth floor is not accessible via elevator; the only classroom located on this floor is the band room.</t>
  </si>
  <si>
    <t>Classrooms – Basement through Fourth Floor</t>
  </si>
  <si>
    <t>Computer Rooms – Rooms 212, 300, 301A, 306, 365 and 465</t>
  </si>
  <si>
    <t>Library – Room 366</t>
  </si>
  <si>
    <t>Main Office – Rooms 102, 254, 310, 350, 401, and 461</t>
  </si>
  <si>
    <t>Room 102 – Brooklyn Lab School Room 254 – Kings Collegiate Charter School Room 310 – Academy of Innovative Technology Room 350 – The Urban Assembly School Room 401 – Cypress Hills Collegiate Preparatory School Room 461 – Multicultural High School</t>
  </si>
  <si>
    <t>Nurse’s Office – Room 167</t>
  </si>
  <si>
    <t>Science Lab – Rooms 144, 149, 346 and 354</t>
  </si>
  <si>
    <t>The auditorium is accessible and is located on the first floor. Stage access is provided via lift. Accessible seating is provided. The cafeteria is accessible and is located in the basement. The gymnasiums are accessible and are located on the first floor. The pool is not accessible and is located in the basement. Assistive listening systems have not been provided in the public assembly spaces.</t>
  </si>
  <si>
    <t>Gymnasiums – First Floor</t>
  </si>
  <si>
    <t>There are two gymnasiums located on the first floor.</t>
  </si>
  <si>
    <t>Pool – Basement</t>
  </si>
  <si>
    <t>Not on an accessible route. Change in elevation (20 steps) prevents access.</t>
  </si>
  <si>
    <t>There are accessible student bathrooms (girls and boys) available in the basement and on the first, third, and fourth floors. There is a single-user bathroom (for staff and student use) available on the first floor.</t>
  </si>
  <si>
    <t>Boys Bathroom – Basement, First Floor, Rooms 357 and 457</t>
  </si>
  <si>
    <t>Boys Bathroom – Second Floor</t>
  </si>
  <si>
    <t>Girls Bathroom – Basement, First Floor, Rooms 351 and 451</t>
  </si>
  <si>
    <t>Located inside the School-Based Health Clinic</t>
  </si>
  <si>
    <t>Single-User (Unisex) Bathroom – Room 504</t>
  </si>
  <si>
    <t>Fire alarm system includes a strobe light feature. Holding rooms or areas of refuge have been specifically designated as rooms 112, 212, 312, 412, and 501.</t>
  </si>
  <si>
    <t>This site does not include central air. Air-conditioning units have been provided in the classrooms.</t>
  </si>
  <si>
    <t>1065 Elton Street, Brooklyn, NY 11239</t>
  </si>
  <si>
    <t xml:space="preserve">The nearest accessible subway station is the Euclid Av Station (A trains), 1.6 miles distant. MTA bus service (B83 and B84) is also nearby. The main entrance of K422 is accessible, located on Elton Street (Exit 1). The accessible entrance includes a doorbell, reception, and security cameras. The doorbell is located within reach range (Height 46 inches). </t>
  </si>
  <si>
    <t xml:space="preserve">E1 and E2 
Doors: 47 inches, Cabs: 63 inches wide, 78 inches deep. </t>
  </si>
  <si>
    <t>Rooms 343 and 443</t>
  </si>
  <si>
    <t>Room 241</t>
  </si>
  <si>
    <t xml:space="preserve">Rooms 227 (75K053), 334 (19K422), and 434  (19K404) </t>
  </si>
  <si>
    <t>Rooms 109 and 214</t>
  </si>
  <si>
    <t>Rooms 321, 325, 326, 421, 425, and 426</t>
  </si>
  <si>
    <t xml:space="preserve">The auditorium is accessible and is located on the first floor. Stage access is provided via ramp. Accessible seating is provided. The cafeteria is accessible and is located on the first floor. The gymnasium is accessible and is located on the first floor. Assistive listening systems have not been provided in the public assembly spaces. </t>
  </si>
  <si>
    <t xml:space="preserve">Stage access is provided via a ramp. Accessible seating is provided. </t>
  </si>
  <si>
    <t xml:space="preserve">There are accessible student bathrooms (boys and girls) available on all floors. There are accessible single-user (unisex) bathrooms (for students and staff use) available on all floors. There are accessible single-user (unisex) bathrooms (for students and staff use) available within corresponding classrooms on the second floor. </t>
  </si>
  <si>
    <t>Rooms 133, 233, 333, and 433</t>
  </si>
  <si>
    <t>Rooms 129, 229, 329, and 429</t>
  </si>
  <si>
    <t>Rooms 154B, 154D, 152, 201, 216, 248, 316, 324A, 353, 416, 424A, and 453</t>
  </si>
  <si>
    <t>Classrooms 225A</t>
  </si>
  <si>
    <t xml:space="preserve">Fire alarm system has been upgraded and includes a strobe light feature. Holding rooms have been specifically designated as rooms 141, 250, 334, 349, and 449. </t>
  </si>
  <si>
    <t>3787 Bedford Avenue, Brooklyn, NY 11229</t>
  </si>
  <si>
    <t>The nearest accessible subway station is Kings Highway Station (2 and 5 trains), 0.2 miles distant. MTA bus service (B9 and B49) is also nearby. The accessible entrance to building K425 is not the same as the main entrance, and is located off Bedford Avenue (Exits 1 and 2). The accessible entrance includes security cameras and reception. The accessible entrance does not include a doorbell; visitors may need to contact site in advance to gain access to this facility through the accessible entrance.</t>
  </si>
  <si>
    <t>Corridor doors do not provide clear path.</t>
  </si>
  <si>
    <t>Three passenger elevators on site provides access to all floors in the building. Elevators include audible signals on each floor.</t>
  </si>
  <si>
    <t>E1: Door: 42 inches; Cab: 52 inches wide, 79 inches deep. E2 and E3: Doors: 38 inches; Cabs: 65 inches wide, and 85 inches deep.</t>
  </si>
  <si>
    <t>This site offers limited accessibility: All classrooms are accessible. Clearances at corridor doors may present difficulty for some.</t>
  </si>
  <si>
    <t>Art Room – Rooms 416, 428, 434, 436, and 438</t>
  </si>
  <si>
    <t>Computer Rooms – Rooms 301, 345, 350A, 356, 401, 405, and 462</t>
  </si>
  <si>
    <t>Library – Room 224</t>
  </si>
  <si>
    <t>Main Office – Room 102</t>
  </si>
  <si>
    <t>Nurse’s Office – Rooms 121, and 299</t>
  </si>
  <si>
    <t>Science Lab – Rooms 388, 391, 399, 481, 487, and 499</t>
  </si>
  <si>
    <t>The auditorium is accessible and is located on the first floor. Stage access is provided via corridor. Accessible seating is provided. The cafeteria accessible and is located on the first floor. The first-floor gymnasium is accessible. The third-floor and fourth-floor gymnasiums are not accessible. The multi-purpose room is accessible and is located the second floor. The music room is accessible and is located on the first floor. Assistive listening systems have been provided in the music room.</t>
  </si>
  <si>
    <t>Gymnasiums – First Floor - 1A, 1B, and 1C</t>
  </si>
  <si>
    <t>Gymnasium – Third Floor - 3A, 3B, and 3C; Fourth Floor</t>
  </si>
  <si>
    <t>Corridor doors do not provide clear path; Change of elevation prevents access to the fourth floor gymnasium</t>
  </si>
  <si>
    <t>Multi-Purpose Room – First Floor Music Room</t>
  </si>
  <si>
    <t>Multi-Purpose Room – Room 285</t>
  </si>
  <si>
    <t>This site is prevented from having a higher accessibility rating due to a lack of accessible bathrooms in the building. There is an accessible single‐user (unisex) bathroom (for student and staff use) available on the second floor.</t>
  </si>
  <si>
    <t>Fire alarm system includes a strobe light feature. Holding areas have not been specifically designated.</t>
  </si>
  <si>
    <t>29 Ft Greene Place, Brooklyn, NY 11217</t>
  </si>
  <si>
    <t>The nearest accessible subway station is Dekalb Avenue Station (B, N, G, and R trains), 0.3 miles distant. MTA bus service (B38, B25, B26, and B52) is also nearby. The accessible entrance to K430 is not the same as the main entrance; the accessible entrance is located on South Elliott Place (Exit 9). The accessible entrance includes a ramp, automatic door openers, security desk, and security cameras. The accessible entrance does not include a doorbell; visitors may want to contact the site prior to arrival in order to gain entrance through the accessible entrance.</t>
  </si>
  <si>
    <t>Eight passenger elevators provide access to all floors. Elevators include audible signals on each floor.</t>
  </si>
  <si>
    <t>Doors: 57 inches, Cabs: 172 inches wide, 88 inches deep.</t>
  </si>
  <si>
    <t>Art Rooms – Rooms 2S14 and 6NB</t>
  </si>
  <si>
    <t>Computer Rooms – Rooms BW22, 1E10, 1N3, 1N4, 1N6, 2E20, 2N2, 2N8, 2W14, 3N6, 3N8, 3W2, 4W4, 4N2, 4N6, 5E7, 6N2, and 6N4</t>
  </si>
  <si>
    <t>Library – 5th Floor</t>
  </si>
  <si>
    <t>Main Office – Rooms 1W6 and 1W8</t>
  </si>
  <si>
    <t>Nurse’s Office – Room 3W22</t>
  </si>
  <si>
    <t>Science Lab – Rooms 2E4, 2E10, 2E12, 3N1, 3N4, 3N6, 3E10, 3E12, 4E6, and 4E10</t>
  </si>
  <si>
    <t>The auditorium is accessible and is located on the first floor. Stage access is provided via corridor from the gymnasium. Accessible seating is not provided. The cafeteria is accessible and is located on the seventh floor. The gymnasiums are accessible and are located on the first and eighth floors. Assistive listening systems have not been provided in the public assembly spaces.</t>
  </si>
  <si>
    <t>Stage access is provided via corridor from the gymnasium. Accessible seating is not provided.</t>
  </si>
  <si>
    <t>Cafeteria – Seventh Floor</t>
  </si>
  <si>
    <t>Gymnasiums – First and Eighth Floors</t>
  </si>
  <si>
    <t>The first-floor gymnasium is accessible via a ramp. Change in elevation (4 steps) prevents access to elevated track. The eighth-floor gymnasium is accessible at grade.</t>
  </si>
  <si>
    <t>There are accessible student bathrooms (boys and girls) available on all floors. There are accessible staff bathrooms (male and female) available on all floors.</t>
  </si>
  <si>
    <t>Fire alarm system has been upgraded and includes a strobe light feature. Holding rooms have been specifically designated as rooms BW2, 2E2, 3E2, 4E2, 5E2, 6E2, 8W18, 9W19</t>
  </si>
  <si>
    <t>1485 Pacific Street, Brooklyn, NY 11216</t>
  </si>
  <si>
    <t xml:space="preserve">The nearest accessible subway station is the Utica Avenue Station (A and C trains), 0.7 miles distant. MTA bus service (B43 and B65) is also nearby. The main entrance to K434 is accessible, located on Pacific Street (Exit 1). The accessible entrance includes a security cameras, doorbell, automatic doors, and reception. The doorbell is within reach range (height 46 inches). </t>
  </si>
  <si>
    <t xml:space="preserve">Doors: 41 inches, Cab: 64 inches wide, 80 inches deep. </t>
  </si>
  <si>
    <t>Rooms 517 and 602</t>
  </si>
  <si>
    <t>Rooms 315, 318, 320, 515, 518, and 524</t>
  </si>
  <si>
    <t xml:space="preserve">This site does not include an auditorium; the cafeteria fulfills this function. The cafeteria is accessible and is located on the first floor. Stage access is provided via lift. Accessible seating is provided. The gymnasiums are accessible and are located on the second and fourth floors. The multi-purpose room is accessible and is located on the sixth floor. Assistive listening systems have not been provided in the public assembly spaces. </t>
  </si>
  <si>
    <t xml:space="preserve">Stage access is provided via lift. Accessible seating is provided. Accessible seating available upon request. </t>
  </si>
  <si>
    <t xml:space="preserve">There are accessible bathrooms (student and staff) available on all floors. There are accessible staff bathrooms (male and female) available on the first floor. There are accessible single-user (unisex) bathrooms (for student and staff use) available on all floors.   </t>
  </si>
  <si>
    <t>Room 605, 510, 410, 310, 210, and 110</t>
  </si>
  <si>
    <t>Rooms 606, 511, 411, 311, 211, and 111</t>
  </si>
  <si>
    <t xml:space="preserve">This site includes central air. Air-conditioning temperature control units provided in classrooms. </t>
  </si>
  <si>
    <t>713 Caton Avenue, Brooklyn, NY 11218</t>
  </si>
  <si>
    <t xml:space="preserve">The nearest accessible subway station is the Utica Station (F and G trains), 0.44 miles distant. MTA bus service (B16 and B68) is also nearby. The main entrance of K437 is accessible, located on Caton Avenue (Exit 1). The accessible entrance includes a doorbell, security cameras, and reception. The doorbell is located within reach range (Height 46 inches). </t>
  </si>
  <si>
    <t xml:space="preserve">Two passenger elevator provides access to all floors.  Elevators include audible signals on each floor. </t>
  </si>
  <si>
    <t xml:space="preserve">E1 and E2 
Doors: 48 Inches, Cabs: 64 Inches wide, 79 Inches deep. </t>
  </si>
  <si>
    <t>Room 328</t>
  </si>
  <si>
    <t>Rooms 121 (15K130), 223 (75K053), and 420 (MS839)</t>
  </si>
  <si>
    <t>Room 229</t>
  </si>
  <si>
    <t>Rooms 433 and 434</t>
  </si>
  <si>
    <t xml:space="preserve">This site does not include an auditorium; the multi-purpose room fulfills this function. The multi-purpose room is accessible and is located on the second floor. Stage access is provided via lift. Accessible seating is provided. The cafeteria spaces are accessible and are located in the cellar and on the fifth floor. The gymnasium is accessible and is located in the cellar. Assistive listening systems have been provided in the cafeteria and gymnasium.  </t>
  </si>
  <si>
    <t>Cellar (Students) and Fifth Floor (Teachers)</t>
  </si>
  <si>
    <t xml:space="preserve">Stage access via lift. Accessible seating is provided. </t>
  </si>
  <si>
    <t xml:space="preserve">There are accessible student bathrooms (boys and girls) available on the second through fifth floors. There are accessible single-user (unisex) bathrooms (for student and staff use) available on all floors.   </t>
  </si>
  <si>
    <t xml:space="preserve">Rooms 225, 325, 428, and 525   </t>
  </si>
  <si>
    <t>Rooms 227, 327, 427, and 527</t>
  </si>
  <si>
    <t>Rooms C29, C31, C35, C37, 116, 118, 216, 218, 316, 318, 416, 418, 516, and 518</t>
  </si>
  <si>
    <t xml:space="preserve">This site does include exterior recreational spaces. Recreational equipment is not accessible. </t>
  </si>
  <si>
    <t xml:space="preserve">Fire alarm system has been upgraded and includes a strobe light feature. Holding rooms have been specifically designated as rooms C33, 201, 301, 401, and 501. </t>
  </si>
  <si>
    <t>883 Classon Avenue, Brooklyn, NY 11225</t>
  </si>
  <si>
    <t>The nearest accessible subway station is Prospect Park Station (B, Q, and S trains), 0.6 miles distant. MTA bus service (B16, B43, and B48) is also nearby. The accessible entrance to K440 is not the same as the main entrance and is located on Union Street. The accessible entrance includes a doorbell and security cameras. The doorbell is within reach range (height 46 inches). Interior lift provides access upon entry.</t>
  </si>
  <si>
    <t>There are several changes of elevation throughout this building that are remediated via interior lifts.</t>
  </si>
  <si>
    <t>E1 and E2: Doors: 42 inches, Cabs: 90 inches wide, 75 inches deep.</t>
  </si>
  <si>
    <t>Art Rooms – Rooms 304, 423, and 501</t>
  </si>
  <si>
    <t>Computer Rooms – Room 332</t>
  </si>
  <si>
    <t>Library – Room 106</t>
  </si>
  <si>
    <t>Main Office – Rooms 128, 328, 428, and 516</t>
  </si>
  <si>
    <t>Nurse’s Office – Room 352A</t>
  </si>
  <si>
    <t>Science Lab – Rooms 216, 401, 404, 410, 507, and 603</t>
  </si>
  <si>
    <t>The auditorium is accessible and is located on the first floor. Stage access is provided via corridor. Accessible seating is provided. The cafeteria is accessible and is located in the basement. The gymnasiums are accessible and are located on the second and third floors. The third-floor gymnasium is accessed via interior lift. The pool is accessible via interior lift and is located on the first floor. Assistive listening systems have not been provided in the public assembly spaces.</t>
  </si>
  <si>
    <t>Gymnasiums – Second and Third Floors</t>
  </si>
  <si>
    <t>Third-floor gymnasium is accessible via lift.</t>
  </si>
  <si>
    <t>Pool – First Floor</t>
  </si>
  <si>
    <t>There are accessible student bathrooms (boys) available on the second through fifth floors. There are accessible student bathrooms (girls) available on the third through fifth floors. There are accessible staff bathrooms available on the second through fifth floors. There are accessible single-user (unisex) bathrooms (for student and staff use) available on the first and fourth floors.</t>
  </si>
  <si>
    <t>Boys Bathrooms – Rooms 235, 333, 433, and 533</t>
  </si>
  <si>
    <t>Girls Bathrooms – Rooms 309, 409, and 509</t>
  </si>
  <si>
    <t>Girls Bathrooms – Rooms 237</t>
  </si>
  <si>
    <t>Staff Bathrooms – Second through Fifth Floors</t>
  </si>
  <si>
    <t>Fire alarm system has been upgraded and includes a strobe light feature. Holding rooms are specifically designated as rooms 112, 126A, 212, 228, 312, 328, 412, 428, 512, 528A.</t>
  </si>
  <si>
    <t>The site does not include central air. Air-conditioning units have been provided in classrooms.</t>
  </si>
  <si>
    <t>1601 80 Street, Brooklyn, NY 11214</t>
  </si>
  <si>
    <t xml:space="preserve">The nearest accessible subway station is the Bay Parkway Station (D train), 1.0 mile distant. MTA bus service (B8) is also nearby. The accessible entrance to K445 is not the same as the main entrance; the accessible entrance is adjacent to the main entrance on 80th Street (Exit 7). The accessible entrance includes a doorbell, security cameras, and reception. The doorbell is doorbell slightly out of reach range (height 50.5 inches). </t>
  </si>
  <si>
    <t>Three passenger elevators provide access to all floors in the building. Elevators include audible signals on each floor.</t>
  </si>
  <si>
    <t>Door: 49 inches, Cabs: 80 inches wide, 80 inches deep.</t>
  </si>
  <si>
    <t>Rooms 324 and 424</t>
  </si>
  <si>
    <t>Rooms 222, 314, 318, 407, and 411</t>
  </si>
  <si>
    <t>Room 162</t>
  </si>
  <si>
    <t>Room 501 and 507</t>
  </si>
  <si>
    <t xml:space="preserve">The auditorium is accessible and is located on the first floor. Stage access is provided via corridor. Accessible seating is not provided. The cafeteria is accessible and is located on the first floor. The gymnasium is accessible and is located on the first floor. The pool is accessible and is located in the basement. Assistive listening systems have been provided in the auditorium. </t>
  </si>
  <si>
    <t xml:space="preserve">Stage access is provided via corridor. Accessible seating is not provided. Assistive listening systems have been provided. </t>
  </si>
  <si>
    <t xml:space="preserve">There are accessible student bathrooms (girls and boys) available on the first, fourth, and fifth floors. There are accessible staff bathrooms (male and female) available on the second floor. </t>
  </si>
  <si>
    <t>First, Fourth, and Fifth Floors</t>
  </si>
  <si>
    <t>Basement and Third Floor</t>
  </si>
  <si>
    <t>850 Grand Street, Brooklyn, NY 11211</t>
  </si>
  <si>
    <t>The nearest accessible subway station is Flushing Avenue Station (J, M, and Z trains), 0.9 miles distant. MTA bus service (Q54, Q59, and B43) is also nearby. The main entrance is accessible, located on Bushwick Avenue. The accessible entrance includes a doorbell, security cameras, and reception. The doorbell is within reach range (height 43 inches).</t>
  </si>
  <si>
    <t>Door: 44 inches, Cab: 61 inches deep, 62 inches wide.</t>
  </si>
  <si>
    <t>Art Room – Rooms 162, 326, 353 and 355</t>
  </si>
  <si>
    <t>Computer Rooms – Rooms G297, G298, 330, 450A, 450E/D, and 462</t>
  </si>
  <si>
    <t>Main Office – Rooms 258B, A362, and 414</t>
  </si>
  <si>
    <t>Nurse’s Office – Rooms 106, and 138</t>
  </si>
  <si>
    <t>Science Lab – Rooms G280, G283, A369, A375, A377, 453, and 457</t>
  </si>
  <si>
    <t>The auditorium is accessible and is located on the second floor. Stage access is not provided. Accessible seating is provided. The cafeteria is accessible and is located on the first floor. The gymnasium is accessible and is located on the first floor. The multi-purpose room (weight room) is not accessible and is located in the basement. Assistive listening systems have not been provided in the public assembly spaces.</t>
  </si>
  <si>
    <t>Gymnasium – First Floor (Rooms BGA, BGC, GGC)</t>
  </si>
  <si>
    <t>Multi-Purpose Room – Weight Room - Basement</t>
  </si>
  <si>
    <t>There are accessible student bathrooms (boys) available on the first floor. There are accessible student bathrooms (girls) available on the first, third, and fourth floors. There are accessible staff bathrooms (male) available on the second and fourth floors. There are accessible staff bathrooms (female) available on the second floor.</t>
  </si>
  <si>
    <t>Boys Bathroom – Second, Third, and Fourth Floors</t>
  </si>
  <si>
    <t>Girls Bathroom – First, Third, and Fourth Floors</t>
  </si>
  <si>
    <t>Fire Alarm System includes a strobe light feature. Holding rooms have been designated as rooms 430, 320, 220, and 120.</t>
  </si>
  <si>
    <t>The school does not have HVAC/Climate control; A/C units provided in classrooms.</t>
  </si>
  <si>
    <t>1700 Fulton Street, Brooklyn, NY 11213</t>
  </si>
  <si>
    <t xml:space="preserve">The nearest accessible subway station is Utica Avenue (A, C trains), 0.1 miles distant. MTA bus service (B25 and B46‐SBS) is also nearby. The accessible entrance to K455 is not the same as the main entrance. The accessible entrance is located off Fulton Street and is reached via a ramp. There is not a functioning doorbell at the accessible entrance, but security cameras are installed and there is reception at this entrance. Visitors should call in advance in order to gain access to the facility. </t>
  </si>
  <si>
    <t>A passenger elevator provides access to all floors in the building. Elevator includes audible signals on each floor.</t>
  </si>
  <si>
    <t>Door: 47 inches; Cab: 83 inches wide, 83 inches deep.</t>
  </si>
  <si>
    <t>Room 473</t>
  </si>
  <si>
    <t xml:space="preserve">Rooms 270, 301, 353, 365, 379, 381, 479, 481, 489, and 499 </t>
  </si>
  <si>
    <t>Rooms 109, 312, 333, and 357</t>
  </si>
  <si>
    <t>Rooms 104A, and 270</t>
  </si>
  <si>
    <t>Rooms 319, 415, 416, and 419</t>
  </si>
  <si>
    <t>The auditorium is accessible and is located on the first floor. The auditorium provides stage access via a lift, and accessible seating. The cafeteria is accessible and is located on the second floor. The gymnasium is not accessible due to a change in elevation (5 Steps) on the first floor. Assistive listening systems have not been provided in the public assembly spaces.</t>
  </si>
  <si>
    <t>Change of elevation (5 Steps)</t>
  </si>
  <si>
    <t>There are accessible bathrooms for (boys) students on every floor. There are no accessible bathrooms (girls) on all floors. There is also an accessible single-user (unisex) bathrooms (available for students and staff) on the first floor. There are no accessible staff bathrooms.</t>
  </si>
  <si>
    <t>832 Marcy Avenue, Brooklyn, NY 11216</t>
  </si>
  <si>
    <t xml:space="preserve">The nearest accessible subway station is the Franklin Avenue Station (A and C trains) 0.4 miles distant. MTA bus service (B43 and B52) is also nearby. The accessible entrance to K458 is not the same as the main entrance; the accessible entrance is located on Marcy Avenue. This entrance includes a ramp, a doorbell, security cameras, and reception. The doorbell is not within reach range (height 61 inches). </t>
  </si>
  <si>
    <t>Braille signs are included provided throughout the building.</t>
  </si>
  <si>
    <t>Door: 42 inches; Cab: 51 inches wide, 80 inches deep.</t>
  </si>
  <si>
    <t>Rooms 114 and 316</t>
  </si>
  <si>
    <t xml:space="preserve">Rooms 213, 306, and 307 </t>
  </si>
  <si>
    <t>Rooms 104, 202, 303, and 403</t>
  </si>
  <si>
    <t>Rooms 220 and 320</t>
  </si>
  <si>
    <t xml:space="preserve">The auditorium is accessible and is located on the first floor. Stage access is provided via a lift. Accessible seating is provided. The cafeteria is accessible and is located in the basement. The gymnasium is accessible and is located in the cellar. The multi-purpose room is accessible and is located on the fourth floor. Assistive listening systems have been provided in the cafeteria. </t>
  </si>
  <si>
    <t>Accessible seating available upon request. Assistive listening system have been provided.</t>
  </si>
  <si>
    <t xml:space="preserve">There are accessible student bathrooms (girls and boys) available on the first through fifth floors. There are accessible staff bathrooms (male and female) available in the basement and on the fifth floor. </t>
  </si>
  <si>
    <t>First through Fifth Floors</t>
  </si>
  <si>
    <t>Basement and Fifth Floors</t>
  </si>
  <si>
    <t>237 7 Avenue, Brooklyn, NY 11215</t>
  </si>
  <si>
    <t>The nearest accessible subway station is Atlantic Avenue Barclays Center Station (B, Q, 2, 3, 4, 5, and LIRR trains), 1.2 miles distant. MTA bus service (B67 and B69) is also nearby. The main entrance of K460 is accessible, located on 7th Avenue (Exit 1). The accessible entrance includes a ramp, doorbell, reception, and security cameras. The doorbell is not within reach range (Height 50 inches).</t>
  </si>
  <si>
    <t>Some water fountains and other wall-mounted objects may protrude into the corridors more than 4 inches, which may present difficulties for individuals with visual disabilities. Braille signs are not included throughout the building. Interior lifts provide access over changes in elevation in the corridor, on the second, third, and fourth floors.</t>
  </si>
  <si>
    <t>One passenger elevator provides access to all floors. Elevator includes audible signals on each floor. Interior lifts provide access over changes in elevation in the corridors on the second, third, and fourth floors.</t>
  </si>
  <si>
    <t>Doors: 46 inches, Cabs: 85 inches wide, 62 inches deep.</t>
  </si>
  <si>
    <t>Art Rooms – Rooms 116, 318, and 429</t>
  </si>
  <si>
    <t>Computer Rooms – Rooms G2, G3A, and 465</t>
  </si>
  <si>
    <t>Library – Room 200</t>
  </si>
  <si>
    <t>Main Office – Rooms GW36, 122, 130, 329, and 428</t>
  </si>
  <si>
    <t>Nurse’s Office- Room 356</t>
  </si>
  <si>
    <t>Science Lab – Rooms 220, 420, and 438</t>
  </si>
  <si>
    <t>The auditorium is accessible and is located on the ground floor. Stage access is provided via lift. Accessible seating is provided. The cafeteria is accessible and is located on the first floor. The gymnasiums are accessible and are located on the ground, second, and fourth floors. The pool is accessible and is located on the ground floor. Pool lift is not provided. Assistive listening systems have been provided in the auditorium.</t>
  </si>
  <si>
    <t>Gymnasium – Ground, Second, and Fourth Floors</t>
  </si>
  <si>
    <t>Pool – Ground Floor</t>
  </si>
  <si>
    <t>Pool lift is not provided.</t>
  </si>
  <si>
    <t>There are accessible student bathrooms (girls) on the ground, first, and third floors. There are accessible student bathrooms (boys) on the ground, first, second, and fourth floors. There are accessible single-user (unisex) bathrooms (for student and staff use) available on the ground and third floors.</t>
  </si>
  <si>
    <t>Boys Bathrooms – Rooms G26, 152, 221, and 421</t>
  </si>
  <si>
    <t>Girls Bathroom – Rooms G24, 154, and 337</t>
  </si>
  <si>
    <t>Staff Bathrooms – Room G37A</t>
  </si>
  <si>
    <t>Single-User (Unisex) Bathrooms – Rooms G37B, 321A, 321B, and 356</t>
  </si>
  <si>
    <t>Fire alarm system has been upgraded and includes a strobe light feature. Areas of refuge have been specifically designated on each floor in the middle corridors.</t>
  </si>
  <si>
    <t>911 Flatbush Avenue, Brooklyn, NY 11226</t>
  </si>
  <si>
    <t>The nearest accessible subway station is Church Avenue Station (2 and 5 trains), 0.6 miles distant. MTA bus service (B35 and B41) is also nearby. The accessible entrance is not the same as the main entrance and is located adjacent to the main entrance on Flatbush Avenue. The accessible entrance includes a ramp, security cameras and reception. The accessible entrance does not include a doorbell; visitors may need to contact site in advance to gain access to this facility through the accessible entrance.</t>
  </si>
  <si>
    <t>Changes in elevation on the third floor prevent access to some classrooms.</t>
  </si>
  <si>
    <t>Doors: 65 inches; Cabs: 81 inches wide, 65 inches deep.</t>
  </si>
  <si>
    <t>This site is moderately accessible; most classrooms are accessible and located on accessible routes.</t>
  </si>
  <si>
    <t>Classrooms – First Through Fifth Floors</t>
  </si>
  <si>
    <t>Computer Rooms – Rooms 2N3, 2S30, 3W5, and 3N12</t>
  </si>
  <si>
    <t>Library – Room 4SA20</t>
  </si>
  <si>
    <t>Main Office – Rooms 1W9 (17K382), 1S30 (17K408), 1S46 (17K539), 1N32 (06M468), and 3W52 (17K537)</t>
  </si>
  <si>
    <t>Nurse’s Office – Room BS14</t>
  </si>
  <si>
    <t>Science Lab – Rooms 2N38, 3E19, 3E23, 3N38, 3S30, 3W10, 4W3, and 4N32</t>
  </si>
  <si>
    <t>The auditorium is accessible and is located on the first floor. Stage access is provided via lift. Accessible seating is provided. The cafeteria is accessible and is located in the basement. The first-floor gymnasium is accessible. The third-floor and fourth-floor gymnasiums are not accessible. The multi-purpose room is not accessible and is located in the basement. The pool is accessible and is located in the basement. Assistive listening systems have not been provided in the public assembly spaces.</t>
  </si>
  <si>
    <t>Cafeteria – Basement - Rooms BN10 &amp; BE25 (Students)</t>
  </si>
  <si>
    <t>Gymnasium – Third and Fourth Floors</t>
  </si>
  <si>
    <t>Changes in elevation prevent access.</t>
  </si>
  <si>
    <t>There are accessible student bathrooms (girls and boys) available on all floors. There are accessible single‐user (unisex) bathrooms (for students and staff) available on the first and second floors.</t>
  </si>
  <si>
    <t>400 Irving Avenue, Brooklyn, NY 11237</t>
  </si>
  <si>
    <t>The nearest accessible subway station is Myrtle – Wyckoff Avenue (L train), 0.2 miles distant. MTA bus service (B52) is also nearby. The accessible entrance to K480 is not the same as the main entrance and is accessed via an inclined walkway located on the corner of Irving Street and Woodbine Street (Exit 9). The accessible entrance includes a doorbell and security cameras. The doorbell is not within reach range (height 61 inches).</t>
  </si>
  <si>
    <t>Accessible entrance includes an inclined walkway approach.</t>
  </si>
  <si>
    <t>Two passenger elevators provide access to all floors in the building. Elevators include audible signals on each floor. The interior lift remediates changes in elevation on the second floor.</t>
  </si>
  <si>
    <t>Lift remediates change in elevation to second-floor cafeteria.</t>
  </si>
  <si>
    <t>Doors: 43 inches; Cabs: 65 inches wide, 53 inches deep.</t>
  </si>
  <si>
    <t>This site is partially accessible; all classrooms are accessible and are located on accessible routes.</t>
  </si>
  <si>
    <t>Art Room – Rooms A360, 416, and 523</t>
  </si>
  <si>
    <t>Computer Rooms – Room 606</t>
  </si>
  <si>
    <t>Library – Room 312</t>
  </si>
  <si>
    <t>Main Office – Rooms 230 (32K168), 421 (32K403), A161 (32K549), and 508 (32K552)</t>
  </si>
  <si>
    <t>Nurse’s Office – Room 134</t>
  </si>
  <si>
    <t>Science Lab – Rooms 326A, 363A, 365, 426A, and 526A</t>
  </si>
  <si>
    <t>The auditorium is accessible and is located on the first floor. Stage access is not provided. Accessible seating is not provided. The cafeteria is accessible and is located on the second floor. The gymnasium is accessible and is located on the first floor. The pool is not accessible and is located on the first floor. Assistive listening systems have not been provided in the public assembly spaces.</t>
  </si>
  <si>
    <t>Cafeteria – Second Floor</t>
  </si>
  <si>
    <t>Vertical lift remediates changes in elevation. Accessible seating is provided.</t>
  </si>
  <si>
    <t>Multiple changes in elevation prevent access.</t>
  </si>
  <si>
    <t>This site is prevented from attaining a higher accessibility rating due to lack of accessible bathrooms throughout the building. There are accessible single-user (unisex) bathrooms (for student and staff use) available on the first through third floors in the 1998 addition.</t>
  </si>
  <si>
    <t>Staff Bathrooms – (unisex) – First Floors, 1998</t>
  </si>
  <si>
    <t>Not Accessible Not Accessible Accessible</t>
  </si>
  <si>
    <t>350 67 Street, Brooklyn, NY 11220</t>
  </si>
  <si>
    <t>The nearest accessible subway station is Kings Highway Station (B and Q trains), 2.1 miles distant. MTA bus service (BM3 and B44) is also nearby. The accessible entrance to K485 is not the same as the main entrance. The accessible entrance is located on Fourth Avenue. The accessible entrance includes security cameras. The accessible entrance does not include a doorbell or reception; visitors should contact the site prior to arrival.</t>
  </si>
  <si>
    <t>Two passenger elevators provide access to all floors in the building. Elevators includes audible signals on each floor.</t>
  </si>
  <si>
    <t xml:space="preserve">E1 and E2
Doors: 48 inches, Cabs: 60 inches wide, 91 inches deep.
</t>
  </si>
  <si>
    <t>Room 210 Through 214</t>
  </si>
  <si>
    <t>Rooms 201, and 301</t>
  </si>
  <si>
    <t>The auditorium is accessible and is located on the first floor. Stage access is provided via a lift. Accessible seating is provided. The cafeteria is accessible and is located on the fifth floor. The gymnasium is accessible and is located in the basement. Assistive listening systems have not been provided in the public assembly spaces.</t>
  </si>
  <si>
    <t>Accessible seating upon request.</t>
  </si>
  <si>
    <t>There are accessible student bathrooms (boys) available on the second, fourth, and fifth floors. There are accessible student bathrooms (girls) available on the first, third, and fifth floors. There are no accessible staff bathrooms available in the building.</t>
  </si>
  <si>
    <t>Second, Fourth, and Fifth Floors</t>
  </si>
  <si>
    <t>Basement, First, and Third Floors</t>
  </si>
  <si>
    <t>Fire alarm system has been upgraded and includes a strobe light feature. Holding rooms have been specifically designated as rooms 201, 214, 232, 301, 314, 332, 414, 432, 501, and 514.</t>
  </si>
  <si>
    <t>8301 Shore Road, Brooklyn, NY 11209</t>
  </si>
  <si>
    <t xml:space="preserve">The nearest accessible subway station is Bay Parkway Station (D train), 3.1 miles distant. MTA bus service (B16, B63, X27, and X37) is also nearby. The main entrance to K490 is accessible, located on Narrows Avenue. The accessible entrance includes a ramp, a doorbell, security cameras, and reception. The doorbell is not within reach range (height 61 inches). </t>
  </si>
  <si>
    <t>There is no access to the building annex due to a change in elevation (10 Steps) from the main building. Braille signs are not included throughout the building.</t>
  </si>
  <si>
    <t>Two passenger elevators provide access to all floors in the building. Elevator includes audible signals on each floor.</t>
  </si>
  <si>
    <t>Doors: 50 inches; Cabs: 77 inches wide, 70 inches deep.</t>
  </si>
  <si>
    <t>This site is moderately accessible; all classrooms in the main building are accessible and located on accessible routes. Offices located in rooms 310, 314, 316, and 318 are not accessible due to a change in elevation (one step) in the corridor. A stair lift on the fourth floor overcomes a change in elevation (five steps).</t>
  </si>
  <si>
    <t>Rooms 252, 352, and 371</t>
  </si>
  <si>
    <t>Modular Section Rooms 830 through 860</t>
  </si>
  <si>
    <t>Room 363</t>
  </si>
  <si>
    <t>Room 246</t>
  </si>
  <si>
    <t>Rooms 102, 105, 302, and 326</t>
  </si>
  <si>
    <t>The auditorium is accessible and is located on the first floor. The auditorium provides stage access via a lift, although does not provide accessible seating. The cafeteria located in the basement is accessible. The gymnasium’s located on the first floor are accessible via lifts. The pool located in the basement is accessible. Assistive listening systems have not been provided in the public assembly areas.</t>
  </si>
  <si>
    <t>There are accessible student bathrooms (girls and boys) on the first floor. There are accessible staff bathrooms on the first and second floors.</t>
  </si>
  <si>
    <t>First Floors</t>
  </si>
  <si>
    <t>3000 Avenue X, Brooklyn, NY 11235</t>
  </si>
  <si>
    <t>The nearest accessible subway station is Kings Highway Station (B and Q trains), 2.1 miles distant. MTA bus service (B36, B44, and BM3) is also nearby. The main entrance to K495 is accessible (Exit 1), located on Avenue X. The accessible entrance includes a doorbell, security cameras, and reception. The doorbell is not within reach range (height 61 inches).</t>
  </si>
  <si>
    <t>A and B; Doors: 48 inches; Cabs: 60 inches wide, 91 inches deep.</t>
  </si>
  <si>
    <t>Basement ramp provides access to rooms B061 and B065.</t>
  </si>
  <si>
    <t>Art Rooms – Rooms 031, 153, 161, 165, and 378</t>
  </si>
  <si>
    <t>Computer Rooms – Rooms 067, 253, 268, and 273/275</t>
  </si>
  <si>
    <t>Main Office – Rooms 071A, 110, 210, and 314</t>
  </si>
  <si>
    <t>Science Labs – Rooms 228, 320, and 328</t>
  </si>
  <si>
    <t>The auditorium is accessible and is located on the first floor. Stage access is provided via corridor. Accessible seating is provided. The cafeteria is accessible and is located on the first floor. The gymnasium is accessible and is located on the first floor. The multi-purpose room is accessible and is located in the basement. Assistive listening systems have been provided in the auditorium.</t>
  </si>
  <si>
    <t>Gymnasium – Basement and First Floor</t>
  </si>
  <si>
    <t>There are accessible student bathrooms (girls and boys) available on all floors. There are accessible staff bathrooms (men and woman) on the first floor. There are accessible single-user (unisex) bathrooms (for student and staff use) available on all floors.</t>
  </si>
  <si>
    <t>Boys Bathrooms – 079BT, First Floor Cafeteria, and 379BT</t>
  </si>
  <si>
    <t>Girls Bathrooms – 079GT, First Floor Cafeteria, and 315GT</t>
  </si>
  <si>
    <t>Staff Bathrooms – 186MT, and 186GT</t>
  </si>
  <si>
    <t>Single-User (Unisex) Bathrooms – Rooms 079HC, 279HC, and 379HC</t>
  </si>
  <si>
    <t>Fire alarm system includes a strobe light feature. Holding rooms or areas of refuge have been designated as rooms 031, 069, 213, 263, 313, and 373</t>
  </si>
  <si>
    <t>6565 Flatlands Avenue, Brooklyn, NY 11236</t>
  </si>
  <si>
    <t>The nearest accessible subway station is Flatbush Avenue - Brooklyn College Station (2 and 5 trains), 1.7 miles distant. MTA bus service (B6 and B82) is also nearby. The accessible entrance to building K515 is not the same as the main entrance; the accessible entrance is located on Ralph Avenue (Exit 4). The accessible entrance includes security cameras and a doorbell. The doorbell is not within reach range (height 53 inches).</t>
  </si>
  <si>
    <t>The interior hallway doors do not provide adequate clear width and may cause difficulty for some. Braille signs are not included throughout the building.</t>
  </si>
  <si>
    <t>Corridor doors do not provide clear width (30.5 inches).</t>
  </si>
  <si>
    <t>E1 and E2 Doors: 45 inches; Cabs: 85 inches wide, 92 inches deep.</t>
  </si>
  <si>
    <t>Art Room – Rooms 323, 365, and 421</t>
  </si>
  <si>
    <t>Computer Rooms – Rooms 210, 371, and 467B</t>
  </si>
  <si>
    <t>Library – First Floor</t>
  </si>
  <si>
    <t>Main Office – Rooms 301 (84K517), 447 (18K576), 377 (18K578), 468 (18K566), 201 (18K637), 267 (18K567), 280 (84K775)</t>
  </si>
  <si>
    <t>Nurse’s Office – Room C319</t>
  </si>
  <si>
    <t>Science Lab – Rooms 330, 326, 327, 430, and 427</t>
  </si>
  <si>
    <t>The auditorium is accessible and is located on the first floor. Stage access is provided via corridor. Accessible seating is not provided. The cafeteria is not accessible and is located on the first floor. The gymnasium is accessible and is located on the second floor. Assistive listening systems have been provided in the auditorium.</t>
  </si>
  <si>
    <t>Stage access is provided via corridor. Accessible seating is not provided. Assistive listening systems have been provided.</t>
  </si>
  <si>
    <t>Cafeteria – First Floor (Staff)</t>
  </si>
  <si>
    <t>Entry doors do not provide clear path (Width 30 inches)</t>
  </si>
  <si>
    <t>Gymnasium – Second Floor (Gymnasiums A/B, C, D)</t>
  </si>
  <si>
    <t>There are accessible student bathrooms (boys and girls) available on the first and fourth floors.</t>
  </si>
  <si>
    <t>Boys Bathrooms – Rooms 120, 152, and 452</t>
  </si>
  <si>
    <t>Girls Bathrooms – Rooms 114, 158, and 458</t>
  </si>
  <si>
    <t>Fire alarm system has been upgraded and includes a strobe light feature. Holding rooms have been specifically designated as rooms 203, 377, and 477.</t>
  </si>
  <si>
    <t>1057 52 Street, Brooklyn, NY 11219</t>
  </si>
  <si>
    <t xml:space="preserve">The nearest accessible subway station is the Church Avenue Station (F and G), 1.14 miles distant. MTA bus service (B16 and B11) is also nearby. The main entrance of K521 is accessible, located on 52nd Street (Exit 1). The accessible entrance includes a security camera, doorbell, and reception desk. The doorbell is within reach range (height 48 inches). </t>
  </si>
  <si>
    <t xml:space="preserve">Two passenger elevator provides access to all floors. Elevators include audible signals on each floor. </t>
  </si>
  <si>
    <t xml:space="preserve">E1 and E2 
Doors: 48 Inches, Cabs: 80 Inches wide, 62 Inches deep. </t>
  </si>
  <si>
    <t xml:space="preserve">The auditorium is accessible and is located on the second floor. Stage access is not provided. Accessible seating is provided. The cafeteria is accessible and located in the basement. The gymnasium is accessible and is located on the first floor. Assistive listening systems have been provided in the cafeteria and gymnasium.  </t>
  </si>
  <si>
    <t xml:space="preserve">Accessible seating is provided. Stage access is not provided </t>
  </si>
  <si>
    <t xml:space="preserve">There are accessible student bathrooms (boys and girls) available in the basement, and on the first, third, fourth, and fifth floors. There are accessible single-user (unisex) bathrooms (for student and staff use) available in the basement, and on the first, third, fourth, and fifth floors.   </t>
  </si>
  <si>
    <t>Rooms 504, 404, 304, 116, and C16A</t>
  </si>
  <si>
    <t>Rooms 502, 402, 302, 124, and C16B</t>
  </si>
  <si>
    <t>Rooms 512, 412, 312, 110, 108, and C012</t>
  </si>
  <si>
    <t xml:space="preserve">This site includes exterior recreational spaces. The exterior recreational space is accessible. The recreational equipment is not accessible. </t>
  </si>
  <si>
    <t>1600 Avenue L, Brooklyn, NY 11230</t>
  </si>
  <si>
    <t>The nearest accessible subway station is Kings Highway Station (2 and 5 trains), 0.2 miles distant. MTA bus service (B9, and B49) is also nearby. The main entrance is accessible, located on Ralph Avenue. The entrance includes security cameras, reception, and a doorbell. The doorbell is not within reach range (height 72 inches).</t>
  </si>
  <si>
    <t>The interior hallway doors do not provide clear width. Braille signs are not included throughout the building.</t>
  </si>
  <si>
    <t>Clear width at hallway doors is not provided.</t>
  </si>
  <si>
    <t>E1 and E2 Door: 60 inches; Cabs: 93 inches wide, 85 inches deep.</t>
  </si>
  <si>
    <t>Computer Rooms – Rooms 301, 345, 350A, 356, 401, 405, 462, and 466</t>
  </si>
  <si>
    <t>Nurse’s Office – Rooms 121 and 299</t>
  </si>
  <si>
    <t>The auditorium is accessible and is located on the first floor. Stage access is provided via the corridor. Accessible seating is provided. The cafeteria is accessible and is located on the first floor. The first-floor gymnasiums are accessible. The third-floor and fourth-floor gymnasiums are not accessible. The multi-purpose room is accessible and is located on the second floor. Assistive listening systems have not been provided in the public assembly spaces.</t>
  </si>
  <si>
    <t>Gymnasium – First Floor - Gymnasiums 1A, 1B, and 1C</t>
  </si>
  <si>
    <t>Gymnasium – Fourth Floor - Gymnasiums 4A, 4B, and 4C</t>
  </si>
  <si>
    <t>(36 Step) change in elevation prevents access.</t>
  </si>
  <si>
    <t>There are accessible student bathrooms (boys) available on the first, second and third floor. There are accessible student bathrooms (girls) available on the first and third floors. There are accessible single-user (unisex) bathrooms (for student and staff use) available on the first and third floors.</t>
  </si>
  <si>
    <t>Boys Bathroom – A195B, 208B and 361B</t>
  </si>
  <si>
    <t>Boys Bathroom – 161B, 261B and 408B, 461B</t>
  </si>
  <si>
    <t>Girls Bathroom – A191G and 308G</t>
  </si>
  <si>
    <t>Girls Bathroom – 108G, 208G, A291G, A391G, 408G and A491G</t>
  </si>
  <si>
    <t>Single-User (Unisex) Bathrooms – Rooms 149B and 349B</t>
  </si>
  <si>
    <t>Fire alarm system includes a strobe light feature. Holding rooms have been specifically designated as rooms 210D, 272, 310D, 372, 416 and 474.</t>
  </si>
  <si>
    <t>1830 Shore Boulevard, Brooklyn, NY 11235</t>
  </si>
  <si>
    <t xml:space="preserve">The nearest accessible subway station is the Coney Island, Stillwell Avenue Station (D, F, N, and Q trains), 2.43 miles distant. MTA bus service (B1 and B49) is also nearby. The main entrance of K535 is accessible, located on Shore Boulevard, and accessed via entry courtyard. The accessible entrance includes a ramp, two doorbells, and reception. The accessible entrance does not include security cameras. Doorbells are not within reach range (Height 61 and 65 inches). </t>
  </si>
  <si>
    <t xml:space="preserve">E1 and E2 
Doors: 48 inches, Cabs: 94 inches wide, 65 inches deep. </t>
  </si>
  <si>
    <t>Room 442</t>
  </si>
  <si>
    <t>Rooms 202 and 302</t>
  </si>
  <si>
    <t>Room 112 (Leon Goldstein H.S.); Room F15 (P53K - District 75)</t>
  </si>
  <si>
    <t>Rooms 340, 352, and 356</t>
  </si>
  <si>
    <t xml:space="preserve">This site does not include an auditorium; PAC center at Kingsborough Community College next door fulfills this function.  The cafeteria is accessible and is located on the first floor. The gymnasium is accessible and is located on the second floor. The multi-purpose room is accessible and is located on the first floor. Assistive listening systems have been provided in the cafeteria. </t>
  </si>
  <si>
    <t xml:space="preserve">There are accessible student bathrooms (boys and girls) available on the second, third, and fourth floors. There are accessible single-user (unisex) bathrooms (for student and staff use) available on all floors.   </t>
  </si>
  <si>
    <t>Rooms 219, 233, 319, and 419</t>
  </si>
  <si>
    <t>Rooms 213, 229, 313, and 413</t>
  </si>
  <si>
    <t>Rooms F27, F29, 109, 111, 210, 214, 241C, 241F, 310, 314, 410, and 414</t>
  </si>
  <si>
    <t xml:space="preserve">Rooms 241C and 241F are located in the nurse’s office. </t>
  </si>
  <si>
    <t>321 Palmetto Street, Brooklyn, NY 11237</t>
  </si>
  <si>
    <t>The nearest accessible subway station is the Myrtle-Wyckoff Avenues Subway Station (L and M trains), 0.2 miles distant. MTA bus service (B52 and Q55) is also nearby. The main entrance of K554 is accessible, located on Palmetto Street (Exit 1). The accessible entrance includes a doorbell, reception, and security cameras. The doorbell is within reach range (height 48 inches).</t>
  </si>
  <si>
    <t>Three passenger elevators provide access to all floors. Two elevators provide access to all floors. One elevator provides access from the lobby to the fourth floor. Elevators include audible signals on each floor.</t>
  </si>
  <si>
    <t>E1, E2, and E3
Doors: 48 inches, Cabs: 72 inches wide, 56 inches deep.</t>
  </si>
  <si>
    <t>Room 312</t>
  </si>
  <si>
    <t>Room 107F</t>
  </si>
  <si>
    <t>Rooms 406 and 412</t>
  </si>
  <si>
    <t>The auditorium is accessible and is located between the first floor and basement. Stage access is provided via lift. Accessible seating is provided. The cafeteria is accessible and is located in the basement. This site does not include a gymnasium. Assistive listening systems have been provided in the auditorium and cafeteria.</t>
  </si>
  <si>
    <t>First Floor &amp; Basement</t>
  </si>
  <si>
    <t>There are accessible student bathrooms (boys) available in the basement, and on the first and third floors. There are accessible student bathrooms (girls) available in the basement, and on the first and second floors. There are accessible single-user (unisex) bathrooms (for student and staff use) available in the basement, and on the first, third, and fourth floors.</t>
  </si>
  <si>
    <t>Rooms 008, 104, and 310</t>
  </si>
  <si>
    <t>Rooms 006, 102, and 210</t>
  </si>
  <si>
    <t>Rooms 004, 106, 308, and 408</t>
  </si>
  <si>
    <t>Fire alarm system has been upgraded and includes a strobe light feature. Holding rooms have been specifically designated as rooms 211, 309, and 409.</t>
  </si>
  <si>
    <t>2900 Bedford Avenue, Brooklyn, NY 11210</t>
  </si>
  <si>
    <t>The nearest accessible subway station is Flatbush Avenue ‐ Brooklyn College Station (2 and 5 trains), 0.3 miles distant. MTA bus service (B6 and B11) is also nearby. The main entrance is accessible, located on Bedford Avenue. The accessible entrance includes security cameras and reception. The accessible entrance does not include a doorbell.</t>
  </si>
  <si>
    <t>Door: 45 inches, Cab: 65 inches wide, 85 inches deep.</t>
  </si>
  <si>
    <t>This site is moderately accessible; all classrooms are on accessible and located on accessible routes.</t>
  </si>
  <si>
    <t>Classrooms – Basement and, First Floor</t>
  </si>
  <si>
    <t>Computer Rooms – Room 0301D</t>
  </si>
  <si>
    <t>Main Office – Room 1311</t>
  </si>
  <si>
    <t>Nurse’s Office</t>
  </si>
  <si>
    <t>This site does not include any public assembly areas.</t>
  </si>
  <si>
    <t>There are accessible student bathrooms (girls and boys) available on the first floor. There are accessible staff bathrooms (male and female) available on the first floor.</t>
  </si>
  <si>
    <t>The school does not have HVAC/Climate control; A/C units have been provided in classrooms.</t>
  </si>
  <si>
    <t>Kyprios Nicole</t>
  </si>
  <si>
    <t>4308 4Th Avenue, Brooklyn, NY 11232</t>
  </si>
  <si>
    <t>The nearest accessible subway station is the 59th Street Station (R train), 0.8 miles distant. MTA bus service (B37 and B63) is also nearby. The main entrance is accessible, located on 4 th Ave (Exit 1). The accessible entrance includes a doorbell, reception, and security cameras. The doorbell is within reach range (height 48 inches).</t>
  </si>
  <si>
    <t>This site occupies floors cellar through fourth in the building. Two elevators provide access to all floors. Elevators include audible signals on each floor.</t>
  </si>
  <si>
    <t>E1 and E2 Doors: 42 inches, Cabs: 78 inches wide, 62 inches deep.</t>
  </si>
  <si>
    <t>Main Office – Room 101C</t>
  </si>
  <si>
    <t>Nurse’s Office – Room 117</t>
  </si>
  <si>
    <t>This site includes a combined gymnasium and auditorium. The gymnatorium is accessible and is located on the first floor. Stage access is not provided. Accessible seating is provided. The cafeteria is accessible and is located in the cellar. The multi-purpose room is accessible and is located on the first floor. Assistive listening systems have been provided in the gymnatorium and cafeteria.</t>
  </si>
  <si>
    <t>Cafeteria – Cellar</t>
  </si>
  <si>
    <t>Accessible seating available. Assistive listening systems have been provided.</t>
  </si>
  <si>
    <t>Boys Bathrooms – Rooms C02A, 105, 205 and 405</t>
  </si>
  <si>
    <t>Girls Bathrooms – Rooms C02C, 111, 211, and 411</t>
  </si>
  <si>
    <t>Single-User (Unisex) Bathrooms – Rooms C07, 106, 117, 206, 306 and 406</t>
  </si>
  <si>
    <t>Room 117 is located in the nurse’s office.</t>
  </si>
  <si>
    <t>Single-User (Unisex) Bathrooms – Classrooms 110, 119, 210 and 219</t>
  </si>
  <si>
    <t>Fire alarm system has been upgraded and includes a strobe light feature. Holding rooms have been specifically designated as rooms C05, 201, 301, and 401.</t>
  </si>
  <si>
    <t>153 35 Street, Brooklyn, NY 11232</t>
  </si>
  <si>
    <t xml:space="preserve">The nearest accessible subway station is the Atlantic Avenue – Barclays Center Station (B, D, N, Q, R, 2, 3, 4, and 5 trains), 2.35 miles distant. MTA bus service (B70, B63, and B37) is also nearby. The main entrance to K564 is accessible, located on 35th Street (Exit 1). The accessible entrance includes a ramp, security cameras, and doorbell. The doorbell is located within reach range (height 48 inches). </t>
  </si>
  <si>
    <t xml:space="preserve">Some wall-mounted objects protrude in to the corridors more than 4 inches, which may present difficulties for individuals with visual disabilities. Braille signs are included throughout the building.  </t>
  </si>
  <si>
    <t xml:space="preserve">One passenger elevator provides access to all floors. Elevator provides audible signals on all floors. </t>
  </si>
  <si>
    <t xml:space="preserve">Doors: 48 inches, Cab: 70 inches wide, 98 inches deep. </t>
  </si>
  <si>
    <t>Rooms 218 and 222</t>
  </si>
  <si>
    <t>Room 216</t>
  </si>
  <si>
    <t>Rooms 221 (75K371) and 422 (15K667)</t>
  </si>
  <si>
    <t>Rooms 105 and 219</t>
  </si>
  <si>
    <t>Rooms 324, 328, 329, 424, 428, 429, 524, 528, and 529</t>
  </si>
  <si>
    <t xml:space="preserve">The auditorium is accessible and is located on the first floor. Stage access is provided via lift. Accessible seating is provided. The cafeteria is accessible and is located in the basement. The gymnasium is accessible and is located on the first floor. The multi-purpose room is accessible and is located on the first floor. Assistive listening systems have been provided in the cafeteria and gymnasium. </t>
  </si>
  <si>
    <t xml:space="preserve">Room 102  </t>
  </si>
  <si>
    <t xml:space="preserve">There are accessible student bathrooms (boys and girls) available on all floors. There are accessible staff bathrooms (male and female) available on all floors. There are accessible single-user (unisex) bathrooms (for student and staff use) available on the first floor.   </t>
  </si>
  <si>
    <t>Rooms B20, 111, 113C, 204, 310, 410 and 510</t>
  </si>
  <si>
    <t xml:space="preserve">Rooms B27, 107, 113A, 208, 314, 414 and 514 </t>
  </si>
  <si>
    <t>Rooms B29, B31, 113B, 210A, 210B, 306, 308, 406, 408 and 508</t>
  </si>
  <si>
    <t xml:space="preserve">Fire alarm system has been upgraded and includes a strobe light feature. Holding rooms have been specifically designated as rooms 521, 421, 321, and 229. </t>
  </si>
  <si>
    <t xml:space="preserve">This site includes central air. Temperature control units have also been provided in classrooms. </t>
  </si>
  <si>
    <t>105 Tech Place, Brooklyn, NY 11201</t>
  </si>
  <si>
    <t>The nearest accessible Subway Station is Jay Street-MetroTech Station (A, C, F, N, R, and W) 0.9 miles. MTA buses (B54, B57 and B52) are also nearby. The main entrance is accessible and can be reached via a courtyard located on Tillary Street. (Stair 1 and 2). The accessible entrance does not include a doorbell or security cameras.</t>
  </si>
  <si>
    <t>Part of the second and third floors are not accessible due to a change in elevation on both floors (7 steps). Braille signs are not included throughout the building. Some water fountains and other wall-mounted objects may protrude into the corridors more than 4 inches, which may present difficulties for individuals with visual disabilities.</t>
  </si>
  <si>
    <t>Door: 45 inches, Cab: 70 inches deep, 77 inches wide.</t>
  </si>
  <si>
    <t>This site is moderately accessible; most classrooms are accessible and are located along accessible routes. Changes of elevation on second and third floors prevent access to some classrooms.</t>
  </si>
  <si>
    <t>Classrooms – Rooms 201 Through 236 and 301 Through 335</t>
  </si>
  <si>
    <t>Change of elevation (7 Steps) prevents access.</t>
  </si>
  <si>
    <t>Computer Rooms – Rooms 246, 352, 354, and 454</t>
  </si>
  <si>
    <t>Library – Room 344</t>
  </si>
  <si>
    <t>Main Office – Rooms 164, 402, and 472</t>
  </si>
  <si>
    <t>Science Lab – Rooms 308 and 312</t>
  </si>
  <si>
    <t>This site does not include an auditorium: The gymnasium fulfills this function. The gymnasium is accessible and is located first floor. The cafeteria is accessible and is located on the first floor. Assistive listening systems have not been installed in the public assembly areas.</t>
  </si>
  <si>
    <t>Auditorium –</t>
  </si>
  <si>
    <t>Accessible seating is available on request.</t>
  </si>
  <si>
    <t>There are accessible student bathrooms (boys) available on the second and fourth floors. There are accessible student bathrooms (girls) available on the first and third floors. There is an accessible staff bathroom (women’s) located on the first floor.</t>
  </si>
  <si>
    <t>Boys Bathrooms – Rooms 239 and 417</t>
  </si>
  <si>
    <t>Boys Bathrooms – First and Third Floors</t>
  </si>
  <si>
    <t>Girls Bathrooms – Rooms 268 and 470</t>
  </si>
  <si>
    <t>Girls Bathrooms – First and Third Floors</t>
  </si>
  <si>
    <t>Staff Bathrooms (Female) – Room 139</t>
  </si>
  <si>
    <t>Staff Bathrooms – All Others</t>
  </si>
  <si>
    <t>Fire alarm system has been upgraded and includes a strobe light feature. Holding rooms or areas of refuge have been specifically designated as Rooms 138, 164, 266, 366, 418, and 472</t>
  </si>
  <si>
    <t>1186 Carroll Street, Brooklyn, NY 11225</t>
  </si>
  <si>
    <t>The nearest accessible subway station is the Park Place Station (S train), 0.65 miles distant. MTA bus service (B44 and B49) is also nearby. The main entrance of K590 is accessible, located on Carroll Street (Exit 1). The accessible entrance includes a doorbell, security cameras, and reception. The doorbell is within reach range (Height 48 inches).</t>
  </si>
  <si>
    <t xml:space="preserve">E1 and E2 
Doors: 42 Inches, Cabs: 76 Inches wide, 61 Inches deep. </t>
  </si>
  <si>
    <t>Room 506</t>
  </si>
  <si>
    <t>Rooms 328 and 528</t>
  </si>
  <si>
    <t>Room 510</t>
  </si>
  <si>
    <t>Room 125</t>
  </si>
  <si>
    <t>Room B23</t>
  </si>
  <si>
    <t>Rooms 300/304, 310, 316/316B, 322/324A and 400/404</t>
  </si>
  <si>
    <t>This site does not include an auditorium; the cafeteria fulfills this function. The cafeteria is accessible and is located on the first floor. The cafeteria does not include a stage. The gymnasium is accessible and is located in the basement. Assistive listening systems have not been provided in the public assembly spaces.</t>
  </si>
  <si>
    <t>Dance Room</t>
  </si>
  <si>
    <t>There are accessible student bathrooms (boys) available in the basement, and on the first through fifth floors. There are accessible student bathrooms (girls) available on the first through fifth floors.  There are accessible single-user (unisex) bathrooms (for student and staff use) available on all floors.</t>
  </si>
  <si>
    <t>Rooms B4, 113, 213, 313, 413 and 513</t>
  </si>
  <si>
    <t>Rooms 117, 217, 317, 417 and 517</t>
  </si>
  <si>
    <t>Rooms B15, B23F, Bathroom next to Room 131, Rooms 223, 323, 423, 503A and 523</t>
  </si>
  <si>
    <t>760 Van Siclen Avenue, Brooklyn, NY 11207</t>
  </si>
  <si>
    <t>The nearest accessible subway station is the Euclid Avenue Station (A and C trains), 1.6 miles distant. MTA bus service (B83 and B15) is also nearby. The main entrance of K599 is accessible, located on Van Siclen Avenue (Exit 1). The accessible entrance includes a doorbell, reception, and security cameras. The doorbell is within reach range (height 48 inches).</t>
  </si>
  <si>
    <t>E1 and E2 Doors: 42 inches, Cabs: 78 inches wide, 63 inches deep.</t>
  </si>
  <si>
    <t>Interior ramp provides access to pool.</t>
  </si>
  <si>
    <t>Library – Room 222</t>
  </si>
  <si>
    <t>Nurse’s Office – Room 107</t>
  </si>
  <si>
    <t>Science Lab – Rooms 513, 515 and 517</t>
  </si>
  <si>
    <t>This site does not include an auditorium; the gymnasium fulfills this function. The gymnasium is accessible and is located on the first floor. Stage access is provided via lift. Accessible seating is provided. The cafeteria is accessible and is located on the first floor. The pool is accessible and is located on the first floor. Assistive listening systems have been provided in the cafeteria and gymnasium.</t>
  </si>
  <si>
    <t>Includes accessible pool lift.</t>
  </si>
  <si>
    <t>Boys Bathrooms – Rooms 120, 130A, 214, 316, 416 and 518</t>
  </si>
  <si>
    <t>130A Accessible Pool Locker Room.</t>
  </si>
  <si>
    <t>Girls Bathrooms – Rooms 122, 130A, 210, 312, 412 and 514</t>
  </si>
  <si>
    <t>Single-User (Unisex) Bathrooms – Rooms 105, 106, 107, 226, 228, 304, 404 and 504</t>
  </si>
  <si>
    <t>Room 107 is located in the nurse’s office.</t>
  </si>
  <si>
    <t>Fire alarm system has been upgraded and includes a strobe light feature. Holding rooms have been specifically designated as rooms 217, 317, 417 and 517.</t>
  </si>
  <si>
    <t>901 Classon Avenue, Brooklyn, NY 11225</t>
  </si>
  <si>
    <t xml:space="preserve">The nearest accessible subway station is the Prospect Park Station (B, Q, and S trains), 0.6 miles distant. MTA bus service (B16, B43, and B48) is also nearby. The accessible entrance to K600 is not the same as the main entrance; the accessible entrance is located on Classon Avenue. The accessible entrance includes a ramp, doorbell, and security cameras. The doorbell is not within reach range (height 60 inches). </t>
  </si>
  <si>
    <t>Ramp does not provide clear width.</t>
  </si>
  <si>
    <t>Doors: 45 inches, Cab: 80 inches wide, 52 inches deep.</t>
  </si>
  <si>
    <t>Room 423 and 431</t>
  </si>
  <si>
    <t>Rooms 419, 420, and 429</t>
  </si>
  <si>
    <t>Room 129</t>
  </si>
  <si>
    <t>Rooms 150, 333, 339, 350, 437, 449, and 450</t>
  </si>
  <si>
    <t xml:space="preserve">The auditorium is accessible and is located on the first floor. Stage access is provided via corridor. Accessible seating is provided. The cafeteria is accessible and is located in the basement. The gymnasium is accessible via a corridor lift and is located on the fourth floor. Assistive listening systems have not been provided in the public assembly spaces. </t>
  </si>
  <si>
    <t xml:space="preserve">There are accessible student bathrooms (girls and boys) available on the first and third floors. There are accessible staff bathrooms (female) available on the first and third floors. </t>
  </si>
  <si>
    <t>Fire alarm system has been upgraded and includes a strobe light feature. Holding rooms have been specifically designated as rooms 123, 223, 323, and 423.</t>
  </si>
  <si>
    <t>50 Bedford Avenue, Brooklyn, NY 11222</t>
  </si>
  <si>
    <t xml:space="preserve">The nearest accessible subway station is the Marcy Avenue Station (J, M, and Z trains), 1.10 miles distant. MTA bus service (B43 and B62) is also nearby. The accessible entrance to K610 is not the same as the main entrance; the accessible entrance is located on Nassau Avenue. The accessible entrance includes a ramp and security cameras. The accessible entrance does not include a doorbell or reception. Visitors may need to contact site in advance to gain access to this facility through the accessible entrance.  </t>
  </si>
  <si>
    <t xml:space="preserve">Changes in elevation in the basement and on the third floor prevent access to some program areas. Braille signs are not included throughout the building. </t>
  </si>
  <si>
    <t xml:space="preserve">Changes in elevation in the basement and on the third floor prevent access to some program areas. </t>
  </si>
  <si>
    <t>Door: 100 inches, Cab: 240 inches deep, 96 inches wide.</t>
  </si>
  <si>
    <t xml:space="preserve">This site is offers limited accessibility; most classrooms and education spaces are accessible and located on accessible routes. </t>
  </si>
  <si>
    <t>Room 302 and 338</t>
  </si>
  <si>
    <t>Rooms 233, 335, and 356</t>
  </si>
  <si>
    <t>Room 160</t>
  </si>
  <si>
    <t>Rooms 309 and 314</t>
  </si>
  <si>
    <t xml:space="preserve">The auditorium is accessible and is located on the first floor. Stage access is not provided. Accessible seating is provided. The cafeteria is not accessible and is located in the basement. The gymnasium is not accessible and is located on the third floor. Assistive listening systems have not been provided in the public assembly spaces.  </t>
  </si>
  <si>
    <t xml:space="preserve">Change in elevation (7 Steps) prevents access. </t>
  </si>
  <si>
    <t xml:space="preserve">Change in elevation (10 Steps) prevents access. </t>
  </si>
  <si>
    <t xml:space="preserve">This building is prevented from attaining a higher accessibility rating due to lack of accessible bathrooms throughout the building. There is an accessible staff bathroom (male) available on the first floor. </t>
  </si>
  <si>
    <t>19 Dock Street, Brooklyn, NY 11201</t>
  </si>
  <si>
    <t xml:space="preserve">The nearest accessible subway station is the Borough Hall Station (2, 3, 4, and 5 trains), 0.64 miles distant. MTA bus service (B25) is also nearby. The main entrance of K611 is accessible, located on Dock Street (Exit E). The accessible entrance includes a doorbell, security cameras, and reception. The doorbell is within reach range (Height 46 Inches). The separate Pre-K portion of the site has its own accessible entrance, adjacent to the main entrance. The accessible Pre-K entrance includes a doorbell, security cameras, and reception. The Pre-K doorbell is within reach range (Height 48 Inches). </t>
  </si>
  <si>
    <t xml:space="preserve">Two passenger elevators and one freight elevator provide access to all floors. Elevators include audible signals on each floor.  </t>
  </si>
  <si>
    <t xml:space="preserve">E1 and E2 
Doors: 42 Inches, Cabs: 48 Inches wide, 78 Inches deep. 
E3 
Doors: 42 Inches, Cabs: 60 Inches wide, 78 Inches deep. </t>
  </si>
  <si>
    <t>Room 105A (K869 Pre-K), and Room 202 (K313)</t>
  </si>
  <si>
    <t>Room 110A (K869 Pre-K), and Room 229 (K313)</t>
  </si>
  <si>
    <t xml:space="preserve">This site does not include an auditorium; the gymnasium fulfills this function. The gymnasium is accessible and is located on the second floor. Stage access is not provided. Accessible seating is provided. The cafeteria is accessible and is located on the first floor. The multipurpose room is accessible and is located on the first floor, in the Pre-K section. Assistive listening systems have not been provided in the public assembly spaces. </t>
  </si>
  <si>
    <t xml:space="preserve">Portable stage. Stage access not provided. Accessible seating is provided.  </t>
  </si>
  <si>
    <t xml:space="preserve">This site occupies the first and second floors of the building, with the second floor being the main educational floor. There are accessible student bathrooms (boys and girls) available on the second floor. There are accessible single-user (unisex) bathrooms (for student and staff use) available on all floors.  There are accessible single-user (unisex) bathrooms (for student and staff use) available in the classrooms of the Pre-K unit.   </t>
  </si>
  <si>
    <t xml:space="preserve">Clear path does not provide access.  </t>
  </si>
  <si>
    <t>Rooms 222 and 243</t>
  </si>
  <si>
    <t xml:space="preserve"> 117, 213, 215, 217A, 237, 239, and 245</t>
  </si>
  <si>
    <t xml:space="preserve">Room 117 is located in the Pre-K unit. </t>
  </si>
  <si>
    <t>Rooms 109B, 114A, 120A, and 121A</t>
  </si>
  <si>
    <t>1 Wells Street, Brooklyn, NY 11208</t>
  </si>
  <si>
    <t xml:space="preserve">The nearest accessible subway station is the Euclid Avenue Station (A and C trains), 0.03 miles distant. MTA bus service (B13 and Q24) is also nearby. The accessible entrance to K615 is not the same as the main entrance; the accessible entrance is located on Wells Street (Exits 11 and 12). The accessible entrance includes a ramp and security cameras. The accessible entrance does not include a doorbell or reception. Visitors may need to contact site in advance to gain access to this facility through the accessible entrance. </t>
  </si>
  <si>
    <t xml:space="preserve">Two passenger elevators provide access in the building. Elevator 1 provides access to all floors. Elevator 2 provides access to the basement, first floor, second floor, and third floor. Elevators include audible signals on each floor.  </t>
  </si>
  <si>
    <t xml:space="preserve">E1: Doors: 42 inches, Cab: 52 inches wide, 77 inches deep. 
E2: Doors: 48 inches, Cab: 75 inches wide, 135 inches deep. </t>
  </si>
  <si>
    <t>Rooms 134</t>
  </si>
  <si>
    <t>Room 429</t>
  </si>
  <si>
    <t>Rooms 315 and 320</t>
  </si>
  <si>
    <t xml:space="preserve">The auditorium is accessible and is located on the first floor. Stage access is provided via lift. Accessible seating is provided. The cafeteria is accessible and is located in the basement. The gymnasium is accessible and is located on the third floor. The multi-purpose room is accessible and is located on the first floor. Assistive listening systems have not been provided in the public assembly areas. </t>
  </si>
  <si>
    <t xml:space="preserve">STEM lab with a focus on transportation. The lab includes a ramp to provide access to the lab subway platform. </t>
  </si>
  <si>
    <t xml:space="preserve">There is an accessible single-user (unisex) bathroom (for students and staff use) available on the third floor. There are accessible staff bathrooms (male and female) available on the second floor. </t>
  </si>
  <si>
    <t>Female Bathrooms</t>
  </si>
  <si>
    <t>Fire alarm system has been upgraded and includes a strobe light feature. Holding rooms have been specifically designated as rooms 229 and 329.</t>
  </si>
  <si>
    <t>25 Brighton  4Th Road, Brooklyn, NY 11235</t>
  </si>
  <si>
    <t xml:space="preserve">The nearest accessible subway station is the Coney Island-Stillwell Avenue Station (D, F, N and Q trains), 1.2 miles distant. MTA bus service (B4 and B68) is also nearby. The accessible entrance to K620 is not the same as the main entrance; the accessible entrance is located on Brighton 4th Avenue (Exit 12). The accessible entrance (is not the same as main entrance) does not include a doorbell, reception, and security cameras; Visitors may need to contact site in advance to gain access to this facility through the accessible entrance. </t>
  </si>
  <si>
    <t>Non-Compliant Ramp.</t>
  </si>
  <si>
    <t xml:space="preserve">Entrance Lobby is not accessible due to changes of elevation. </t>
  </si>
  <si>
    <t>One passenger elevator provides access from the first to the third floor. The elevator does not provide access to the cellar classrooms. Elevator includes audible signals on each floor.</t>
  </si>
  <si>
    <t xml:space="preserve">E1 
Doors: 60 inches, Cabs: 71 inches wide, 92 inches deep. </t>
  </si>
  <si>
    <t xml:space="preserve">This site offers limited accessibility; classrooms located on the first through third floors are accessible and are located along accessible routes. Classrooms located in the cellar are not accessible due to the elevator not providing access to this floor. Changes of elevation exist on the first, second and third floors rooms 135A – 147, 342A, 342B and 354 are not accessible. </t>
  </si>
  <si>
    <t>Cellar Level, rooms 135A – 147, 342A, 342B and 354</t>
  </si>
  <si>
    <t xml:space="preserve">Not located on an accessible route. Changes of elevation. </t>
  </si>
  <si>
    <t>Rooms 238, 304, 316, 327 and 336</t>
  </si>
  <si>
    <t>Room C11</t>
  </si>
  <si>
    <t xml:space="preserve">Not located on an accessible route. Change of elevation. </t>
  </si>
  <si>
    <t>Room 136 (21K620)</t>
  </si>
  <si>
    <t>Room C28 (75K370)</t>
  </si>
  <si>
    <t>Room 354C</t>
  </si>
  <si>
    <t>Not located on an accessible route. Change of elevation.</t>
  </si>
  <si>
    <t>Rooms 215, 221, 223 and 312</t>
  </si>
  <si>
    <t xml:space="preserve">The auditorium is not accessible and is located on the second floor. Stage access is not provided. Accessible seating is not provided. The cafeteria is accessible and is located on the first floor. The gymnasium is not accessible and is located on the second floor. Assistive listening systems have not been provided in the public assembly spaces. </t>
  </si>
  <si>
    <t>Change of elevation. Not located on an accessible route. Stage access is not provided. Accessible seating is not provided.</t>
  </si>
  <si>
    <t>Accessible seating provided upon request. </t>
  </si>
  <si>
    <t xml:space="preserve">Change of elevation. Not located on an accessible route. </t>
  </si>
  <si>
    <t>This building is prevented from attaining a higher accessibility rating due to lack of accessible bathrooms throughout the building. There are no accessible staff bathrooms (male and female) available on all floors.</t>
  </si>
  <si>
    <t>This site includes exterior recreational spaces. The exterior recreational spaces are not accessible. The recreational equipment is accessible.</t>
  </si>
  <si>
    <t>Air-conditioning units have been provided in classrooms.</t>
  </si>
  <si>
    <t>William Herrera</t>
  </si>
  <si>
    <t>150 Albany Avenue, Brooklyn, NY 11213</t>
  </si>
  <si>
    <t xml:space="preserve">The nearest accessible subway station is Utica Avenue (A and C trains), 0.7 miles distant. MTA bus service (B15 and B65) is also nearby. The main entrance to K625 is accessible, located on Albany Avenue. The accessible entrance includes a ramp, a doorbell, and security cameras. The doorbell is not within reach range (height 54 inches). </t>
  </si>
  <si>
    <t>Door: 41 inches, Cab: 68 inches wide, 68 inches deep.</t>
  </si>
  <si>
    <t xml:space="preserve">Rooms 304, 330, 400, 430, 448, and 449 </t>
  </si>
  <si>
    <t>Room 350</t>
  </si>
  <si>
    <t>Rooms 117 (17K751), and 425 (17K122)</t>
  </si>
  <si>
    <t>Room 146</t>
  </si>
  <si>
    <t>Room 200, and 402</t>
  </si>
  <si>
    <t>This site does not include an auditorium, the gymnasium fulfills this function. Stage access is provided via lift. Accessible seating is provided. The cafeteria is accessible and is located in the basement. The gymnasium is accessible and is located in the basement. Assistive listening systems have been provided in the cafeteria.</t>
  </si>
  <si>
    <t>There are accessible student bathrooms (girls and boys) on all floors. There are accessible staff bathrooms on all floors.</t>
  </si>
  <si>
    <t>Fire Alarm System includes a strobe light feature. Holding rooms or areas of refuge have been specifically designated: Rooms 241, 341, and 441.</t>
  </si>
  <si>
    <t>257 North  6 Street, Brooklyn, NY 11211</t>
  </si>
  <si>
    <t>The nearest accessible subway station is Marcy Avenue Station (J, M, and Z trains), 0.6 miles distant. MTA bus service (Q59 and B24) is also nearby. The accessible entrance to K650 is not the same as the main entrance; the accessible entrance is located on North 7th Street. The accessible entrance includes security cameras. The accessible entrance does not include a doorbell. Visitors may need to contact the site in advance to gain access to this facility through the accessible entrance.</t>
  </si>
  <si>
    <t>Door: 42 inches; Cab: 50 inches deep, 81 inches wide.</t>
  </si>
  <si>
    <t>Located on the fourth floor.</t>
  </si>
  <si>
    <t>This site is moderately accessible; most classrooms are accessible and are located on accessible routes. Some second- floor classrooms are not accessible due to a change in elevation.</t>
  </si>
  <si>
    <t>Art Room – Rooms B24, B26, 322, 326, and 413</t>
  </si>
  <si>
    <t>Classrooms – Rooms 201 through 216</t>
  </si>
  <si>
    <t>Change in elevation (9 steps) prevents access.</t>
  </si>
  <si>
    <t>Computer Rooms – Room 232 and 426</t>
  </si>
  <si>
    <t>Library – Basement</t>
  </si>
  <si>
    <t>Main Office – Rooms 131, 230, and 424</t>
  </si>
  <si>
    <t>Nurse’s Office – Room 133D</t>
  </si>
  <si>
    <t>Science Lab – Rooms 505, 504/506, and 509</t>
  </si>
  <si>
    <t>The auditorium is accessible and is located on the first floor. Stage access is provided via lift. Accessible seating is provided. The cafeteria is accessible and is located in the basement. The gymnasium is accessible and is located on the sixth floor. Assistive listening systems have been provided in the auditorium.</t>
  </si>
  <si>
    <t>Cafeteria – Basement (Staff), Basement (Students)</t>
  </si>
  <si>
    <t>Gymnasium – Sixth Floor</t>
  </si>
  <si>
    <t>There are accessible student (boys) bathrooms available in the basement, first, second, and fourth floors. There are accessible student (girls) bathrooms available on the first and fourth floors. There is a single-user bathroom (for student and staff use) available on the first floor.</t>
  </si>
  <si>
    <t>345 Dean Street, Brooklyn, NY 11217</t>
  </si>
  <si>
    <t>The nearest accessible subway station is Atlantic Avenue Barclays Center Station (2, 4, and 5 trains), 0.2 miles distant. MTA bus service (B65 and B37) is also nearby. This site is the primary building for secondary building K656. The accessible entrance to K655 is not the same as the main entrance; the accessible entrance is located on Pacific Street (Exit 9) and is accessed via an inclined walkway from the street. The accessible entrance includes security cameras. The accessible entrance does not include a doorbell; visitors may need to contact site in advance to gain access to this facility through the accessible entrance.</t>
  </si>
  <si>
    <t>Doors: 36 inches, Cab: 48 inches wide, 63 inches deep.</t>
  </si>
  <si>
    <t>Art Rooms – Rooms 112, 115, 118, and 303</t>
  </si>
  <si>
    <t>Computer Rooms – Rooms 207 and 304</t>
  </si>
  <si>
    <t>Library – Room 216</t>
  </si>
  <si>
    <t>Main Office – Room 137, and 340</t>
  </si>
  <si>
    <t>Nurse’s Office-</t>
  </si>
  <si>
    <t>Science Lab – Rooms 310, 315, 318, and 321</t>
  </si>
  <si>
    <t>The auditorium is accessible and is located on the first floor. Stage access is provided via lift. Accessible seating is provided. This site does not include a cafeteria. The cafeteria is accessible and is located on the third floor of secondary building K656. The gymnasium is accessible and is located on the fourth floor. Assistive listening systems have been provided in the auditorium.</t>
  </si>
  <si>
    <t>There are accessible student bathrooms (girls and boys) available on the third floor. There are accessible staff bathrooms (male) available on the third floor. There are accessible staff bathrooms (female) available on the first, third, and fourth floors.</t>
  </si>
  <si>
    <t>Boys Bathroom – Room 313</t>
  </si>
  <si>
    <t>Boys Bathroom – Rooms 213 and 435A</t>
  </si>
  <si>
    <t>Girls Bathroom – Rooms 113 and 328</t>
  </si>
  <si>
    <t>Staff Bathrooms – Male – Room 128</t>
  </si>
  <si>
    <t>Includes ambulatory stall.</t>
  </si>
  <si>
    <t>Staff Bathrooms - Female – Room 222</t>
  </si>
  <si>
    <t>Single-User (Unisex) Bathrooms – Rooms 122 and 322</t>
  </si>
  <si>
    <t>Room 322 includes a Rifton lift.</t>
  </si>
  <si>
    <t>Single-User (Unisex) Bathrooms – Room 129A</t>
  </si>
  <si>
    <t>Fire alarm system has been upgraded and includes a strobe light feature. Holding rooms or areas of refuge have been specifically designated as rooms 210, 232, 303, 340, 441, and 450A.</t>
  </si>
  <si>
    <t>500 Pacific Street, Brooklyn, NY 11217</t>
  </si>
  <si>
    <t>The nearest accessible subway station is Atlantic Avenue Barclays Center Station (2, 4, and 5 trains), 0.2 miles distant. MTA bus service (B65 and B37) is also nearby. Building K656 is the secondary location for primary building K655 and is accessed via Building K655. The main entrance of K656 is accessible, located on Pacific Street (Exit 1). The accessible entrance includes reception and security cameras. The accessible entrance does not include a doorbell.</t>
  </si>
  <si>
    <t>Remediates change in elevation at nurse’s office</t>
  </si>
  <si>
    <t>Doors: 60 inches, Cab: 95 inches wide, 127 inches deep.</t>
  </si>
  <si>
    <t>Ramped bridge connection to building K655 has a steep slope and may pose difficulty for some. Inclined path of travel through room 162 may pose difficulty for some.</t>
  </si>
  <si>
    <t>Computer Rooms – Room 356</t>
  </si>
  <si>
    <t>Library – Room 168</t>
  </si>
  <si>
    <t>*Located in building K655</t>
  </si>
  <si>
    <t>Nurse’s Office – Room 154</t>
  </si>
  <si>
    <t>This site does not include an auditorium. The auditorium is located in main building K655. The cafeteria is accessible and is located on the third floor. The gymnasium is accessible and is located on the sub-basement. Assistive listening systems have not been provided in the public assembly spaces.</t>
  </si>
  <si>
    <t>Auditorium is located in primary building K655.</t>
  </si>
  <si>
    <t>Cafeteria – Third Floor</t>
  </si>
  <si>
    <t>Gymnasium – Sub- Basement</t>
  </si>
  <si>
    <t>There are accessible student bathrooms (boys and girls) available on the second through fourth floors. Additional accessible bathrooms are available on the first and second floors of the connected main building K655.</t>
  </si>
  <si>
    <t>Boys Bathrooms – Rooms 278, 353B, and 461</t>
  </si>
  <si>
    <t>Boys Bathrooms – Rooms M58 and Gym Boys</t>
  </si>
  <si>
    <t>Girls Bathrooms – Rooms 277, 353A, and 462B</t>
  </si>
  <si>
    <t>Staff Bathrooms – Female – Room 267</t>
  </si>
  <si>
    <t>Staff Bathrooms – Male – Room 269</t>
  </si>
  <si>
    <t>Single-User (Unisex) Bathrooms – Rooms 151, 351A and 351B</t>
  </si>
  <si>
    <t>Room 151 is the designated gender-neutral bathroom</t>
  </si>
  <si>
    <t>Fire alarm system has been upgraded and includes a strobe light feature. Holding rooms have been specifically designated as rooms 250, 354, and 459.</t>
  </si>
  <si>
    <t>145 Pennsylvania Avenue, Brooklyn, NY 11207</t>
  </si>
  <si>
    <t xml:space="preserve">The nearest accessible subway station is Euclid Avenue (A and C trains), 1.4 miles distant. MTA bus service (B20 and B83) is also nearby. The main entrance to K660 is accessible, located on Glenmore Avenue. The accessible entrance includes a ramp, a doorbell, security cameras, and reception. The doorbell is not within reach range (height 60 inches). </t>
  </si>
  <si>
    <t>Doors: 42 inches; Cabs: 61 inches wide, 80 inches deep.</t>
  </si>
  <si>
    <t>Room 409, and 425</t>
  </si>
  <si>
    <t>Room 359</t>
  </si>
  <si>
    <t>Rooms 251, and 265</t>
  </si>
  <si>
    <t>The auditorium is accessible and is located on the first floor. The auditorium provides stage access via a lift, and accessible seating. The cafeteria is accessible and is located on the first floor. The gymnasium is accessible and is located on the fourth floor. Assistive listening systems have been provided in the auditorium.</t>
  </si>
  <si>
    <t>There are accessible student bathrooms (girls and boys) on all floors. There is also an accessible single-user (unisex) bathroom (available for students and staff) from the second through the fifth floors.</t>
  </si>
  <si>
    <t>Second Through Fifth Floors</t>
  </si>
  <si>
    <t>219 25 Street, Brooklyn, NY 11232</t>
  </si>
  <si>
    <t>The nearest accessible subway station is the 59th Street Station (N, R, and W trains), 1.67 miles distant. MTA bus service (B63) is also nearby. The main entrance is accessible, located on 25th Street (Exit 1). The accessible entrance includes a doorbell, reception, and security cameras.</t>
  </si>
  <si>
    <t>This site occupies a single-story structure. This building does not include an elevator: Lack of elevator does not prevent access.</t>
  </si>
  <si>
    <t>Ramped hallway by Room 129 lacks handrails</t>
  </si>
  <si>
    <t>Main Office – Room 122</t>
  </si>
  <si>
    <t>Nurse’s Office – Room 122A</t>
  </si>
  <si>
    <t>This site does not include an auditorium, cafeteria, or a gymnasium; the multi-purpose room fulfills these functions. The multi-purpose room is accessible and is located on the first floor. The multi-purpose room does not include a stage. Accessible seating is provided. Assistive listening systems have not been provided in the public assembly spaces.</t>
  </si>
  <si>
    <t>The multi-purpose room does not include a stage. Accessible seating is provided.</t>
  </si>
  <si>
    <t>Single-User (Unisex) Bathrooms – Rooms 126 and 129</t>
  </si>
  <si>
    <t>Single-User (Unisex) Bathrooms – Classrooms 113, 115, 117, 119, and 124</t>
  </si>
  <si>
    <t>76 Dinsmore Place, Brooklyn, NY 11208</t>
  </si>
  <si>
    <t xml:space="preserve">The nearest accessible subway station is Utica Av Station (A and C trains), 3.2 miles distant. MTA bus service (Q24) is also nearby. The main entrance of K667 is accessible, located on Dinsmore Street (Exit 2). The accessible entrance includes a doorbell, security cameras, and reception. The doorbell is within range (height 32 inches). </t>
  </si>
  <si>
    <t xml:space="preserve">Braille signs are included throughout the building. </t>
  </si>
  <si>
    <t>Doors: 33 inches, Cab: 36 inches wide, 51 inches deep</t>
  </si>
  <si>
    <t>Doors: 43 inches; Cabs: 63 inches wide, 78 inches deep</t>
  </si>
  <si>
    <t xml:space="preserve">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 gymnasium, and cafeteria.  </t>
  </si>
  <si>
    <t>Accessible seating is provided. Assistive listening systems have been provided.</t>
  </si>
  <si>
    <t xml:space="preserve">First Floor </t>
  </si>
  <si>
    <t>This room is built as a Dance Room.</t>
  </si>
  <si>
    <t xml:space="preserve">There are accessible student bathrooms (boys and girls) available on all floors. There are accessible single-user (unisex) bathrooms (for student and staff use) available on all floors. </t>
  </si>
  <si>
    <t>Rooms 105, 206A, 310, 410 and 510</t>
  </si>
  <si>
    <t>Rooms 108, 206B, 309, 409 and 509</t>
  </si>
  <si>
    <t>Rooms 107 and 201A</t>
  </si>
  <si>
    <t>Rooms 213, 214, 215, 216, 217, 218, 220, 305, 306, 307, 316, 318, 320, 322, 323, 324 and 325</t>
  </si>
  <si>
    <t>Rooms 106, 201B, 301C, 308, 311, 408 and 508</t>
  </si>
  <si>
    <t>Fire alarm system has been upgraded and includes a strobe light feature. Holding rooms or areas of refuge have been specifically designated as rooms 210, 310 and 410.</t>
  </si>
  <si>
    <t>JF</t>
  </si>
  <si>
    <t>836-841 5Th Avenue, Brooklyn, NY 11232</t>
  </si>
  <si>
    <t>The nearest accessible subway station is the Church Ave Station (F, and G trains), 1.00 mile distant. MTA bus service (B63 and B70) is also nearby. The main entrance is accessible, located on 5 Avenue (Exit 1). The accessible entrance includes a doorbell, reception, and security cameras. The doorbell is within reach range (height 47 inches).</t>
  </si>
  <si>
    <t>This site occupies floors cellar through four in the building. Two elevators provide access to all floors. Elevators include audible signals on each floor.</t>
  </si>
  <si>
    <t>E1 and E2 Doors: 41 inches, Cabs: 63 inches wide, 78 inches deep.</t>
  </si>
  <si>
    <t>Art Rooms – Room 404</t>
  </si>
  <si>
    <t>Library – Room 308</t>
  </si>
  <si>
    <t>Nurse’s Office – Room 113</t>
  </si>
  <si>
    <t>This site includes a combined auditorium and gymnasium that are accessible and located on the fourth floor. Stage access is provided via lift. Accessible seating is provided. The cafeteria is accessible and is located in the cellar. The multi-purpose room, designated as the exercise room, is accessible and is located on the first floor. Assistive listening systems have been provided in the auditorium, gymnasium, cafeteria, and multi-purpose room.</t>
  </si>
  <si>
    <t>Cafeteria – Cellar Floor</t>
  </si>
  <si>
    <t>Multi-Purpose Room – Room 104</t>
  </si>
  <si>
    <t>Room 104 is designated as the exercise room. Assistive listening systems have been provided.</t>
  </si>
  <si>
    <t>Boys Bathrooms – Rooms C01B, 209, 307, and 411</t>
  </si>
  <si>
    <t>Girls Bathrooms – Rooms C01G, 211, 309, and 413</t>
  </si>
  <si>
    <t>Single-User (Unisex) Bathrooms – Rooms C09, 106, 111, 113, 214, 314, 412, and 416</t>
  </si>
  <si>
    <t>Room 113 is located in the nurse’s office.</t>
  </si>
  <si>
    <t>Single-User (Unisex) Bathrooms – Classrooms 108, 110, and 115</t>
  </si>
  <si>
    <t>Fire alarm system has been upgraded and includes a strobe light feature. Holding rooms have been specifically designated as rooms C01, 202, 302, and 402.</t>
  </si>
  <si>
    <t>736 48Th Street, Brooklyn, NY 11220</t>
  </si>
  <si>
    <t xml:space="preserve">The nearest accessible subway station is the Church Avenue Station (F and G trains), 1.29 miles distant. MTA bus service (B11 and B70) is also nearby. The main entrance of K682 is accessible, located on 48th Street (Exit 6). The accessible entrance includes a doorbell, security cameras, and reception. The doorbell is within reach range (Height 46 Inches). </t>
  </si>
  <si>
    <t xml:space="preserve">This site is moderately accessible; all classrooms located on the first floor are accessible and are located along accessible routes.  </t>
  </si>
  <si>
    <t>Cellar, Second Through Third Floors</t>
  </si>
  <si>
    <t xml:space="preserve">Not on an accessible route. Lack of elevator prevents access to floors other than the first.  </t>
  </si>
  <si>
    <t xml:space="preserve">Not on an accessible route. Lack of elevator prevents access to floors other than the first. </t>
  </si>
  <si>
    <t xml:space="preserve">This site does not include an auditorium, cafeteria, or gymnasium; the multi-purpose room fulfills these functions. The multi-purpose room is accessible and is located on the first floor. Assistive listening systems have been provided in the multi-purpose room. </t>
  </si>
  <si>
    <t xml:space="preserve">Stage access via lift. Accessible seating is provided. Assistive listening systems have been provided. </t>
  </si>
  <si>
    <t xml:space="preserve">There are accessible student bathrooms (boys and girls) available on the first floor. There is an accessible single-user (unisex) bathroom (for student and staff use) available on the first floor.   </t>
  </si>
  <si>
    <t>Rooms 214 and 313</t>
  </si>
  <si>
    <t>Rooms 212 and 311</t>
  </si>
  <si>
    <t>Rooms 305A and 309A</t>
  </si>
  <si>
    <t xml:space="preserve">Not on accessible route. Interior dimensions do not provide clear floor space. </t>
  </si>
  <si>
    <t xml:space="preserve">Fire alarm system has been upgraded and includes a strobe light feature. Holding rooms have been specifically designated as rooms 104 and 204. </t>
  </si>
  <si>
    <t xml:space="preserve"> This site does not include central air; Air-conditioning units provided in classrooms.  </t>
  </si>
  <si>
    <t>2886 Bedford Avenue, Brooklyn, NY 11210</t>
  </si>
  <si>
    <t>The nearest accessible subway station is Flatbush Avenue – Brooklyn College Station (2 and 5 trains), 0.30 miles distant. MTA bus service (B6 and B11) is also nearby. Building K705 is the secondary location for primary building K405. The main entrance of building K705 is accessible, located on Bedford Avenue (Exit 1). The accessible entrance includes a doorbell, reception, and security cameras. The doorbell is within reach range (height 45 inches).</t>
  </si>
  <si>
    <t>Some wall-mounted objects protrude in the corridors more than 4 inches, which may present difficulties for individuals with visual disabilities. Braille signs are included throughout the building.</t>
  </si>
  <si>
    <t>E1 and E2: Doors: 48 inches, Cabs: 67 inches wide, 105 inches deep.</t>
  </si>
  <si>
    <t>Library – Room 100-1A</t>
  </si>
  <si>
    <t>Science Lab – Rooms 215, 219, 313, and 319</t>
  </si>
  <si>
    <t>This site does not include any public assembly areas. All public assembly areas are located in the main building of Midwood High School (K405).</t>
  </si>
  <si>
    <t>Does Not Exist Does Not Exist</t>
  </si>
  <si>
    <t>Boys Bathrooms – Rooms 111, 210, and 310</t>
  </si>
  <si>
    <t>Girls Bathrooms – Rooms 113, 208, and 308</t>
  </si>
  <si>
    <t>Single-User (Unisex) Bathrooms – Rooms 120, 122, 204, 206, 304, and 306</t>
  </si>
  <si>
    <t>Fire alarm system has been upgraded and includes a strobe light feature. Holding rooms have been specifically designated as rooms 220 and 320.</t>
  </si>
  <si>
    <t>64 Avenue X, Brooklyn, NY 11223</t>
  </si>
  <si>
    <t>The nearest accessible subway station is the Coney Island – Stillwell Avenue Station (D, F, N, and Q trains), 0.82 miles distant. MTA bus service (B1, B4, and B64) is also nearby. The main entrance of K722 is accessible, located on Avenue X (Exit 2). The accessible entrance includes a doorbell, security cameras, and reception. The doorbell is not within reach range (Height 49 inches).</t>
  </si>
  <si>
    <t>E1 - Doors: 72 inches, Cab: 123 inches wide, 92 inches deep. E2 - Doors: 42 inches, Cab: 74 inches wide, 64 inches deep.</t>
  </si>
  <si>
    <t>Library - Room 214</t>
  </si>
  <si>
    <t>Main Office – Room 112</t>
  </si>
  <si>
    <t>Nurse’s Office - Room 111</t>
  </si>
  <si>
    <t>The auditorium is accessible and is located on the first floor. Stage access is provided via ramp. Accessible seating is provided. The cafeteria is accessible and is located on the first floor. The gymnasium is accessible and is located on the first floor. Assistive listening systems have not been provided in the public assembly spaces.</t>
  </si>
  <si>
    <t>Stage access via ramp. Accessible seating has been provided.</t>
  </si>
  <si>
    <t>Accessible seating available upon request. Serving line does not provide clear width.</t>
  </si>
  <si>
    <t>There are accessible student bathrooms (boys and girls) available on all floors. There are accessible staff bathrooms (male) available on all floors. There are accessible single-user (unisex) bathrooms (for student and staff use) available on all floors.</t>
  </si>
  <si>
    <t>Boys Bathrooms – Rooms 136, 223, and 323</t>
  </si>
  <si>
    <t>Girls Bathrooms – Rooms 137, 224, and 324</t>
  </si>
  <si>
    <t>Staff Bathrooms – Rooms 141, 226, and 327</t>
  </si>
  <si>
    <t>Staff Bathrooms – Rooms 140, 225, and 325</t>
  </si>
  <si>
    <t>Female Staff Bathrooms. Structural element in accessible stall intrudes into clear floor space.</t>
  </si>
  <si>
    <t>Single-User (Unisex) Bathrooms – Rooms 132, 133, and 234C</t>
  </si>
  <si>
    <t>Room 234C is located inside the nurse’s office.</t>
  </si>
  <si>
    <t>Fire alarm system has been upgraded and includes a strobe light feature. Holding rooms have been specifically designated as rooms 201, 2016, 301, and 316.</t>
  </si>
  <si>
    <t>249 East 17Th Street, Brooklyn, NY 11226</t>
  </si>
  <si>
    <t>The nearest accessible subway station is Church Avenue Station (5 trains), 1.0 miles distant. MTA bus service (B35) is also nearby. There is no accessible entrance to K735. At the entrance there is cameras and a doorbell. The doorbell present at the main entrance that is not within reach range (Height 62 inches).</t>
  </si>
  <si>
    <t xml:space="preserve">Some water fountains and other wall-mounted objects may protrude in to the corridors more than 4 inches, which may present difficulties for individuals with visual disabilities. Braille signs are not included throughout the building. </t>
  </si>
  <si>
    <t>There is an elevator that is not in use. It provides access to the basement and first floor but not the second floor.</t>
  </si>
  <si>
    <t>This site is not accessible. All classrooms are not located on accessible routes.</t>
  </si>
  <si>
    <t>Room 223</t>
  </si>
  <si>
    <t>This site is not accessible. The auditorium is located on the first floor, it does not provide stage access or accessible seating. The cafeteria is located in the basement. They gymnasium is located on the first floor. Assistive listening systems have not been provided in the public assembly areas.</t>
  </si>
  <si>
    <t>This site is not accessible. Although there are accessible student bathrooms (girls and boys) on all floors, the only problem is that the bathrooms are not located on an accessible path of travel. There are no accessible staff bathrooms in the building.</t>
  </si>
  <si>
    <t>(Not located on an accessible path of travel)</t>
  </si>
  <si>
    <t>270 59Th Street, Brooklyn, NY 11220</t>
  </si>
  <si>
    <t xml:space="preserve">The nearest accessible subway station is the 59 Street Station (N, Q, R, and W trains), 0.2 miles distant. MTA bus service (B37 and B9) is also nearby. The main entrance of K746 is accessible, located on 59 Street (Exit 1). The accessible entrance includes a doorbell, reception, and security cameras. The doorbell is within reach range (height 48 inches). </t>
  </si>
  <si>
    <t xml:space="preserve">E1 and E2
Doors: 42 inches, Cabs: 80 inches wide, 71 inches deep.
</t>
  </si>
  <si>
    <t>Room 521</t>
  </si>
  <si>
    <t>Room 415 and 419</t>
  </si>
  <si>
    <t xml:space="preserve">Auditorium is accessible and is located on the first floor. Stage access is provided via lift. Accessible seating is provided. The cafeteria is accessible and is located on the basement floor. The gymnasium is accessible and is located on the third floor. Assistive listening systems have been provided in the auditorium and cafeteria. </t>
  </si>
  <si>
    <t>Stage access via lift. Accessible seating is provided. Assistive listening system has been provided.</t>
  </si>
  <si>
    <t>Accessible seating available upon request. Assistive listening system has been provided.</t>
  </si>
  <si>
    <t>Rooms C24B, 106B, 220B, 320B, 420B, and 520B</t>
  </si>
  <si>
    <t>Rooms C24G, 106G, 220G, 320G, 420G, and 520G</t>
  </si>
  <si>
    <t>Rooms 101, 102B, 214, 216, 314, 316, 414, 416, 514, and 516</t>
  </si>
  <si>
    <t>Classrooms 117, 119, 124, 126, 128, 219, 222, 226, and 228</t>
  </si>
  <si>
    <t>Fire alarm system has been upgraded and includes a strobe light feature. Holding rooms have been specifically designated as rooms 228, 328, 428, and 528.</t>
  </si>
  <si>
    <t>424 Albee Square West, Brooklyn, NY 11201</t>
  </si>
  <si>
    <t>The nearest accessible subway station is Jay Street – Metro Tech Station (A, C, F, and R trains), 0.21 miles distant. MTA bus service (B25, B26, B38, B41, B45, B52, B54, B67, B103) is also nearby. The main entrance is accessible, located on Albee Square West. The accessible entrance includes security cameras and reception. The accessible entrance does not include a doorbell.</t>
  </si>
  <si>
    <t>This site occupies the third through fifth floors at this building. Braille signs are included throughout the building.</t>
  </si>
  <si>
    <t>E1 and E2 Doors: 48 inches, Cabs: 80 inches wide, 48 inches deep.</t>
  </si>
  <si>
    <t>Art Rooms – Room 504</t>
  </si>
  <si>
    <t>Classrooms – Fourth and Fifth Floors</t>
  </si>
  <si>
    <t>Main Office – Room 401</t>
  </si>
  <si>
    <t>Nurse’s Office – Room 301</t>
  </si>
  <si>
    <t>This site does not include an auditorium or a gymnasium; the multi-purpose room fulfills these functions. The multi- purpose room is accessible and is located on the fifth floor. Stage access is provided via lift. Accessible seating is provided. The cafeteria is accessible and is located on the third floor. Assistive listening systems have been provided in the multi-purpose room.</t>
  </si>
  <si>
    <t>Multi-Purpose Room – Fifth Floor</t>
  </si>
  <si>
    <t>There are accessible student bathrooms (boys and girls) available on the third through fifth floors. There are accessible single-user (unisex) bathrooms (for student and staff use) available on the fourth and fifth floors.</t>
  </si>
  <si>
    <t>Boys Bathrooms – Rooms 305B, 400K, and 500F</t>
  </si>
  <si>
    <t>Room 305B is located in the cafeteria.</t>
  </si>
  <si>
    <t>Girls Bathrooms – Rooms 305A, 400J, and 500G</t>
  </si>
  <si>
    <t>Room 305A is located in the cafeteria.</t>
  </si>
  <si>
    <t>Single-User (Unisex) Bathrooms – Rooms 400H, 400M, 500E, and 500I</t>
  </si>
  <si>
    <t>Fire alarm system has been upgraded and includes a strobe light feature. Holding rooms have been specifically designated as rooms 304, 402, and 502.</t>
  </si>
  <si>
    <t>131 Union Street, Brooklyn, NY 11231</t>
  </si>
  <si>
    <t xml:space="preserve">The nearest accessible subway station is the Jay Street-Metro Tech Station (A, C, F, R, and N trains), 1.3 miles distant. MTA bus service (B57 and B61) is also nearby. The main entrance of K751 is accessible, located on Union Street (Exit 1). The accessible entrance includes a doorbell, reception, and security cameras. The doorbell is not within reach range (height 60 inches). </t>
  </si>
  <si>
    <t>This site does not include an elevator, but this has no bearing on accessibility, as this is a single-floor site.</t>
  </si>
  <si>
    <t>Rooms 102 and 103</t>
  </si>
  <si>
    <t>This site does not include an auditorium, cafeteria, or gymnasium; the multi-purpose room fulfills these functions. The multi-purpose room is accessible and is located on the ground floor. Assistive listening systems have not been provided in the public assembly spaces.</t>
  </si>
  <si>
    <t>Multi-Purpose Room – Monitor Activity Room - Ground Floor</t>
  </si>
  <si>
    <t>There are accessible student bathrooms (boys and girls) available on the ground floor. There is an accessible single-user (unisex) bathroom (for student and staff use) available on the ground floor.</t>
  </si>
  <si>
    <t>Classroom 102</t>
  </si>
  <si>
    <t>Classroom 103</t>
  </si>
  <si>
    <t>This site includes central air; Air-conditioning controls have been provided in classrooms.</t>
  </si>
  <si>
    <t>1355 84Th Street, Brooklyn, NY 11228</t>
  </si>
  <si>
    <t>The nearest accessible subway station is the 62nd Street / New Utrecht Avenue Station (D and N trains), 1.00 miles distant. MTA bus service (B1, B64, X28, and X38) is also nearby. The main entrance is accessible, located on 84th Street (Exit 1). The accessible entrance includes a ramp, a doorbell, reception, and security cameras. The doorbell is within reach range (height 43 inches).</t>
  </si>
  <si>
    <t>Ramped access to main entrance from 84th street.</t>
  </si>
  <si>
    <t>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 are not included throughout the building.</t>
  </si>
  <si>
    <t>Doors: 36 inches, Cab: 68 inches wide, 51 inches deep.</t>
  </si>
  <si>
    <t>Main Office – Room 118</t>
  </si>
  <si>
    <t>Nurse’s Office – Room 216</t>
  </si>
  <si>
    <t>This site does not include an auditorium, cafeteria, or a gymnasium; the multi-purpose room fulfills these functions. The multi-purpose room is accessible and is located on the third floor. The multi-purpose room does not include a stage. Accessible seating is provided. Assistive listening systems have not been provided in the public assembly spaces.</t>
  </si>
  <si>
    <t>Multi-Purpose Room – Room 310</t>
  </si>
  <si>
    <t>Accessible seating is provided. The multi-purpose room does not include a stage.</t>
  </si>
  <si>
    <t>There are accessible single-user (unisex) bathrooms (for student and staff use) available on all floors.</t>
  </si>
  <si>
    <t>Single-User (Unisex) Bathrooms – Classrooms 112, 122, 206, 207, 215, 305, 306, 307, 315, and 316</t>
  </si>
  <si>
    <t>Located inside classrooms.</t>
  </si>
  <si>
    <t>Fire alarm system has been upgraded and includes a strobe light feature. Holding rooms have been specifically designated as rooms 207 and 307.</t>
  </si>
  <si>
    <t>This site includes central air in the hallways. This site does not include central air in the classrooms. Air- conditioning units have been provided in classrooms.</t>
  </si>
  <si>
    <t>211 8Th Street, Brooklyn, NY 11215</t>
  </si>
  <si>
    <t>The nearest accessible subway station is Atlantic Avenue-Barclays Center Station (B, D, N, Q, R, 2, 3, 4, and 5 trains), 1.00 mile distant. MTA bus service (B37, B61, and B103) is also nearby. The main entrance to building K763 is not accessible, located on 8th Street (Exit at Stairway B). The main entrance includes a doorbell, security cameras, and reception. The doorbell is not within reach range (Height 54 inches). This building has no accessible entrance.</t>
  </si>
  <si>
    <t>Some door saddles are high, which may be difficult for some users to navigate. Braille signs are not included throughout the building.</t>
  </si>
  <si>
    <t>This site is not accessible; all classrooms are accessible but are not located along accessible routes.</t>
  </si>
  <si>
    <t>Art Rooms – Room 314</t>
  </si>
  <si>
    <t>Library - Room 118</t>
  </si>
  <si>
    <t>Main Office - Room 101</t>
  </si>
  <si>
    <t>Nurse’s Office - Room 214</t>
  </si>
  <si>
    <t>This site does not include an auditorium or gymnasium; the multi-purpose room fulfills these functions. The multipurpose room is not accessible and is located on the fourth floor. Accessible seating is provided. The cafeteria is not accessible and is located in the basement. Assistive listening systems have been provided in the cafeteria and multi-purpose room.</t>
  </si>
  <si>
    <t>Not on an accessible route. Accessible seating is provided. Assistive listening systems have been provided.</t>
  </si>
  <si>
    <t>The bathrooms on this site are accessible but are not located along accessible routes.</t>
  </si>
  <si>
    <t>Boys Bathrooms – Rooms B018, 308, and 403</t>
  </si>
  <si>
    <t>Girls Bathrooms – Rooms B014, 208, and 405</t>
  </si>
  <si>
    <t>Staff Bathrooms – Room 102B and 111</t>
  </si>
  <si>
    <t>Staff Bathrooms – Room 212</t>
  </si>
  <si>
    <t>Not on an accessible route. Lacks clear door width. Interior partitions and clear path in room 212 prevent access.</t>
  </si>
  <si>
    <t>Single-User (Unisex) Bathrooms – Rooms B06, B08, 206, and 306</t>
  </si>
  <si>
    <t>215 First Street, Brooklyn, NY 11215</t>
  </si>
  <si>
    <t>The nearest accessible subway station is Atlantic Avenue – Barclays Center Station (B, D, N, Q, R, 2, 3, 4, and 5 trains), 0.60 miles distant. MTA bus service (B37 and B63) is also nearby. Building K764 is the secondary location for building K834. The main entrance of K764 is not accessible, located on First Street (Exit 10). The feasible option for an accessible entrance to K764 is not the same as the main entrance; the feasible option for an accessible entrance is accessed via a courtyard located on Denton Street (Exit 13). The feasible option for an accessible entrance includes a ramp. Change in elevation (1 step) at this entrance prevents access.</t>
  </si>
  <si>
    <t>Changes in elevation prevent access (6 steps exterior at Exit 10, 1 step exterior at Exit 13).</t>
  </si>
  <si>
    <t>Steep slope, concrete degradation, and 1 8” step from ramp to threshold.</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</si>
  <si>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all floors prevent access to most program areas. Braille signs are not included throughout the building.</t>
  </si>
  <si>
    <t>Art Rooms – Rooms XXX and XXX</t>
  </si>
  <si>
    <t>Library – Room XXX</t>
  </si>
  <si>
    <t>Main Office – Room XXX</t>
  </si>
  <si>
    <t>Nurse’s Office – Room XXX</t>
  </si>
  <si>
    <t>Science Lab – Rooms XXX, XXX, and XXX</t>
  </si>
  <si>
    <t>This site does not include an auditorium or a gymnasium; the multi-purpose room fulfills these functions. The multi- purpose room is not accessible and is located on the first floor. Stage access is not provided. Accessible seating is provided. This site does not include a cafeteria; the cafeteria is not accessible and is located in primary building K834. Assistive listening systems have been provided in the multi-purpose room.</t>
  </si>
  <si>
    <t>Located in primary building K834. Accessible seating available upon request. Change in elevation (10” step at threshold) prevents access.</t>
  </si>
  <si>
    <t>Multi-Purpose Room - First Floor</t>
  </si>
  <si>
    <t>Not on accessible route. Stage access is not provided (Stage height 57”). Accessible seating is provided. Assistive listening systems have been provided.</t>
  </si>
  <si>
    <t>Single-User (Unisex) Bathrooms</t>
  </si>
  <si>
    <t>Single-User (Unisex) Bathrooms – Classrooms - Basement</t>
  </si>
  <si>
    <t>https://nycdoe.sharepoint.com/:w:/s/BAP/EW9_yonXtv1Eij7RODp1azUB1IETdQH14P6yhjlSW5PZpA</t>
  </si>
  <si>
    <t>7301 15 Avenue, Brooklyn, NY 11228</t>
  </si>
  <si>
    <t xml:space="preserve">The nearest accessible subway station is the 62nd Street – New Utrecht Avenue Station (D and N trains), 0.47 miles distant. MTA bus service (B4) is also nearby. The main entrance of K768 is not accessible. Building K768 does not include an accessible entrance. The main entrance includes a doorbell, security cameras, and reception. The doorbell is not within reach range (Height 57 inches). </t>
  </si>
  <si>
    <t xml:space="preserve">Changes in elevation at all entrances </t>
  </si>
  <si>
    <t xml:space="preserve">This site contains changes in elevation throughout. Some door saddles are high, which may be difficult for some users to navigate. Braille signs are included throughout the building.  </t>
  </si>
  <si>
    <t xml:space="preserve">This site does not include an elevator, interior lifts or interior ramps, which prevents vertical access throughout the building. </t>
  </si>
  <si>
    <t xml:space="preserve">This site is not accessible; all classrooms are accessible but are not located along accessible routes due to lack of elevators and lifts to remediate the changes of elevation at entrances, in hallways, and between floors. </t>
  </si>
  <si>
    <t>Room C11A</t>
  </si>
  <si>
    <t xml:space="preserve">This site does not include an auditorium, gymnasium, or cafeteria; the multi-purpose room fulfills these functions. The multi-purpose room is not accessible and is located in the basement. Stage access is not provided. Accessible seating is available on request. Assistive listening systems have been provided in the multi-purpose room. </t>
  </si>
  <si>
    <t xml:space="preserve">Not on an accessible route. Stage access not provided. Accessible seating available on request. Assistive listening systems have been provided. </t>
  </si>
  <si>
    <t xml:space="preserve">There are no accessible student or staff bathrooms available at this site; the bathroom spaces are accessible but are not located along accessible routes. </t>
  </si>
  <si>
    <t>Room C10</t>
  </si>
  <si>
    <t>Room C08</t>
  </si>
  <si>
    <t>Rooms C11B, 100B, and 200A</t>
  </si>
  <si>
    <t>Rooms 107B and 109B</t>
  </si>
  <si>
    <t xml:space="preserve">Clear opening and interior dimensions prevent access. </t>
  </si>
  <si>
    <t xml:space="preserve">This site includes central air in the basement.  This site does not include central air on the first and second floors; Air-conditioning units provided in classrooms.  </t>
  </si>
  <si>
    <t>1087 Ocean Avenue, Brooklyn, NY 11230</t>
  </si>
  <si>
    <t>The nearest accessible subway station is the Flatbush Avenue Station (2 and 5 trains), 0.6 miles distant. MTA bus service (B49 and B8) is also nearby. Building K776 is a secondary building (annex) to building K152. The main entrance of K776 is not accessible due to changes in elevation and is located on Ocean Avenue (Exit 1). The main entrance includes reception. This site does not include an accessible entrance.</t>
  </si>
  <si>
    <t>Change in elevation (14 steps) prevents access.</t>
  </si>
  <si>
    <t>One passenger elevator provides access to all floors. Elevator does not include audible signals on each floor. Interior cab dimensions are narrow and may pose difficulty for some.</t>
  </si>
  <si>
    <t>Elevator cab dimensions may pose difficulty for some.</t>
  </si>
  <si>
    <t>This site is not accessible. All classrooms are not accessible and are not located along accessible routes.</t>
  </si>
  <si>
    <t>Nurse’s Office – Room 109</t>
  </si>
  <si>
    <t>This site does not include an auditorium or a gymnasium; the auditorium and gymnasium located in primary building K152 fulfill these functions. The cafeteria is not accessible and located in the basement. Assistive listening systems have not been provided in the public assembly spaces. For a list of accessibility features of the public assembly spaces, please access Building Accessibility Plan for K152 here.</t>
  </si>
  <si>
    <t>1474 Gates Avenue, Brooklyn, NY 11237</t>
  </si>
  <si>
    <t xml:space="preserve">The nearest accessible subway station is the Myrtle – Wyckoff Avenue Station (L and M trains), 0.2 miles distant. MTA bus service (B52 and B54) is also nearby. The main entrance of K779 is accessible, located on Gates Avenue. The accessible entrance includes a doorbell, reception, and security cameras. The doorbell is not within reach range (height 55 inches). Building K779 is connected by a skybridge on the first floor to Building K554. There is also a connection between K779 and K554 on the basement level.  </t>
  </si>
  <si>
    <t xml:space="preserve">Braille signs are included throughout the building. As mentioned above, Building K779 is connected by a skybridge on the first floor to Building K554. There is also a connection between K779 and K554 on the basement level. </t>
  </si>
  <si>
    <t xml:space="preserve">Doors: 35 inches, Cabs: 66 inches wide, 50 inches deep. </t>
  </si>
  <si>
    <t>Located in building K554</t>
  </si>
  <si>
    <t xml:space="preserve">This site does not include an auditorium; the gymnasium fulfills this function. The gymnasium is accessible and is located on the first floor. Accessible seating is provided. The cafeteria is accessible and is located on the first floor. Additional public assembly spaces are located in building K554. Assistive listening systems have not been provided in the public assembly spaces. </t>
  </si>
  <si>
    <t xml:space="preserve">There are accessible student bathrooms (boys and girls) available on the first and second floors. There are accessible single-user (unisex) bathrooms (for student and staff use) available in the basement.   </t>
  </si>
  <si>
    <t>Rooms 108 and 206</t>
  </si>
  <si>
    <t>Rooms 108 and 205</t>
  </si>
  <si>
    <t xml:space="preserve">This site includes central air. Temperature control units located in classrooms.  </t>
  </si>
  <si>
    <t>225 Patchen Avenue, Brooklyn, NY 11233</t>
  </si>
  <si>
    <t>The nearest accessible subway station is Utica Avenue Station (A and C trains) 1.1 mile distant. MTA bus service (B26 and B47) is also nearby. The accessible entrance to K783 is not the same as the main entrance; the accessible entrance is located on MacDonough Street (Exit C). The accessible entrance includes a doorbell and security cameras. The doorbell is not within reach range (height 61 inches). Visitors may need to contact site in advance to gain access to this facility through the accessible entrance.</t>
  </si>
  <si>
    <t>E1 Doors: 41 inches, Cab: 80 inches wide, 52 inches deep.</t>
  </si>
  <si>
    <t>Ramp provides access from entrance of auditorium to accessible seating/stage in auditorium.</t>
  </si>
  <si>
    <t>Art Rooms – Rooms 002</t>
  </si>
  <si>
    <t>Main Office – Rooms 110 and 310</t>
  </si>
  <si>
    <t>Nurse’s Office – Room 010</t>
  </si>
  <si>
    <t>Science Lab – Room 424</t>
  </si>
  <si>
    <t>The auditorium is accessible and is located in the basement. Stage access is provided via ramp. Accessible seating is provided. The cafeteria is accessible and is located on the first floor. The gymnasium is accessible and is located on the third floor. Assistive listening systems have not been provided in the public assembly spaces.</t>
  </si>
  <si>
    <t>Stage access provided via ramp. Accessible seating is provided.</t>
  </si>
  <si>
    <t>Boys Bathrooms – Rooms 102, 202, and 330</t>
  </si>
  <si>
    <t>Single-User (Unisex) Bathrooms – Rooms 112, 212, and 316</t>
  </si>
  <si>
    <t>Single-User (Unisex) Bathrooms – Classrooms 200, 224, 230, and 232</t>
  </si>
  <si>
    <t>510 Waverly Avenue, Brooklyn, NY 11238</t>
  </si>
  <si>
    <t xml:space="preserve">The nearest accessible subway station is the DeKalb Avenue Subway Station (B train), 1.0 miles distant. MTA bus service (B25 and B26) is also nearby. The main entrance of K784 is accessible, located on Waverly Avenue (Exit 1). The accessible entrance includes a doorbell, reception, and security cameras. The doorbell is located within reach range (Height 39 inches). </t>
  </si>
  <si>
    <t>Rooms 210</t>
  </si>
  <si>
    <t>Rooms 411</t>
  </si>
  <si>
    <t xml:space="preserve">The cafeteria is accessible and is located in the basement. The gymnasium is accessible and is located on the first floor. Assistive listening systems have not been provided in the public assembly spaces. </t>
  </si>
  <si>
    <t>First – Six Floor</t>
  </si>
  <si>
    <t>First – Six Floors</t>
  </si>
  <si>
    <t>104, 204, 304, 504, 604</t>
  </si>
  <si>
    <t>C04</t>
  </si>
  <si>
    <t xml:space="preserve">This site includes exterior recreational spaces. The exterior recreational spaces are not accessible. The recreational equipment is not accessible. </t>
  </si>
  <si>
    <t>696 Jamaica Avenue, Brooklyn, NY 11208</t>
  </si>
  <si>
    <t>The nearest accessible subway station is the Euclid Av Station (A trains), 1.1 miles distant. MTA bus service (Q56 and B13) is also nearby. The main entrance of K798 is accessible, located on Jamaica Avenue (Exit 1). The accessible entrance includes a doorbell, reception, and security cameras. The doorbell is within reach range (Height 39 inches).</t>
  </si>
  <si>
    <t>E1 and E2 Doors: 41 inches, Cabs: 71 inches wide, 69 inches deep.</t>
  </si>
  <si>
    <t>Art Rooms – Rooms 305</t>
  </si>
  <si>
    <t>Main Office – Room 104 and 302</t>
  </si>
  <si>
    <t>Nurse’s Office – Room 102 and 320</t>
  </si>
  <si>
    <t>Science Lab – Rooms 409 and 509</t>
  </si>
  <si>
    <t>The auditorium is accessible and is located on the second floor. Stage access is provided at grade. Accessible seating is provided. The cafeteria is accessible and is located in the basement. The gymnasium is accessible and is located in the basement. Assistive listening systems have been provided in the auditorium, cafeteria, and gymnasium.</t>
  </si>
  <si>
    <t>Stage access is provided at grade. Accessible seating is provided. Assistive listening systems have been provided.</t>
  </si>
  <si>
    <t>Assistive listening systems have been provided. Accessible seating available upon request.</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</si>
  <si>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floor.</t>
  </si>
  <si>
    <t>Boys Bathrooms – Rooms B16D, B02C2, 212, 312, 412, and 512</t>
  </si>
  <si>
    <t>Girls Bathrooms – Rooms B16C, B02B2, 208, 308, 408, and 508</t>
  </si>
  <si>
    <t>Single-User (Unisex) Bathrooms – Rooms 122, 102C, 206, 306, and 506</t>
  </si>
  <si>
    <t>Single-User (Unisex) Bathrooms – Classrooms 116A, 118A, 113A, 115A, and 117A</t>
  </si>
  <si>
    <t>Fire alarm system has been upgraded and includes a strobe light feature. Holding rooms have been specifically designated as rooms B16, 218, 322, 422, and 522.</t>
  </si>
  <si>
    <t>347 Baltic Street, Brooklyn, NY 11201</t>
  </si>
  <si>
    <t>The nearest accessible subway station is Borough Hall Station (2, 3, 4, and 5 trains; Manhattan and The Bronx-bound only), 0.52 miles distant. MTA bus service (B57 and B65) is also nearby. The accessible entrance to K804 is not the same as the main entrance; the accessible entrance is located on Baltic Avenue (Exit 7) and is accessed via the play yard from Baltic Street and Warren Street. The accessible entrance includes a ramp. The accessible entrance does not include a doorbell, reception, or security cameras: Visitors may need to contact the site in advance to gain access to this facility through the accessible entrance.</t>
  </si>
  <si>
    <t>Concrete surface degradation present and hand rail work needed.</t>
  </si>
  <si>
    <t>Art Rooms – Room 204</t>
  </si>
  <si>
    <t>Computer Rooms – Rooms 211 and 214</t>
  </si>
  <si>
    <t>Library – Room 404</t>
  </si>
  <si>
    <t>Main Office – Room 202 (Cobble Hill School of American Studies); Room 213 (P.S. 373)</t>
  </si>
  <si>
    <t>Nurse’s Office – Room 200</t>
  </si>
  <si>
    <t>Science Lab – Rooms 406 and 411</t>
  </si>
  <si>
    <t>The auditorium is not accessible and is located in the basement. Stage access is provided via lift. Accessible seating is provided. The cafeteria is accessible and is located on the first floor. The gymnasium is not accessible and is located in the basement. Assistive listening systems have been provided in the auditorium, cafeteria, and gymnasium.</t>
  </si>
  <si>
    <t>Not on accessible route. Stage access is provided via lift. Accessible seating is provided. Assistive listening systems have been provided.</t>
  </si>
  <si>
    <t>Not on accessible route. Assistive listening systems have been provided.</t>
  </si>
  <si>
    <t>Boys Bathrooms – Room 119</t>
  </si>
  <si>
    <t>Boys Bathrooms – Rooms B06, Gym- Boys, and 318A</t>
  </si>
  <si>
    <t>Girls Bathrooms – Room 106</t>
  </si>
  <si>
    <t>Staff Bathrooms – Rooms 205, 218A, 405, and 419</t>
  </si>
  <si>
    <t>This site includes exterior recreational spaces. The exterior quad at the main entry (exit 10) is not accessible. The play yard is accessible via exit 7. The recreational equipment is not accessible.</t>
  </si>
  <si>
    <t>49 Flatbush Avenue Extension, Brooklyn, NY 11201</t>
  </si>
  <si>
    <t>The nearest accessible subway station is Franklin Avenue Station (A, C, and F trains), 0.4 miles distant. MTA bus service (B67, and B57) is also nearby. The main entrance is accessible, located on Concord Street (Exit 8). The accessible entrance includes a ramp, reception, and security cameras. The accessible entrance does not include a doorbell.</t>
  </si>
  <si>
    <t>Three passenger elevators provide access to all floors. Elevators include audible signals on each floor.</t>
  </si>
  <si>
    <t>Doors: 60 inches, Cabs: 117 inches wide, 105 inches deep.</t>
  </si>
  <si>
    <t>Art Rooms – Rooms 305, 613, and 704</t>
  </si>
  <si>
    <t>Computer Rooms – Rooms 208, 303, and 611</t>
  </si>
  <si>
    <t>Library - Rooms 302 and 606</t>
  </si>
  <si>
    <t>Main Office - Rooms 102, 604, and 807</t>
  </si>
  <si>
    <t>Nurse’s Office- Room 103A, and 132</t>
  </si>
  <si>
    <t>Science Lab – Rooms 202, 404, 410, 509, 511, 607, 617, 817, and 819</t>
  </si>
  <si>
    <t>This site does not include an auditorium or gymnasium; the multi-purpose rooms fulfill these functions. The multi- purpose rooms are accessible and are located on the basement and first floors. The cafeterias are accessible and are located on the basement, third, and seventh floors. Assistive listening systems have been provided in the cafeterias, and in the multi-purpose rooms.</t>
  </si>
  <si>
    <t>Cafeterias - Basement, Third, and Seventh Floors</t>
  </si>
  <si>
    <t>Multi-Purpose Room – Basement, and First Floor</t>
  </si>
  <si>
    <t>There are accessible student bathrooms (boys) available on first, seventh, and eighth floors. There are accessible student bathrooms (girls) available on first, third, fourth, seventh, and eighth floors. There are accessible single user (unisex) bathrooms (for student and staff use) available on all floors.</t>
  </si>
  <si>
    <t>Boys Bathroom – First, Seventh, and Eighth Floor</t>
  </si>
  <si>
    <t>Boys Bathroom – Basement, Second, Third, Fourth, fifth, and sixth Floors</t>
  </si>
  <si>
    <t>Girls Bathroom - Basement, First, Third, Fourth, Seventh, and Eighth Floor</t>
  </si>
  <si>
    <t>Girls Bathroom – Second, Fifth, and Sixth Floors</t>
  </si>
  <si>
    <t>Staff Bathrooms – Single User- All Floors</t>
  </si>
  <si>
    <t>109 Bay 14Th Street, Brooklyn, NY 11214</t>
  </si>
  <si>
    <t xml:space="preserve">The nearest accessible subway station is the Coney Island – Stillwell Avenue Station (D, F, N, and Q trains), 2.50 miles distant. MTA bus service (B1, B8, B64, X28, and X38) is also nearby. The main entrance of K807 is accessible, located on Bay 14th Street (Exit 9). The accessible entrance includes a doorbell, security cameras, and reception. The doorbell is not within reach range (Height 50 inches). </t>
  </si>
  <si>
    <t xml:space="preserve">Some door saddles are high, which may be difficult for some users to navigate. Braille signs are not included throughout the building.  </t>
  </si>
  <si>
    <t xml:space="preserve">E1 and E2 
Doors: 48 Inches, Cabs: 79 Inches wide, 65 Inches deep. </t>
  </si>
  <si>
    <t>Room 523</t>
  </si>
  <si>
    <t>Rooms 121 and 236</t>
  </si>
  <si>
    <t>Room B30</t>
  </si>
  <si>
    <t>Room 402 (Alternate Use), and Room 502</t>
  </si>
  <si>
    <t xml:space="preserve">The auditorium is accessible and is located on the second floor. Stage access is provided at grade. Accessible seating is provided. The cafeteria is accessible and is located in the basement. The gymnasium is accessible and is located in the basement. Assistive listening systems have not been provided in the public assembly spaces. </t>
  </si>
  <si>
    <t xml:space="preserve">Stage access at grade. Accessible seating is provided. AV room 203E is not accessible due to changes in elevation. </t>
  </si>
  <si>
    <t xml:space="preserve">There are accessible student bathrooms (boys and girls) available in the basement, and on the second, fourth, and fifth floors. There are accessible single-user (unisex) bathrooms (for student and staff use) available on all floors.  There are accessible single-user (unisex) bathrooms (for student and staff use) available in some third-floor classrooms. There are accessible multi-user (unisex) bathrooms (for student use) available in some first-floor classrooms.     </t>
  </si>
  <si>
    <t>Rooms B24, 205, 407, and 505</t>
  </si>
  <si>
    <t>Rooms B22, 209, 411, and 511</t>
  </si>
  <si>
    <t>Classrooms 314A, 321A, 329A, 334A, and 339A</t>
  </si>
  <si>
    <t>Classrooms 116 and 132</t>
  </si>
  <si>
    <t>265 Warwick Street, Brooklyn, NY 11207</t>
  </si>
  <si>
    <t xml:space="preserve">The nearest accessible subway station is the Euclid Avenue Station (A and C trains), 0.09 miles distant. MTA bus service (B13 and B14) is also nearby. The main entrance of K814 is accessible, located on Warwick Street. The accessible entrance includes a doorbell, reception, and security cameras. The doorbell is within reach range (height 48 inches). </t>
  </si>
  <si>
    <t xml:space="preserve">One passenger elevator provides access to all floors. Elevator include audible signals on each floor. </t>
  </si>
  <si>
    <t>Doors: 47 inches, Cab: 61 inches wide, 79 inches deep.</t>
  </si>
  <si>
    <t>Rooms 102A and 115</t>
  </si>
  <si>
    <t xml:space="preserve">This site does not include an auditorium. The cafeteria is accessible and is located in the basement. The gymnasium is accessible and is located on the third floor. On the third floor there is a hydronics lab/fish farm that is accessible, in this room they grow plants and have a large tank of fish. An assistive listening systems have been provided in the cafeteria. </t>
  </si>
  <si>
    <t xml:space="preserve"> There are accessible student bathrooms (boys and girls) available on all floors. There are accessible single-user (unisex) bathrooms (for student and staff use) available on all floors. </t>
  </si>
  <si>
    <t>The nearest accessible subway station is Prospect Park (B, Q, and S trains), 0.8 miles distant. MTA bus service (B49 and B48) is also nearby. The main entrance to K824 is accessible, located on Union Avenue. The accessible entrance includes a ramp, a doorbell, security cameras, and reception. The doorbell is not within reach range (height 51 inches).</t>
  </si>
  <si>
    <t>This site occupies the ground floor to third floor. One passenger elevator provides access to all floors in the building. Elevator includes audible signals on each floor.</t>
  </si>
  <si>
    <t>Doors: 41 inches, Cab: 89 inches wide, 82 inches deep.</t>
  </si>
  <si>
    <t>Ramped walkway at entrance does not include handrails which may pose difficulties to some.</t>
  </si>
  <si>
    <t>Computer Rooms – Rooms 111 and G-8</t>
  </si>
  <si>
    <t>Main Office – Rooms 109, 208 and G-1</t>
  </si>
  <si>
    <t>Science Lab – Room 302</t>
  </si>
  <si>
    <t>This site does not include an auditorium or a gymnasium; the multi-purpose room fulfills these functions. The multi- purpose room is accessible and is located on the first floor. Stage access is not provided. Accessible seating is provided. The cafeteria is accessible and is located on the second floor. Assistive listening systems have been provided in the cafeteria.</t>
  </si>
  <si>
    <t>Accessible seating is provided.</t>
  </si>
  <si>
    <t>There are accessible student bathrooms (girls and boys) available on the ground, and on the second and third floors. There are accessible single‐user (unisex) bathrooms (for student and staff use) available in the basement and on the second floor.</t>
  </si>
  <si>
    <t>Staff Bathrooms – Rooms G12, 105, 108, 203, 314</t>
  </si>
  <si>
    <t>Fire alarm system is a legacy system and does not include a strobe light feature. Holding rooms or areas of refuge have not been specifically designated.</t>
  </si>
  <si>
    <t>173 Conover Street, Brooklyn, NY 11231</t>
  </si>
  <si>
    <t xml:space="preserve">The nearest accessible subway station is Church Avenue (F and G trains), 1.2 miles distant. MTA bus service (B67 and B69) is also nearby. The main entrance to K825 is accessible, located on Conover Street. The accessible entrance includes a ramp, a doorbell, security cameras, and reception. The doorbell is within reach range (height 48 inches). </t>
  </si>
  <si>
    <t>Door: 35 inches; Cab: 51 inches wide, 67 inches deep.</t>
  </si>
  <si>
    <t>This site does not include an auditorium. The cafeteria is accessible and is located on the first floor. The gymnasium is accessible and is located on the fourth floor. Assistive listening systems have been provided in the cafeteria.</t>
  </si>
  <si>
    <t>Accessible seating available upon request. Assistive listening systems have been provided</t>
  </si>
  <si>
    <t>There are accessible student bathrooms (girls and boys) on every floor. There is also an accessible single‐user (unisex) bathroom (available for students and staff) on the first floor and second floor.</t>
  </si>
  <si>
    <t>First, and Second Floor</t>
  </si>
  <si>
    <t>Fire Alarm System is a legacy system and does not include a strobe light feature. Holding rooms or areas of refuge have not been specifically designated.</t>
  </si>
  <si>
    <t>512 Carroll Street, Brooklyn, NY 11215</t>
  </si>
  <si>
    <t>The nearest accessible subway station is Atlantic Avenue – Barclays Center Station (B, D, N, Q, R, 2, 3, 4, and 5 trains), 0.60 miles distant. MTA bus service (B37 and B63) is also nearby. The main entrance is not accessible, located on Carroll Street (Exit 1). The feasible option for an accessible entrance to K834 is not the same as the main entrance; the feasible option for an accessible entrance is located on Whitwell Street and is accessed via an interior courtyard. (Exit 6). The feasible option for an accessible entrance includes a ramp. Change in elevation (1 step) at this entrance prevents access. The accessible entrance does not include a doorbell, reception, or security cameras. This site includes a secondary building, K764, located across the play yard from primary building K834.</t>
  </si>
  <si>
    <t>Exterior and interior changes in elevation (1 step on the exterior, 11 steps on the interior – Exit 1 and 1 step on the exterior for Exit 6) prevent access.</t>
  </si>
  <si>
    <t>This site does not include an auditorium or a gymnasium; the multi-purpose room fulfills these functions. The multi- purpose room is not accessible and is located on the first floor of building K764. Stage access is not provided. Accessible seating is provided. The cafeteria is not accessible and is located on the ground floor. Assistive listening systems have not been provided.</t>
  </si>
  <si>
    <t>Located in secondary building K764.</t>
  </si>
  <si>
    <t>Boys Bathrooms – Ground Floor</t>
  </si>
  <si>
    <t>Girls Bathrooms – Ground Floor</t>
  </si>
  <si>
    <t>Staff Bathrooms – Second Floor Mezzanine</t>
  </si>
  <si>
    <t>Single-User (Unisex) Bathrooms – All Floors</t>
  </si>
  <si>
    <t>https://nycdoe.sharepoint.com/:w:/s/BAP/EYeVyhYBRPBCmaLvMA712UwBiZbxiuTpuBPeiGCSIBgsAQ</t>
  </si>
  <si>
    <t>The nearest accessible subway station is Church Avenue Station (2 and 5 trains), 0.7 miles distant. MTA bus service (B12 and B44) is also nearby. Building K835 is the secondary location for primary building K235. The main entrance of building K835 is accessible, located on East 39th Street. The accessible entrance includes a ramp. The accessible entrance does not include a doorbell or security camera feature; Visitors should call in advance in order to gain access to the building.</t>
  </si>
  <si>
    <t>Ramped access from the sidewalk.</t>
  </si>
  <si>
    <t>One passenger elevator provides access to the first through second floors. Elevator includes audible signals on each floor. Elevator does not provide access to any of the upper floors at building K235.</t>
  </si>
  <si>
    <t>Doors: 41 inches, Cab: 50 inches wide, 67 inches deep.</t>
  </si>
  <si>
    <t>This site does not include an auditorium or gymnasium; public assembly spaces are located in primary building K235. Assistive listening systems have not been provided in the public assembly areas.</t>
  </si>
  <si>
    <t>There are accessible student bathrooms (boys and girls) available on all floors.</t>
  </si>
  <si>
    <t>Boys Bathroom – Rooms M117A and next to Room M203</t>
  </si>
  <si>
    <t>Girls Bathroom – Rooms M112 and M203</t>
  </si>
  <si>
    <t>Staff Bathrooms – Room M214</t>
  </si>
  <si>
    <t>Single-User (Unisex) Bathroom – M121A</t>
  </si>
  <si>
    <t>Fire alarm system has been upgraded and includes a strobe light feature. Holding rooms have been specifically designated as Room M212.</t>
  </si>
  <si>
    <t>2045 Linden Boulevard, Brooklyn, NY 11207</t>
  </si>
  <si>
    <t>The nearest accessible subway station is Euclid Station (A, and C trains), 1.6 miles distant. MTA bus service (B83) is also nearby. The main entrance of K857 is accessible, located on Linden Boulevard (Exit 1). The accessible entrance includes a doorbell and reception. The doorbell is within reach range (height 48 inches). The accessible entrance does not include security cameras.</t>
  </si>
  <si>
    <t>Doors: 33 inches, Cab: 67 inches wide, 59 inches deep. Narrow door width may pose difficulties for some.</t>
  </si>
  <si>
    <t>Art Room – Rooms 209</t>
  </si>
  <si>
    <t>Computer Room – Room 203</t>
  </si>
  <si>
    <t>Library – Room 311</t>
  </si>
  <si>
    <t>Main Office – Room 101</t>
  </si>
  <si>
    <t>This site does not include an auditorium; the gymnasium fulfills this function. The auditorium is not accessible and is located on the first floor. Stage access is not provided via lift. Accessible seating is not provided. The cafeteria is accessible and is located on the first floor. The gymnasium is not accessible and is located on the first floor. Assistive listening systems have not been provided in the public assembly spaces.</t>
  </si>
  <si>
    <t>Change in elevation - 6 steps prevents access.</t>
  </si>
  <si>
    <t>This building is prevented from attaining a higher accessibility rating due to lack of accessible bathrooms throughout the building. There are no accessible student bathrooms (boys and girls) available on all floors. There are no accessible staff bathrooms (male and female) available on all floors. There are no accessible single-user (unisex) bathrooms (for student and staff use) available on all floors.</t>
  </si>
  <si>
    <t>Boys Bathrooms – Rooms 114, 225, and 316</t>
  </si>
  <si>
    <t>Girls Bathrooms – Rooms 115, 226, and 317</t>
  </si>
  <si>
    <t>Staff Bathrooms – Rooms 120, 121, 314, and 315</t>
  </si>
  <si>
    <t>Single-User (Unisex) Bathroom – Room 214</t>
  </si>
  <si>
    <t>The nearest accessible subway station is Myrtle-Wyckoff Avenues Subway Station (L and M trains), 1.0 miles distant. MTA bus service (B38 and B54) is also nearby. The accessible entrance to K865 is not the same as the main entrance; the accessible entrance is located in the play yard off of Dekalb Avenue (Exit 4B). The accessible entrance includes a ramp and doorbell. The doorbell is within reach range (height 44 inches).</t>
  </si>
  <si>
    <t>Some door saddles are high, which may be difficult for some users to navigate. Some water fountains and other wall-mounted objects protrude in the corridors more than 4 inches, which may present difficulties for individuals with visual disabilities. Braille signs are not included throughout the building.</t>
  </si>
  <si>
    <t>This site offers limited accessibility; most classrooms are accessible and are located along accessible routes. Some classrooms on the third floor are not accessible due to changes of elevation.</t>
  </si>
  <si>
    <t>Art Rooms – Room 202</t>
  </si>
  <si>
    <t>Classrooms – Rooms 300, 301, 302, 303, 304, and 312</t>
  </si>
  <si>
    <t>Changes of elevation in the corridor prevent access.</t>
  </si>
  <si>
    <t>Computer Rooms – Room 208</t>
  </si>
  <si>
    <t>Library – Room 100</t>
  </si>
  <si>
    <t>Nurse’s Office – Room 206</t>
  </si>
  <si>
    <t>Science Lab – Rooms 201, 202, 203, and 316</t>
  </si>
  <si>
    <t>This site does not include an auditorium; the gymnasium fulfils this function. The gymnasium is accessible and is located on the first floor. The gymnasium does not include a stage. Accessible seating is provided. The cafeteria is accessible and is located on the first floor. The multi-purpose room is accessible and is located on the first floor. Assistive listening systems have been provided in the cafeteria.</t>
  </si>
  <si>
    <t>The gymnasium does not include a stage. Accessible seating is provided.</t>
  </si>
  <si>
    <t>Multi-Purpose Room – Room 115</t>
  </si>
  <si>
    <t>67-69 Schermerhorn Street, Brooklyn, NY 11201</t>
  </si>
  <si>
    <t>The nearest accessible subway station is Jay Street - Metrotech Station (A, C, F, N, R, and W trains), 0.21 miles distant. MTA bus service (B45, B57, and B62) is also nearby. The accessible entrance to K871 is not the same as the main entrance; the accessible entrance is located on Schermerhorn Street and is accessed via an alley (Exit at Stair B). The accessible entrance includes a ramp. The accessible entrance does not include a doorbell, reception, or security cameras. Visitors may need to contact the site in advance to gain access to this facility through the accessible entrance</t>
  </si>
  <si>
    <t>Concrete surface degradation and steep slope may pose difficulty for some.</t>
  </si>
  <si>
    <t>One passenger elevator provides access to all floors. Elevator includes audible signals on each floor. Narrow elevator door clearance may pose difficulty for some.</t>
  </si>
  <si>
    <t>Doors: 32 inches, Cab: 60 inches wide, 47 inches deep.</t>
  </si>
  <si>
    <t>Computer Rooms – Room 305</t>
  </si>
  <si>
    <t>Science Lab – Room 401</t>
  </si>
  <si>
    <t>This site does not include an auditorium or a gymnasium; the cafeteria fulfills these functions. The cafeteria is accessible and is located in the basement. Assistive listening systems have not been provided in the public assembly spaces.</t>
  </si>
  <si>
    <t>Accessible seating available upon request. Includes a weight room. The cafeteria does not include a stage.</t>
  </si>
  <si>
    <t>Boys Bathrooms – Room 402</t>
  </si>
  <si>
    <t>Girls Bathrooms – Room 202</t>
  </si>
  <si>
    <t>Staff Bathrooms – Male - Room 302</t>
  </si>
  <si>
    <t>Room 302 is a designated gender-neutral bathroom.</t>
  </si>
  <si>
    <t>Staff Bathrooms – Female - Rooms 102 and 302</t>
  </si>
  <si>
    <t>Single-User (Unisex) Bathrooms – Rooms B02</t>
  </si>
  <si>
    <t>Room B02 is a designated gender-neutral bathroom.</t>
  </si>
  <si>
    <t>Single-User (Unisex) Bathrooms – Classrooms 105/107</t>
  </si>
  <si>
    <t>Located the LYFE classroom space.</t>
  </si>
  <si>
    <t>The nearest accessible subway station is 59th Street Station (R trains), 0.59 miles distant. MTA bus service (B11) is also nearby. Building K881 is the secondary location for primary building K001 and is accessed via building K001. The main entrance of K881 is accessible via the play yard, located on 46th Street (Exit 5). The accessible entrance includes a ramp, reception, and security cameras. The accessible entrance does not include a doorbell. Visitors may need to contact the site in advance to gain access to this facility through the accessible entrance.</t>
  </si>
  <si>
    <t>This site occupies a single-floor structure and does not include an elevator. Lack of elevator does not prevent</t>
  </si>
  <si>
    <t>Located in primary building K001</t>
  </si>
  <si>
    <t>The multi-purpose room is accessible and is located on the first floor. Other public assembly spaces are located in primary building K001. Assistive listening systems have not been provided in the public assembly spaces.</t>
  </si>
  <si>
    <t>Located in primary building K001.</t>
  </si>
  <si>
    <t>Multi-Purpose Room – Room 5</t>
  </si>
  <si>
    <t>Boys Bathroom – Rooms M15</t>
  </si>
  <si>
    <t>Interior partitions prevent access.</t>
  </si>
  <si>
    <t>Girls Bathrooms – Room M16</t>
  </si>
  <si>
    <t>Staff Bathrooms (Male) – Room M14</t>
  </si>
  <si>
    <t>Staff Bathrooms (Female) – Room M13</t>
  </si>
  <si>
    <t xml:space="preserve">The nearest accessible subway station is Crown Heights – Utica Avenue (A, C trains), 1.4 miles distant. MTA bus service (B20, B25 and B83) is also nearby. The accessible entrance to K894 not the same as the main entrance; the accessible entrance is adjacent to the main entrance, located on Herkimer Street. The accessible entrance includes a ramp, a doorbell, and security cameras. The doorbell is within reach range (height 47 inches).  </t>
  </si>
  <si>
    <t>An accessible interior ramp provides access to the upper level of the building, which is considered to be the second floor.</t>
  </si>
  <si>
    <t>First, and Second Floors</t>
  </si>
  <si>
    <t>An interior ramp provides access to the 2nd Floor.</t>
  </si>
  <si>
    <t>Room 121 (23K646), and 204 (84K395)</t>
  </si>
  <si>
    <t>The cafeteria is accessible and located on the first floor. The multi-purpose room is accessible and is located on the first floor. Assistive listening systems have not been provided in the public assembly spaces.</t>
  </si>
  <si>
    <t>There are accessible student bathrooms (girls and boys) on both floors, and accessible staff bathrooms on the first floor.</t>
  </si>
  <si>
    <t>First, and Seond Floors</t>
  </si>
  <si>
    <t>The nearest accessible subway station is the Atlantic Avenue Barclays Center - 4 Avenue Station (B, D, N, Q, R, 2, 3, 4, and 5 trains), 0.83 miles distant. MTA bus service (B67 and B69) is also nearby. Building K896 is the secondary location for primary building K321 and is accessed via building K321 from Seventh Avenue and via the play yard from Second Street. The main entrance of K896 is accessible, located in the play yard. (Exit 2). The accessible entrance includes a ramp, reception, and security cameras. The accessible entrance does not include a doorbell.</t>
  </si>
  <si>
    <t>Lacks level landing at entry.</t>
  </si>
  <si>
    <t>This site occupies a single-floor structure and does not include an elevator. Lak of elevator does not prevent</t>
  </si>
  <si>
    <t>Main Office – Room 126</t>
  </si>
  <si>
    <t>Located in building K321</t>
  </si>
  <si>
    <t>This site does not include public assembly spaces; public assembly spaces are located in primary building K321.</t>
  </si>
  <si>
    <t>Located in building K321. Accessible seating available upon request. Assistive listening systems have been provided.</t>
  </si>
  <si>
    <t>Boys Bathrooms – Room M015</t>
  </si>
  <si>
    <t>Girls Bathrooms – Room M014</t>
  </si>
  <si>
    <t>Single-User (Unisex) Bathroom – Room M016 and M017</t>
  </si>
  <si>
    <t>Toilet placement is located in close proximity to the side wall, which may pose difficulty for some. The pedestal- style sink in Rom M017 may pose transfer difficulties for some.</t>
  </si>
  <si>
    <t>62 Park Place, Brooklyn, NY 11217</t>
  </si>
  <si>
    <t>The nearest accessible subway station is Atlantic Avenue – Barclays Center Station (LIRR, 2, 3, 4, 5, B, D, N, Q, R, and W trains), 0.39 miles distant. MTA bus service (B41, B63, B67, and B69) is also nearby. The main entrance is not accessible, located on Park Place Street (Exit A). This site does not include an accessible entrance. The main entrance includes a doorbell, reception, and security cameras. The doorbell is not within reach range (height 58 inches).</t>
  </si>
  <si>
    <t>Not on accessible route. Changes in elevation (varies) prevent access to the building at all entrances.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</si>
  <si>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It is not feasible to make the existing structure fully accessible due to the quantity of varied changes in elevation between the floors and mezzanine levels.</t>
  </si>
  <si>
    <t>Non-compliant door hardware</t>
  </si>
  <si>
    <t>Changes in elevation (varies) persist throughout the building. The whole compound is a split-level structure with a number of mezzanine levels and half- floors.</t>
  </si>
  <si>
    <t>Main Office – Rooms 110 and 410</t>
  </si>
  <si>
    <t>Nurse’s Office – Rooms 200 and 400</t>
  </si>
  <si>
    <t>The auditorium is not accessible and is located on the first floor. Stage access is provided via corridor. Accessible seating is provided. The cafeteria is not accessible and is located in the basement. The gymnasium is not accessible and is located in the basement. Assistive listening systems have been provided in the auditorium and gymnasium.</t>
  </si>
  <si>
    <t>Not on accessible route. Stage access is provided via second-floor corridor. Accessible seating is provided. Assistive listening systems have been provided.</t>
  </si>
  <si>
    <t>Boys Bathrooms – Rooms T1, T7, and T9</t>
  </si>
  <si>
    <t>Girls Bathrooms – Rooms T2 and T8</t>
  </si>
  <si>
    <t>Room T2 is accessible but is not located on an accessible path.</t>
  </si>
  <si>
    <t>Staff Bathrooms – Rooms T6, T10, and T11</t>
  </si>
  <si>
    <t>Single-User (Unisex) Bathrooms – Rooms T3, T4, T5, and 200A</t>
  </si>
  <si>
    <t>Room 200A is located in the nurse’s office.</t>
  </si>
  <si>
    <t>Fire alarm system has been upgraded and includes a strobe light feature. Holding rooms have not been specifically designated.</t>
  </si>
  <si>
    <t>This site includes central air in PA spaces. This site does not include central air in classrooms; Air-conditioning units have been provided in classrooms.</t>
  </si>
  <si>
    <t>1150 East New York Avenue, Brooklyn, NY 11212</t>
  </si>
  <si>
    <t xml:space="preserve">The nearest accessible subway station is Utica Avenue (4 and 5 trains), 0.5 miles distant. MTA bus service (B12 and B47) is also nearby. The main entrance to K907 is accessible, located on East New York Avenue. The accessible entrance includes a ramp, a doorbell, reception, and security cameras. The doorbell is not within reach range (height 78 inches). </t>
  </si>
  <si>
    <t>Some braille signs are provided in the building, but more are needed for complete coverage.</t>
  </si>
  <si>
    <t>Door: 35 inches; Cab: 55 inches wide, 55 inches deep.</t>
  </si>
  <si>
    <t>Rooms 204, and 213</t>
  </si>
  <si>
    <t>Rooms 413, and 414</t>
  </si>
  <si>
    <t>The cafeteria is accessible and is in the basement. Assistive listening systems have not been provided in the public assembly spaces.</t>
  </si>
  <si>
    <t>There are accessible student (girls and boys) between the second and fourth floors. There is also accessible single‐user (unisex) bathrooms (available for students and staff) from the second to the fourth floors.</t>
  </si>
  <si>
    <t>425 Mcdonald Avenue, Brooklyn, NY 11218</t>
  </si>
  <si>
    <t xml:space="preserve">The nearest accessible subway station is the Church Street Station (F and G trains), 0.02 miles distant. MTA bus service (B67 and B69) is also nearby. The main entrance of K908 is accessible, located on MacDonald Avenue (Exit 1). The accessible entrance includes a ramp, doorbell, and reception. The doorbell is not within reach range (height 60 inches). </t>
  </si>
  <si>
    <t xml:space="preserve">Doors: 42 inches, Cab: 50 inches wide, 67 inches deep. </t>
  </si>
  <si>
    <t>Rooms 206 and 215</t>
  </si>
  <si>
    <t xml:space="preserve">This site does not include an auditorium; the gymnasium fulfills this function. The gymnasium is accessible and is located in the basement. The cafeteria is accessible and located in the basement. The multi-purpose room is accessible and located on the first floor. Assistive listening systems have not been provided in the public assembly spaces. </t>
  </si>
  <si>
    <t>This site does not include an auditorium; the gymnasium fulfills this function. The gymnasium is accessible and is located in the basement. The cafeteria is accessible and is located in the basement. The multi-purpose room is accessible and is located on the first floor. Assistive listening systems have not been provided in the public assembly spaces.</t>
  </si>
  <si>
    <t>Unisex - Rooms B12, 110, 208, and 308</t>
  </si>
  <si>
    <t>Unisex - Room B06</t>
  </si>
  <si>
    <t>Rooms B02, 102, 204, and 304</t>
  </si>
  <si>
    <t>561 Grand Avenue, Brooklyn, NY 11238</t>
  </si>
  <si>
    <t xml:space="preserve">The nearest accessible subway station is Franklin Avenue station (A and C trains), 0.6 miles distant. MTA bus service (B48 and B65) is also nearby. The main entrance to K909 is accessible, located on Grand Avenue. The accessible entrance includes a ramp, reception, security cameras, and a doorbell. The doorbell is within reach range (height 48 inches). </t>
  </si>
  <si>
    <t>Some signs with braille are provided in the building, but more are needed for complete coverage.</t>
  </si>
  <si>
    <t>Room 413</t>
  </si>
  <si>
    <t>Second Through Sixth Floors</t>
  </si>
  <si>
    <t>Room 611</t>
  </si>
  <si>
    <t>Room 609</t>
  </si>
  <si>
    <t>Room 139</t>
  </si>
  <si>
    <t>Room 623</t>
  </si>
  <si>
    <t>Rooms 423, and 427</t>
  </si>
  <si>
    <t xml:space="preserve">This site does not include an auditorium; the multi-purpose room fulfills this function. The multi-purpose room is accessible and is located on the second floor. The cafeteria is accessible and is located on the first floor. The gymnasium is accessible and is located on the second floor. Assistive listening systems have been provided in the gymnasium, multi-purpose room, and cafeteria. </t>
  </si>
  <si>
    <t>There are accessible bathrooms for students (girls and boys) on the all floors. There are accessible single user bathrooms (for general use and student use) on all floors.</t>
  </si>
  <si>
    <t>Fire Alarm System includes a strobe light feature. No holding rooms or areas of refuge have been specifically designated.</t>
  </si>
  <si>
    <t>1155 Dekalb Avenue, Brooklyn, NY 11221</t>
  </si>
  <si>
    <t>The nearest accessible subway station is Dekalb Avenue (B, D, N, Q, R, and W trains), 0.9 miles distant. MTA bus service (B68 and B69) is also nearby. The main entrance to K913 is accessible, located on Dekalb Avenue. The accessible entrance includes a ramp, a doorbell, security cameras, and reception. The doorbell is not within reach range (height 53 inches).</t>
  </si>
  <si>
    <t>Two passenger elevator provides access to all floors in the building. Elevators include audible signals on each floor.</t>
  </si>
  <si>
    <t>Art Room – Room 429</t>
  </si>
  <si>
    <t>Computer Rooms – Rooms 339</t>
  </si>
  <si>
    <t>Library – Room 115</t>
  </si>
  <si>
    <t>Main Office – Room 106</t>
  </si>
  <si>
    <t>Science Lab – Rooms 431, and 439</t>
  </si>
  <si>
    <t>This site does not include an auditorium. The cafeteria is accessible and is located on the first floor. The gymnasium is accessible and is located on the fourth floor. The multi-purpose room is accessible and is located on the third floor. Assistive listening systems have not been provided in the public assembly spaces.</t>
  </si>
  <si>
    <t>Multi-Purpose Room - Third Floor</t>
  </si>
  <si>
    <t>There are accessible student bathrooms (boys and girls) available on the first and fourth floors. There is an accessible single-user (unisex) bathroom (for students and staff) available on the first floor.</t>
  </si>
  <si>
    <t>Boys Bathroom – First, and Fourth Floors</t>
  </si>
  <si>
    <t>Girls Bathroom – First, and Fourth Floors</t>
  </si>
  <si>
    <t>Fire Alarm System includes a strobe light feature. Holding rooms or areas of refuge have been designated. Holding rooms have been specifically designated.</t>
  </si>
  <si>
    <t>71-77 Clinton Avenue, Brooklyn, NY 11205</t>
  </si>
  <si>
    <t xml:space="preserve">The nearest accessible subway station is Dekalb Avenue (B, D, N, Q, R, and W trains), 0.9 miles distant. MTA bus service (B68 and B69) is also nearby. The main entrance to K914 is accessible, located on Clinton Avenue. The accessible entrance includes a doorbell, security cameras, and reception. The doorbell is not within reach range (height 52 inches). </t>
  </si>
  <si>
    <t>Door: 98 inches; Cab: 103 inches wide, 118 inches deep.</t>
  </si>
  <si>
    <t>Room 526</t>
  </si>
  <si>
    <t>Rooms 308, and 311A</t>
  </si>
  <si>
    <t>Room B09</t>
  </si>
  <si>
    <t>Rooms 411, and 511</t>
  </si>
  <si>
    <t>The cafeteria is accessible and is located on the first floor. The gymnasium is accessible and is located on the first floor. Assistive listening systems have not been provided in the public assembly areas.</t>
  </si>
  <si>
    <t>There are accessible student bathrooms (girls and boys) on all floors. There is also accessible single‐user (unisex) bathrooms (available for students and staff) on every floor.</t>
  </si>
  <si>
    <t>Fire Alarm System include a strobe light feature. No holding rooms or areas of refuge have been specifically designated.</t>
  </si>
  <si>
    <t>350 Coney Island Avenue, Brooklyn, NY 11218</t>
  </si>
  <si>
    <t xml:space="preserve">The nearest accessible subway station is Church Avenue Station (B and Q trains), 0.7 miles distant. MTA bus service (B16 and B68) is also nearby. The main entrance to K917 is accessible, located on Coney Island Avenue. The accessible entrance includes security cameras and reception. The accessible entrance does not include a doorbell. </t>
  </si>
  <si>
    <t>Room 214-1</t>
  </si>
  <si>
    <t>Room 312-1</t>
  </si>
  <si>
    <t>Room 306-1</t>
  </si>
  <si>
    <t>Room 211-1</t>
  </si>
  <si>
    <t>Rooms 501-1, and  510-2</t>
  </si>
  <si>
    <t>The cafeteria is accessible and located on the fourth floor. The multi-purpose room is accessible and located on the fifth floor. Assistive listening systems have not been provided in the public assembly areas.</t>
  </si>
  <si>
    <t>There are accessible student bathrooms (girls and boys) on all floors. There is also single‐user (unisex) bathrooms (available for students and staff) on all floors.</t>
  </si>
  <si>
    <t>The nearest accessible subway station is 59th Street Station (R trains), 0.90 miles distant. MTA bus service (B37, B63, and B70) is also nearby. Building K939 is the secondary location for primary building K136 and is accessed via the shared play yard from 41st Street. The main entrance of K939 is accessible, located on 41st Street (Exit 1). The accessible entrance includes a ramp and security cameras. The accessible entrance does not include a doorbell or reception. Visitors may need to contact the site in advance to gain access to this facility through the accessible entrance.</t>
  </si>
  <si>
    <t>Concrete degradation at ramp surface. Smaller ramp at entry closest to K136 lacks level landing at entry.</t>
  </si>
  <si>
    <t>This site is a single-floor structure and does not require an elevator. Lack of elevator does not prevent</t>
  </si>
  <si>
    <t>Located in primary building K136</t>
  </si>
  <si>
    <t>Nurse’s Office – Rooms T4 and T6</t>
  </si>
  <si>
    <t>This site does not include public assembly spaces; public assembly spaces are located in primary building K136.</t>
  </si>
  <si>
    <t>There are accessible single-user (unisex) bathrooms (for student and staff use) available in all classrooms on the first floor.</t>
  </si>
  <si>
    <t>Single-User (Unisex) Bathrooms – All first Floor Classrooms</t>
  </si>
  <si>
    <t>415 Ovington Avenue, Brooklyn, NY 11209</t>
  </si>
  <si>
    <t>The nearest accessible subway station is 59th Street Station (N and R trains), 0.6 miles distant. MTA bus service (B9, B63, and B64) is also nearby. Building K940 is the secondary location for primary building K331 and is accessed from Ovington Avenue. This site does not include an accessible entrance.</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</si>
  <si>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Changes in elevation exist at all entrances to the building.</t>
  </si>
  <si>
    <t>This site does not include an elevator, preventing vertical transportation throughout the building.</t>
  </si>
  <si>
    <t>Art Rooms – Room 211</t>
  </si>
  <si>
    <t>Nurse’s Office – Room 12</t>
  </si>
  <si>
    <t>This site does not include an auditorium, a gymnasium, or a cafeteria; the multi-purpose room fulfills these functions. The multi-purpose room is not accessible and is located on the first floor. Assistive listening systems have not been provided in the public assembly spaces.</t>
  </si>
  <si>
    <t>Boys Bathrooms – Basement Through Fourth Floor</t>
  </si>
  <si>
    <t>Girls Bathrooms – Basement Through Fourth Floor</t>
  </si>
  <si>
    <t>Staff Bathrooms – Basement Through Fourth Floor</t>
  </si>
  <si>
    <t>6214 4Th Avenue, Brooklyn, NY 11220</t>
  </si>
  <si>
    <t xml:space="preserve">The nearest accessible subway station is the Atlantic Avenue - Barclays Center – 4th Avenue Station (B, D, N, Q, R, 2, 3, 4, and 5 trains), 3.75 miles distant. MTA bus service (B9 and B63) is also nearby. The main entrance of K971 is accessible, located on Fourth Avenue (Exit 1). The accessible entrance includes a doorbell and reception. The doorbell is within reach range (Height 47 Inches). </t>
  </si>
  <si>
    <t xml:space="preserve">Some door saddles are high, which may be difficult for some users to navigate. Some water fountains and other wall-mounted objects protrude into the corridors more than 4 inches, which may present difficulties for individuals with visual disabilities. Braille signs are included throughout the building.  </t>
  </si>
  <si>
    <t xml:space="preserve">Doors: 46 Inches, Cabs: 78 Inches wide, 62 Inches deep. </t>
  </si>
  <si>
    <t xml:space="preserve">This site does not include an auditorium or gymnasium; the multi-purpose room fulfills this function. The multi-purpose room is accessible and is located on the first floor.  The multi-purpose room does not include a stage. Accessible seating is provided. The cafeteria is accessible and is located in the cellar. Assistive listening systems have not been provided in the public assembly spaces. </t>
  </si>
  <si>
    <t xml:space="preserve">There are accessible student bathrooms (boys and girls) available in the cellar.  There are accessible multi-user bathrooms (for student use) available in classrooms on the second floor. There are accessible single-user (unisex) bathrooms (for student and staff use) available in classrooms on the third and fourth floors.   </t>
  </si>
  <si>
    <t>Room C04A</t>
  </si>
  <si>
    <t>Room C04B</t>
  </si>
  <si>
    <t>Rooms 102A, 108, 208B, 211A, 315, 301A, 302A, 304A, 306A, 307A, 313A, 401A, 402A, 404A, 406A, 407A, 413A, and 415</t>
  </si>
  <si>
    <t xml:space="preserve">Available for students and staff. Room 208B is located in the nurse’s office. Room 211A is located in the teachers’ lounge. Rooms ending in A are located inside corresponding classrooms. </t>
  </si>
  <si>
    <t>Rooms 101/107, 201/207, and 202/204</t>
  </si>
  <si>
    <t xml:space="preserve">Fire alarm system has been upgraded and includes a strobe light feature. Holding rooms have been specifically designated as the cafeteria, and rooms 202, 302, and 402. </t>
  </si>
  <si>
    <t xml:space="preserve">This site includes central air. Temperature control units have been provided in classrooms. The auditorium is air-conditioned. </t>
  </si>
  <si>
    <t>1396 Broadway, Brooklyn, NY 11221</t>
  </si>
  <si>
    <t xml:space="preserve">The nearest accessible subway station is Myrtle – Wyckoff Avenue (J, M, and Z trains), 1.3 miles distant. MTA bus service (Q24 and B52) is also nearby. The main entrance to K987 is accessible, located on Monroe Street. The accessible entrance includes a doorbell, security cameras, and reception. The doorbell is not within reach range (height 60 inches). </t>
  </si>
  <si>
    <t>Door: 55 inches, Cab: 60 inches wide, 65 inches deep.</t>
  </si>
  <si>
    <t>Room 514</t>
  </si>
  <si>
    <t>Rooms 620, and 629</t>
  </si>
  <si>
    <t>The cafeteria is accessible and is located on the first floor. The gymnasium is accessible and located on the third floor. Assistive listening systems have not been provided in the public assembly spaces.</t>
  </si>
  <si>
    <t>There are accessible student bathrooms (girls and boys) on all floors. There is also accessible single‐user (unisex) bathrooms on all floor.</t>
  </si>
  <si>
    <t>732 Henry Street, Brooklyn, NY 11231</t>
  </si>
  <si>
    <t xml:space="preserve">The nearest accessible subway station is the Atlantic Avenue-Barclays Center Station (D, N, R, B, Q, 2, 3, 4, 5, and LIRR trains), 2.1 miles distant. MTA bus service (B57 and B61) is also nearby. The main entrance of K990 is accessible, located on Mill Street (Exit 1). The accessible entrance includes a doorbell, reception, and security cameras. The doorbell is not within reach range (height 59 inches). </t>
  </si>
  <si>
    <t xml:space="preserve">Doors: 42 inches, Cab: 59 inches wide, 79 inches deep. </t>
  </si>
  <si>
    <t xml:space="preserve">This site does not include an auditorium; the gymnasium fulfills this function. The gymnasium is accessible and is located on the first floor. Stage access is not provided. Accessible seating is provided. The cafeteria is accessible and is located on the first floor. Assistive listening systems have not been provided in the public assembly spaces. </t>
  </si>
  <si>
    <t>1119 Bedford Avenue, Brooklyn, NY 11216</t>
  </si>
  <si>
    <t xml:space="preserve">The nearest accessible subway station is Franklin Avenue (A and C trains), 0.4 miles distant. MTA bus service (B52, and B44) is also nearby. The main entrance to K994 is accessible, located on Bedford Avenue. The accessible entrance includes a ramp, a doorbell, security cameras, and reception. The doorbell is within reach range (height 48 inches). </t>
  </si>
  <si>
    <t>Door: 47 inches, Cab: 83 inches wide, 83 inches deep.</t>
  </si>
  <si>
    <t>The cafeteria is accessible and located in the basement. Assistive listening systems have not been provided in the public assembly areas.</t>
  </si>
  <si>
    <t>There are accessible student bathrooms (girls and boys) on all floors. There is also accessible single‐user (unisex) bathrooms on every floor.</t>
  </si>
  <si>
    <t>122 Henry Street, Manhattan, NY 10002</t>
  </si>
  <si>
    <t>The nearest accessible subway station is the Broadway-Lafayette Street Station (B, D, F, M, and 6 trains), 1.2 miles distant. MTA bus service (M9, M22, and M15) is also nearby. The main entrance of M002 is not accessible; the accessible entrance is located on Madison Street (Exit 5). The accessible entrance does not include a doorbell, security cameras, or reception. Visitors may need to contact the facility prior to their arrival to gain access through the accessible entrance.</t>
  </si>
  <si>
    <t>Room 220</t>
  </si>
  <si>
    <t>Room B9</t>
  </si>
  <si>
    <t>The auditorium is accessible and is located in the basement. Stage access is provided via corridor. Accessible seating is provided. The cafeteria is accessible and is located in the basement. The gymnasium is accessible and is located in the basement. Assistive listening systems have not been provided in the public assembly spaces.</t>
  </si>
  <si>
    <t>500 West 160 Street, Manhattan, NY 10032</t>
  </si>
  <si>
    <t xml:space="preserve">The nearest accessible subway station is the 168th Street Station (A and C trains), 0.42 miles distant. MTA bus service (M3, M100, and M101) is also nearby. The main entrance is accessible, located on 160th Street (Exit 4). The accessible entrance includes a doorbell, a ramp, and reception. The doorbell is within reach range (height 42 Inches). The accessible entrance does not include security cameras. </t>
  </si>
  <si>
    <t xml:space="preserve">Some stone door saddles are high, which may be difficult for some users to navigate. Some water fountains and other wall-mounted objects protrude into the corridors more than 4 inches, which may present difficulties for individuals with visual disabilities. Braille signs are not provided throughout the building.  </t>
  </si>
  <si>
    <t xml:space="preserve">One passenger elevator provides access to all floors. Elevator does not include audible signals on each floor. </t>
  </si>
  <si>
    <t>Ramped access from main level to the cafeteria, gym, and one of the two exterior playground spaces.</t>
  </si>
  <si>
    <t>Room 400</t>
  </si>
  <si>
    <t>Room 219</t>
  </si>
  <si>
    <t xml:space="preserve">The auditorium is accessible and is located on the second floor. Accessible seating is provided. Stage access is provided via corridor. The cafeteria is accessible and is located on the first floor. The gymnasium is accessible and is located on the first floor. Assistive listening systems have not been provided in the public assembly areas. </t>
  </si>
  <si>
    <t>Provides access via ramp. Accessible seating available upon request.</t>
  </si>
  <si>
    <t>Accessible via corridor ramp.</t>
  </si>
  <si>
    <t>There are accessible student (boys and girls) bathrooms available on the first, third, and fourth floors. There are accessible staff (male and female) bathrooms available on the first floor. There are accessible single-user (unisex) bathrooms (for student and staff use) available on all floors. There are accessible single-user (unisex) bathrooms (for student and staff use) available in several classrooms on the first and second floors.</t>
  </si>
  <si>
    <t>Rooms 120, 310, and 408</t>
  </si>
  <si>
    <t xml:space="preserve">Interior partitions lack clear maneuvering space.  </t>
  </si>
  <si>
    <t>Rooms 121, 313, and 411</t>
  </si>
  <si>
    <t xml:space="preserve">Pull side maneuvering clearance is slightly narrow (17 inches). </t>
  </si>
  <si>
    <t>Rooms 109 and 112</t>
  </si>
  <si>
    <t>Room 109 - Male Staff. Room 112 - Female Staff</t>
  </si>
  <si>
    <t>Classrooms 103A, 200A, 201A, 202A, 203A, 204A, 205A, 206A, and 207A</t>
  </si>
  <si>
    <t>Rooms 114A, 210, 211, 311, 312, 409, and 410</t>
  </si>
  <si>
    <t>Rooms 101/105, 102/104, and 106/107</t>
  </si>
  <si>
    <t xml:space="preserve">Located inside corresponding classrooms. Interior partition dimensions do not provide clear floor space. </t>
  </si>
  <si>
    <t xml:space="preserve">Fire alarm system has been upgraded and includes a strobe light feature. Holding rooms have been specifically designated as rooms 203, 303, and 403. </t>
  </si>
  <si>
    <t>The site includes central air. Air-conditioning units have been provided in classrooms.</t>
  </si>
  <si>
    <t>3703 Tenth Avenue, Manhattan, NY 10034</t>
  </si>
  <si>
    <t>The nearest accessible subway station is the 207th Street Station (A train), 0.61 miles distant. MTA bus service (M100) is also nearby. The main entrance is accessible, located on Tenth Avenue (Exit 2). The accessible entrance includes a doorbell and reception. The accessible entrance does not include security cameras. The doorbell is within reach range (height 48 Inches). </t>
  </si>
  <si>
    <t>Some door saddles are high, which may be difficult for some users to navigate. Braille signs are not included throughout the building.  </t>
  </si>
  <si>
    <t>Two elevators provide access to all floors. Elevators include audible signals on each floor.  </t>
  </si>
  <si>
    <t xml:space="preserve">E1 
Doors: 42 inches, out of order at time of survey. 
E2 
Doors: 36 inches, Cabs: 68 inches wide, 51 inches deep. </t>
  </si>
  <si>
    <t>This site is highly accessible; all classrooms are accessible and are located along accessible routes. </t>
  </si>
  <si>
    <t>Room 411/412</t>
  </si>
  <si>
    <t>The auditorium is accessible and is located on the second floor. Stage access is provided via corridor. Accessible seating is provided. The cafeteria is accessible and is located in the basement. The gymnasium is accessible and is located in the basement. Assistive listening systems have not been provided in the public assembly spaces. </t>
  </si>
  <si>
    <t>Stage access is provided via corridor. Accessible seating is provided.  </t>
  </si>
  <si>
    <t>There are accessible student bathrooms (boys and girls) available on all floors. There are accessible staff bathrooms (male) available on the first floor. There are accessible single-user (unisex) bathrooms (for student and staff use) available on all floors.  There are accessible single-user (unisex) bathrooms (for student and staff use) available in the first floor and second floor classrooms. </t>
  </si>
  <si>
    <t>Rooms B15, 223, 302, 402, and LD44</t>
  </si>
  <si>
    <t>Rooms B16, 224, 305, 405, and LD43</t>
  </si>
  <si>
    <t> Rooms 105, 203, 303, 304, 403, and 404</t>
  </si>
  <si>
    <t>Available for student and staff use. </t>
  </si>
  <si>
    <t>First and Second Floor Classrooms</t>
  </si>
  <si>
    <t>Fire alarm system has been upgraded and includes a strobe light feature. Holding rooms have been specifically designated as rooms 213, 315, 325, 415, and 424. </t>
  </si>
  <si>
    <t>This site includes central air. Temperature control units have been provided in classrooms. </t>
  </si>
  <si>
    <t>160 East 120 Street, Manhattan, NY 10035</t>
  </si>
  <si>
    <t xml:space="preserve">The nearest accessible Subway Station is the 125 Street Station; (4, 5, and 6 trains) 0.7 mile. MTA bus (M101, and M103) is also nearby. The main entrance to M007 is accessible, located on East 120 Street. The accessible entrance includes a doorbell, ramp, security desk, and security cameras. The doorbell is not within reach range (Height 71 Inches).  </t>
  </si>
  <si>
    <t>Two passenger elevators provide access to all floors. Elevators provide audible signals on each floor.</t>
  </si>
  <si>
    <t xml:space="preserve">Door: 48 inches, Cab: 65 inches wide, 95 inches deep. </t>
  </si>
  <si>
    <t>Room 436</t>
  </si>
  <si>
    <t>Room 101 and 331</t>
  </si>
  <si>
    <t>The auditorium is accessible and is located in the basement. Stage access is provided. Accessible seating is provided. The cafeteria is accessible and is located on the first floor. The gymnasium is accessible via a lift and is located on the first floor. Assistive listening systems have not been provided in the public assembly spaces.</t>
  </si>
  <si>
    <t>Accesible seating available upon request.</t>
  </si>
  <si>
    <t>There are accessible student bathrooms (boys) available in the basement and on the first floor. There are accessible student bathrooms (girls) available in the basement, and on the first and third floors. There are accessible single-user bathrooms (for student and staff use) available on the second and fourth floors.</t>
  </si>
  <si>
    <t xml:space="preserve">Room B30 and First Floor </t>
  </si>
  <si>
    <t>Room B28, First, and Third Floors</t>
  </si>
  <si>
    <t>Fire Alarm System include strobe lights. Holding rooms or areas of refuge have not been specifically designated. </t>
  </si>
  <si>
    <t>The school does have HVAC/Climate control. </t>
  </si>
  <si>
    <t>Assistive listening systems have not been installed in the public assembly spaces.</t>
  </si>
  <si>
    <t>465 West 167 Street, Manhattan, NY 10032</t>
  </si>
  <si>
    <t xml:space="preserve">The nearest accessible subway station is the 168th Street Station (A, and C trains), 0.16 miles distant. MTA bus service (M101) is also nearby. The main entrance is accessible, located on West 167th Street (Exit 3). The accessible entrance includes a ramp and reception. The accessible entrance does not include a doorbell or security cameras.  </t>
  </si>
  <si>
    <t xml:space="preserve">Ramped access from entry courtyard to the first floor.  </t>
  </si>
  <si>
    <t xml:space="preserve">Some stone door saddles are high, which may be difficult for some users to navigate. Some water fountains and other wall-mounted objects protrude into the corridors more than 4 inches, which may present difficulties for individuals with visual disabilities. Braille signs are included throughout the building.  </t>
  </si>
  <si>
    <t xml:space="preserve">Non-compliant door hardware. </t>
  </si>
  <si>
    <t xml:space="preserve">Doors: 42 Inches, Cab: 79 Inches wide, 68 Inches deep. </t>
  </si>
  <si>
    <t>Room 406</t>
  </si>
  <si>
    <t xml:space="preserve">The auditorium is accessible and is located on the second floor. Accessible seating is provided. Stage access is provided via lift. The cafeteria is accessible and is located on the first floor. The gymnasium is accessible and is located on the first floor. Assistive listening systems have not been provided in the public assembly spaces. </t>
  </si>
  <si>
    <t xml:space="preserve">There are accessible student (boys) bathrooms available on the first, third, and fourth floors. There are accessible student (girls) bathrooms available on the first floor. There are accessible staff (male and female) bathrooms available on the first floor. There are accessible single-user (unisex) bathrooms (for student and staff use) available on the second, third, and fourth floors. </t>
  </si>
  <si>
    <t>Rooms 122, 316, and 415</t>
  </si>
  <si>
    <t>Rooms A123</t>
  </si>
  <si>
    <t>Rooms 313, and 412</t>
  </si>
  <si>
    <t xml:space="preserve">Interior privacy partition impedes access. Clear path less than 32 Inches. </t>
  </si>
  <si>
    <t xml:space="preserve"> Room 116</t>
  </si>
  <si>
    <t>Rooms 216, 217, 314, 315, and 414</t>
  </si>
  <si>
    <t xml:space="preserve">Fire alarm system has been upgraded and includes a strobe light feature. Holding rooms have been specifically designated as rooms 205, 305, and 405.  </t>
  </si>
  <si>
    <t xml:space="preserve">The site includes central air. Air-conditioning control units provided in classrooms. </t>
  </si>
  <si>
    <t>100 West  84 Street, Manhattan, NY 10024</t>
  </si>
  <si>
    <t xml:space="preserve">The nearest accessible subway station is 72nd Street-Broadway Station; (1, 2, and 3 trains) 0.8 miles distant. MTA bus service (M5, M7, M11, M57, M72, M104, and BxM2.) is also nearby. The main entrance is accessible, located West 84 Street (Exit 1). The accessible entrance includes security cameras and reception. The accessible entrance does not include a doorbell. </t>
  </si>
  <si>
    <t xml:space="preserve">Several changes in elevation prevent access to some program areas. Some water fountains and other wall-mounted objects may protrude into the corridors more than 4 inches, which may present difficulties for individuals with visual disabilities. Braille signs are not included throughout the building. </t>
  </si>
  <si>
    <t>Changes in elevation prevent access to some program areas. </t>
  </si>
  <si>
    <t xml:space="preserve">This site offers limited accessibility; all classrooms located on the first floor are accessible and are located along accessible routes. </t>
  </si>
  <si>
    <t>Room 132</t>
  </si>
  <si>
    <t>Room 332</t>
  </si>
  <si>
    <t>Rooms 226 and 317</t>
  </si>
  <si>
    <t xml:space="preserve">The auditorium is accessible and is located on the first floor. Stage access is not provided. Accessible seating is provided. The cafeteria is accessible and is located on the first floor. The gymnasium is not accessible and is located on the second floor. Assistive listening systems have not been provided in the public assembly areas. </t>
  </si>
  <si>
    <t xml:space="preserve">Auditorium is accessible via lift. Stage access is not provided. Accessible seating is provided
</t>
  </si>
  <si>
    <t>Food service doors are not accessible. Accessible seating available upon request.</t>
  </si>
  <si>
    <t xml:space="preserve">Not on an accessible route. Changes in elevation prevent access. </t>
  </si>
  <si>
    <t xml:space="preserve">The site does not include central air; Air conditioning units have been provided in classrooms. </t>
  </si>
  <si>
    <t>2581 7Th Avenue, Manhattan, NY 10039</t>
  </si>
  <si>
    <t xml:space="preserve">The nearest accessible subway station is the 135th Street Station (2 and 3 trains), 0.74 miles distant. MTA bus service (M1, M2, M7, and M102) is also nearby. The accessible entrance of M010 is not the same as the main entrance. The accessible entrance is located on Adam Clayton Powell Jr. Boulevard. The accessible entrance and includes a doorbell, security cameras, and reception.  </t>
  </si>
  <si>
    <t xml:space="preserve">Ramped access from the sidewalk to the main level. </t>
  </si>
  <si>
    <t xml:space="preserve">Doors: 45 Inches, Cabs: 75 Inches wide, 85 Inches deep. </t>
  </si>
  <si>
    <t>Rooms 224 (M200), and 312 (M010)</t>
  </si>
  <si>
    <t>Rooms 207 and 209 (M200), 274, 276, 389 (M010)</t>
  </si>
  <si>
    <t>Rooms 202 (M010), and 208 (M200)</t>
  </si>
  <si>
    <t>Rooms 165 (M010), and 111 (M200)</t>
  </si>
  <si>
    <t>Room 159 (M010), and 120 (M200)</t>
  </si>
  <si>
    <t>Rooms 230, 232, 236, 240, 251, 260, and 263</t>
  </si>
  <si>
    <t xml:space="preserve">The auditorium is accessible and is located on the first floor. Accessible seating is provided. Stage access is provided via a lift. The cafeteria spaces are accessible and are located on the first floor. The gymnasium is accessible and is located on the second floor. The multi-purpose room is accessible and is located on the first floor. Assistive listening systems have not been provided in the public assembly spaces. </t>
  </si>
  <si>
    <t xml:space="preserve">Accessible seating is provided. Stage access is provided via lift. </t>
  </si>
  <si>
    <t xml:space="preserve">There are accessible student bathrooms (boys and girls) available on all the first and third floors. Accessible staff bathrooms are available on the second floor. </t>
  </si>
  <si>
    <t>Rooms 190 and 390</t>
  </si>
  <si>
    <t>Room 290</t>
  </si>
  <si>
    <t>Clear opening less than 32 Inches. Non-compliant hardware. Water closet arrangement.</t>
  </si>
  <si>
    <t>Rooms 103 and 303</t>
  </si>
  <si>
    <t>Clear opening less than 32 Inches.  Non-compliant hardware. Water closet arrangement.</t>
  </si>
  <si>
    <t>Rooms 215 and 224</t>
  </si>
  <si>
    <t>Rooms 124, 126, 315, and 324</t>
  </si>
  <si>
    <t>333 East  4 Street, Manhattan, NY 10009</t>
  </si>
  <si>
    <t xml:space="preserve">The nearest accessible subway station is the Broadway-Lafayette Bleeker/Street Station (6, B, D, and F trains), 0.76 miles distant. MTA bus service (M9, and M14D) is also nearby. The accessible entrance to M015 is not the same as the main entrance; the accessible entrance is located on Fifth Street (Exit #5).  The accessible entrance includes a ramp. The accessible entrance does not include a doorbell or security cameras. Visitors will have to contact the site prior to arrival. </t>
  </si>
  <si>
    <t xml:space="preserve">Ramped access from the school yard at East Fifth Street. </t>
  </si>
  <si>
    <t xml:space="preserve">Some door saddles are high, which may be difficult for some users to navigate. Some water fountains and other wall-mounted objects protrude in to the corridors more than 4 inches, which may present difficulties for individuals with visual disabilities. Braille signs are not included throughout the building.  </t>
  </si>
  <si>
    <t xml:space="preserve">This site does not include an elevator; access is limited to the first floor. </t>
  </si>
  <si>
    <t xml:space="preserve">This site is moderately accessible; all classrooms located on the first floor are accessible and are located along accessible routes. </t>
  </si>
  <si>
    <t>Room 205 (P.S. 15); Room 505 (P.S. 94)</t>
  </si>
  <si>
    <t>Rooms 102 and 104</t>
  </si>
  <si>
    <t xml:space="preserve">The auditorium is accessible and is located on the first floor. Stage access is provided via lift. Accessible seating is not provided. The cafeteria is accessible and is located on the first floor. The gymnasium is not accessible and is located on the third floor. Assistive listening systems have not been provided in the public assembly spaces. </t>
  </si>
  <si>
    <t xml:space="preserve">Stage access is provided via lift. Accessible seating is not provided. </t>
  </si>
  <si>
    <t xml:space="preserve">There are accessible student bathrooms (boys and girls) available on the first floor. There are no accessible staff bathrooms in the building. </t>
  </si>
  <si>
    <t>Room 113B</t>
  </si>
  <si>
    <t>Rooms 211, and 411</t>
  </si>
  <si>
    <t xml:space="preserve">Interior partitions do not provide clear space.   </t>
  </si>
  <si>
    <t>Room 113A</t>
  </si>
  <si>
    <t>Rooms 311, 326B, and 511</t>
  </si>
  <si>
    <t>Rooms 101A, 110, 117, and 204A</t>
  </si>
  <si>
    <t xml:space="preserve">Clear path width is less than 32 inches.  Interior partitions do not provide clear space.   </t>
  </si>
  <si>
    <t>Rooms 414A, 417, and 507</t>
  </si>
  <si>
    <t xml:space="preserve">Room dimensions do not provide clear space. </t>
  </si>
  <si>
    <t>Classroom 105</t>
  </si>
  <si>
    <t xml:space="preserve">Not on an accessible path.   Interior partitions do not provide clear space.   </t>
  </si>
  <si>
    <t>185 1 Avenue, Manhattan, NY 10003</t>
  </si>
  <si>
    <t>The nearest accessible subway station is the First Avenue Station (L train), 0.1 miles distant. MTA bus service (M15, M15-SBS, M14A-SBS, and M14D-SBS) is also nearby. The main entrance is not accessible, located on First Avenue (Exit 1). The main entrance includes reception. This site does not include an accessible entrance.</t>
  </si>
  <si>
    <t>Changes in elevation (1 step exterior; 10 steps interior) prevent access.</t>
  </si>
  <si>
    <t>Art Rooms – Room 507</t>
  </si>
  <si>
    <t>Computer Rooms – Room 513</t>
  </si>
  <si>
    <t>Main Office – Rooms 309, 401, and 559</t>
  </si>
  <si>
    <t>Nurse’s Office – Rooms 116</t>
  </si>
  <si>
    <t>Science Lab – Rooms 214, 214B, and 514</t>
  </si>
  <si>
    <t>The auditorium is not accessible and is located on the first floor. Stage access is not provided. Accessible seating is provided. The cafeteria is not accessible and is located on the first floor. The gymnasiums are not accessible and are located on the third and fifth floors. Assistive listening systems have not been provided in the public assembly spaces.</t>
  </si>
  <si>
    <t>Gymnasiums – Third and Fifth Floors</t>
  </si>
  <si>
    <t>166 Essex Street, Manhattan, NY 10002</t>
  </si>
  <si>
    <t>The nearest accessible subway station is Broadway-Lafayette / Bleeker Street Station (6, B, D, and F trains), 0.60 miles distant. MTA bus service (M9, M14A-SBS, and M21) is also nearby.  The accessible entrance to M020 is not the same as the main entrance; the accessible entrance is located on Essex Street (Exit 4) and is reached via the school yard from the Essex and Norfolk Street gates. The accessible entrance includes a ramp. The accessible entrance does not include a doorbell or security cameras. Visitors may need to contact site in advance to gain access to this facility through the accessible entrance. </t>
  </si>
  <si>
    <t>Ramped access from the school yard. </t>
  </si>
  <si>
    <t>Braille signs are not included throughout the building.  </t>
  </si>
  <si>
    <t xml:space="preserve">Non-compliant hardware.  </t>
  </si>
  <si>
    <t>This site is moderately accessible; all classrooms located on the first floor are accessible and are located along accessible routes. </t>
  </si>
  <si>
    <t>Rooms 216 and 218</t>
  </si>
  <si>
    <t xml:space="preserve">Room 108 </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</si>
  <si>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spaces. </t>
  </si>
  <si>
    <t>There are accessible student bathrooms (boys and girls) available on the first floor.  </t>
  </si>
  <si>
    <t>Rooms 110A, and 126A, and 136A</t>
  </si>
  <si>
    <t>Room 110A is located inside the principal’s office. Room 126A is located inside the superintendent’s office. Room 136A is located in the nurse’s office. </t>
  </si>
  <si>
    <t>Classrooms 128, 130, 132, and 134</t>
  </si>
  <si>
    <t>Room dimensions prevent access. </t>
  </si>
  <si>
    <t>Fire alarm system has been upgraded and includes a strobe light feature. Holding rooms or areas of refuge have not been specifically designated.  </t>
  </si>
  <si>
    <t>The site does not include central air. Air-conditioning units provided in classrooms. </t>
  </si>
  <si>
    <t>145 Stanton Street, Manhattan, NY 10002</t>
  </si>
  <si>
    <t>The nearest accessible subway station is Broadway-Lafayette Station (B, D, F, M, and 6 trains), 0.7 miles distant. MTA bus service (M14A and M21) is also nearby. The accessible entrance for building M025 is not the same as the main entrance; the accessible entrance is located on Norfolk Street (Exit G). The accessible entrance includes a ramp. The accessible entrance does not include a doorbell, security cameras, or reception. Visitors should contact the site prior to arrival in order to gain access to facility through the accessible entrance.</t>
  </si>
  <si>
    <t>Some hallway doors are heavy and without closers, which may be difficult for some users to navigate. Braille signage is provided throughout the building.</t>
  </si>
  <si>
    <t>Some lobby doors include non-compliant hardware.</t>
  </si>
  <si>
    <t>One passenger elevator provides access to all floors. Elevator does not provide audible signals.</t>
  </si>
  <si>
    <t>Doors: 48 inches; Cab: 85 inches wide, 51.5 inches deep</t>
  </si>
  <si>
    <t>This site is highly accessible; all classrooms located on all floors are accessible and are located on accessible routes.</t>
  </si>
  <si>
    <t>Art Rooms – Room 201</t>
  </si>
  <si>
    <t>Classrooms – First through Fourth floors</t>
  </si>
  <si>
    <t>Computer Rooms – Room 445</t>
  </si>
  <si>
    <t>Library – Room 265 and Fourth Floor</t>
  </si>
  <si>
    <t>Main Office – Rooms 141 (and 431</t>
  </si>
  <si>
    <t>Science Lab – Rooms 203A/B, 205, 305A/B, 403, 405 and 469</t>
  </si>
  <si>
    <t>The auditorium is accessible and is located on the third floor. Stage access is provided via lift. Accessible seating is not provided. The cafeteria is accessible and is located on the first floor. The gymnasium is accessible and is located on the first floor. Assistive listening systems have not been provided in the public assembly spaces.</t>
  </si>
  <si>
    <t>Room is accessed via lift from corridor. Stage access is provided via lift. Accessible seating is not provided.</t>
  </si>
  <si>
    <t>Accessible seating is available upon request.</t>
  </si>
  <si>
    <t>There are accessible student bathrooms (boys and girls) available on all floors. There are several single-user bathrooms (staff and student use) available throughout the building.</t>
  </si>
  <si>
    <t>Boys Bathrooms – Rooms 145, 208, 308B, and 406</t>
  </si>
  <si>
    <t>Boys Bathrooms – Room 108</t>
  </si>
  <si>
    <t>Girls Bathrooms – Rooms 147, 246, and 348B</t>
  </si>
  <si>
    <t>Staff Bathrooms – Rooms 221, 233, 246, 260, 325, 329, 346, 363, 361, and 444</t>
  </si>
  <si>
    <t>Single-User (Unisex) Bathrooms – Rooms 152, 154, 408 and 429</t>
  </si>
  <si>
    <t>Single-User (Unisex) Bathrooms – Room 429</t>
  </si>
  <si>
    <t>Fire alarm system has been upgraded and includes a strobe light feature. Holding rooms have been specifically designated as rooms 209, 309 and 409.</t>
  </si>
  <si>
    <t>144-176 East 128 Street, Manhattan, NY 10035</t>
  </si>
  <si>
    <t xml:space="preserve">The nearest accessible subway station is at 125th Street Station (4, 5, and 6 trains), 0.3 miles distant. MTA bus service (M60, M100, M101, and Bx15) is also nearby. The accessible entrance to building M030 is not the same as the main entrance; the accessible entrance is located on Lexington Avenue (Exit 12). The accessible entrance does not include a doorbell, reception, or security cameras; visitors may need to contact site in advance to gain access to this facility through the accessible entrance. </t>
  </si>
  <si>
    <t>Lift remediates changes in elevation between sidewalk and ground floor of the building. </t>
  </si>
  <si>
    <t xml:space="preserve">This site is moderately accessible; all ground floor classrooms are accessible and are located along accessible routes.  </t>
  </si>
  <si>
    <t>Room 144</t>
  </si>
  <si>
    <t>Room 202B</t>
  </si>
  <si>
    <t>Room 235 A/B</t>
  </si>
  <si>
    <t>Room 113 and 123</t>
  </si>
  <si>
    <t xml:space="preserve">The auditorium is accessible and is located on the first floor. Stage access is not provided. Accessible seating is not provided. The cafeterias are accessible and are located on the first floor. The gymnasium is accessible and is located on the first floor. Assistive listening systems have not been provided in the public assembly spaces. </t>
  </si>
  <si>
    <t>Fire Alarm System includes a strobe light feature. There are no dedicated fire safety rooms or holding areas.</t>
  </si>
  <si>
    <t>The site does not include central air. Air-conditioning units have been provided in classrooms. </t>
  </si>
  <si>
    <t>281 9 Avenue, Manhattan, NY 10001</t>
  </si>
  <si>
    <t xml:space="preserve">The nearest accessible subway station at 14th Street, (A, C, E, and L) 0.1 mi distant. MTA bus service (M11, M12, M14A, and M14D) is also nearby. The main entrance to building M033 is accessible. The accessible entrance includes a ramp. The accessible entrance does not include a doorbell or security cameras; visitors should contact the site prior to arrival. </t>
  </si>
  <si>
    <t>Signs with braille provided for some spaces on the ground floor but are needed throughout the rest of the building. Elevator does not provide audible signals.</t>
  </si>
  <si>
    <t>A passenger elevator on site provides access to all floors in the building.</t>
  </si>
  <si>
    <t>Door: 47 inches; Cab: 69 inches wide, 51.5 inches deep.</t>
  </si>
  <si>
    <t>This site is highly accessible; all classrooms are accessible and located on accessible routes. There are several signs with braille on the ground floor, but they are missing throughout the rest of the building. Some of the hallway doors are heavy and may be difficult for users with limited upper body strength.</t>
  </si>
  <si>
    <t>Room 244</t>
  </si>
  <si>
    <t>Room 101 and 142</t>
  </si>
  <si>
    <t>Room 106 and 118</t>
  </si>
  <si>
    <t>The auditorium is accessible and is located on the first floor. The cafeteria is accessible and is located in the basement. The gymnasium is accessible and is located on the first floor. Assistive listening systems have not been provided in the public assembly areas.</t>
  </si>
  <si>
    <t xml:space="preserve">There are accessible student bathrooms (girls and boys) available on all floors. </t>
  </si>
  <si>
    <t xml:space="preserve">Fire alarm system has been upgraded and includes a strobe light feature. Fire holding rooms have been designated as rooms 220 and 320 (near Stair D). </t>
  </si>
  <si>
    <t>730 East  12 Street, Manhattan, NY 10009</t>
  </si>
  <si>
    <t xml:space="preserve">The nearest accessible subway station is First Avenue Station (L train), 0.6 miles distant. MTA bus service (M8, M9, and M14D-SBS) is also nearby. The main entrance of M034 is accessible, located on East Twelfth Street (Exit 2). The accessible entrance includes a doorbell and reception. The accessible entrance does not include security cameras. The doorbell is not within reach range (height 67 inches). </t>
  </si>
  <si>
    <t>A change in elevation on the first floor prevents direct access. To navigate the change in elevation you will need to enter through the auditorium. Braille signs are not included throughout the building.</t>
  </si>
  <si>
    <t xml:space="preserve">A change in elevation (4 steps) on the first floor prevents direct path access. Alternate accessible route via the auditorium provides access. </t>
  </si>
  <si>
    <t xml:space="preserve">This site offers limited accessibility; all classrooms located on first floor are accessible and are located along accessible routes.  </t>
  </si>
  <si>
    <t>Room 102A</t>
  </si>
  <si>
    <t xml:space="preserve">Rooms 111, 207, and 303 </t>
  </si>
  <si>
    <t xml:space="preserve">Rooms 109, 204, and 304  </t>
  </si>
  <si>
    <t xml:space="preserve">Staff Bathrooms – Rooms 203 and 308 </t>
  </si>
  <si>
    <t xml:space="preserve">Rooms 105A and 201A </t>
  </si>
  <si>
    <t>123 Morningside Drive, Manhattan, NY 10027</t>
  </si>
  <si>
    <t>The nearest accessible subway station is 125th Street Station (A, C, B, and D trains), 0.4 miles distant. MTA bus service (M11 and M60-SBS) is also nearby. The accessible entrance to building M036 is not the same as the main entrance; the accessible entrance is located on Morningside Drive (Exit 2). The accessible entrance includes a doorbell and intercom. The doorbell is within reach range (height 48 inches). The accessible entrance does not include security cameras or reception.</t>
  </si>
  <si>
    <t>Braille signs are included throughout the building, but are not consistent.</t>
  </si>
  <si>
    <t>One passenger elevator provide access to all floors of the building. Elevator includes audible signals on each floor.</t>
  </si>
  <si>
    <t>Door: 41 inches, Cab: 56 inches wide, 77 inches deep.</t>
  </si>
  <si>
    <t>Computer Rooms – Room 401</t>
  </si>
  <si>
    <t>Library – Room 483</t>
  </si>
  <si>
    <t>Main Office – Room 282</t>
  </si>
  <si>
    <t>Nurse’s Office – Room 328</t>
  </si>
  <si>
    <t>This site does not include an auditorium or a gymnasium; the cafeteria fulfills these functions. The cafeteria is accessible and is located on the third floor. The cafeteria does not include a stage. Accessible seating is provided. Assistive listening systems have not been provided in the public assembly areas.</t>
  </si>
  <si>
    <t>There are accessible single-user bathrooms (for student and staff use) available on the third floor. This building is prevented from attaining a higher accessibility rating due to lack of accessible bathrooms throughout the building.</t>
  </si>
  <si>
    <t>Boys Bathrooms (Single-User) – Room 378</t>
  </si>
  <si>
    <t>Bathroom includes automatic doors.</t>
  </si>
  <si>
    <t>Boys Bathrooms – Rooms 278 and 478</t>
  </si>
  <si>
    <t>Girls Bathrooms (Single-User) – Room 376</t>
  </si>
  <si>
    <t>Girls Bathrooms – Rooms 276 and 476</t>
  </si>
  <si>
    <t>320 East 20Th Street, Manhattan, NY 10003</t>
  </si>
  <si>
    <t>The nearest accessible subway station is the First Avenue Station (L train), 0.10 miles distant. MTA bus service (M09 and M15) is also nearby. This building does not include an accessible entrance. The main entrance is not accessible, located on East 20th Street (Exit 1). The main entrance includes reception. The main entrance does not include a doorbell, reception, or security cameras.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</si>
  <si>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Change in elevation prevent access to all program areas.</t>
  </si>
  <si>
    <t>This site does not include an elevator, preventing access to all floors in the building.</t>
  </si>
  <si>
    <t>Art Rooms – Rooms 204 and 404</t>
  </si>
  <si>
    <t>Computer Rooms – Room 303</t>
  </si>
  <si>
    <t>Main Office – Rooms 202 and 402</t>
  </si>
  <si>
    <t>Nurse’s Office – Room 124</t>
  </si>
  <si>
    <t>Science Lab – Rooms 202, and 501</t>
  </si>
  <si>
    <t>The auditorium is not accessible and is located on the first floor. Stage access is not provided. Accessible seating is provided. The cafeteria is not accessible and is located on the first floor. The gymnasiums are not accessible and are located on the first and third floors. Assistive listening systems have not been provided in the public assembly spaces.</t>
  </si>
  <si>
    <t>Gymnasium – First and Third Floors</t>
  </si>
  <si>
    <t>There are accessible student bathrooms (boys and girls) available on the fifth floor.</t>
  </si>
  <si>
    <t>Boys Bathrooms – Room 512</t>
  </si>
  <si>
    <t>Boys Bathrooms – First Floor Gym and Rooms 226, 324, and 424</t>
  </si>
  <si>
    <t>Girls Bathrooms – Room 513</t>
  </si>
  <si>
    <t>Staff Bathrooms – Room 506</t>
  </si>
  <si>
    <t>Staff Bathrooms – Second and Third Floors</t>
  </si>
  <si>
    <t>Single-User (Unisex) Bathrooms – Room 423A</t>
  </si>
  <si>
    <t>Fire alarm system has not been upgraded and does not include a strobe light feature. Holding rooms have been specifically designated as room 116.</t>
  </si>
  <si>
    <t>This site includes central air on the 5th floor of the original building only. This site does not include central air on the first through fourth floors of the original building or anywhere in the 1929 addition; Air-conditioning units have been provided in classrooms of these areas.</t>
  </si>
  <si>
    <t>https://nycdoe.sharepoint.com/:w:/s/BAP/EV1t6jYhcwJEg6UnnZ414JIBiTPbVON79tm7kEiQkfayuQ</t>
  </si>
  <si>
    <t>116 West  11 Street, Manhattan, NY 10011</t>
  </si>
  <si>
    <t>The nearest accessible subway station is West 4th Street – Washinton Square Station (A, B, C, D, E, F, and M trains), 0.23 miles distant. MTA bus service (M8, M20, and M55) is also nearby. The main entrance is not accessible, located on West 11th Street (Exit 1). The main entrance includes a doorbell-intercom, reception and security cameras. The doorbell is within reach range (height 48 inches).This building does not include an accessible entrance.</t>
  </si>
  <si>
    <t>Changes in elevation (1”-4” exterior, 6-7 steps interior) prevent access.</t>
  </si>
  <si>
    <t>Needed to remediate interior changes in elevation on the first floor</t>
  </si>
  <si>
    <t>Needed to remediate exterior changes in elevation at all entries.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</si>
  <si>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Changes in elevation on the first floor prevent access to all program areas. Braille signs are not included throughout the building.</t>
  </si>
  <si>
    <t>This site is prevented from attaining a higher accessibility rating due to lack of vertical transportation throughout the building. This site does not include an elevator, preventing vertical access throughout the building.</t>
  </si>
  <si>
    <t>Art Rooms – Room 328</t>
  </si>
  <si>
    <t>Computer Rooms - 334</t>
  </si>
  <si>
    <t>The auditorium is not accessible and is located on the first floor. Stage access is not provided. Accessible seating is provided. The cafeteria is not accessible and is located on the first floor. The gymnasium is not accessible and is located on the second floor. Assistive listening systems have been provided in the auditorium, cafeteria, and gymnasium.</t>
  </si>
  <si>
    <t>Staff Bathrooms – Rooms 113, 115, and Second Through Fourth Floors</t>
  </si>
  <si>
    <t>This site includes exterior recreational spaces. The exterior play yard is accessible. The recreational equipment is not accessible. The green roof is not accessible. The recreational equipment is not accessible.</t>
  </si>
  <si>
    <t>https://nycdoe.sharepoint.com/:w:/s/BAP/EXZ-helRO-NLgacrzZpHFs0B5ZctiQYPTDKEmbYKVaSmFw</t>
  </si>
  <si>
    <t>509 West 129 Street, Manhattan, NY 10027</t>
  </si>
  <si>
    <t>The nearest accessible subway station is 125th Street Station (A, B, C, and D trains), 0.38 miles distant. MTA bus service (M11, M100, and M101) is also nearby. The accessible entrance to M043 is not the same as the main entrance; the accessible entrance is located on Amsterdam Avenue and is accessed via the play yard (Exit 4). The accessible entrance includes a doorbell and security cameras. The doorbell is not within reach range (height 49 inches.) The accessible entrance does not include reception or security cameras; visitors may need to contact site in advance to gain access to this facility through the accessible entrance.</t>
  </si>
  <si>
    <t>Located off the main entrance, which is not accessible.</t>
  </si>
  <si>
    <t>Art Rooms – Room 130</t>
  </si>
  <si>
    <t>Classrooms – Other Floors</t>
  </si>
  <si>
    <t>Computer Rooms – Rooms 210B and 442</t>
  </si>
  <si>
    <t>Library – Room 341</t>
  </si>
  <si>
    <t>Main Office – Room 142</t>
  </si>
  <si>
    <t>Main Office – Rooms 229 and 330</t>
  </si>
  <si>
    <t>Nurse’s Office – Room 101</t>
  </si>
  <si>
    <t>Science Lab – Room 237</t>
  </si>
  <si>
    <t>The auditorium is accessible and is located on the first floor. Stage access is not provided. Accessible seating is provided. The cafeteria is not accessible and is located in the basement. The gymnasiums are not accessible and are located on the third and fourth floors. Assistive listening systems have been provided in the auditorium.</t>
  </si>
  <si>
    <t>There are accessible student bathrooms (girls) available on the first floor. There are accessible staff bathrooms (male) available on the first floor.</t>
  </si>
  <si>
    <t>Boys Bathrooms – Basement through Fourth Floors</t>
  </si>
  <si>
    <t>Boys Bathrooms – Basement, and Second through Fourth Floors</t>
  </si>
  <si>
    <t>Girls Bathrooms – Room 139</t>
  </si>
  <si>
    <t>Staff Bathrooms – Room 122A</t>
  </si>
  <si>
    <t>Staff Bathrooms – Room 139A, and Second through Fourth Floors</t>
  </si>
  <si>
    <t>Single-User (Unisex) Bathrooms – Rooms 100 and 102</t>
  </si>
  <si>
    <t>100 West  77 Street, Manhattan, NY 10024</t>
  </si>
  <si>
    <t>The nearest accessible subway station is 72nd Street Broadway Station (1, 2, and 3 trains), 0.4 miles distant. MTA bus service (M7 and M11) is also nearby. The accessible entrance to M044 is not the same as the main entrance; the accessible entrance (Exit 5) is located on West 77th Street via the courtyard. The accessible entrance includes security cameras. The accessible entrance does not include a doorbell; visitors may need to contact site in advance to gain access to this facility through the accessible entrance.</t>
  </si>
  <si>
    <t>Doors: 44 Inches, Cab: 74 Inches wide, 55 Inches deep.</t>
  </si>
  <si>
    <t>Art Rooms – Rooms G20, 231, and 306</t>
  </si>
  <si>
    <t>Computer Rooms – Rooms G23A and 305</t>
  </si>
  <si>
    <t>Library – Room 139</t>
  </si>
  <si>
    <t>Main Office – Rooms 101, 204, and 326</t>
  </si>
  <si>
    <t>Nurse’s Office - Room 129</t>
  </si>
  <si>
    <t>Science Lab – Room 215</t>
  </si>
  <si>
    <t>The auditorium is accessible and is located on the first floor. Stage access is provided via corridor. Accessible seating is provided. The cafeteria is accessible and is located on the ground floor. The gymnasium is accessible and is located on the second floor. Assistive listening systems have not been provided in the public assembly areas.</t>
  </si>
  <si>
    <t>Cafeteria- Ground Floor</t>
  </si>
  <si>
    <t>There are accessible student bathrooms (boys and girls) available on all floors. There are accessible staff bathrooms (male and female) available on the first floor.</t>
  </si>
  <si>
    <t>Boys Bathroom – Rooms G14, 110, 210, and 310</t>
  </si>
  <si>
    <t>Girls Bathroom – Rooms G14, 109, 209, and 309</t>
  </si>
  <si>
    <t>Staff Bathrooms – Rooms 133, and 135</t>
  </si>
  <si>
    <t>2351 First Avenue, Manhattan, NY 10035</t>
  </si>
  <si>
    <t>The nearest accessible subway station is 125th Street (4,5, and 6 trains), 0.7 miles distant; MTA bus service (M15 and M116) is also nearby. There are several accessible entrances to building M045 along East 120th Street, but these do not provide program access as they lead into foyers of staircases.</t>
  </si>
  <si>
    <t>Change in elevation</t>
  </si>
  <si>
    <t>This site does not include an elevator, preventing access to floors other than the basement. The ramped area leading</t>
  </si>
  <si>
    <t>Non-compliant slope</t>
  </si>
  <si>
    <t>This site is not accessible. While the building has several accessible entrances, access is restricted to the cafeteria in the basement, and there is no elevator or lift access to additional floors.</t>
  </si>
  <si>
    <t>Art Room – Rooms 238, and 437</t>
  </si>
  <si>
    <t>Computer Rooms – Rooms 102, and 251</t>
  </si>
  <si>
    <t>Library – Rooms 217, and 434</t>
  </si>
  <si>
    <t>Main Office – Rooms 101, 301 and 401</t>
  </si>
  <si>
    <t>Nurse’s Office – Room 220</t>
  </si>
  <si>
    <t>Science Lab – Rooms 249, and 427</t>
  </si>
  <si>
    <t>The auditorium is not accessible and is located on the first floor. Stage access is not provided. Accessible seating is not provided. The cafeteria is not accessible and is located in the basement. The gymnasium is not accessible and is located on the second floor. The pool is not accessible and is located in the basement. Assistive listening systems have not been provided in the public assembly spaces.</t>
  </si>
  <si>
    <t>Cafeteria - Basement – Students and Staff</t>
  </si>
  <si>
    <t>Not on accessible route</t>
  </si>
  <si>
    <t>Fire Alarm System has been updated and includes strobe light feature. Fire holding rooms have not been designated.</t>
  </si>
  <si>
    <t>This site does not include central air. Air conditioning units have been provided in classrooms</t>
  </si>
  <si>
    <t>223 East 23 Street, Manhattan, NY 10010</t>
  </si>
  <si>
    <t>The nearest accessible subway station is 23rd Street Station (4 and 6 trains), 0.3 miles distant. MTA bus service (M15 and M23-SBS) is also nearby. The accessible entrance to M047 is not the same as the main entrance; the accessible entrance is located on East 23rd Street (Exit 4). The accessible entrance does not include a doorbell or security cameras; visitors may need to contact site in advance to gain access to this facility through the accessible entrance. </t>
  </si>
  <si>
    <t>Ramp slope may present difficulty for some. </t>
  </si>
  <si>
    <t>Some wall-mounted objects may protrude into the corridors more than 4 inches, which may present difficulties for some. Braille signs are not included throughout the building. </t>
  </si>
  <si>
    <t>One passenger elevator provides access to all floors. Elevator includes audible signals on each floor.  </t>
  </si>
  <si>
    <t>Doors: 52 inches, Cab: 61 inches wide, 71 inches deep. </t>
  </si>
  <si>
    <t>This site is moderately accessible; all classrooms are accessible and are located on accessible routes. </t>
  </si>
  <si>
    <t>Rooms 116A and 306</t>
  </si>
  <si>
    <t>Rooms 418 and 420</t>
  </si>
  <si>
    <t>Rooms 212, 214, 413, and 417</t>
  </si>
  <si>
    <t>Rooms B8 (02M347), 236 (75M721), and 409 (02M047)</t>
  </si>
  <si>
    <t>Rooms 118 and 250</t>
  </si>
  <si>
    <t>Rooms 312 and 314</t>
  </si>
  <si>
    <t>The auditorium is accessible and is located on the first floor. Stage access is provided via lift. Accessible seating is provided. The cafeteria is accessible and is located in the basement. The gymnasium is accessible and is located on the fifth floor. Assistive listening systems have been provided in the auditorium. </t>
  </si>
  <si>
    <t>Stage access is provided via lift. Accessible seating is provided. Assistive listening systems have been provided.  </t>
  </si>
  <si>
    <t>There are accessible student bathrooms (boys and girls) available on the first floor. There are accessible single-user (unisex) bathrooms (for student and staff use) available on the third and fourth floors. </t>
  </si>
  <si>
    <t>Rooms 131, 247, 351, 452, and 554</t>
  </si>
  <si>
    <t>Rooms 115, 227, 350, 450, and 553</t>
  </si>
  <si>
    <t>Rooms 400 and 500</t>
  </si>
  <si>
    <t>This site does not include exterior recreational spaces.  </t>
  </si>
  <si>
    <t>Fire alarm system has been upgraded and includes a strobe light feature. Holding rooms have been specifically designated; Rooms 502, 402, 302, and 202.  </t>
  </si>
  <si>
    <t>The site does not include central air. Air-conditioning units provided in classrooms. </t>
  </si>
  <si>
    <t>4360-78 Broadway, Manhattan, NY 10033</t>
  </si>
  <si>
    <t>The nearest accessible subway station is 175th Street Station (A train), 0.48 miles distant. MTA bus service (Bx7 and M100) is also nearby. The main entrance is accessible, located on Broadway (Exit 3). The accessible entrance includes a doorbell and reception. The accessible entrance does not include security cameras. The doorbell is not within reach range (height 68 inches).</t>
  </si>
  <si>
    <t>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included throughout the building.</t>
  </si>
  <si>
    <t>E1 Doors: 39 inches, Cab: 80 inches wide, 62 inches deep. E2 Doors: 37 inches, Cabs: 64 inches wide, 78 inches deep.</t>
  </si>
  <si>
    <t>This site occupies the first, second, third, and fifth floors of the building. This site is highly accessible; all classrooms are accessible, and are located along accessible routes.</t>
  </si>
  <si>
    <t>Art Rooms – Room 306</t>
  </si>
  <si>
    <t>Computer Rooms – Room 321</t>
  </si>
  <si>
    <t>Library – Room 314</t>
  </si>
  <si>
    <t>Main Office - Room 113 (P.S. 48), and Room 215 (P138)</t>
  </si>
  <si>
    <t>Nurse’s Office – Room 125</t>
  </si>
  <si>
    <t>The auditorium is accessible and is located on the first floor. Stage access is provided via corridor. Accessible seating is provided. The cafeteria is accessible and is located on the second floor. The gymnasium is accessible and is located on the second floor. Assistive listening systems have not been provided in the public assembly spaces.</t>
  </si>
  <si>
    <t>Cafeteria - Second Floor</t>
  </si>
  <si>
    <t>There are accessible student bathrooms (boys and girls) available on all floors. There are accessible staff bathrooms (male and female) available on the first floor. There are accessible single-user (unisex) bathrooms (for student and staff use) available on all floors.</t>
  </si>
  <si>
    <t>Boys Bathrooms – Rooms 108, 217, 316, and 508</t>
  </si>
  <si>
    <t>Girls Bathrooms – Rooms 110, 213, 318, and 506</t>
  </si>
  <si>
    <t>Staff Bathrooms – Rooms 116 and 118</t>
  </si>
  <si>
    <t>Single-User (Unisex) Bathrooms – Rooms 207, 209, 307, 309, 513, and 514</t>
  </si>
  <si>
    <t>Fire alarm system has been upgraded and includes a strobe light feature. Holding rooms have been specifically designated as room 510.</t>
  </si>
  <si>
    <t>433 East 100 Street, Manhattan, NY 10029</t>
  </si>
  <si>
    <t>The nearest accessible subway station is 96th Street Subway Station (Q and R trains), 0.5 miles distant. MTA bus service (M15 and M96) is also nearby. The accessible entrance to M050 is not the same as the main entrance; the accessible entrance is located on FDR Drive (Exit 5). The accessible entrance includes a doorbell. The accessible entrance does not include security cameras. The doorbell is not within reach range (height 68 inches). </t>
  </si>
  <si>
    <t>Some water fountains and other wall-mounted objects protrude into the corridors more than 4 inches, which may present difficulties for individuals with visual disabilities. Braille signs are not included throughout the building. </t>
  </si>
  <si>
    <t>Changes in elevation on the ground floor prevent access to some program areas. </t>
  </si>
  <si>
    <t>One passenger elevator provides access to all floors. Elevator includes audible signals on each floor.  </t>
  </si>
  <si>
    <t xml:space="preserve">Doors: 41 Inches, Cab: 47 Inches wide, 77 Inches deep. </t>
  </si>
  <si>
    <t>This site offers limited accessibility; all classrooms are accessible and located on accessible routes. </t>
  </si>
  <si>
    <t>Room G13</t>
  </si>
  <si>
    <t>Rooms 103 (04M964), G38 (84M382), and 205 (84M337) </t>
  </si>
  <si>
    <t>Nurse’s Office- Room 134 </t>
  </si>
  <si>
    <t>Room 301J</t>
  </si>
  <si>
    <t>This site does not include an auditorium. The cafeteria is accessible and is located on the first floor. The gymnasium is not accessible and is located on the ground floor. The multi-purpose room is accessible and is located on the first floor. Assistive listening systems have not been provided in the public assembly areas. </t>
  </si>
  <si>
    <t>Change of elevation (4 Steps) prevents access. </t>
  </si>
  <si>
    <t>This site is prevented from attaining a higher accessibility rating due to lack of accessible bathrooms throughout the building. </t>
  </si>
  <si>
    <t>103 West 107 Street, Manhattan, NY 10025</t>
  </si>
  <si>
    <t>The nearest accessible subway station is the 96th Street Station (1, 2, and 3 train), 0.8 miles distant. MTA bus service (M11, M7, and M116) is also nearby. The accessible entrance of M054 is not the same as the main entrance; the accessible entrance is located on 107th street (Exit 7). The accessible entrance includes security cameras. The accessible entrance does not include a doorbell. Visitors may need to contact site prior to visit in order to gain access through the accessible entrance.</t>
  </si>
  <si>
    <t>There are changes of elevation on the first floor prevent access to public assembly spaces (3 steps)</t>
  </si>
  <si>
    <t>This has limited accessibility. Some first-floor classrooms are located on an accessible route.</t>
  </si>
  <si>
    <t>Art Rooms – Rooms 201 and 202</t>
  </si>
  <si>
    <t>Classrooms – Second and Thirds Floors</t>
  </si>
  <si>
    <t>Computer Rooms – Rooms 209 and 301</t>
  </si>
  <si>
    <t>Library – Room 333/338</t>
  </si>
  <si>
    <t>Main Office – First Floor</t>
  </si>
  <si>
    <t>Nurse’s Office – First Floor</t>
  </si>
  <si>
    <t>Science Lab – Room 344</t>
  </si>
  <si>
    <t>The auditorium is not accessible and is located on the first floor. Stage access is not provided. Accessible seating is provided. The cafeteria is not accessible and is located in the basement. The gymnasium is not accessible and is located on the first floor. Assistive listening systems have not been provided in the public assembly spaces.</t>
  </si>
  <si>
    <t>Not on an accessible route. Stage access is not provided. Accessible seating is provided.</t>
  </si>
  <si>
    <t>220 Henry Street, Manhattan, NY 10002</t>
  </si>
  <si>
    <t>The nearest accessible subway station is Brooklyn Bridge - City Hall / Chambers Street Station (J, Z, 4, 5, and 6 trains), 1.3 miles distant. MTA bus service (M9, M14A, and M22) is also nearby. The accessible entrance to M056 is not the same as the main entrance. The accessible entrance is located on Montgomery Street (Exit 2), and is the primary entrance for the Center for Space Science Education. The accessible entrance includes a doorbell and intercom. The doorbell is within reach range (height 49 inches). The accessible entrance does not include reception or security cameras.</t>
  </si>
  <si>
    <t>This site does not include an elevator, restricting access to floors other than the first floor.</t>
  </si>
  <si>
    <t>Classrooms – Second through Fourth Floors</t>
  </si>
  <si>
    <t>Computer Rooms – Rooms 104 and 106</t>
  </si>
  <si>
    <t>Library – Room 237</t>
  </si>
  <si>
    <t>Main Office – Room 124</t>
  </si>
  <si>
    <t>Main Office - Rooms 224, 319, and 432</t>
  </si>
  <si>
    <t>Nurse’s Office – Room 144B</t>
  </si>
  <si>
    <t>Clear path at doorway is not provided.</t>
  </si>
  <si>
    <t>Science Lab – Rooms 200, 202, 204, 205, 206, and 216.</t>
  </si>
  <si>
    <t>The auditorium is accessible and is located on the first floor. Stage access is not provided. Accessible seating is not provided. The cafeteria is not accessible and is located on the second floor. The gymnasium is accessible and is located on the first floor. Assistive listening systems have not been provided in the public assembly spaces.</t>
  </si>
  <si>
    <t>Girls Bathrooms – Second, Third, and</t>
  </si>
  <si>
    <t>Fire alarm system includes a strobe light feature. Holding rooms have not been specifically dedicated.</t>
  </si>
  <si>
    <t>317 West  52Nd Street, Manhattan, NY 10019</t>
  </si>
  <si>
    <t xml:space="preserve">The nearest accessible subway station is the 57th Street Station (N, Q, R, and W trains), 0.4 miles distant. MTA bus service (M104, M20, and M7) is also nearby. The accessible entrance to M058 is not the same as the main entrance; the accessible entrance is located on 53rd Street. The accessible entrance does not include a doorbell; visitors may need to contact the site prior to gain access to facility through accessible entrance. </t>
  </si>
  <si>
    <t xml:space="preserve">The accessible entrance leads into the cafeteria. </t>
  </si>
  <si>
    <t xml:space="preserve">There are several changes in elevation preventing access on the first floor. Braille signs are not included throughout the building.  </t>
  </si>
  <si>
    <t xml:space="preserve">Changes in elevation on the first floor prevent access. </t>
  </si>
  <si>
    <t xml:space="preserve">The auditorium is accessible and is located on the first floor. Stage access is not provided. Accessible seating is not provided. The cafeteria is accessible and is located on the first floor. The gymnasium is not accessible and is located in the basement. Assistive listening systems have not been provided in the public assembly spaces. </t>
  </si>
  <si>
    <t xml:space="preserve">Accessible seating available upon request.  </t>
  </si>
  <si>
    <t>420 East 12 Street, Manhattan, NY 10009</t>
  </si>
  <si>
    <t>The nearest accessible subway station is the West 4th Street – Washington Square Station (A, B, C, D, E, and F trains), 0.95 miles distant. MTA bus service (M8, M14A-SBS, and M15) is also nearby. The accessible entrance to M060 is not the same as the main entrance; the accessible entrance is located on East 12th Street (Exit 6).  The accessible entrance includes a lift. The accessible entrance does not include a doorbell, reception, or security cameras; visitors should contact the site prior to arrival.</t>
  </si>
  <si>
    <t xml:space="preserve">Some door saddles are high, which may be difficult for some users to navigate. 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</si>
  <si>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Non-Compliant Door Hardware and Con-compliant door saddles throughout.</t>
  </si>
  <si>
    <t>Portable stage lift in auditorium</t>
  </si>
  <si>
    <t xml:space="preserve">E1
Doors: 37 inches
</t>
  </si>
  <si>
    <t>Rooms 317 and 406</t>
  </si>
  <si>
    <t>Rooms 115, 300, and 401</t>
  </si>
  <si>
    <t>Rooms 153 and 302</t>
  </si>
  <si>
    <t>Rooms 103 and 217</t>
  </si>
  <si>
    <t>Rooms 116 and 153</t>
  </si>
  <si>
    <t>Clear path at entry not provided</t>
  </si>
  <si>
    <t>The auditorium is accessible and is located in the basement. Stage access is provided via lift. Accessible seating is provided. The cafeteria is accessible and is located on the first floor. The gymnasiums are accessible and are located on the fifth floor. The multi-purpose room is accessible and is located in the basement. Assistive listening systems have been provided in the cafeteria, one of the gymnasiums, and in the multi-purpose room.</t>
  </si>
  <si>
    <t>East Side Community School – Fifth Floor</t>
  </si>
  <si>
    <t>Girls Prep - Fifth Floor</t>
  </si>
  <si>
    <t>Rooms Next To Auditorium, 301D, Next To 315, and Next To 515</t>
  </si>
  <si>
    <t>Interior partitions and door saddles prevent access. Room 301D is the designated gender-neutral restroom.</t>
  </si>
  <si>
    <t>Rooms Next To Auditorium, 103B, 103C, Next to Room 115, 201D, Second Floor Next To Staircase H, 301D, 301E, 401D, 401E, 501D, and 501E</t>
  </si>
  <si>
    <t>Interior partitions and door saddles prevent access.  Room 301D is the designated gender-neutral restroom.</t>
  </si>
  <si>
    <t>Room 301E</t>
  </si>
  <si>
    <t>First Floor Next To Stair C, Inside Cafeteria, and Room 501C</t>
  </si>
  <si>
    <t>Not on accessible route. Room dimensions prevent access.</t>
  </si>
  <si>
    <t xml:space="preserve">This site does not include central air; Air-conditioning units have been provided in classrooms. </t>
  </si>
  <si>
    <t>610 East  12 Street, Manhattan, NY 10009</t>
  </si>
  <si>
    <t xml:space="preserve">The nearest accessible subway station is the 14 Street-Union Square Station (L, N, Q, R, and W trains), 0.08 miles distant. MTA bus service (M8, M9, and M14D-SBS) is also nearby. The main entrance is not accessible due to changes in elevation and it is located on East 12th Street (Exit 1). The main entrance includes a doorbell and a security camera. The building includes another accessible entrance in the play yard, via an exterior ramp that leads into the cafeteria. This entrance does not provide a level landing at entry and includes a degrading change in elevation higher than 4 inches. </t>
  </si>
  <si>
    <t xml:space="preserve">Changes in elevation (4 steps) prevent access. </t>
  </si>
  <si>
    <t xml:space="preserve">Door hardware throughout the building is not accessible and requires remediation. Some water fountains and other wall-mounted objects protrude in the corridors more than 4 inches, which may present difficulties for individuals with visual disabilities. Braille signs are not included throughout the building.  </t>
  </si>
  <si>
    <t xml:space="preserve">This site is not accessible. All classrooms are not accessible due to lack of elevator in the building.  </t>
  </si>
  <si>
    <t>Rooms 305 and 413</t>
  </si>
  <si>
    <t>Room 209 (01M315), Room 409 (01M361), and Room 509 (75M094)</t>
  </si>
  <si>
    <t xml:space="preserve">Rooms 213 and 551 </t>
  </si>
  <si>
    <t xml:space="preserve">The auditorium is not accessible and is located on the first floor. Stage access is provided via lift. Accessible seating is provided. The cafeteria is not accessible and is located on the first floor. This site does not include a gymnasium; the multi-purpose room fulfills this function. The multi-purpose is not accessible and is located on the first floor. Assistive listening systems have not been provided in the public assembly spaces. </t>
  </si>
  <si>
    <t xml:space="preserve">Not on an accessible route. Changes in elevation (2 steps) prevent access. Stage access is provided via lift. Accessible seating is provided. </t>
  </si>
  <si>
    <t xml:space="preserve">This building is also prevented from attaining a higher accessibility rating due to lack of accessible bathrooms throughout the building.  </t>
  </si>
  <si>
    <t>Rooms 104, 214, 314, 414, and 514</t>
  </si>
  <si>
    <t xml:space="preserve">Clear opening less than 32 inches. Interior partitions do not provide clear floor space. </t>
  </si>
  <si>
    <t>Rooms 122, 266, 365, 462, and 562</t>
  </si>
  <si>
    <t>Rooms 253, 265, 351, 364, 451, 461, and 561</t>
  </si>
  <si>
    <t>Rooms 201, 203, 207, and 208</t>
  </si>
  <si>
    <t xml:space="preserve">Located inside corresponding classrooms.  Clear opening less than 32 inches. Interior partitions do not provide clear floor space. </t>
  </si>
  <si>
    <t>121 East  3 Street, Manhattan, NY 10009</t>
  </si>
  <si>
    <t>The nearest accessible subway station is Bleeker Street – Broadway-Lafayette Street Station (4, 6, B, D, F, and M trains trains), 0.45 miles distant. MTA bus service (M14A-SBS, M15 and M21) is also nearby. The main entrance is accessible, located on Third Street (Exit 1) and accessed via an elevated courtyard. The accessible entrance includes a ramp, a doorbell, reception, and security cameras.</t>
  </si>
  <si>
    <t>Minor concrete degradation at street level, bottom part of railings lack horizontal extensions.</t>
  </si>
  <si>
    <t>This site does not include an elevator, preventing access to floors other than the XX floor.</t>
  </si>
  <si>
    <t>Remediates change in elevation to the PTA room on the first floor.</t>
  </si>
  <si>
    <t>Main Office – Rooms 221 and 305</t>
  </si>
  <si>
    <t>Room 211 (P.S. 63) Room 305 (P.S. 363)</t>
  </si>
  <si>
    <t>Nurse’s Office – Room 212B</t>
  </si>
  <si>
    <t>The auditorium is not accessible and is located in the basement. Stage access is not provided. Accessible seating is not provided. The cafeteria is accessible and is located on the first floor. The gymnasium is not accessible and is located on the fourth floor. The multi-purpose room is accessible and is located on the first floor. Assistive listening systems have been provided in the auditorium, cafeteria, and gymnasium.</t>
  </si>
  <si>
    <t>Not on accessible route. Stage access is not provided. Accessible seating is not provided. Assistive listening systems have been provided.</t>
  </si>
  <si>
    <t>Boys Bathrooms – Basement, First, and Second Floors</t>
  </si>
  <si>
    <t>Girls Bathrooms – Fourth Floor</t>
  </si>
  <si>
    <t>Girls Bathrooms – Basement and First Floors</t>
  </si>
  <si>
    <t>Room dimensions prevent access.</t>
  </si>
  <si>
    <t>Single-User (Unisex) Bathrooms in Classrooms</t>
  </si>
  <si>
    <t>Multi-User (Unisex) Bathrooms – Second Floor</t>
  </si>
  <si>
    <t>Second-floor multi-user student bathroom is the designated gender-neutral bathroom in this building.</t>
  </si>
  <si>
    <t>600 East  6 Street, Manhattan, NY 10009</t>
  </si>
  <si>
    <t>The nearest accessible subway station is the First Avenue Station (L train), 0.51 miles distant. MTA bus service (M9 and M14A-SBS) is also nearby. The accessible entrance is not the same as the main entrance; the accessible entrance is located on Avenue B (Exit 9). The accessible entrance includes a ramp. The accessible entrance does not include a doorbell, reception, or security cameras. Visitors may need to contact site in advance to gain access to this facility through the accessible entrance.</t>
  </si>
  <si>
    <t>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t>
  </si>
  <si>
    <t>Remediates a change of elevation from exit 9 to the basement. Slope is steep and may pose difficulties for some.</t>
  </si>
  <si>
    <t>Art Rooms – Rooms B4 and B69</t>
  </si>
  <si>
    <t>Art Rooms – Rooms 309, and 357</t>
  </si>
  <si>
    <t>Main Office – Rooms 120, 140, and 318</t>
  </si>
  <si>
    <t>Nurse’s Office – Room 128</t>
  </si>
  <si>
    <t>Science Lab – Room 320</t>
  </si>
  <si>
    <t>The auditorium is not accessible and is located on the first floor. Stage access is not provided. Accessible seating is provided. The cafeteria is accessible and is located in the basement. The gymnasium is accessible and is located in the basement. The multi-purpose rooms are accessible and are located in the basement. Assistive listening systems have been provided in the auditorium, cafeteria, gymnasium, and in the secondary multi-purpose room.</t>
  </si>
  <si>
    <t>Multi-Purpose Room – Dance Room B43 and Dance Room B69</t>
  </si>
  <si>
    <t>This site is prevented from attaining a higher accessibility rating due to lack of accessible bathrooms throughout the building. There are accessible student bathrooms (boys) available on the first floor.</t>
  </si>
  <si>
    <t>Boys Bathrooms – First Floor Lobby, First Floor Corridor</t>
  </si>
  <si>
    <t>Boys Bathrooms – B31, B43-1, Second and Third Floors</t>
  </si>
  <si>
    <t>Girls Bathrooms – Rooms B15, First Through Third Floors</t>
  </si>
  <si>
    <t>Staff Bathrooms – Basement, Rooms M157, 158, and Second Through Third Floors</t>
  </si>
  <si>
    <t>This site includes exterior recreational spaces. The exterior play yard is accessible. The rooftop garden is not accessible. The recreational equipment is not accessible.</t>
  </si>
  <si>
    <t>Fire alarm system has been upgraded and includes a strobe light feature. Holding rooms have been specifically designated as room 224.</t>
  </si>
  <si>
    <t>https://nycdoe.sharepoint.com/:w:/s/BAP/EfBE57hzyJ5ElCcW4f4SHCEBhQsfwv698uofS81hSkTBoA</t>
  </si>
  <si>
    <t>421 East  88 Street, Manhattan, NY 10128</t>
  </si>
  <si>
    <t xml:space="preserve">The nearest accessible subway station is the 86th Street Station (N, Q, and R trains), 0.3 miles distant. MTA bus service (M15, M31, and M86-SBS) is also nearby. The accessible entrance to building M066 is not the same as the main entrance; the accessible entrance is located on East 88th Street (Exit 3), adjacent to the main entrance. The accessible entrance includes a ramp. The accessible entrance does not include a doorbell or security cameras. Visitors may need to contact site in advance to gain access to this facility through the accessible entrance. </t>
  </si>
  <si>
    <t xml:space="preserve">Slightly steep and may prove difficult for some. </t>
  </si>
  <si>
    <t xml:space="preserve">This site does not include an elevator, preventing access to floors other than the first floor. </t>
  </si>
  <si>
    <t xml:space="preserve">This site offers limited accessibility; all classrooms are not accessible and are not located along accessible routes. </t>
  </si>
  <si>
    <t>Room 407</t>
  </si>
  <si>
    <t>Rooms 207 and 208</t>
  </si>
  <si>
    <t>Room 300A</t>
  </si>
  <si>
    <t>This site does not include an auditorium; the cafeteria fulfills this function. The cafeteria is accessible and is located on the first floor. Stage access is provided via lift. Accessible seating is provided. This site does not include a gymnasium; the multi-purpose room fulfills this function. The multi-purpose room is not accessible and is located on the third floor. Assistive listening systems have not been provided in the public assembly spaces.</t>
  </si>
  <si>
    <t>Stage access is provided via lift. Accessible seating available upon request.</t>
  </si>
  <si>
    <t>Not on an accessible route. A change in elevation (11 steps) prevents access.</t>
  </si>
  <si>
    <t xml:space="preserve">There are accessible student bathrooms (boys and girls) available on the first floor. This building is prevented from attaining a higher accessibility rating due to lack of accessible bathrooms throughout the building. </t>
  </si>
  <si>
    <t>333 West  17 Street, Manhattan, NY 10011</t>
  </si>
  <si>
    <t>The nearest accessible subway station at 14th Street (A, C, E, and L trains), 0.1 miles distant. MTA bus service (M11, M12, M14D, and M20) is also nearby. The main entrance to building M070 is accessible, located at 333 West 17th Street. The accessible entrance includes a doorbell and reception. The doorbell is within reach range (height 40 inches).</t>
  </si>
  <si>
    <t>Some water fountains and other wall-mounted objects protrude in the corridors more than 4 inches, which may present difficulties for individuals with visual disabilities. Braille signage is included throughout the building.</t>
  </si>
  <si>
    <t>One passenger elevator provides access to all floors.</t>
  </si>
  <si>
    <t>Doors: 34.5 inches, Cab: 54.5 inches wide, 85 inches deep.</t>
  </si>
  <si>
    <t>This site is highly accessible; All classrooms and educational spaces are accessible and are located on accessible routes.</t>
  </si>
  <si>
    <t>Art Rooms – Rooms 107 and 301</t>
  </si>
  <si>
    <t>Computer Rooms – Rooms 231, 306 and 406</t>
  </si>
  <si>
    <t>Main Office – Rooms 222, 324, and 422</t>
  </si>
  <si>
    <t>Room 222- NYC Museum School Room 324- NYC Lab High School Room 422- NYC Lab Middle School</t>
  </si>
  <si>
    <t>Nurse’s Office – Room 111F</t>
  </si>
  <si>
    <t>Science Lab –Rooms 231, 306, and 406</t>
  </si>
  <si>
    <t>The auditorium is accessible and is located on the first floor. Stage access is provided. Accessible seating is provided. The cafeteria is accessible and is located on the first floor. The gymnasium is accessible and is located on the first floor. Assistive listening systems have not been provided in the public assembly areas.</t>
  </si>
  <si>
    <t>Boys and Girls locker rooms are also accessible.</t>
  </si>
  <si>
    <t>There are accessible student bathrooms (girls and boys) available on all floors. There are accessible single-user bathrooms (staff and student use) available on the first floor.</t>
  </si>
  <si>
    <t>Boys Bathroom – Rooms 129, 219, 335 and 436</t>
  </si>
  <si>
    <t>Girls Bathroom – Rooms 123, 221, 336, and 437</t>
  </si>
  <si>
    <t>Staff Bathroom – Second through Fourth Floors</t>
  </si>
  <si>
    <t>Single-User (Unisex) Bathrooms – Rooms 190 and 191</t>
  </si>
  <si>
    <t>Fire alarm system has been upgraded and includes a strobe light feature. Holding rooms or areas of refuge have been specifically designated as rooms 210, 310, and 410.</t>
  </si>
  <si>
    <t>735 West End Avenue, Manhattan, NY 10025</t>
  </si>
  <si>
    <t>The nearest accessible subway station is 96th Street Station (1, 2, and 3 trains) 0.1 miles distant. MTA bus service (M96 and M106) is also nearby. The accessible entrance to M075 is not the same as the main entrance; the accessible entrances is located on West 96th Street (Exit 3). The accessible entrance does not include a doorbell, security cameras, or reception; visitors may need to contact site in advance to gain access to this facility through the accessible entrance.</t>
  </si>
  <si>
    <t xml:space="preserve">This site is moderately accessible; classrooms located on the ground floor are accessible and are located along accessible routes. </t>
  </si>
  <si>
    <t>Rooms 207 and 330</t>
  </si>
  <si>
    <t>First Through Third Floors</t>
  </si>
  <si>
    <t>Room 218</t>
  </si>
  <si>
    <t>Rooms 108 (P.S. 75) ,and 302 (M.S. 250)</t>
  </si>
  <si>
    <t>Room G26</t>
  </si>
  <si>
    <t>The auditorium is accessible and is located on the ground floor. Stage access is not provided. Accessible seating is not provided. The cafeteria is accessible and is located on the ground floor. The gymnasium is not accessible and is located on the second floor. The multi-purpose room is accessible and is located on the ground floor. Assistive listening systems have been provided in the auditorium.</t>
  </si>
  <si>
    <t>Dance Room - Ground Floor</t>
  </si>
  <si>
    <t xml:space="preserve">There are accessible student bathrooms (girls and boys) available on the ground floor. </t>
  </si>
  <si>
    <t>220 West 121 Street, Manhattan, NY 10027</t>
  </si>
  <si>
    <t>The nearest accessible subway station is the 125th Street Station (A, B, C, and D trains), 0.4 miles distant. MTA bus service (M2 and M10) is also nearby. The main entrance is not accessible due to changes in elevation upon entering the school entrance. This site does not include an accessible entrance.</t>
  </si>
  <si>
    <t>Change in elevation (1 step) prevents access.</t>
  </si>
  <si>
    <t>This site occupies multiple floors and does not include an elevator. Lack of elevator prevents access.</t>
  </si>
  <si>
    <t>Rooms 240 and 336</t>
  </si>
  <si>
    <t>Room 140 and 306</t>
  </si>
  <si>
    <t>Room 136B</t>
  </si>
  <si>
    <t>The auditorium is not accessible and is located on the first floor. The cafeteria is not accessible and is located on the first floor. The gymnasium is not accessible and is located on the second floor. Assistive listening systems have not been provided in the public assembly spaces.</t>
  </si>
  <si>
    <t>Not on an accessible route. Change in elevation (9 steps) prevents access.</t>
  </si>
  <si>
    <t>55 East 120 Street, Manhattan, NY 10035</t>
  </si>
  <si>
    <t xml:space="preserve">The nearest accessible subway station is the 125th Street Station (4, 5, and 6 trains), 0.4 miles distant. MTA bus service (M1, M101, and M103) is also nearby. The main entrance of M079 is accessible, located on 120th Street (Exit 7). The accessible entrance includes a doorbell and reception. The doorbell is within reach range (height 48 inches). </t>
  </si>
  <si>
    <t>Some water fountains and other wall-mounted objects protrude in the corridors more than 4 inches, which may present difficulties for individuals with visual disabilities. Braille signs are included throughout the building, although they are degrading.</t>
  </si>
  <si>
    <t xml:space="preserve">At time of visit, custodians were doing summer cleaning and all furniture was in corridors, so it will difficult to get an accurate assessment. </t>
  </si>
  <si>
    <t xml:space="preserve">Interior ramp is located in the auditorium and provides stage access. </t>
  </si>
  <si>
    <t>First through Third Floors</t>
  </si>
  <si>
    <t>Rooms 102 and 112</t>
  </si>
  <si>
    <t>The auditorium is accessible and is located on the first floor. Stage access is provided via interior ramp. Accessible seating is provided. The cafeteria is accessible and is located on the first floor. The gymnasium is accessible and is located on the second floor. Assistive listening systems have not been provided in the public assembly spaces.</t>
  </si>
  <si>
    <t>Stage Access is provided via interior ramp. Accessible seating is provided.</t>
  </si>
  <si>
    <t>Accessible seating available upon request. Assistive listening systems have not been provided.</t>
  </si>
  <si>
    <t xml:space="preserve">There are accessible student bathrooms (boys and girls) available on all floors. There are no accessible staff bathrooms (male and female) available on any floors. There are no accessible single-user (unisex) bathrooms (for student and staff use) available on any floors.  </t>
  </si>
  <si>
    <t>Rooms 129 and 229</t>
  </si>
  <si>
    <t>First floor bathroom does not have stall walls around toilet.</t>
  </si>
  <si>
    <t>Rooms 131, 221 and 321</t>
  </si>
  <si>
    <t>Rooms 143, 145 and 225</t>
  </si>
  <si>
    <t>Rooms 104, 325 and 323; Classrooms 102 and 107</t>
  </si>
  <si>
    <t xml:space="preserve">Fire alarm system has been upgraded and includes a strobe light feature. Holding rooms have been specifically designated as rooms 212, 238, 312 and 338. </t>
  </si>
  <si>
    <t>219 East 109 Street, Manhattan, NY 10029</t>
  </si>
  <si>
    <t xml:space="preserve">The nearest accessible subway station is the 96th Street Station (Q train), 0.67 miles distant. MTA bus service (M15, M101, M102, and M103) is also nearby. The accessible entrance to M083 is not the same as the main entrance; the accessible entrance is located on 109th Street (Exit 3).  The accessible entrance includes a ramp. The accessible entrance does not include a doorbell, reception, or security cameras. Visitors may need to contact site in advance to gain access to this facility through the accessible entrance. </t>
  </si>
  <si>
    <t xml:space="preserve">Doors: 42 inches, Cab: 59 inches wide, 88 inches deep. </t>
  </si>
  <si>
    <t>Room 325</t>
  </si>
  <si>
    <t>Room 200</t>
  </si>
  <si>
    <t>Rooms 107 and 303</t>
  </si>
  <si>
    <t xml:space="preserve">The auditorium is accessible and is located on the first floor. Stage access is provided via lift. Accessible seating is provided. The cafeteria is accessible and is located on the first floor. The gymnasium is accessible and is located on the second floor. Assistive listening systems have been provided in the auditorium. </t>
  </si>
  <si>
    <t xml:space="preserve">Lift remediates a change in elevation (4 steps). </t>
  </si>
  <si>
    <t>Rooms 114 and 214</t>
  </si>
  <si>
    <t>Rooms 314</t>
  </si>
  <si>
    <t xml:space="preserve">Lacks clear width on path of travel to stall. </t>
  </si>
  <si>
    <t>Rooms 112, 212, and 312</t>
  </si>
  <si>
    <t>Rooms 101A and 101B</t>
  </si>
  <si>
    <t>Room 111A</t>
  </si>
  <si>
    <t xml:space="preserve">Room 111A is located in the nurse’s office. Lack of clear width at doorway. </t>
  </si>
  <si>
    <t xml:space="preserve">Fire alarm system has been upgraded and includes a strobe light feature. Holding rooms have been specifically designated as rooms R100, 205, 225, R305, and R325. </t>
  </si>
  <si>
    <t>32 West  92 Street, Manhattan, NY 10025</t>
  </si>
  <si>
    <t>The nearest accessible subway station is the 96th Street Station (1, 2, and 3 trains), 0.4 miles distant. MTA bus service (M7, M10, and M11) is also nearby. The accessible entrance for building M084 is not the same as the main entrance; the accessible entrance is located on West 92 Street (Exit 4). The accessible entrance does not include a doorbell, security cameras, or reception. Visitors may need to contact the site prior in order to gain access through the accessible entrance.</t>
  </si>
  <si>
    <t>This site is moderately accessible; classrooms located on the first floor are accessible and are located along accessible routes.</t>
  </si>
  <si>
    <t>Art Rooms – Room 132</t>
  </si>
  <si>
    <t>Science Lab – Rooms 228 and 328</t>
  </si>
  <si>
    <t>The auditorium is accessible and is located on the first floor. Stage access is not provided. Accessible seating is provided. The cafeteria is accessible and is located on the first floor. The gymnasium is not accessible and is located on the second floor. Assistive listening systems have not been provided in the public assembly spaces.</t>
  </si>
  <si>
    <t>There are accessible student bathrooms (boys and girls) available on the first floor. This building is prevented from attaining a higher accessibility rating due to lack of accessible bathrooms throughout the building.</t>
  </si>
  <si>
    <t>215 West 114 Street, Manhattan, NY 10026</t>
  </si>
  <si>
    <t xml:space="preserve">The nearest accessible subway station is 125 Street Station; (A, B, C, and D trains), 0.60 miles distant. MTA bus service (M3, M10, M60, M100, M101, and Bx15) is also nearby. The main entrance to M088 is accessible, located on 114th Street (Exits 1 and 2). The accessible entrance includes ramps, cameras, and a doorbell. The doorbell is not with reach range (61 inches). </t>
  </si>
  <si>
    <t>Doors: 41 Inches, Cabs: 78 Inches wide, 53 Inches deep.</t>
  </si>
  <si>
    <t xml:space="preserve"> Rooms C01, 400, and 401B </t>
  </si>
  <si>
    <t>Rooms 201 and 309A</t>
  </si>
  <si>
    <t>Rooms 106A (I.S. 88), 401, and 510.</t>
  </si>
  <si>
    <t>Room 116C</t>
  </si>
  <si>
    <t>Rooms 208, 308, and 407</t>
  </si>
  <si>
    <t xml:space="preserve">The auditorium located on the first floor is accessible. The auditorium provides accessible seating and stage access via lift. The cafeteria located in the basement and is accessible. The gymnasium is located on the first and second floor is accessible. Assistive listening systems have been provided in the auditorium and cafeteria. </t>
  </si>
  <si>
    <t xml:space="preserve">Accessible seating is provided. Stage access is provided via lift. Assistive listening systems have been provided. </t>
  </si>
  <si>
    <t xml:space="preserve">Food service path is not accessible. Accessible seating available upon request. Assistive listening systems have been provided. </t>
  </si>
  <si>
    <t xml:space="preserve">There are accessible student bathrooms (girls and boys) available on the first floor. There are accessible single-user (unisex) bathrooms (for students and staff use) available on the first through fifth floors. </t>
  </si>
  <si>
    <t>Cafeteria and Room 155</t>
  </si>
  <si>
    <t>Cafeteria and Room 155A</t>
  </si>
  <si>
    <t>First Through Fifth Floors</t>
  </si>
  <si>
    <t>Aveilable to stodents and staff</t>
  </si>
  <si>
    <t>Single-User (Unisex) bathroom. Available to students and staff</t>
  </si>
  <si>
    <t xml:space="preserve">Fire alarm system has been upgraded and includes a strobe light feature. Holding rooms have been specifically designated as rooms 500, 400A, and 301. </t>
  </si>
  <si>
    <t>201 Warren Street, Manhattan, NY 10282</t>
  </si>
  <si>
    <t xml:space="preserve">The nearest accessible subway station is the Chambers Street Station (1, 2, and 3 trains), 0.25 miles distant. MTA bus service (M20, and M22) is also nearby. The main entrance of building M089 is accessible, located on Warren Street (Warren Street Exit). The accessible entrance includes security cameras and reception. The accessible entrance does not include a doorbell; visitors should contact the site prior to arrival. </t>
  </si>
  <si>
    <t xml:space="preserve">Two passenger elevators provide service to all floors. Elevators include audible signals on each floor.  </t>
  </si>
  <si>
    <t xml:space="preserve">Doors: 41 inches, Cabs: 81 inches wide, 54 inches deep. </t>
  </si>
  <si>
    <t>Rooms 134 and 306</t>
  </si>
  <si>
    <t>Room 517</t>
  </si>
  <si>
    <t>Rooms 208 and 515</t>
  </si>
  <si>
    <t>Rooms 401 and 501</t>
  </si>
  <si>
    <t xml:space="preserve">The auditorium is accessible and is located on the second floor. Accessible seating is provided. Stage access is provided via corridor. The cafeteria is accessible and is located on the first floor. The gymnasium is accessible and is located on the third floor. Assistive listening systems have been provided in the auditorium. </t>
  </si>
  <si>
    <t xml:space="preserve">Accessible seating is provided. Stage access is provided via corridor. Assistive listening systems have been provided.  </t>
  </si>
  <si>
    <t xml:space="preserve">There are accessible student bathrooms (boys and girls) available on all floors. There are accessible single-user (unisex) bathrooms (for student and staff use) available on all floors  </t>
  </si>
  <si>
    <t>Rooms 115B, 207, 307, 407, and 507</t>
  </si>
  <si>
    <t>Rooms 115C, 211, 311, 411, and 511</t>
  </si>
  <si>
    <t>Rooms 135, 137, 209, 309, 409, and 509</t>
  </si>
  <si>
    <t xml:space="preserve">Available for students and staff. </t>
  </si>
  <si>
    <t xml:space="preserve">Fire alarm system has been upgraded and includes a strobe light feature. Holding rooms have been specifically designated as rooms 226, 326, 426, and 526. </t>
  </si>
  <si>
    <t xml:space="preserve">The site includes central air. </t>
  </si>
  <si>
    <t>21 Jumel Place, Manhattan, NY 10032</t>
  </si>
  <si>
    <t>The nearest accessible subway station is the 168 Street Station (A and C trains), 0.36 miles distant. MTA bus service (M101) is also nearby. The main entrance of M090 is accessible, located on Jumel Place (Exit 1). The accessible entrance includes a doorbell, automatic doors, and reception. The doorbell is not within reach range (Height 67 inches). The accessible entrance does not include security cameras.</t>
  </si>
  <si>
    <t xml:space="preserve">Some door saddles are high, which may be difficult for some users. Braille signs are included in the cafeteria, and gymnasium, but are lacking throughout the rest of the building. </t>
  </si>
  <si>
    <t>E1 and E2; Doors: 42 Inches, Cabs: 80 Inches wide, 63 Inches deep.</t>
  </si>
  <si>
    <t>Room C307</t>
  </si>
  <si>
    <t>Rooms A220, B212, and C212</t>
  </si>
  <si>
    <t>Room A225</t>
  </si>
  <si>
    <t>Rooms A116A (P 138 @ I.S. 90), C202 (M.S. 319), D109 (KIPP: Washington Heights M.S.) and B202 (M324)</t>
  </si>
  <si>
    <t>Rooms 122, A127, and A129</t>
  </si>
  <si>
    <t>Rooms B310, B312, C310, C312, D310, and D312</t>
  </si>
  <si>
    <t xml:space="preserve">The auditorium is accessible and is located on the third and fourth floors. The auditorium provides accessible seating, and stage access via lift. The cafeteria is accessible and is located on the first floor. The gymnasium is accessible and is located on the third floor. Assistive listening systems have not been provided in the public assembly spaces. </t>
  </si>
  <si>
    <t>There is an accessible student bathroom (boys and girls) are available on the first, second, and fourth through eighth floors. Accessible staff bathrooms (male and female) are available on the second, and fourth through eighth floors. Accessible single-user (unisex) bathrooms (available for students and staff) are available on the first through third floors.</t>
  </si>
  <si>
    <t xml:space="preserve">Rooms A117, A202, A232, A325D, A332, A402, A432, B108, D101, D201, D301 and D401 </t>
  </si>
  <si>
    <t>Rooms A119, A204, A230, A325C, A330, A404, A430, D105, D205, D305 and D405</t>
  </si>
  <si>
    <t>Rooms 129, A206, A228, A328, A406, A431 and B104</t>
  </si>
  <si>
    <t xml:space="preserve">Available for student and staff use.  </t>
  </si>
  <si>
    <t>Classrooms A127, A131, A132, A220, A229, C103, C106, C107, C110, and C110</t>
  </si>
  <si>
    <t xml:space="preserve">Available for student and staff use. Door saddles are high, which may present difficulties for some users. </t>
  </si>
  <si>
    <t>222 West 134 Street, Manhattan, NY 10030</t>
  </si>
  <si>
    <t>The nearest accessible subway station is at 135th Street Station (2 and 3 trains), 0.2 miles distant; MTA bus service (M2, M7, M102, Bx33) is also nearby. The accessible entrance to building M092 is not the same as the main entrance. The accessible entrance is located on the west side of the building, accessed through the play yard from West 133rd Street. An exterior ramp from the play yard provides access to the gymnasium. The accessible entrance does not include doorbell or security cameras. Visitors should contact the site prior to arrival.</t>
  </si>
  <si>
    <t>One passenger elevator provides service to all floors. Elevator includes audible signals on each floor.</t>
  </si>
  <si>
    <t>Door: 41 inches; Cab: 57 inches deep, 80.5 inches wide</t>
  </si>
  <si>
    <t>Room 202/204</t>
  </si>
  <si>
    <t>Rooms 106, 111, and 315</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</si>
  <si>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areas.</t>
  </si>
  <si>
    <t>Accessible student bathrooms (girls and boys) are available on the first and third floors. There are no accessible staff bathrooms available in the building.</t>
  </si>
  <si>
    <t>Room 116 and Third Floor</t>
  </si>
  <si>
    <t>Room 135 and Third Floor</t>
  </si>
  <si>
    <t xml:space="preserve">Fire alarm system has been updated and includes strobe light feature. Fire holding rooms have been designated as rooms 203 and 303. </t>
  </si>
  <si>
    <t>No HVAC/Central Air. A/C units in classrooms.</t>
  </si>
  <si>
    <t>501-503 West 152 Street, Manhattan, NY 10031</t>
  </si>
  <si>
    <t>The nearest accessible subway station is168th Street Station (A and C trains), 0.79 miles distant. MTA bus service (M100 and M101) is also nearby. The main entrance of M093 is accessible, located on West 152nd Street (Exit 1). The accessible entrance includes a doorbell, security cameras, a lift, and reception. The doorbell is within reach range (height 48 Inches).</t>
  </si>
  <si>
    <t xml:space="preserve">Ramped access from the sidewalk to a side entrance on the first floor. </t>
  </si>
  <si>
    <t>E1 and E2: Doors: 42 Inches, Cabs: 80 Inches wide, 55 Inches deep.</t>
  </si>
  <si>
    <t>Room 422</t>
  </si>
  <si>
    <t>This site does not include an auditorium; the gymnasium fulfills this function. The gymnasium is accessible and is located in the basement. Stage access is provided via lift. Accessible seating is provided. The cafeteria is accessible and is located on the second floor. Assistive listening systems have been provided in the cafeteria and gymnasium.</t>
  </si>
  <si>
    <t xml:space="preserve">There are accessible student bathrooms (boys and girls) available in the basement, and on the second through fifth floors. There are accessible single-user (unisex) bathrooms (for student and staff use) available on all floors. There are accessible multi-user student bathrooms located inside two classrooms on the second floor. </t>
  </si>
  <si>
    <t>Rooms B23, 213B, 317, 417, and 517</t>
  </si>
  <si>
    <t>Rooms B21, 213A, 315, 418, and 515</t>
  </si>
  <si>
    <t>Rooms 103G, 123, 209, 213A, 309, 323A, 409, 422C, 509, and R01</t>
  </si>
  <si>
    <t xml:space="preserve">Available for student and staff use. Room 103G is located inside the main office. Room 213A is located inside the corresponding room. Room 323A is located inside the teachers’ lounge. Room 422C is located inside the nurse’s office. </t>
  </si>
  <si>
    <t>Classrooms 210A and 220A</t>
  </si>
  <si>
    <t xml:space="preserve">Fire alarm system has been upgraded and includes a strobe light feature. Holding rooms have been specifically designated as room 210. </t>
  </si>
  <si>
    <t>525 East Houston Street, Manhattan, NY 10002</t>
  </si>
  <si>
    <t>The nearest accessible subway station is Broadway-Lafayette / Bleecker Street Station (B, D, F, M, and 6 trains), 1.2 miles distant. MTA bus service (M9, M14D, and M21) is also located nearby. The accessible entrance to building M097 is not the same as the main entrance; the accessible entrance is located to the left of the main entrance along Mangin Street (Exit 3). The accessible entrance does not include a doorbell, security cameras, or reception; visitors may need to contact site in advance to gain access to this facility through the accessible entrance.</t>
  </si>
  <si>
    <t>One passenger elevator provides access to access to all floors. Elevator includes audible signals on each floor. Interior ramps provide access throughout the cellar floor.</t>
  </si>
  <si>
    <t>Door: 48 inches; Cab: 63 inches deep, 81 inches wide</t>
  </si>
  <si>
    <t>Interior ramps provide access throughout the cellar</t>
  </si>
  <si>
    <t>Classrooms – Second through Fifth Floors</t>
  </si>
  <si>
    <t>Computer Rooms – Room 404</t>
  </si>
  <si>
    <t>Library – Room 405</t>
  </si>
  <si>
    <t>Nurse’s Office – Room 207A</t>
  </si>
  <si>
    <t>Science Lab – Rooms 301, 305, and 307</t>
  </si>
  <si>
    <t>This site does not include an auditorium; the second-floor multi-purpose room fulfills this function. The second-floor multi-purpose room is accessible. Stage access is provided via lift. Accessible seating is provided. This site does not include a gymnasium; the first-floor multi-purpose room fulfills this function. The first-floor multi-purpose room is accessible. The cafeteria is accessible and is located on the first floor. Assistive listening systems have not been provided in the public assembly spaces.</t>
  </si>
  <si>
    <t>Multi-Purpose Rooms – First Floor (Gymnasium use) and Second Floor (Auditorium use)</t>
  </si>
  <si>
    <t>There are accessible single-user bathrooms (staff and student use) available on all floors.</t>
  </si>
  <si>
    <t>Fire alarm system includes a strobe light feature. Holding rooms have been specifically designated as rooms 209, 313, 413, and 513.</t>
  </si>
  <si>
    <t>512 West 212 Street, Manhattan, NY 10034</t>
  </si>
  <si>
    <t>The nearest accessible subway station is 207 Street Station (A train), 0.1 miles distant. MTA bus service (M100, Bx7, Bx12, Bx20, and BxM1) is also nearby. The main entrance of M098 is accessible, located on West 212th Street (Exit 1). At the accessible entrance there is a ramp and reception. There are no security cameras or doorbell at the accessible entrance.</t>
  </si>
  <si>
    <t>One passenger elevator provides access to all floors. Elevators include audible signals on each floor.</t>
  </si>
  <si>
    <t>Doors: 36 Inches, Cab: 68 Inches wide, 51 Inches deep.</t>
  </si>
  <si>
    <t>Art Rooms – Room 305</t>
  </si>
  <si>
    <t>Computer Rooms – Room 410</t>
  </si>
  <si>
    <t>Library - Room 313</t>
  </si>
  <si>
    <t>Main Office – Room 211</t>
  </si>
  <si>
    <t>Nurse’s Office- Room 353</t>
  </si>
  <si>
    <t>The auditorium is accessible and is located on the second floor. Stage access is provided via corridor. Accessible seating is provided. The cafeteria is accessible and is located on the first floor. The gymnasium is accessible and is located on the first and fifth floors. Assistive listening systems have been provided in the auditorium.</t>
  </si>
  <si>
    <t>Gymnasium – First, and Fifth Floors</t>
  </si>
  <si>
    <t>There are accessible student bathrooms (girls and boys) on all floors. There are accessible staff bathrooms on the second through fifth floors.</t>
  </si>
  <si>
    <t>Staff Bathroom – 2nd through 5th Floors</t>
  </si>
  <si>
    <t>Staff Bathroom – First Floor</t>
  </si>
  <si>
    <t>Fire alarm system has been upgraded and includes a strobe light feature. Holding rooms have been specifically designated; Rooms 207, 307, 407, and 507.</t>
  </si>
  <si>
    <t>141 East 111 Street, Manhattan, NY 10029</t>
  </si>
  <si>
    <t xml:space="preserve">The nearest accessible subway station is 110th Street Station (4, 5, and 6 trains), 0.1 miles distant. MTA bus service (M1) is also nearby. The main entrance to M101 is accessible, located on East 111th Street. The accessible entrance includes a ramp, a doorbell, security cameras, and reception. The doorbell is slightly not within reach range (height 49 Inches). </t>
  </si>
  <si>
    <t>Room labels with braille are provided throughout the building.</t>
  </si>
  <si>
    <t>Door: 48 Inches; Cab: 78 Inches wide, 64 Inches deep</t>
  </si>
  <si>
    <t>This site is highly accessible; all classrooms and public assembly spaces are accessible and located on accessible routes. There are accessible bathrooms for students on the first floor, and accessible single user staff bathrooms on the second through the fifth floors.</t>
  </si>
  <si>
    <t>Rooms 219, 312, 412, and 507</t>
  </si>
  <si>
    <t>Rooms 120B and 407</t>
  </si>
  <si>
    <t>The auditorium is accessible and is located on the first floor. Accessible seating is provided. Stage access is provided via three lifts. The cafeteria is accessible and is located on the first floor. The gymnasium is accessible and is located on the fourth and fifth floors. The multi-purpose rooms are accessible and are located on the first floor. Assistive listening systems have been provided in the auditorium.</t>
  </si>
  <si>
    <t>Accessible seating is provided. Stage access is provided via three stage lifts. Assistive listening systems have been provided.</t>
  </si>
  <si>
    <t>Food servery does not provide clear path. Accessible seating is available on request.</t>
  </si>
  <si>
    <t>First and Fifth Floors</t>
  </si>
  <si>
    <t>First Floor - East, and First Floor - West</t>
  </si>
  <si>
    <t>There are accessible bathrooms for students on the first floor, and accessible single user staff bathrooms on the second through the fifth floors.</t>
  </si>
  <si>
    <t xml:space="preserve">Single-User (Unisex) </t>
  </si>
  <si>
    <t>Fire Alarm System includes a strobe light feature. Holding rooms or areas of refuge have been specifically designated: Room 122, 222, 322, 422, and 522.</t>
  </si>
  <si>
    <t>The school has a HVAC/Climate Control in the building addition, installed in 2012.</t>
  </si>
  <si>
    <t>330 East  21 Street, Manhattan, NY 10010</t>
  </si>
  <si>
    <t>The nearest accessible subway station is the First Avenue Station (L train), 0.10 miles distant. MTA bus service (M09 and M15) is also nearby. This building does not include an accessible entrance. The main entrance is not accessible, located on East 21st Street (Exit 1). The main entrance includes a doorbell and reception. The doorbell is not within reach range (Height 66 inches). The main entrance does not include security cameras.</t>
  </si>
  <si>
    <t>Change in elevation (13 steps) prevents access.</t>
  </si>
  <si>
    <t>This site does not include an elevator, preventing access throughout the building.</t>
  </si>
  <si>
    <t>This site is not accessible; all classrooms are not located along accessible routes.</t>
  </si>
  <si>
    <t>Art Rooms – Rooms 321 and 323</t>
  </si>
  <si>
    <t>Computer Rooms - Room 423</t>
  </si>
  <si>
    <t>Nurse’s Office – Room 103</t>
  </si>
  <si>
    <t>Science Lab – Room 201</t>
  </si>
  <si>
    <t>The auditorium is not accessible and is located on the first floor. Stage access is not provided. Accessible seating is provided. The cafeteria is not accessible and is located on the first floor. The gymnasium is not accessible and is located on the first floor. Assistive listening systems have been provided in the cafeteria.</t>
  </si>
  <si>
    <t>Boys Bathrooms – Rooms 216 and 416</t>
  </si>
  <si>
    <t>Boys Bathrooms – Rooms 105B and 316</t>
  </si>
  <si>
    <t>Girls Bathrooms – Rooms 212 and 412</t>
  </si>
  <si>
    <t>Girls Bathrooms – Rooms 107A and 312</t>
  </si>
  <si>
    <t>Staff Bathrooms – Rooms 134D and 148</t>
  </si>
  <si>
    <t>Single-User (Unisex) Bathrooms – Rooms 103D, 103E, 220A, 320A, and 420A</t>
  </si>
  <si>
    <t>https://nycdoe.sharepoint.com/:w:/s/BAP/EWU_GnWb615Mrgy4fFwZv90BYgDBaVTqwcSfmEa_dcfKmA</t>
  </si>
  <si>
    <t>1680 Lexington Avenue, Manhattan, NY 10029</t>
  </si>
  <si>
    <t>The nearest accessible subway station is 125th Street Station (4, 5, and 6 trains), 1.2 miles distant. MTA bus service (M98, M101, M102, M103, and M106) is also nearby. The accessible entrance to building M107 is not the same as the main entrance; the accessible entrance is in the rear of the building, via a driveway off East 106th Street. The accessible entrance does not include a doorbell, security cameras, or reception; visitors may need to contact site in advance to gain access to this facility through the accessible entrance.</t>
  </si>
  <si>
    <t>This site occupies the third and fourth floors of a commercial building. Braille signs are not provided throughout the building.</t>
  </si>
  <si>
    <t>This site is moderately accessible; most classrooms and educational spaces are accessible, and are located along accessible routes.</t>
  </si>
  <si>
    <t>Room 403A</t>
  </si>
  <si>
    <t>Lack of clear width at entry prevents access.</t>
  </si>
  <si>
    <t>Room 306A</t>
  </si>
  <si>
    <t>Rooms 410, and 413</t>
  </si>
  <si>
    <t>This site does not include an auditorium or gymnasium; the cafeteria fulfills this function. The cafeteria is not accessible and is located on the third floor. Assistive listening systems have not been provided in the public assembly spaces.</t>
  </si>
  <si>
    <t>There are accessible student bathrooms (boys and girls) available on the third floor. There are accessible staff bathrooms available on the fourth floor.</t>
  </si>
  <si>
    <t>Fire Alarm System includes a strobe light feature. There is one fire safety holding room: 403E.</t>
  </si>
  <si>
    <t>440 West  53 Street, Manhattan, NY 10019</t>
  </si>
  <si>
    <t>The nearest accessible subway station is 59th Street – Columbus Circle Station (A, B, C, D, and 1 trains), 0.44 miles distant. MTA bus service (M11 and M50) is also nearby. The accessible entrance to M111 is not the same as the main entrance; the accessible entrance is located on 52nd Street and is accessed via the play yard (Exit 5). The accessible entrance includes a ramp. The accessible entrance does not include a doorbell, reception, or security cameras; visitors may need to contact site in advance to gain access to this facility through the accessible entrance.</t>
  </si>
  <si>
    <t>This site does not include an elevator, preventing access to floors other than the groud floor.</t>
  </si>
  <si>
    <t>Remediates change in elevation from street level to ground floor at exit 5.</t>
  </si>
  <si>
    <t>Classrooms – Ground Floor</t>
  </si>
  <si>
    <t>Computer Rooms – Room 314</t>
  </si>
  <si>
    <t>P.S. 111</t>
  </si>
  <si>
    <t>Main Office – Room 408</t>
  </si>
  <si>
    <t>M933. Not on accessible route.</t>
  </si>
  <si>
    <t>Nurse’s Office – Room 111A</t>
  </si>
  <si>
    <t>The auditorium is not accessible and is located in the basement. Stage access is not provided. Accessible seating is provided. The cafeteria is accessible and is located on the first floor. The gymnasium is not accessible and is located in the basement. Assistive listening systems have not been provided in the public assembly spaces.</t>
  </si>
  <si>
    <t>Boys Bathrooms – Basement, Room 107, Second Through Fourth Floors</t>
  </si>
  <si>
    <t>Girls Bathrooms – Basement, Room 101, Second Through Fourth Floors</t>
  </si>
  <si>
    <t>Single-User (Unisex) Bathrooms – Room 111A</t>
  </si>
  <si>
    <t>Room 111A is located in the nurse’s office. Room dimensions prevent access.</t>
  </si>
  <si>
    <t>240 West 113 Street, Manhattan, NY 10026</t>
  </si>
  <si>
    <t>The nearest accessible subway station is 125th Street (A, B, C, and D trains), 0.7 miles distant; MTA bus service (M7, M10, and M116) is also nearby. The accessible entrance to building M113 is not the same as the main entrance; the accessible entrance is located at the rear of the building, via the courtyard from 113th Street. The accessible entrance includes security cameras. The accessible entrance does not include a doorbell; visitors may need to contact site in advance to gain access to this facility through the accessible entrance.</t>
  </si>
  <si>
    <t xml:space="preserve">Consistent braille signage is not provided in the building. </t>
  </si>
  <si>
    <t>Change in elevation at building addition prevents access.</t>
  </si>
  <si>
    <t>One elevator provides access to all floors. Elevator includes audible signals on all floors.</t>
  </si>
  <si>
    <t>This site is moderately accessible; all classrooms located on the first through the fourth floors of the original building and on the first floor of the addition are accessible and are located along accessible routes.</t>
  </si>
  <si>
    <t xml:space="preserve">First through Fourth Floor
Original Building, First Floor Addition Building
</t>
  </si>
  <si>
    <t xml:space="preserve">Basement Original 
Building, Second and Third 
Floors Addition Building
</t>
  </si>
  <si>
    <t>Rooms 218 (P.S. 241) and 406 (Opportunity Charter) of Original Building</t>
  </si>
  <si>
    <t xml:space="preserve">Room 333 (Success 
Academy Harlem 4) of 
Addition Building
</t>
  </si>
  <si>
    <t>The auditorium is accessible and is located on the first floor. Accessible seating is provided. Stage access is provided. The cafeteria is accessible and is located on the first floor. The gymnasium is not accessible and is located on the third floor. The multi-purpose room is accessible and is located on the first floor. Assistive listening systems have not been provided in public assembly areas.</t>
  </si>
  <si>
    <t>Accessible seating is provided. Stage access is provided.</t>
  </si>
  <si>
    <t xml:space="preserve">There are accessible student bathrooms (boys) available on the third floor of the original building. There are accessible student bathrooms (girls) available on the first and third floors of the original building. </t>
  </si>
  <si>
    <t>Third Floor - Original Building</t>
  </si>
  <si>
    <t xml:space="preserve">Room 121 and Third Floor in 
Original Building
</t>
  </si>
  <si>
    <t>Fire Alarm System has been updated and includes strobe light feature. No fire holding rooms have been specifically designated.</t>
  </si>
  <si>
    <t>331 East 91St Street, Manhattan, NY 10128</t>
  </si>
  <si>
    <t>The nearest accessible subway station is 96th Street Station (Q train), 0.21 miles distant. MTA bus service (M31) is also nearby. The main entrance is accessible, located on 91st Street. The accessible entrance includes a doorbell, security cameras, and a security desk. The doorbell is within reach range (Height 48 Inches).</t>
  </si>
  <si>
    <t>Two passenger elevators provide access to floors one through five. There are no educational spaces on the penthouse level. Elevators include audible signals on each floor.</t>
  </si>
  <si>
    <t>E1 and E2; Doors: 41 inches, Cabs: 78 inches wide, 64 inches deep.</t>
  </si>
  <si>
    <t>This site is highly accessible; all classrooms are accessible and are located along accessible routes</t>
  </si>
  <si>
    <t>Basement Through Fifth Floors</t>
  </si>
  <si>
    <t>Room 502</t>
  </si>
  <si>
    <t>Rooms 109 (MS 114), and 110 (PS 138M)</t>
  </si>
  <si>
    <t>Room B15</t>
  </si>
  <si>
    <t>Rooms 421, and 423</t>
  </si>
  <si>
    <t>This site does not include an auditorium. The cafeteria is accessible and is located in the basement. The gymnasium is accessible and is located on the third floor. Assistive listening systems have not been provided in the public assembly spaces.</t>
  </si>
  <si>
    <t>There are accessible student bathrooms (boys and girls) available on the first through fourth floors. There are accessible staff bathrooms (male and female) available on all floors. There are accessible single-use (unisex) bathrooms (for student and staff use) available on all floors.</t>
  </si>
  <si>
    <t>B20, 120, 220, 320, and 420</t>
  </si>
  <si>
    <t>Rooms B18, 118, 218, 318, and 418</t>
  </si>
  <si>
    <t>Rooms B19, 119, 219, 319, 419, and 519</t>
  </si>
  <si>
    <t>Single-user</t>
  </si>
  <si>
    <t>Room B15A, 518, and 520</t>
  </si>
  <si>
    <t>Room B15A is located in the nurse’s office</t>
  </si>
  <si>
    <t>Fire alarm system has been upgraded and includes a strobe light feature. Holding rooms or areas of refuge have been specifically designated as rooms B06, 223, 323, 423, and 502.</t>
  </si>
  <si>
    <t>210 East  33 Street, Manhattan, NY 10016</t>
  </si>
  <si>
    <t>The nearest accessible subway station is the 23rd Street Station (6 train), 0.7 miles distant. MTA bus service (BxM1, M101, M102, and M103) is also nearby. The main entrance of M116 is not the accessible entrance; the accessible entrance is located on 32nd Street (Exit 5) and is accessed through the exterior play yard. The accessible entrance does not include security cameras or a doorbell. Visitors may need to contact site prior to gain access to the facility through the accessible entrance.</t>
  </si>
  <si>
    <t>Braille signs are not included throughout the building. Changes in elevation on the second floor prevent access to some program areas.</t>
  </si>
  <si>
    <t>Changes in elevation (6 steps) on the second floor prevent access to some program areas.</t>
  </si>
  <si>
    <t>Doors: 35 inches, Cab: 73 inches wide, 48 inches deep.</t>
  </si>
  <si>
    <t>This site offers limited accessibility; most classrooms are accessible and are located along accessible routes.</t>
  </si>
  <si>
    <t>First, Third, Fourth, and Fifth Floors</t>
  </si>
  <si>
    <t>Second Floors</t>
  </si>
  <si>
    <t>Change in elevation (6 steps) prevents access.</t>
  </si>
  <si>
    <t>This site does not include an auditorium; the gymnasium fulfills this function. The gymnasium is accessible and is located in the basement. The cafeteria is accessible and is located in the basement. Assistive listening systems have not been provided in the public assembly spaces.</t>
  </si>
  <si>
    <t>240 East 109 Street, Manhattan, NY 10029</t>
  </si>
  <si>
    <t xml:space="preserve">The nearest accessible Subway Station is 125th Street Station, (4, 5, and 6 trains) 1.0 mile distant; MTA bus service (M15) is also nearby. The accessible entrance to M117 is not the same as the main entrance. The accessible entrance is located on 2nd Avenue (Exit 10). The accessible entrance includes a doorbell and security cameras. The doorbell is within reach range (Height 38 Inches). </t>
  </si>
  <si>
    <t>Doors: 36 inches wide; Cab: 55 inches wide, 68 inches deep</t>
  </si>
  <si>
    <t xml:space="preserve">This site offers limited accessibility; all classrooms are accessible and are located along accessible routes. </t>
  </si>
  <si>
    <t>Rooms W120, and W310</t>
  </si>
  <si>
    <t xml:space="preserve">Rooms W115, and W310  </t>
  </si>
  <si>
    <t>Room W204</t>
  </si>
  <si>
    <t>Room Rooms W108 (Talented and Gifted School for Young Scholars), W306 (Esperanza Preparatory Academy), and EB10 (P138M)</t>
  </si>
  <si>
    <t>Rooms W107, and EB17 (Basement)</t>
  </si>
  <si>
    <t>Room W205, W209, and W315 (Alternate Use)</t>
  </si>
  <si>
    <t>The auditorium is accessible and is located on the first floor. Stage access is provided. Accessible seating is provided. The cafeteria is accessible and is located in the basement. The gymnasium is accessible and is located on the first floor. Assistive listening systems have been provided in the gymnasium.</t>
  </si>
  <si>
    <t>Fire Alarm System includes a strobe light feature. Holding rooms or areas of refuge have not been specifically designated; Rooms W222, W333, and W122.</t>
  </si>
  <si>
    <t>154 West  93 Street, Manhattan, NY 10025</t>
  </si>
  <si>
    <t xml:space="preserve">The nearest accessible subway station is the 96th Street Station (1, 2, and 3 trains), 0.2 miles distant. MTA bus service (M7 and M11) is also nearby. The accessible entrance to M118 is not the same as the main entrance; the accessible entrance is located on 93 Street (Exit 2). The accessible entrance includes a doorbell and security cameras. The doorbell is located within reach range (Height 46 inches). </t>
  </si>
  <si>
    <t xml:space="preserve">Some hallway doors are heavy and without closers, which may be difficult for some users to navigate. Some water fountains and other wall-mounted objects protrude in to the corridors more than 4 inches, which may present difficulties for individuals with visual disabilities. Braille signs are throughout the building.  </t>
  </si>
  <si>
    <t xml:space="preserve">Four passenger elevator provides access to all floors. Elevators include audible signals on each floor.  </t>
  </si>
  <si>
    <t xml:space="preserve">E1, E2, E3, and E4 
Doors: 41 inches, Cabs: 84 inches wide, 96 inches deep. </t>
  </si>
  <si>
    <t>Rooms 503 and 703</t>
  </si>
  <si>
    <t>Rooms 114 (03M258), 516 (03M333), and 716 (03M258)</t>
  </si>
  <si>
    <t>Room 519</t>
  </si>
  <si>
    <t xml:space="preserve">The auditorium is accessible and is located on the first floor. Stage access is provided via lift. Accessible seating is provided. The cafeteria is accessible and is located in the basement. The gymnasium is accessible and is located in the basement. Assistive listening systems have not been provided in the public assembly spaces. </t>
  </si>
  <si>
    <t xml:space="preserve">There are accessible student bathrooms (boys and girls) available in the basement, and on the first through seventh floors. There are accessible single-user (unisex) bathrooms (for student and staff use) available on the first through seventh floors.  </t>
  </si>
  <si>
    <t>Rooms B14, 107, 207, 307, 407, 507, 607, and 707</t>
  </si>
  <si>
    <t>Rooms B12, 111, 211, 311, 411, 511, 611, and 711</t>
  </si>
  <si>
    <t>First Through Seventh Floors</t>
  </si>
  <si>
    <t>Basement and Eighth Floor</t>
  </si>
  <si>
    <t xml:space="preserve">Fire alarm system has been upgraded and includes a strobe light feature. Holding rooms have been specifically designated as rooms B17, 200, 300, 400, 500, 606, 700, and 800. </t>
  </si>
  <si>
    <t>301 West 140 Street, Manhattan, NY 10030</t>
  </si>
  <si>
    <t xml:space="preserve">The nearest accessible subway station is the 135th Street Station (2 and 3 trains), 0.6 miles distant. MTA bus service (M3 and M10) is also nearby. The main entrance is not accessible due a change in elevation, located on 140th Street (Exit 1). The main entrance includes a doorbell, security cameras, and reception. The doorbell is not within reach range (height 58 inches). This site does not include an accessible entrance. </t>
  </si>
  <si>
    <t xml:space="preserve">Change in elevation (1 step) prevents access. </t>
  </si>
  <si>
    <t>Rooms 221 and 224</t>
  </si>
  <si>
    <t>Room 101 (05M123) and Room 303 (84M482)</t>
  </si>
  <si>
    <t>Room 100</t>
  </si>
  <si>
    <t xml:space="preserve">The auditorium is not accessible and is located on the first floor. Stage access is not provided. Accessible seating is provided. The cafeteria is not accessible and is located in the basement. The gymnasium is not accessible and is located on the first floor. Assistive listening systems have not been provided in the public assembly spaces. </t>
  </si>
  <si>
    <t xml:space="preserve">Not on an accessible route. Stage access is not provided. Accessible seating is provided.  </t>
  </si>
  <si>
    <t xml:space="preserve">Not on an accessible route.  </t>
  </si>
  <si>
    <t>40 Division Street, Manhattan, NY 10002</t>
  </si>
  <si>
    <t>The nearest accessible subway station is Brooklyn Bridge – City Hall Station (4, 5, and 6 trains) 0.5 miles distant; MTA bus service (M9, M15, M22, and M103) is also nearby. The main entrance is accessible, located on Division Street. The accessible entrance includes a ramp. The accessible entrance does not include a doorbell or security cameras.</t>
  </si>
  <si>
    <t>Ramp lacks level landing area. Non-compliant handrails. Slope may pose difficulty for some.</t>
  </si>
  <si>
    <t>One passenger elevator provides access to all floors. Elevator does not include audible signals on all floors.</t>
  </si>
  <si>
    <t>Doors: 48 inches, Cab: 80 inches wide, 48 inches deep</t>
  </si>
  <si>
    <t>Rooms 118, 119, and 212</t>
  </si>
  <si>
    <t>Room 251</t>
  </si>
  <si>
    <t>Room 100A</t>
  </si>
  <si>
    <t>The auditorium is accessible and is located on the first floor. Accessible seating is not provided. Stage access is provided via a lift. The cafeterias are accessible and are located on the first floor. The gymnasium is not accessible and is located on the second floor. Assistive listening systems have not been provided in the public assembly spaces.</t>
  </si>
  <si>
    <t>Accessible seating is not provided. Stage access is provided via a lift.</t>
  </si>
  <si>
    <t>Accessible seating is available upon request. Food service door saddles are high and may present difficulty for some.</t>
  </si>
  <si>
    <t>Changes in elevation (7 steps in the front, 4 steps in the rear) prevent access.</t>
  </si>
  <si>
    <t xml:space="preserve">This site is prevented from attaining a higher accessibility rating due to lack of accessible bathrooms throughout the building. There is an accessible single-user (unisex) bathrooms (for student and staff use) available on the second floor.  </t>
  </si>
  <si>
    <t>Room 239</t>
  </si>
  <si>
    <t>Includes Automatic Door Opener.</t>
  </si>
  <si>
    <t>Fire alarm system includes a strobe light feature. Holding rooms or areas of rescue have not been specifically designated.</t>
  </si>
  <si>
    <t>The site includes central air. Air-conditioning units have also been provided in classrooms.</t>
  </si>
  <si>
    <t>425 West 123 Street, Manhattan, NY 10027</t>
  </si>
  <si>
    <t>The Nearest accessible subway station 125th Street Station (A, B, C, and D trains), 0.2 miles distant. MTA bus service (M11, M100, M104, M101, and Bx15) is also nearby. The accessible entrance is not the same as the main entrance: the accessible entrance is located near Morningside Avenue. The accessible entrance does not include a doorbell, security cameras, or reception; visitors may need to contact site in advance to gain access to this facility through the accessible entrance.</t>
  </si>
  <si>
    <t>Some door saddles are high, which may be difficult for some users to navigate. Braille signs are included throughout the building.</t>
  </si>
  <si>
    <t>Three passenger elevators provide access to all floors. Elevators provide audible signals on all floors.</t>
  </si>
  <si>
    <t xml:space="preserve">E1; Doors: 36 inches wide; Cab: 81 inches wide, 61 inches deep.
E2; Doors: 36 inches wide; Cab: 92 inches wide, 61 inches deep.
E3; Doors: 36 inches wide; Cab: 74 inches wide, 61 inches deep.
</t>
  </si>
  <si>
    <t>This site is moderately accessible; all classrooms on all floors are accessible and located on accessible routes.</t>
  </si>
  <si>
    <t>Rooms 200, 424, and 503</t>
  </si>
  <si>
    <t>No clear path at entry. Room dimensions prevent access.</t>
  </si>
  <si>
    <t>Rooms B3, and B5</t>
  </si>
  <si>
    <t>The auditorium is not accessible and is located in the basement. Stage access is not provided. Accessible seating is not provided. The cafeterias are accessible and are located in the basement and on the third floor. The gymnasium is accessible and is located on the fifth floor. The pool is not accessible and is located in the basement. Assistive listening systems have not been provided in the public assembly spaces.</t>
  </si>
  <si>
    <t>No clear path at entry. Stage access is not provided. Accessible seating is not provided.</t>
  </si>
  <si>
    <t>Room B30, and Third Floor</t>
  </si>
  <si>
    <t xml:space="preserve"> Fifth Floor - East and West</t>
  </si>
  <si>
    <t>Change in elevation prevents access. Includes a pool lift.</t>
  </si>
  <si>
    <t>There are accessible student bathrooms (boys and girls) available on the basement through fifth floors. There are accessible staff bathrooms (male and female) available on the basement through sixth floors.</t>
  </si>
  <si>
    <t>Basement through Fifth Floors</t>
  </si>
  <si>
    <t>Basement through Sixth Floor</t>
  </si>
  <si>
    <t>560 West 169 Street, Manhattan, NY 10032</t>
  </si>
  <si>
    <t>The nearest accessible subway station is 168 Street Station (A and C trains), 0.1 miles distant. MTA bus service (M2, M3, M5, M100, and Bx7) is also nearby. The accessible entrance to M128 is not the same as the main entrance; the accessible entrances are located on Audubon Avenue (Exit 6). The accessible entrance does not include a doorbell or security camera, visitors will need to call in advance to gain access to the facility.</t>
  </si>
  <si>
    <t xml:space="preserve">Some water fountains and other wall-mounted objects protrude in to the corridors more than 4 inches, which may present difficulties for some. Braille signs are not included throughout the building. </t>
  </si>
  <si>
    <t xml:space="preserve">A passenger elevator provides access to all floors. Elevators include audible signals on each floor. </t>
  </si>
  <si>
    <t xml:space="preserve">Doors: 42 Inches, Cabs: 85 Inches wide, 77 Inches deep.
</t>
  </si>
  <si>
    <t>Rooms 220, and 315</t>
  </si>
  <si>
    <t>Room 133, and 205</t>
  </si>
  <si>
    <t>Room 226</t>
  </si>
  <si>
    <t>Room 22, and 301</t>
  </si>
  <si>
    <t>Room 28</t>
  </si>
  <si>
    <t>The Auditorium located on the first floor is not accessible due to a change in elevation (5 steps). The Auditorium does not provide accessible seating or stage access. The Cafeteria located on the first floor is accessible. The Gymnasium located on the first floor is not accessible due to a change in elevation (5 steps). Assistive listening systems have not been provided in the public assembly areas.</t>
  </si>
  <si>
    <t>There are accessible student bathrooms (girls and boys) on all floors. There is also an accessible staff bathrooms on all floors.</t>
  </si>
  <si>
    <t>143 Baxter Street, Manhattan, NY 10013</t>
  </si>
  <si>
    <t xml:space="preserve">The nearest accessible subway station is Broadway-Lafayette Street / Bleecker Street Station (6, B, D, M and F trains), 0.5 miles distant. MTA bus service (M5, M21, SIM7, SIM33, SIM1c, SIM3c, and SIM4c) is also nearby. The main entrance is accessible, located on Baxter Street (Exit 1). The accessible entrance includes a ramp and reception. The accessible entrance does not include a doorbell or security cameras. </t>
  </si>
  <si>
    <t xml:space="preserve">Water fountains and other wall-mounted objects protrude in the corridors more than 4 inches, which may present difficulties for individuals with visual disabilities. Braille signs are not included throughout the building.  </t>
  </si>
  <si>
    <t xml:space="preserve">Doors: 48 inches, Cab: 67 inches wide, 85 inches deep. </t>
  </si>
  <si>
    <t xml:space="preserve">The auditorium is accessible and is located on the first floor. Stage access is provided via lift. Accessible seating is provided. The cafeteria is accessible and is located on the first floor. The gymnasium is accessible and is located on the fourth floor. The multi-purpose room is accessible and is located on the first floor. Assistive listening systems have not been provided in the public assembly areas. </t>
  </si>
  <si>
    <t xml:space="preserve">There are accessible student bathrooms (girls and boys) available on all floors. There are accessible staff bathrooms available on all floors. </t>
  </si>
  <si>
    <t xml:space="preserve">Fire alarm system has been upgraded and includes a strobe light feature. Holding rooms have been specifically designated as rooms 202, 302, and 402. </t>
  </si>
  <si>
    <t>100 Hester Street, Manhattan, NY 10002</t>
  </si>
  <si>
    <t>The nearest accessible subway station is Brooklyn Bridge – City Hall (4, 5, and 6 trains), 0.80 miles distant; MTA bus service (M9, M15, are M103) is also nearby. The main entrance is accessible, located at 100 Hester Street (Exit 3). The accessible entrance includes reception.</t>
  </si>
  <si>
    <t>Some hallway doors are heavy and without closers, which may be difficult for some users to navigate. Braille signage is provided throughout some of the building, but not all.</t>
  </si>
  <si>
    <t>One passenger elevator provides access all floors. Elevator provides audible signals on all floors.</t>
  </si>
  <si>
    <t>Door: 41 inches; Cab: 52 inches deep, 81 inches wide.</t>
  </si>
  <si>
    <t>Art Rooms – Room 311</t>
  </si>
  <si>
    <t>Classrooms –First through Fourth Floors</t>
  </si>
  <si>
    <t>Computer Rooms – Rooms 101 and 102</t>
  </si>
  <si>
    <t>Main Office – Rooms 113 (M.S. 113), 206 (Emma Lazarus) and 237 (Pace University H.S)</t>
  </si>
  <si>
    <t>Nurse’s Office – Room 140</t>
  </si>
  <si>
    <t>Science Lab –Rooms 408, 410, 414, 429, 433, 434, 440 and 444</t>
  </si>
  <si>
    <t>The auditorium is accessible and is located on the first floor. Stage access is not provided. Accessible seating is provided. The cafeteria is accessible and is located on the first floor. The gymnasium is accessible and is located in the basement. The multi-purpose room is accessible and is located on the first floor. Assistive listening systems have not been provided in the public assembly areas.</t>
  </si>
  <si>
    <t>Cafeteria – First Floor (North and South)</t>
  </si>
  <si>
    <t>Accessible seating is provided upon request.</t>
  </si>
  <si>
    <t>This is used as a weight room.</t>
  </si>
  <si>
    <t>There are accessible student bathrooms (boys) available on the first and fourth floor. There are accessible student bathrooms (girls) available on the second and fourth floor. There are accessible staff bathrooms (male and female) available on the first and fifth floors. There are accessible single-user (unisex) bathrooms (for student and staff use) available in the basement, and on the first floor.</t>
  </si>
  <si>
    <t>Boys Bathrooms – Rooms 142 and 439</t>
  </si>
  <si>
    <t>Boys Bathrooms – Rooms 221, 321, and 341</t>
  </si>
  <si>
    <t>Girls Bathrooms – Rooms 209 and 421</t>
  </si>
  <si>
    <t>Girls Bathrooms – Rooms 109, 309, and 321</t>
  </si>
  <si>
    <t>Staff Bathrooms – Rooms 107, 112, 508B, and 508D</t>
  </si>
  <si>
    <t>Fire Alarm System has been updated and includes strobe light feature. Holding rooms have not yet been specifically designated.</t>
  </si>
  <si>
    <t>293 East Broadway, Manhattan, NY 10002</t>
  </si>
  <si>
    <t xml:space="preserve">The nearest accessible subway station is Broadway-Lafayette Street Station (B, D, and F trains), 1.3 miles distant. MTA bus service (M22 and M14A) is also nearby. The accessible entrance of M134 is not the same as the main entrance. The accessible entrance is located in the rear of the building, on East Broadway (Exit B). The accessible entrance includes a ramp. The accessible entrance does not include a doorbell or security cameras.  </t>
  </si>
  <si>
    <t>Doors: 36 Inches, Cabs: 68 Inches wide, 67 Inches deep.</t>
  </si>
  <si>
    <t>Room 427</t>
  </si>
  <si>
    <t>The auditorium is accessible and located on the first floor. The auditorium has accessible seating but no stage access. The cafeteria is accessible and located in the first floor. The gymnasium is accessible and located on the second floor. Assistive listening systems have not been provided in the public assembly areas.</t>
  </si>
  <si>
    <t xml:space="preserve">There are accessible student bathrooms (girls and boys) on all floors. </t>
  </si>
  <si>
    <t>Fire alarm system has been upgraded and includes a strobe light feature. Holding rooms have been specifically designated; rooms 202, 302, and 402. Fire extinguishers are not located in designated holding rooms but or located next to designated holding rooms.</t>
  </si>
  <si>
    <t>327 Cherry Street, Manhattan, NY 10002</t>
  </si>
  <si>
    <t>The nearest accessible subway station is Fulton Street Station (2 and 3 trains), 1.4 miles distant. MTA bus service (M9 and M22) is also nearby. The main entrance is accessible, located on Cherry Street (Exit 1). The accessible entrance includes a reception and doorbell. The accessible entrance does not include security cameras. The doorbell is within reach range (height 40 inches).</t>
  </si>
  <si>
    <t>Braille signs are not included throughout the building. Some water fountains and other wall-mounted objects may protrude into the corridors more than 4 inches, which may present difficulty to individuals with visual disabilities.</t>
  </si>
  <si>
    <t>One passenger elevator provides access to all floors. Elevator does not include audible signals.</t>
  </si>
  <si>
    <t>Doors: 42 inches, Cab: 60 inches wide, 77 inches deep.</t>
  </si>
  <si>
    <t>Art Rooms – 409/411</t>
  </si>
  <si>
    <t>Computer Rooms – Rooms 403</t>
  </si>
  <si>
    <t>Nurse’s Office – Room 106C</t>
  </si>
  <si>
    <t>Science Lab – Room 325 &amp; 421</t>
  </si>
  <si>
    <t>This site does not include an auditorium or gymnasium; the multi-purpose room fulfills these functions. The multi- purpose room is accessible and is located on the second floor. Stage access is not provided. Accessible seating is available upon request. The cafeteria is accessible and is located on the first floor. Assistive listening systems have not been provided in the public assembly spaces.</t>
  </si>
  <si>
    <t>Stage access is not provided. Accessible seating is available upon request.</t>
  </si>
  <si>
    <t>Multi-Purpose Room – Second Floor</t>
  </si>
  <si>
    <t>Boys Bathrooms – First Floor and Rooms 212, 312, and 412</t>
  </si>
  <si>
    <t>Girls Bathrooms – First Floor and Rooms 218, 318, and 418</t>
  </si>
  <si>
    <t>Single-User Bathrooms (Unisex) – First and Third Floors</t>
  </si>
  <si>
    <t>Fire alarm system has been upgraded and includes a strobe light feature. Holding rooms or areas of refuge have been specifically designated as rooms 202C, 302, and 402.</t>
  </si>
  <si>
    <t>100 Attorney Street, Manhattan, NY 10002</t>
  </si>
  <si>
    <t>The nearest accessible subway station is Bleecker Street/Lafayette Street Station (4, 5, and 6 trains), 1.0 miles distant. MTA bus service (M14D, M14A, and M21) is also nearby. The main entrance to M142 is accessible, located on Attorney Street (Exit 1). The accessible main entrance includes cameras. The accessible main entrance does include a doorbell. The doorbell is not within reach range (height 60 inches).</t>
  </si>
  <si>
    <t>Doors: 41 inches, Cab: 46 inches wide, 77 inches deep.</t>
  </si>
  <si>
    <t>The auditorium is located on the first floor and is not accessible. Stage access is provided via the corridor. Accessible seating is provided. The cafeteria is accessible and is located on the first floor. The gymnasium is accessible and is located on the first floor. Assistive listening systems have not been provided in the public assembly areas.</t>
  </si>
  <si>
    <t>There are accessible student bathrooms (girls and boys) available on the second floor. There are no accessible staff bathrooms available in this building.</t>
  </si>
  <si>
    <t>Boys Bathrooms – Second Floor</t>
  </si>
  <si>
    <t>Girls Bathrooms – Second Floor</t>
  </si>
  <si>
    <t>Fire alarm system has been upgraded and includes a strobe light feature. A holding room has been specifically designated as room 323.</t>
  </si>
  <si>
    <t>511 West 182Nd Street, Manhattan, NY 10033</t>
  </si>
  <si>
    <t xml:space="preserve">The nearest accessible subway station is Dyckman Street Station (1 train), 1.0 mile distant. MTA bus service (Bx3, Bx11, Bx13, Bx35, Bx36, M100, and M101) is also nearby. The accessible entrance to M143 is not the same as the main entrance; the accessible entrance is located on Audubon Avenue (Exit 1). The accessible entrance includes a ramp, doorbell, and security cameras. The doorbell is within reach range (height 46 inches). </t>
  </si>
  <si>
    <t xml:space="preserve">Doors: 41.5 inches, Cab: 48 inches wide, 65 inches deep. </t>
  </si>
  <si>
    <t>Rooms 321 and 453</t>
  </si>
  <si>
    <t>Room 236</t>
  </si>
  <si>
    <t>Rooms 104 and 419</t>
  </si>
  <si>
    <t xml:space="preserve">The auditorium is accessible and is located in the basement. Stage access is not provided. Accessible seating is provided. The cafeteria is accessible and is located on the first floor. The gymnasium is accessible and is located on the first floor. Assistive listening systems have not been provided in the public assembly areas. </t>
  </si>
  <si>
    <t xml:space="preserve">There are accessible student bathrooms (girls) available on all floors. There are accessible student bathrooms (boys) available on the fourth floor. </t>
  </si>
  <si>
    <t>Basement through Third Floor</t>
  </si>
  <si>
    <t>The site does not include central air; Air-conditioning units provided in classrooms. The auditorium is air-conditioned.</t>
  </si>
  <si>
    <t>134 West 122 Street, Manhattan, NY 10027</t>
  </si>
  <si>
    <t>The nearest accessible Subway station is the 125th Street Station, (2 and 3 trains) 0.3 miles distant. MTA bus station (M2, M7, and M102) is also nearby. The main entrance to building M144 is accessible, located on West 122nd Street. The accessible entrance includes a ramp. The accessible entrance does not include security cameras or reception; visitors should contact the site prior to arrival.</t>
  </si>
  <si>
    <t>One passenger elevator provides access to the facility and all floors. Elevator doors are narrow and may present difficulty for some. Elevator includes audible signals on each floor.</t>
  </si>
  <si>
    <t>Doors: 35 Inches, Cab: 51 Inches wide, 76 Inches deep.</t>
  </si>
  <si>
    <t>This site is offers limited accessibility; all classrooms are accessible. Classrooms on the first floor are located along accessible routes. Elevator doors are narrow and may present difficulty for some.</t>
  </si>
  <si>
    <t>Elevator doors are narrow and may present difficulty for some.</t>
  </si>
  <si>
    <t>The auditorium is accessible and is located on the first floor. Accessible seating is provided. Stage access is provided. The cafeteria is accessible and is located on the first floor. The gymnasium is accessible and is located on the first floor. Assistive listening systems have been provided in the auditorium, cafeteria, and gymnasium.</t>
  </si>
  <si>
    <t>Accessible seating is provided. Stage access is provided at grade. Assistive listening systems have been provided.</t>
  </si>
  <si>
    <t>Food serving line is not accessible. Accessible seating is available upon request. Assistive listening systems have been provided.</t>
  </si>
  <si>
    <t xml:space="preserve">This site is prevented from having a higher accessibility rating due to lack of accessible bathrooms throughout the building. </t>
  </si>
  <si>
    <t>150 West 105 Street, Manhattan, NY 10025</t>
  </si>
  <si>
    <t xml:space="preserve">The nearest accessible subway station is the 96th Street Station (1, 2, and 3 trains), 0.6 miles distant. MTA bus service (M7, M11, and M116) is also nearby. The main entrance of M145 is accessible and is located on 105th Street (Exit 1). The accessible entrance includes reception and a doorbell. The doorbell is not within reach range (height 62 inches). </t>
  </si>
  <si>
    <t>Located upon entering building and provides access to auditorium.</t>
  </si>
  <si>
    <t xml:space="preserve">This site offers limited accessibility; classrooms located on the first floor are accessible and are located along accessible routes. </t>
  </si>
  <si>
    <t>Room 307/313</t>
  </si>
  <si>
    <t>Room 132B</t>
  </si>
  <si>
    <t>The auditorium is accessible and is located on the first floor. Stage access is not provided. Accessible seating is provided. The cafeteria is not accessible and is located in the basement. The gymnasium is not accessible and is located on the second floor. Assistive listening systems have not been provided in the public assembly spaces.</t>
  </si>
  <si>
    <t xml:space="preserve">Access provided via lift upon entering building. Stage access is not provided. Accessible seating is provided. </t>
  </si>
  <si>
    <t>421 East 106 Street, Manhattan, NY 10029</t>
  </si>
  <si>
    <t xml:space="preserve">The nearest accessible subway station is 125th Street (4, 5, and 6 trains), 1.3 miles distant. MTA bus service (M15 and M106) is also nearby. The accessible entrance to building M146 is not the same as the main entrance. The accessible entrance is located on East 106th Street next to the main entrance. The accessible entrance includes a doorbell. The accessible entrance does not include security cameras or reception. </t>
  </si>
  <si>
    <t xml:space="preserve">Braille signage provided for all areas within the building. </t>
  </si>
  <si>
    <t>One passenger elevator provides access to all floors in the building. Elevator provides audible signals on all floors.</t>
  </si>
  <si>
    <t xml:space="preserve">Door: 41 inches wide. Cab: 57 inches deep, 81 inches wide. </t>
  </si>
  <si>
    <t xml:space="preserve">May present difficulty for some. </t>
  </si>
  <si>
    <t>This site is moderately accessible. All classrooms are accessible and are located along accessible routes.</t>
  </si>
  <si>
    <t xml:space="preserve">Rooms 125 (04M146) and 316 (75M169)
</t>
  </si>
  <si>
    <t xml:space="preserve">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not been provided in the public assembly spaces. </t>
  </si>
  <si>
    <t xml:space="preserve">Accessible via ramp. Ramp slope and handrails may present difficulty for some. Stage access is not provided. Accessible seating is not provided. </t>
  </si>
  <si>
    <t xml:space="preserve">There are accessible bathrooms (girls) available on the first and second floors. There is a single-user (unisex) bathroom available in the nurse’s office on the first floor. </t>
  </si>
  <si>
    <t>Room 140A</t>
  </si>
  <si>
    <t xml:space="preserve">Located inside the Nurse’s Office. Lacks pull-side maneuvering clearance. </t>
  </si>
  <si>
    <t xml:space="preserve">Fire alarm system has been updated and includes a strobe light feature. Holding rooms have been designated as rooms 218 and 318. </t>
  </si>
  <si>
    <t xml:space="preserve">The site includes central air. Temperature control units have been provided in classrooms. </t>
  </si>
  <si>
    <t>34 West 118 Street, Manhattan, NY 10026</t>
  </si>
  <si>
    <t>The nearest accessible subway station is the 125th Street Station (A, B, C, and D trains), 0.7 miles distant. MTA bus service (M7 and M102) is also nearby. Building M149 is tandem with building M207. These buildings share accessibility features on the first floor. The accessible entrance to M149 is not the same as the main entrance; the accessible entrance is located on West 118th Street (Exit 15).  The accessible entrance does not include a doorbell, reception, and security cameras. Visitors may need to contact site in advance to gain access to this facility through the accessible entrance.</t>
  </si>
  <si>
    <t>Some braille signs are included throughout the building.</t>
  </si>
  <si>
    <t>Room 435</t>
  </si>
  <si>
    <t>Room 143 and 144</t>
  </si>
  <si>
    <t>Room 431</t>
  </si>
  <si>
    <t>The auditorium is accessible and is located on the first floor. Stage access is not provided. The cafeteria’s are accessible and are located on the first floor. The gymnasium is accessible and is located on the first floor. Assistive listening systems have been provided in the auditorium.</t>
  </si>
  <si>
    <t>Assistive listening systems have been provided. Stage access not provided.</t>
  </si>
  <si>
    <t xml:space="preserve">This building is prevented from attaining a higher accessibility rating due to lack of accessible bathrooms throughout the building. There are accessible student bathrooms (boys and girls) available on the first floor located within M207. There are no accessible staff bathrooms (male and female) available. There are no accessible single-user (unisex) bathrooms (for student and staff use) available.  </t>
  </si>
  <si>
    <t>Room 155</t>
  </si>
  <si>
    <t>Located within M207.</t>
  </si>
  <si>
    <t>Rooms 242 and 438</t>
  </si>
  <si>
    <t>Rooms 238, 240, 434, 436</t>
  </si>
  <si>
    <t>Room 142</t>
  </si>
  <si>
    <t>93 Nagle Avenue, Manhattan, NY 10040</t>
  </si>
  <si>
    <t xml:space="preserve">The nearest accessible subway station is the southbound Dyckman Street Station (1 train), 0.2 miles distant. MTA bus service (Bx7 and M100) is also nearby. The accessible entrance is not the same as the main entrance. The accessible entrance is located on Nagle Avenue (Exit 13). The accessible entrance includes security cameras. The accessible entrance does not include a doorbell; visitors may need to contact site in advance to gain access to this facility through the accessible entrance. </t>
  </si>
  <si>
    <t xml:space="preserve">Braille signs are not included throughout the building. Some water fountains and other wall-mounted objects protrude into the corridors more than 4 inches, which may present difficulty to individuals with visual disabilities. </t>
  </si>
  <si>
    <t xml:space="preserve">One passenger elevator provides access to the facility and all floors. Elevator includes audible signals on each floor.  </t>
  </si>
  <si>
    <t xml:space="preserve">Doors: 42 inches; Cab: 78 inches wide, 55 inches deep. 
</t>
  </si>
  <si>
    <t xml:space="preserve">This site is moderately accessible; all classrooms and public assembly areas are accessible and located on accessible routes. </t>
  </si>
  <si>
    <t>Rooms 407 and 413</t>
  </si>
  <si>
    <t>Room 309 and 313</t>
  </si>
  <si>
    <t xml:space="preserve">The auditorium is accessible and is located on the first floor. Stage access is not provided. Accessible seating is not provided. The cafeteria is accessible and is located on the first floor. The third-floor gymnasium is not accessible. The fourth-floor gymnasium is accessible.  The multi-purpose room is accessible and is located on the first floor. Assistive listening systems have been provided in the auditorium, cafeteria, and fourth-floor gymnasium. </t>
  </si>
  <si>
    <t xml:space="preserve">There are accessible student (boys) bathrooms available on the first and fourth floors. There are accessible single-user (unisex) bathrooms (for student and staff use) available on the second and third floors. </t>
  </si>
  <si>
    <t>Rooms 159 and 459</t>
  </si>
  <si>
    <t>Rooms 202, 262, 302, and 361</t>
  </si>
  <si>
    <t>Rooms 161, 204, 260, 304, 358, and 461</t>
  </si>
  <si>
    <t>Room 147</t>
  </si>
  <si>
    <t>Male staff bathrooms</t>
  </si>
  <si>
    <t>Room 149</t>
  </si>
  <si>
    <t>Female staff bathrooms</t>
  </si>
  <si>
    <t>Rooms 203 and 310</t>
  </si>
  <si>
    <t>Available for student and staff use.</t>
  </si>
  <si>
    <t>Rooms 258m 356, and 457</t>
  </si>
  <si>
    <t xml:space="preserve">Fire alarm system has been upgraded and includes a strobe light feature. Holding rooms have been specifically designated as rooms 215, 315, and 415. </t>
  </si>
  <si>
    <t>1750 Amsterdam Avenue, Manhattan, NY 10031</t>
  </si>
  <si>
    <t>The nearest accessible subway station is at 135 Street Station (2 and 3 train), 0.9 miles distant. MTA bus service (M7, M11, M57, M72, M104, and BxM2) is also nearby. The accessible entrance to M153 is the same as the main entrance (Exit 5); the accessible entrance is located Amsterdam Avenue. The accessible entrance includes a ramp, security cameras, doorbell, and reception. The doorbell is not within reach range (height 65 inches).</t>
  </si>
  <si>
    <t>Doors: 40 Inches, Cabs: 72 Inches wide, 55 Inches deep.</t>
  </si>
  <si>
    <t>This site is moderately accessible; all classrooms on the are accessible and are located along accessible routes.</t>
  </si>
  <si>
    <t>Computer Rooms – Room 331</t>
  </si>
  <si>
    <t>Library – Room 219</t>
  </si>
  <si>
    <t>Main Office – Rooms 115 and 251</t>
  </si>
  <si>
    <t>Nurse’s Office – Room 133</t>
  </si>
  <si>
    <t>Stage access is not provided. Accessible seating is</t>
  </si>
  <si>
    <t>Boys Bathrooms – Rooms 214B, 228A, 230, 244, 314B, 325, 328A, 330A, and 349</t>
  </si>
  <si>
    <t>Clear opening and interior partitions do not provide clear floor space.</t>
  </si>
  <si>
    <t>Girls Bathrooms – Room 111</t>
  </si>
  <si>
    <t>Fire alarm system includes a strobe light feature. Fire holding rooms have not been designated.</t>
  </si>
  <si>
    <t>The site does not include central air; A/C units provided in classrooms.</t>
  </si>
  <si>
    <t>1458 York Avenue, Manhattan, NY 10075</t>
  </si>
  <si>
    <t>The nearest accessible subway station is 72 Street Subway Station (Q train), 0.5 miles distant. MTA bus service (M31 and M15) is also nearby. The accessible entrance to M158 is not the same as the main entrance; the accessible entrance is located on East 78th Street (Cafeteria). At the accessible entrance there is no doorbell or security cameras, visitors will need to call in advance to gain access.</t>
  </si>
  <si>
    <t xml:space="preserve">Some water fountains and other wall-mounted objects protrude into the corridors more than 4 inches, which may present difficulties for individuals with visual disabilities. Braille signs are not included throughout the building. </t>
  </si>
  <si>
    <t xml:space="preserve">A passenger elevator provides access to all floors. Elevator include audible signals on each floor. </t>
  </si>
  <si>
    <t xml:space="preserve">Doors: 41 Inches, Cabs: 49 Inches wide, 80 Inches deep.
</t>
  </si>
  <si>
    <t>Rooms 302, 410, and 503</t>
  </si>
  <si>
    <t>Rooms 213, and 405</t>
  </si>
  <si>
    <t>Room 513</t>
  </si>
  <si>
    <t>The Auditorium is accessible and is located on the second floor. The Auditorium does not provide stage access, although it does provide accessible seating. The Cafeteria is accessible and located on the first floor. The Gymnasium is accessible and located on the fifth floor. Assistive listening systems have not been provided in the public assembly areas.</t>
  </si>
  <si>
    <t xml:space="preserve">Accessible seating available. Stage access is not provided. </t>
  </si>
  <si>
    <t>There are accessible student bathrooms (girls) on the first, third, and fourth floors. There are accessible student bathrooms (boys) on the first, and third floors. Accessible staff bathrooms exist on the third and fifth floors.</t>
  </si>
  <si>
    <t>First, and Third Floor</t>
  </si>
  <si>
    <t>First, Third, Fourth Floors</t>
  </si>
  <si>
    <t>Second and Fifth Floors</t>
  </si>
  <si>
    <t>Third and Fifth Floors</t>
  </si>
  <si>
    <t>Ground, Second, and Fourth Floors</t>
  </si>
  <si>
    <t>499 West 133 Street, Manhattan, NY 10027</t>
  </si>
  <si>
    <t>The nearest accessible subway station is 125th Street Station (A, B, C, and D trains), 0.47 miles distant. MTA bus service (M11, M100, and M101) is also nearby. The main entrance is accessible, located on Amsterdam Avenue via an inclined approach from the courtyard (Exit 1). The accessible entrance includes reception and security cameras. The accessible entrance does not include a doorbell. Building M161 also includes a secondary accessible entrance at 133rd Street (Exit 9) with access to the ground floor.</t>
  </si>
  <si>
    <t>This site does not include an elevator, preventing access to floors other than the ground and first floors. The ground floor and the first floor are both independently accessible from different street entrances, but there is no vertical transportation between the floors on the interior of the building.</t>
  </si>
  <si>
    <t>This site offers limited accessibility; all ground-floor and first-floor classrooms are accessible and are located along accessible routes.</t>
  </si>
  <si>
    <t>Art Rooms – Room M35</t>
  </si>
  <si>
    <t>Classrooms – Ground and First Floors</t>
  </si>
  <si>
    <t>Ground floor is accessible from Exit 9 via 133rd Street.</t>
  </si>
  <si>
    <t>Classrooms – Mezzanine and Second Floors</t>
  </si>
  <si>
    <t>Computer Room – Room 106</t>
  </si>
  <si>
    <t>Computer Room – Room 225</t>
  </si>
  <si>
    <t>The auditorium is accessible and is located on the ground floor. Stage access is provided via corridor. Accessible seating is provided. The cafeteria is not accessible and is located on the mezzanine floor. The gymnasium is accessible and is located on the ground floor. Assistive listening systems have been provided in the auditorium.</t>
  </si>
  <si>
    <t>Cafeteria – Mezzanine Floor</t>
  </si>
  <si>
    <t>Gymnasium – Ground Floor</t>
  </si>
  <si>
    <t>Boys Bathrooms – Room M43</t>
  </si>
  <si>
    <t>Boys Bathrooms – Rooms 122 and 222</t>
  </si>
  <si>
    <t>Girls Bathrooms – Room M47</t>
  </si>
  <si>
    <t>Girls Bathrooms – Rooms 104 and 204</t>
  </si>
  <si>
    <t>Staff Bathrooms – Rooms G41, G43, 116, and 221</t>
  </si>
  <si>
    <t>Single-User (Unisex) Bathrooms – Rooms M33, 125A, and 216</t>
  </si>
  <si>
    <t>Room 125A is located in the nurse’s office.</t>
  </si>
  <si>
    <t>This site includes exterior recreational spaces. The exterior play yard is accessible. The first-floor courtyard is not accessible due to a change in elevation from the corridor. The recreational equipment is not accessible.</t>
  </si>
  <si>
    <t>163 West  97 Street, Manhattan, NY 10025</t>
  </si>
  <si>
    <t xml:space="preserve">The nearest accessible subway station is 96th Street Station (1, 2, and 3 trains), 0.2 miles distant. MTA bus service (M7, M11, M96, and M106) is also nearby. The accessible entrance of M163 is not the same as the main entrance; the accessible entrance is located on 96th Street (Exit 3), adjacent to the main entrance. The accessible entrance does not include security cameras or a doorbell. Visitors may need to contact site prior to gain access to the facility through the accessible entrance. </t>
  </si>
  <si>
    <t xml:space="preserve">This site is moderately accessible; all classrooms and program areas located on the first floor are accessible and are located along accessible routes.  </t>
  </si>
  <si>
    <t>Room 307A</t>
  </si>
  <si>
    <t xml:space="preserve">The auditorium is accessible and is located on the first floor. Stage access is not provided. Accessible seating is provided. The gymnasium is accessible and is located on the first floor. The cafeteria is accessible and is located on the first floor. Assistive listening systems have not been provided in the public assembly spaces. </t>
  </si>
  <si>
    <t xml:space="preserve">This building is prevented from attaining a higher accessibility rating due to lack of accessible bathrooms throughout the building. There are accessible student bathrooms (boys and girls) available on the first floor. There are accessible staff bathrooms (male and female) available on the first floor. There is an accessible single-user (unisex) bathrooms (for student and staff use) available on the first floor. </t>
  </si>
  <si>
    <t>Room 130</t>
  </si>
  <si>
    <t>234 West 109 Street, Manhattan, NY 10025</t>
  </si>
  <si>
    <t>The nearest accessible subway station is the 96th Street Station (1, 2, and 3 trains), 0.8 miles distant. MTA bus service (M104 and M11) is also nearby. The accessible entrance to M116 is not the same as the main entrance; the accessible entrance is located on 109th Street (Exit 6). The accessible entrance includes a ramp. The accessible entrance does not include security cameras or a doorbell. Visitors may need to contact site prior to gain access to the facility through the accessible entrance.</t>
  </si>
  <si>
    <t>Changes in elevation (2 steps) prevent access to the auditorium.</t>
  </si>
  <si>
    <t>Art Rooms – Rooms 201 and 412</t>
  </si>
  <si>
    <t>Computer Rooms – Rooms 312 and 507</t>
  </si>
  <si>
    <t>Library – Rooms 112 and 408</t>
  </si>
  <si>
    <t>Main Office – Room 208 (03M165) and Room 406 (03M862)</t>
  </si>
  <si>
    <t>Science Lab – Room 514</t>
  </si>
  <si>
    <t>The auditorium is not accessible and is located on the first floor. Stage access is not provided. Accessible seating is provided. The cafeteria is accessible and is located on the first floor. The gymnasium is not accessible and is located on the fifth floor. The multi-purpose room is accessible and is located on the first floor. Assistive listening systems have not been provided in the public assembly spaces.</t>
  </si>
  <si>
    <t>Changes in elevation (2 steps) prevent access. Stage access is not provided. Accessible seating is provided.</t>
  </si>
  <si>
    <t>There are accessible student bathrooms (boys) available on the first floor. This building is prevented from attaining a higher accessibility rating due to lack of accessible bathrooms throughout the building.</t>
  </si>
  <si>
    <t>Boys Bathrooms – Second, Third, Fourth and Fifth Floors</t>
  </si>
  <si>
    <t>132 West  89 Street, Manhattan, NY 10024</t>
  </si>
  <si>
    <t>The nearest accessible subway station is 96th Street Station (1, 2, and 3 trains), 0.5 miles distant. MTA bus service (M96, M106, and M104) is also nearby. The accessible entrance is not the same as the main entrance; the accessible entrance is located through the play yard of the building (Exit 4). The accessible entrance includes security cameras and a doorbell. The doorbell is not within reach range (height 58 inches).</t>
  </si>
  <si>
    <t>Some water fountains and other wall-mounted objects may protrude in the corridors more than 4 inches, which may present difficulty to individuals with visual disabilities. Braille signage is provided throughout some of the building, but not all.</t>
  </si>
  <si>
    <t>Doors: 35 inches, Cab: 67 inches wide, 67 inches deep.</t>
  </si>
  <si>
    <t>Computer Rooms – Room 511</t>
  </si>
  <si>
    <t>Nurse’s Office – Room 108</t>
  </si>
  <si>
    <t>The auditorium is accessible and is located on the first floor. Stage access is provided via ramp. Accessible seating is provided. The cafeteria is accessible and is located on the first floor. The gymnasium is accessible and is located on the fifth floor. Assistive listening systems have not been provided in the public assembly spaces.</t>
  </si>
  <si>
    <t>There are accessible student bathrooms (boys) available on the first, third, and fourth floors. There are accessible student bathrooms (girls) available on the first and third floors. There are accessible single-user (unisex) bathrooms available on the first through fourth floors.</t>
  </si>
  <si>
    <t>Boys Bathrooms – First, Third, and Fourth Floors</t>
  </si>
  <si>
    <t>Boys Bathrooms – First, Second, and Fifth Floors</t>
  </si>
  <si>
    <t>Girls Bathrooms – Second, Fourth, and Fifth Floors</t>
  </si>
  <si>
    <t>Single-User (Unisex) Bathrooms – First through Fourth Floors</t>
  </si>
  <si>
    <t>Single-User (Unisex) Bathrooms – Fifth Floor</t>
  </si>
  <si>
    <t>Fire alarm system has been upgraded and includes a strobe light feature. Holding rooms have been specifically designated as rooms 210, 310, 410, and 510.</t>
  </si>
  <si>
    <t>110 East  88 Street, Manhattan, NY 10128</t>
  </si>
  <si>
    <t xml:space="preserve">The nearest accessible subway station is the 86th Street Station (6 train), 0.1 miles distant. MTA bus service (M101, M102, M103, and M86-SBS) is also nearby. The accessible entrance to M169 is not the same as the main entrance; accessible entrance is located on East 88th street (Exit 1), adjacent to the main entrance. The accessible entrance includes security cameras, a lift, and reception. The accessible entrance does not include a doorbell. Visitors may need to contact the site prior to gain access to facility through accessible entrance. </t>
  </si>
  <si>
    <t xml:space="preserve">Doors: 57 inches, Cab: 56 inches wide, 83 inches deep. </t>
  </si>
  <si>
    <t xml:space="preserve">Doors: 47 inches, Cab: 44 inches wide, 78 inches deep. </t>
  </si>
  <si>
    <t xml:space="preserve">This site offers limited accessibility; all classrooms and program areas are accessible and are located along accessible routes. </t>
  </si>
  <si>
    <t>First through Fourth Floors</t>
  </si>
  <si>
    <t>Room 233</t>
  </si>
  <si>
    <t>Room 225</t>
  </si>
  <si>
    <t xml:space="preserve">Does Not Exist </t>
  </si>
  <si>
    <t xml:space="preserve">The auditorium is accessible and is located on the first floor. Stage access is provided. Accessible seating is provided. The cafeteria is accessible and located on the first floor. The gymnasium is accessible and is located on the first floor. Assistive listening systems have not been provided in the public assembly spaces. </t>
  </si>
  <si>
    <t>306 Fort Washington Avenue, Manhattan, NY 10033</t>
  </si>
  <si>
    <t xml:space="preserve">The nearest accessible subway station is 175th Street Station (A train), 0.1 mile distant. MTA bus service (M4, Bx7, M5, and M100) is also nearby. The accessible entrance to M173 is not the same as the main entrance; the accessible entrance is located on West 174 Street (Exit 2). The accessible entrance includes a ramp and a doorbell. The accessible entrance does not include security cameras. The doorbell is within reach range (height 48 inches). </t>
  </si>
  <si>
    <t xml:space="preserve">Doors: 41 inches, Cab: 78 inches wide, 63 inches deep. </t>
  </si>
  <si>
    <t>Rooms 212 and 414</t>
  </si>
  <si>
    <t xml:space="preserve">The auditorium is accessible and is located on the first floor. Accessible seating is not provided. Stage access is not provided. The cafeteria is accessible and is located on the first floor. The gymnasium is not accessible and is located between the second and third floors. Assistive listening systems have not been provided in the public assembly areas. </t>
  </si>
  <si>
    <t xml:space="preserve">Accessible seating is not provided. Stage access is not provided. </t>
  </si>
  <si>
    <t>Between the Second and Third Floors</t>
  </si>
  <si>
    <t xml:space="preserve">Change in elevation on the second and third floors (12 steps) prevents access. </t>
  </si>
  <si>
    <t>This site is prevented from attaining a higher accessibility rating due to lack of accessible bathrooms throughout the building. There is an accessible student bathroom (boys) available in the cafeteria. There are no accessible staff bathrooms.</t>
  </si>
  <si>
    <t>First Floor and Rooms 365 and 645</t>
  </si>
  <si>
    <t xml:space="preserve">Tight path of travel at second floor bathroom entry may present difficulty for some. </t>
  </si>
  <si>
    <t>Second Floor, and Rooms 459 and 559</t>
  </si>
  <si>
    <t>First Floor, and Rooms 366, and 468</t>
  </si>
  <si>
    <t>Third Floor and Rooms 456</t>
  </si>
  <si>
    <t>Rooms 259, 260, 455, 555, and 556</t>
  </si>
  <si>
    <t>Rooms 269 and 466</t>
  </si>
  <si>
    <t>Fire alarm system has been upgraded and includes a strobe light feature. Holding rooms have been specifically designated as rooms 214 and 314.</t>
  </si>
  <si>
    <t>175 West 134 Street, Manhattan, NY 10030</t>
  </si>
  <si>
    <t xml:space="preserve">The nearest accessible subway station is 135th Street Station (2 and 3 trains), 0.1 mile distant. MTA bus service (M2 and M102) is also nearby. The accessible entrance to M175 is not the same as the main entrance; the accessible entrance is located on West 134th Street. The accessible entrance includes security cameras. The accessible entrance does not include a doorbell; visitors may need to contact site in advance to gain access to this facility through the accessible entrance. </t>
  </si>
  <si>
    <t xml:space="preserve">This site does not include an elevator, preventing access to floors other than first floor. </t>
  </si>
  <si>
    <t xml:space="preserve">This site offers limited accessibility; all classrooms and public assembly spaces on the first floor are accessible and located on accessible routes.  </t>
  </si>
  <si>
    <t>Room 111 (05M175)</t>
  </si>
  <si>
    <t>Room 325 (84M482)</t>
  </si>
  <si>
    <t xml:space="preserve">The auditorium is accessible and is located on the first floor. Stage access is provided via a lift. Accessible seating is not provided. The cafeteria is accessible and is located on the first floor. The gymnasium is accessible and is located on the first floor. Assistive listening systems have been provided in the auditorium. </t>
  </si>
  <si>
    <t xml:space="preserve">Stage access is provided via lift. Accessible seating is not provided is provided. Assistive listening systems have been provided. </t>
  </si>
  <si>
    <t xml:space="preserve">This site is prevented from attaining a higher accessibility rating due to lack of accessible bathrooms throughout the building. There are accessible student bathrooms (girls) available on the first floor. </t>
  </si>
  <si>
    <t>4862 Broadway, Manhattan, NY 10034</t>
  </si>
  <si>
    <t xml:space="preserve">The nearest accessible subway station is 207th Street Station (A train), 0.16 miles distant. MTA bus service (Bx7) is also nearby. The main entrance is accessible, located on Broadway (Exit 1). The accessible entrance includes a doorbell and reception. The doorbell is not within reach range (height 62 inches). </t>
  </si>
  <si>
    <t xml:space="preserve">Accessible entrance at grade next to main entrance, leading to corridor. </t>
  </si>
  <si>
    <t xml:space="preserve">Doors: 48 inches, Cab: 66 inches wide, 92 inches deep. </t>
  </si>
  <si>
    <t>Room 312/314</t>
  </si>
  <si>
    <t>Room 110 (06M311) and Room 314 (06M314)</t>
  </si>
  <si>
    <t xml:space="preserve">The auditorium is accessible and is located on the second floor. Stage access is provided via ramp. Accessible seating is provided. The cafeteria is accessible and is located on the first floor. The gymnasium is accessible and is located on the first floor. Assistive listening systems have not been provided in the public assembly spaces. </t>
  </si>
  <si>
    <t>Stage access is provided via ramp from corridor. Accessible seating is provided.</t>
  </si>
  <si>
    <t>Rooms 121, 313, and 413</t>
  </si>
  <si>
    <t>Rooms 122, 319, and 419</t>
  </si>
  <si>
    <t>Rooms 116A, 211, 213, 315, 317, 415, and 417 and  
Rooms 201, 202, 203, 204A, 205, 206, 207, and 208</t>
  </si>
  <si>
    <t>Room 116A is located in the nurse’s office.</t>
  </si>
  <si>
    <t>Classrooms 101-103, 104-106, 105-107</t>
  </si>
  <si>
    <t>Multi-user bathrooms shared between the paired classrooms.</t>
  </si>
  <si>
    <t xml:space="preserve">Fire alarm system has been upgraded and includes a strobe light feature. Holding rooms have been specifically designated as rooms 202, 302, and 402B. </t>
  </si>
  <si>
    <t>12-18 Ellwood Street, Manhattan, NY 10040</t>
  </si>
  <si>
    <t xml:space="preserve">The nearest accessible subway station is the 207th Street Station (A train), 0.68 miles distant. MTA bus service (Bx7 and M100) is also nearby. The main entrance of M178 is accessible, located on Bogardus Place (Exit #1). The accessible entrance includes a ramp, a doorbell, and reception. The accessible entrance does not include security cameras. The doorbell is not within reach range (Height 49 Inches). </t>
  </si>
  <si>
    <t xml:space="preserve">Some door saddles are high, which may be difficult for some users to navigate. Some hallway doors are heavy and without closers, which may be difficult for some users to navigate. Some water fountains and other wall-mounted objects protrude in to the corridors more than 4 inches, which may present difficulties for individuals with visual disabilities. Braille signs are included throughout the building.  </t>
  </si>
  <si>
    <t xml:space="preserve">Doors: 36 Inches, Cabs: 68 Inches wide, 52 Inches deep. </t>
  </si>
  <si>
    <t xml:space="preserve">This site does not include an auditorium; the cafeteria and gymnasium fulfill this function. This site does not include a stage. Accessible seating is provided. The cafeteria is accessible and is located on the first floor. The gymnasium is accessible and is located on the fifth floor. Assistive listening systems have been provided in the cafeteria and gymnasium. </t>
  </si>
  <si>
    <t xml:space="preserve">There are accessible student bathrooms (boys and girls) available on all floors. There are accessible single-user (unisex) bathrooms (for student and staff use) available on the first through fourth floors.    </t>
  </si>
  <si>
    <t xml:space="preserve">Rooms 114, 214, 314, 414, and 514 </t>
  </si>
  <si>
    <t>Rooms 112, 212, 312, 412, and 512</t>
  </si>
  <si>
    <t>Rooms 104B, 108, 208, 308, and 408</t>
  </si>
  <si>
    <t xml:space="preserve">Room 104B is located in the nurse’s office.  </t>
  </si>
  <si>
    <t xml:space="preserve">Fire alarm system has been upgraded and includes a strobe light feature. Holding rooms have been specifically designated as rooms 201, 301, 401, and 503. </t>
  </si>
  <si>
    <t>370 West 120Th Street, Manhattan, NY 10027</t>
  </si>
  <si>
    <t>The nearest accessible subway station is 125 Street Station (A, B, C, and D train), 0.3 miles distant. MTA bus service (M10, M104, Bx15, M100, and M101) is also nearby. The accessible entrance to M180 is not the same as the main entrance; the accessible entrances are located on West 120th Street in the play yard (Exit 5). The accessible entrances include ramps. The accessible entrance does include a doorbell (Height 51 Inches) and security camera.</t>
  </si>
  <si>
    <t xml:space="preserve">Some water fountains and other wall-mounted objects protrude in to the corridors more than 4 inches, which may present difficulties for individuals with visual disabilities. Braille signs are not included throughout the building. </t>
  </si>
  <si>
    <t>The passenger elevator is not accessible. Elevator provides audible signals on all floors.</t>
  </si>
  <si>
    <t xml:space="preserve">Doors: 35 Inches, Cabs: 67 Inches wide, 49 Inches deep.
</t>
  </si>
  <si>
    <t xml:space="preserve">This site is moderately accessible; most classrooms are accessible and located on accessible routes. Passenger elevator doors prevent this building from having a higher rating. </t>
  </si>
  <si>
    <t>Rooms 226, and 325</t>
  </si>
  <si>
    <t>Room 430</t>
  </si>
  <si>
    <t>The Auditorium located on the first floor is accessible. The Auditorium provides accessible seating and stage access. The Cafeteria is located on the first floor is accessible. The cafeteria food servery is not accessible. The Gymnasium is located on the first floor is not accessible due to door width (29 Inches) and a change in elevation (5 steps). Assistive listening systems have not been provided in the public assembly areas.</t>
  </si>
  <si>
    <t>Accessible seating is provided. Stage access is provided via lift. Assistive listening systems have been provided.</t>
  </si>
  <si>
    <t>Clear opening is less than 32 Inches. Change in elevation (5 Steps).</t>
  </si>
  <si>
    <t>There are accessible student bathrooms (girls and boys) in the building. There are no accessible staff bathrooms in the building.</t>
  </si>
  <si>
    <t>First, Second, and Fourth Floors</t>
  </si>
  <si>
    <t>419 East  66 Street, Manhattan, NY 10065</t>
  </si>
  <si>
    <t xml:space="preserve">The nearest accessible subway station is Lexington Av-63 Street Station (F, N, Q, and R trains), 0.5 miles distant. MTA bus service (M15 and M31) is also nearby. The accessible entrance to M183 is not the same as the main entrance; the accessible entrance is located on 67th Street (Exit 7) and is accessed through the gymnasium. The accessible entrance does not include a doorbell, security cameras, or reception. Visitors may need to contact the site prior to gain access to facility through accessible entrance. </t>
  </si>
  <si>
    <t xml:space="preserve">Interior ramp connects gymnasium to cafeteria. </t>
  </si>
  <si>
    <t xml:space="preserve">This site is moderately accessible; all classrooms and program areas located on the first floor are accessible and are located along accessible routes. </t>
  </si>
  <si>
    <t xml:space="preserve">This site does not include an auditorium. The cafeteria is accessible and is located on the first floor. The cafeteria does not include a stage. The gymnasium is accessible and is located on the first floor of secondary building M390. Assistive listening systems have not been provided in the public assembly spaces. </t>
  </si>
  <si>
    <t>Located in secondary building M390.</t>
  </si>
  <si>
    <t xml:space="preserve">This building is prevented from attaining a higher accessibility rating due to lack of accessible bathrooms throughout the building There are accessible student bathrooms (boys and girls) available on the first floor. </t>
  </si>
  <si>
    <t>First Floor (Gym and Cafeteria)</t>
  </si>
  <si>
    <t>20 West 112 Street, Manhattan, NY 10026</t>
  </si>
  <si>
    <t>The nearest accessible subway station is the 125th Street Station (4, 5, and 5 train), 1.1 miles distant. MTA bus service (M2, M3, and M4) is also nearby. The main entrance of building M185 is not accessible due to changes in elevation and slopes upon entering school entrance. The main entrance includes security cameras and reception. This building is a tandem building connected to Building M208. This site does not include an accessible entrance.</t>
  </si>
  <si>
    <t>Change in elevation (3 steps) prevents access.</t>
  </si>
  <si>
    <t>There are changes of elevation on the first floor preventing access to play yard and exits.</t>
  </si>
  <si>
    <t>Located in Building M208.</t>
  </si>
  <si>
    <t>This site does not include public assembly spaces. The public assembly spaces are located in the connected tandem building M208.</t>
  </si>
  <si>
    <t>Gymnasiums</t>
  </si>
  <si>
    <t>442 East Houston Street, New York, NY 10002</t>
  </si>
  <si>
    <t xml:space="preserve">The nearest accessible subway station is the Broadway-Lafayette Street Station (B, D, and F trains), 1.03 miles distant. MTA bus service (M14D and M21) is also nearby. The accessible entrance of M188 is not the same as the main entrance; the accessible entrance is located on Lewis Street (Exit 11). The accessible entrance includes a doorbell and security cameras. Doorbell is not within reach range (Height 65 Inches). </t>
  </si>
  <si>
    <t>Accessible entrance leads directly into the cafeteria and gymnasium space on the first floor.</t>
  </si>
  <si>
    <t>Ramped access via Lewis Street off East Houston Street</t>
  </si>
  <si>
    <t xml:space="preserve">Some water fountains and other wall-mounted objects protrude in to the corridors more than 4 inches, which may present difficulties for individuals with visual disabilities. Many stone saddles are high, which may present difficulties for some. Braille signs are not included throughout the building. </t>
  </si>
  <si>
    <t>Doors: 48 Inches, Cabs: 84 Inches wide, 65 Inches deep.</t>
  </si>
  <si>
    <t>Rooms 221, 316, and 503</t>
  </si>
  <si>
    <t>Rooms 219, and 519</t>
  </si>
  <si>
    <t>The auditorium is accessible and is located on the fourth floor. Accessible seating is provided. Stage access is provided via ramp. The cafeteria is accessible and is located on the first floor. The gymnasium is accessible and is located on the first floor. The multi-purpose room is accessible and is located on the second floor. Assistive listening systems have not been provided in the public assembly areas.</t>
  </si>
  <si>
    <t>Stage access via ramp. Accessible seating is provided.</t>
  </si>
  <si>
    <t>There are accessible student bathroom (boys and girls) available on all floors. Accessible staff bathrooms (male and female) are available on all floors. Accessible single-user (unisex) bathrooms (available for students and staff) are available on all floors.</t>
  </si>
  <si>
    <t>Rooms 123, 205, 302B, and 525</t>
  </si>
  <si>
    <t>Room 302B is single-user and is available for student and staff use.</t>
  </si>
  <si>
    <t>Interior partitions not accessible.</t>
  </si>
  <si>
    <t>Rooms 112, 201B, 312A, 325, 425, and 522C</t>
  </si>
  <si>
    <t>Room 522C is single-user and is available for student and staff use.</t>
  </si>
  <si>
    <t xml:space="preserve">Rooms 502 </t>
  </si>
  <si>
    <t>Not on an accessible path (Change in elevation 5 steps). Interior partitions not accessible.</t>
  </si>
  <si>
    <t xml:space="preserve">Rooms 116A, 214D, 214E, 301B, and 522D  </t>
  </si>
  <si>
    <t>Single-user (Unisex) bathrooms, available for student and staff use.</t>
  </si>
  <si>
    <t>Rooms 213, and 501A</t>
  </si>
  <si>
    <t>Room 213 interior partitions not accessible. Room 501A is not on an accessible path (Change in elevation 5 steps). Room 501A clear path is less than 32 Inches.</t>
  </si>
  <si>
    <t>Fire alarm system has been upgraded and includes a strobe light feature. Areas of refuge have been specifically designated; Rooms 213A, 214F, 312B, 313A, 413A, 414A, 513A, and 516A.</t>
  </si>
  <si>
    <t>2580 Amsterdam Avenue, Manhattan, NY 10040</t>
  </si>
  <si>
    <t xml:space="preserve">The nearest accessible subway station is the 168th Street Station (A and C trains), 1.20 miles distant. MTA bus service (Bx7, M2, M2, M100, and M101) is also nearby. The accessible entrance to M189 is not the same as the main entrance; the accessible entrance is located on 189th Street (Exit 3). The accessible entrance includes security cameras. The accessible entrance does not include a doorbell. Visitors may need to contact site in advance to gain access to this facility through the accessible entrance.  </t>
  </si>
  <si>
    <t xml:space="preserve">Some water fountains and other wall-mounted objects protrude in the corridors more than 4 inches, which may present difficulty to individuals with visual disabilities. Braille signs are not included throughout the building. </t>
  </si>
  <si>
    <t xml:space="preserve">One passenger elevator provides access to the basement through third floors. Elevator access to the fourth and fifth floors is not provided. Elevator includes audible signals on each floor.  </t>
  </si>
  <si>
    <t xml:space="preserve">Doors: 36 inches, Cab: 68 inches wide, 51 inches deep. </t>
  </si>
  <si>
    <t xml:space="preserve">This site is moderately accessible; most classrooms are accessible and located on accessible routes.  </t>
  </si>
  <si>
    <t>Room 306</t>
  </si>
  <si>
    <t>Accessible </t>
  </si>
  <si>
    <t>Fourth and Fifth Floors</t>
  </si>
  <si>
    <t xml:space="preserve">Located in the south multi-purpose room. </t>
  </si>
  <si>
    <t xml:space="preserve">The auditorium is accessible and is located on the second floor. Stage access is not provided. Accessible seating is not provided. The cafeteria is accessible and is located on the first floor. This site does not include a gymnasium; the multi-purpose rooms fulfill this function. Assistive listening systems have been provided in the auditorium and multi-purpose room. </t>
  </si>
  <si>
    <t>First Floor (North, South, and West)</t>
  </si>
  <si>
    <t>Assistive listening systems have been provided. </t>
  </si>
  <si>
    <t xml:space="preserve">There are accessible student bathrooms (boys) available on the first, third and fifth floors. There are accessible student bathrooms (girls) available on the first and second floors. </t>
  </si>
  <si>
    <t xml:space="preserve">Second and Fourth Floors </t>
  </si>
  <si>
    <t>Third through Fifth Floors</t>
  </si>
  <si>
    <t>This site does not include exterior recreational spaces.   </t>
  </si>
  <si>
    <t xml:space="preserve">Fire alarm system has been upgraded and includes a strobe light feature. Holding rooms or areas of rescue have been specifically designated as rooms 221 and 321.  </t>
  </si>
  <si>
    <t xml:space="preserve">The site does not include central air. Air-conditioning units have been provided in classrooms. </t>
  </si>
  <si>
    <t>210 West  61 Street, Manhattan, NY 10023</t>
  </si>
  <si>
    <t>The nearest accessible subway station is 66th Street – Lincoln Center Station (1 and 2 trains), 0.31 miles distant. MTA bus service (M11 and M57) is also nearby. The accessible entrance to M191 is not the same as the main entrance; the accessible entrance is accessed through the playground entrance on 60th Street (Exit 3). The accessible entrance (is not the same as main entrance) does not include a doorbell or security cameras. Visitors may need to contact site in advance to gain access to this facility through the accessible entrance.</t>
  </si>
  <si>
    <t>Older hardware may present difficulties for some.</t>
  </si>
  <si>
    <t>This site is moderately accessible; all classrooms located on the ground floor are accessible and are located along accessible routes.</t>
  </si>
  <si>
    <t>Main Office – Room G15</t>
  </si>
  <si>
    <t>Nurse’s Office – Room G8</t>
  </si>
  <si>
    <t>Science Lab – Room 316</t>
  </si>
  <si>
    <t>The auditorium is accessible and is located on the first floor. Accessible seating is provided. Stage access is not provided. The cafeteria is accessible and is located on the first floor. The gymnasium is not accessible and is located on the second floor. Assistive listening systems have been provided in the auditorium, cafeteria, and gymnasium.</t>
  </si>
  <si>
    <t>Accessible seating is available on request. Assistive listening systems have been provided.</t>
  </si>
  <si>
    <t>Not on an accessible route. Assistive listening systems have been provided.</t>
  </si>
  <si>
    <t>Boys Bathroom – Room 103</t>
  </si>
  <si>
    <t>Girls Bathroom – Room 110</t>
  </si>
  <si>
    <t>Girls Bathrooms – All Others</t>
  </si>
  <si>
    <t>The school does include central air. Air-conditioning units have been provided in classrooms.</t>
  </si>
  <si>
    <t>500 West 138 Street, Manhattan, NY 10031</t>
  </si>
  <si>
    <t>The nearest accessible subway station is the 125th Street Station (A and C trains), 0.8 miles distant. MTA bus service (M4 and M5) is also nearby. M192 does not have an accessible entrance: The main entrance is not accessible, located on 138th Street and accessed via an interior courtyard (Exit 1).</t>
  </si>
  <si>
    <t>This site does not include an elevator, preventing vertical access between floors.</t>
  </si>
  <si>
    <t>Computer Rooms – Room 221</t>
  </si>
  <si>
    <t>Main Office – Rooms 119, 207 and 318</t>
  </si>
  <si>
    <t>The auditorium is not accessible and is located on the first floor. Stage access is at grade. The cafeteria is not accessible and is located on the first floor. The gymnasium is not accessible and is located on the first floor. Assistive listening systems have not been provided in the public assembly spaces.</t>
  </si>
  <si>
    <t>Change in elevation (11 steps) prevents access. Not on an accessible route.</t>
  </si>
  <si>
    <t>This site is prevented from attaining a higher accessibility rating due to lack of accessible bathrooms throughout the building. There are accessible student bathrooms (boys and girls) available on the second floor.</t>
  </si>
  <si>
    <t>Boys Bathrooms – Room 215</t>
  </si>
  <si>
    <t>Boys Bathrooms – Rooms 109 and 315</t>
  </si>
  <si>
    <t>Girls Bathrooms – Room 213</t>
  </si>
  <si>
    <t>Girls Bathrooms – Rooms 113 and 313</t>
  </si>
  <si>
    <t>Staff Bathrooms – Rooms 117 and 233</t>
  </si>
  <si>
    <t>625 West 133 Street, Manhattan, NY 10027</t>
  </si>
  <si>
    <t>Nearest accessible subway station at 125th Street (A, B, C, D trains), 0.7mi distant, but the path to the school from the station requires travel up a steep hill; MTA bus service (M4, M5, M11) is also nearby. The accessible entrance to building M195 is not the same as the main entrance; the accessible entrance is only about 200ft from the main entrance on W. 133rd Street. The access ramp was blocked at the time of visit by staff parking on the sidewalk and bicycles being locked to the handrails. There is a doorbell at the accessible entrance, but it is not within reach (60.25 Inches), and there is no security camera. Ramp handrails on one side are low (32.5 Inches). A passenger elevator on site provides access to the 1st through 3rd floors.</t>
  </si>
  <si>
    <t>One passenger elevator provides service to all floors.</t>
  </si>
  <si>
    <t>A passenger elevator on site provides access to the first through third floors. Elevator provides audible signals on each floor.</t>
  </si>
  <si>
    <t>This site is highly accessible; all classrooms are accessible and are located on accessible routes. Braille signage is not provided throughout the building. Some hallway doors are heavy and may pose difficulty some.</t>
  </si>
  <si>
    <t>Rooms 252, and 367</t>
  </si>
  <si>
    <t>Rooms 108, 171, 261, and 303</t>
  </si>
  <si>
    <t>Nurse’s bathroom not accessible</t>
  </si>
  <si>
    <t>Rooms 147, 149, 347 and 349; Rooms 247, 249 (alt use)</t>
  </si>
  <si>
    <t>The Auditorium is accessible and is located on the second floor. The Auditorium provides accessible seating. Stage access is not provided. The Cafeteria is accessible and is located on the first floor. Accessible seating is available on request. The Gymnasium is accessible and is located on the second floor. Assistive listening systems have not been provided in the public assembly areas.</t>
  </si>
  <si>
    <t>Accessible seating is provided. Stage access is not provided.</t>
  </si>
  <si>
    <t>Accessible bathrooms (boys’ and girls’) exist on all floors of the building. Accessible staff bathrooms (male and female) are available on the second floor of the building.</t>
  </si>
  <si>
    <t>Fire Alarm System has been updated and includes strobe light feature. Fire holding rooms have been designated: 208, 308. Holding rooms include fire extinguishers and an intercom system.</t>
  </si>
  <si>
    <t>Site includes HVAC/Central Air. There are also A/C units in some classrooms.</t>
  </si>
  <si>
    <t>270 West  70 Street, Manhattan, NY 10023</t>
  </si>
  <si>
    <t>The nearest accessible subway station is the 72nd Street – Broadway Station (1, 2, and 3 trains), 0.15 miles distant. MTA bus service (M11, M57, and M72) is also nearby. The accessible entrance to M199 is not the same as the main entrance; the accessible entrance is located on West 70th Street (Exit 4). The accessible entrance is accessed via a sloped sidewalk from the street level. The accessible entrance includes a doorbell and interior ramp. The doorbell is within reach range (height 39 inches).</t>
  </si>
  <si>
    <t>Accessed via sloped sidewalk.</t>
  </si>
  <si>
    <t>Minor concrete degradation throughout. Ramp at science classroom is not accessible due to a change of elevation (1 step).</t>
  </si>
  <si>
    <t>Doors: 42 inches, Cab: 81 inches wide, 58 inches deep.</t>
  </si>
  <si>
    <t>Art Rooms – Rooms 216 and 234</t>
  </si>
  <si>
    <t>Library – Room 226-228</t>
  </si>
  <si>
    <t>Science Lab – Room 118</t>
  </si>
  <si>
    <t>The auditorium is accessible and is located on the first floor. Accessible seating is provided. Stage access is provided via corridor. The cafeteria is accessible and is located on the first floor. The gymnasium is accessible and is located on the second floor. Assistive listening systems have not been provided in the public assembly spaces.</t>
  </si>
  <si>
    <t>Stage access via corridor. Accessible seating is provided.</t>
  </si>
  <si>
    <t>Accessible seating available upon request. Serving line lacks clear path.</t>
  </si>
  <si>
    <t>This site is prevented from attaining a higher accessibility rating due to lack of accessible bathrooms throughout the building. There are accessible student (girls) bathrooms available on the second and third floors. There are accessible staff (female) bathrooms available on the first floor.</t>
  </si>
  <si>
    <t>Boys Bathrooms – Rooms 138, 215, and 315</t>
  </si>
  <si>
    <t>Interior partitions do not provide clear floor space.</t>
  </si>
  <si>
    <t>Girls Bathrooms – Rooms 221 and 321</t>
  </si>
  <si>
    <t>Single-User (Unisex) Bathrooms – Rooms 115, 335, and 337</t>
  </si>
  <si>
    <t>Interior partitions do not provide clear floor space</t>
  </si>
  <si>
    <t>Fire alarm system has been upgraded and includes a strobe light feature. Holding rooms have been specifically designated as rooms 226-228 and 328.</t>
  </si>
  <si>
    <t>2589 7 Avenue, Manhattan, NY 10039</t>
  </si>
  <si>
    <t xml:space="preserve">The nearest accessible subway station is 125 Street Station (A and D trains), 1.2 mile distant. MTA bus service (M2 and M7) is also nearby. The accessible entrance to M200 is not the same as the main entrance. The accessible entrance is located on Adam Clayton Powell Jr Boulevard (Exit 4). The accessible entrance has a ramp and security cameras. There is no doorbell at the accessible entrance, visitors will need to call in advance to gain entry. </t>
  </si>
  <si>
    <t xml:space="preserve">One passenger elevator provides access to all floors. Elevator provides audible signals on each floor. </t>
  </si>
  <si>
    <t xml:space="preserve">Doors: 47 Inches, Cabs: 88 Inches wide, 78 Inches deep.
</t>
  </si>
  <si>
    <t>Room 111 (P.S. 175)</t>
  </si>
  <si>
    <t xml:space="preserve">The auditorium is accessible located on the first floor, stage access provided via lift and accessible seating is not provided. The cafeteria is accessible located on the first floor. The gymnasium is accessible located on the second floor. Assistive listening systems have not been provided in the public assembly areas. </t>
  </si>
  <si>
    <t xml:space="preserve">There are accessible student bathrooms (boys) available on the second and third floors. There are accessible student bathrooms (girls) available on the first through third floors. There are accessible single-user (unisex) bathrooms (for student and staff use) available on the first through third floors. </t>
  </si>
  <si>
    <t>Rooms 214, and 314</t>
  </si>
  <si>
    <t>Rooms 127, 223, and 323</t>
  </si>
  <si>
    <t>Rooms 119 and 319</t>
  </si>
  <si>
    <t>accessible</t>
  </si>
  <si>
    <t xml:space="preserve">Rooms 125, 219, 221, 319, and 321 </t>
  </si>
  <si>
    <t>Fire alarm system has been upgraded and includes a strobe light feature. Holding rooms or areas of refuge have been specifically designated; Rooms 201, and 385.</t>
  </si>
  <si>
    <t>41 West 117 Street, Manhattan, NY 10026</t>
  </si>
  <si>
    <t>The nearest accessible subway station is the 125th Street Station (A, B, C, and D trains), 0.7 miles distant. MTA bus service (M7 and M102) is also nearby. Building M207 is tandem with building M149. These buildings share accessibility features on the first floor. The accessible entrance to M207 is not the same as the main entrance; the accessible entrance is located on West 118th Street (Exit 15). The accessible entrance does not include a doorbell, reception, and security cameras. Visitors may need to contact site in advance to gain access to this facility through the accessible entrance.</t>
  </si>
  <si>
    <t xml:space="preserve">This building is prevented from attaining a higher accessibility rating due to lack of accessible bathrooms throughout the building. There are accessible student bathrooms (boys and girls) available on the first floor. There are no accessible staff bathrooms (male and female) available. There are no accessible single-user (unisex) bathrooms (for student and staff use) available.  </t>
  </si>
  <si>
    <t>21 West 111 Street, Manhattan, NY 10026</t>
  </si>
  <si>
    <t>The nearest accessible subway station is the 125th Street Station (4, 5, and 5 train), 1.1 miles distant. MTA bus service (M2, M3, and M4) is also nearby. The main entrance of building M208 is not accessible due to changes in elevation and slopes upon entering the school entrance. The main entrance includes security cameras and reception. This building is a tandem building connected to Building M185. This site does not include an accessible entrance.</t>
  </si>
  <si>
    <t>Some water fountains and other wall-mounted objects protrude in the corridors more than 4 inches, which may present difficulties for individuals with visual disabilities. There are several changes of elevation on the first floor. Braille signs are not included throughout the building.</t>
  </si>
  <si>
    <t>Art Rooms – Room 354, 403 and 407</t>
  </si>
  <si>
    <t>Computer Rooms – Room 437</t>
  </si>
  <si>
    <t>Library – Rooms 208 and 260</t>
  </si>
  <si>
    <t>Main Office – Rooms 137, 177, and 415</t>
  </si>
  <si>
    <t>Nurse’s Office – Rooms 215 and 407</t>
  </si>
  <si>
    <t>Science Lab – Room 313 and 413</t>
  </si>
  <si>
    <t>The auditorium is not accessible and is located on the first floor. Stage access is not provided. Accessible seating is provided. The cafeteria is not accessible and is located on the first floor. The gymnasium is not accessible and is located on the first floor. Assistive listening systems have not been provided in the public assembly spaces.</t>
  </si>
  <si>
    <t>4600 Broadway, Manhattan, NY 10040</t>
  </si>
  <si>
    <t xml:space="preserve">The nearest accessible subway station is the 207th Street Station (A train), 0.7 miles distant. MTA bus service (M100, Bx7, Bx12, Bx20, and BxM1), is also nearby. The accessible entrance to building M218 is not the same as the main entrance; the accessible entrance is reached via exterior ramp provides access located at the corner of Broadway and West 196th Street. The accessible entrance includes a doorbell and security cameras. </t>
  </si>
  <si>
    <t>Slightly high vertical transition at alternate entrance door.</t>
  </si>
  <si>
    <t>Braille signage is not provided in the building.</t>
  </si>
  <si>
    <t>Two passenger elevators provide access to all floors. Elevators provide audible signals on all floors.</t>
  </si>
  <si>
    <t xml:space="preserve">E1 and E2 
Doors: 41 inches; Cabs: 56.5 inches deep, 80 inches wide. 
</t>
  </si>
  <si>
    <t xml:space="preserve">This site is highly accessible; all classrooms and educational spaces are accessible and are located along accessible routes. </t>
  </si>
  <si>
    <t>Basement, and Second through Fifth Floors</t>
  </si>
  <si>
    <t>Rooms B23, and 310</t>
  </si>
  <si>
    <t xml:space="preserve">Rooms 125, 420, and 
521
</t>
  </si>
  <si>
    <t xml:space="preserve">Rooms 312, 314, 410, 
412, and 414; Rooms 
310 and 408
</t>
  </si>
  <si>
    <t>The auditorium is accessible and is located on the first floor. Stage access is provided via lift. Accessible seating is provided. The cafeteria spaces are accessible and are located on the first floor. The gymnasium is accessible and is located on the second floor. Assistive listening systems have not been provided in the public assembly spaces.</t>
  </si>
  <si>
    <t xml:space="preserve">Accessible seating is provided. Stage access is provided via lift.  </t>
  </si>
  <si>
    <t>Accessible seating provided upon request.</t>
  </si>
  <si>
    <t>Accessible student bathrooms (boys and girls) are available on all floors. Accessible staff bathrooms (male and female) are available on all floors.</t>
  </si>
  <si>
    <t>Fire Alarm System is in the process of being updated to include a strobe light feature. Holding rooms have been specifically designated as rooms 229, 329, 429, 527.</t>
  </si>
  <si>
    <t>This site does not include central air. Air-conditioning units provided in classrooms.</t>
  </si>
  <si>
    <t>71-111 Convent Ave, Manhattan, NY 10027</t>
  </si>
  <si>
    <t>The nearest accessible subway station is 125 Street Station (A, B, C, and D trains), 0.4 miles distant. MTA bus service (M11, M100, M101, and M104) is also nearby. The accessible entrance to M223 is the same as the main entrance; the accessible entrance is located on Convent Avenue. The accessible entrance includes a doorbell, security cameras, and reception. The doorbell is not within reach range (height 65 inches).</t>
  </si>
  <si>
    <t>One passenger elevator provides access to all floors. Elevator includes audible signal on each floor.</t>
  </si>
  <si>
    <t>Doors: 31 inches</t>
  </si>
  <si>
    <t xml:space="preserve">This site is moderately accessible; some classrooms are accessible and located on accessible routes. </t>
  </si>
  <si>
    <t>Elevator in building may prevent access to other floors for some due to narrow doors.</t>
  </si>
  <si>
    <t xml:space="preserve">The cafeteria is not accessible and is located on the fourth floor. Assistive listening systems have not been provided in the public assembly areas.  </t>
  </si>
  <si>
    <t>Elevator in building may prevent access to other floors for some due to narrow doors. Accessible seating available upon request.</t>
  </si>
  <si>
    <t>There are accessible student bathrooms (boys) available on the third floor. There is an accessible staff bathroom available on the second floor. Elevator in building may prevent access to these floors for some due to narrow doors.</t>
  </si>
  <si>
    <t>292 Greenwich Street, Manhattan, NY 10007</t>
  </si>
  <si>
    <t xml:space="preserve">The nearest accessible subway station is the Chambers Street Station (1, 2, and 3 trains), 0.13 miles distant. MTA bus service (M9, M20, and M22) is also nearby. The main entrance of M234 is accessible, located on Greenwich Street (Exit #2). The accessible entrance includes a doorbell and reception. The doorbell is not within reach range (Height 57 Inches). The accessible entrance does not include security cameras. </t>
  </si>
  <si>
    <t xml:space="preserve">One passenger elevator provides access to all floors. Elevator does not include audible signals on all floors. </t>
  </si>
  <si>
    <t xml:space="preserve">Doors: 40 Inches, Cab: 80 Inches wide, 51 Inches deep. </t>
  </si>
  <si>
    <t xml:space="preserve">The auditorium is accessible and is located on the second floor. Stage access is provided via lift. Accessible seating is provided. The cafeteria is accessible and is located on the first floor. The gymnasium is accessible and is located on the first floor. Assistive listening systems have not been provided in the public assembly spaces. </t>
  </si>
  <si>
    <t xml:space="preserve">There are accessible staff bathrooms (male and female) available on the first floor. There are no accessible staff bathrooms in the building. </t>
  </si>
  <si>
    <t>Rooms 107, 217, and 317</t>
  </si>
  <si>
    <t>Rooms 105, 221, and 321</t>
  </si>
  <si>
    <t>Rooms 117 and 119</t>
  </si>
  <si>
    <t>Rooms 205, and 307</t>
  </si>
  <si>
    <t>Classrooms 116, 118, 120, and 122</t>
  </si>
  <si>
    <t xml:space="preserve">Multi-user. Interior partitions do not provide clear space.   </t>
  </si>
  <si>
    <t xml:space="preserve">Fire alarm system is legacy and does not include a strobe light feature. Holding rooms have been specifically designated as rooms 211, and 311. </t>
  </si>
  <si>
    <t>202 Sherman Ave, Manhattan, NY 10034</t>
  </si>
  <si>
    <t>The nearest accessible subway station is the 207th Street Station (A train), 0.15 miles distant. MTA bus service (Bx7 and M100) is also nearby. The main entrance of M263 is accessible, located on Sherman Avenue (Exit 1). The accessible entrance includes a doorbell, security cameras, and reception. The doorbell is not within reach range (height 49 inches).</t>
  </si>
  <si>
    <t xml:space="preserve">Doors: 48 Inches, Cabs: 67 Inches wide, 87 Inches deep. </t>
  </si>
  <si>
    <t>Rooms 420A/B and 524</t>
  </si>
  <si>
    <t>Room 211A</t>
  </si>
  <si>
    <t>Rooms 202 (alternate use) and 502</t>
  </si>
  <si>
    <t>This site does not include an auditorium; the gymnasium fulfills this function. The gymnasium is accessible and is located in the cellar. Stage access is provided via ramp. Accessible seating is provided. The cafeteria is accessible and is located in the cellar. Assistive listening systems have not been provided in the public assembly spaces.</t>
  </si>
  <si>
    <t xml:space="preserve">Stage access is provided via ramp. Accessible seating is provided. </t>
  </si>
  <si>
    <t>Rooms C10, 218, 318, 418, and 518</t>
  </si>
  <si>
    <t>Rooms C08, 212, 312, 412, and 512</t>
  </si>
  <si>
    <t>Rooms C18, 114, 116, 203C, 214, 314, 414, and 514</t>
  </si>
  <si>
    <t xml:space="preserve">Room 203C is located in the nurse’s office. </t>
  </si>
  <si>
    <t>Classrooms 101A, 102A, 103A, and 104A</t>
  </si>
  <si>
    <t xml:space="preserve">Fire alarm system has been upgraded and includes a strobe light feature. Holding rooms have been specifically designated as rooms c16A, 103, 205, 305, 405, 505. </t>
  </si>
  <si>
    <t xml:space="preserve">This site includes central air. Temperature units are provided in classrooms. </t>
  </si>
  <si>
    <t>213 East 63Rd Street, Manhattan, NY 10065</t>
  </si>
  <si>
    <t xml:space="preserve">The nearest accessible subway station is the Lexington Avenue – 63rd Street Station (F, Q, and R trains), 0.13 miles distant. MTA bus service (BxM1, M15, M101, M102, and M103) is also nearby. The main entrance of M267 is accessible, located on East 63rd Street (Exit #1). The accessible entrance includes a doorbell, a ramp, and reception. The doorbell is not within reach range (Height 60 Inches). </t>
  </si>
  <si>
    <t xml:space="preserve">Ramped access from cafeteria to play yard. </t>
  </si>
  <si>
    <t xml:space="preserve">Some door saddles are high, which may be difficult for some users to navigate. Some water fountains and other wall-mounted objects protrude in to the corridors more than 4 inches, which may present difficulties for individuals with visual disabilities. Braille signs are included throughout the building.  </t>
  </si>
  <si>
    <t xml:space="preserve">Three passenger elevators provide access throughout the building: Two passenger elevators provide access between the basement and sixth floors, and another passenger elevator provides access between the sixth and eighth floors. Elevators include audible signals on each floor. </t>
  </si>
  <si>
    <t xml:space="preserve">E1 and E2 
Doors: 48 Inches, Cabs: 66 Inches wide, 92 Inches deep. 
E3 
Doors: 36 Inches. Elevator was out of service at time of visit. </t>
  </si>
  <si>
    <t xml:space="preserve">This site does not include an auditorium; the gymnasium fulfills this function. The gymnasium is accessible and is located on the sixth floor. Accessible seating is provided. The cafeteria is accessible and is located in the cellar. Assistive listening systems have been provided in the cafeteria and gymnasium. </t>
  </si>
  <si>
    <t xml:space="preserve">There are accessible student bathrooms available on all floors. There are accessible single-user (unisex) bathrooms (for student and staff use) available on all floors.   </t>
  </si>
  <si>
    <t>Rooms C09, 204, 304, 404, and 603</t>
  </si>
  <si>
    <t>Rooms C13, 202, 302, 402, and 605</t>
  </si>
  <si>
    <t xml:space="preserve">Rooms C6, C11, 114, 102, 104, 105, 107,  210, 410, 502, 504, and 510 </t>
  </si>
  <si>
    <t xml:space="preserve">Available for student and staff use.   Room 107 is located inside room 109. </t>
  </si>
  <si>
    <t>Room 606</t>
  </si>
  <si>
    <t xml:space="preserve">Available for student and staff use. Interior dimensions prevent access. Sink location impedes full door swing. </t>
  </si>
  <si>
    <t xml:space="preserve">Fire alarm system has been upgraded and includes a strobe light feature. Holding rooms have been specifically designated as rooms C08 (Cafeteria), 205, 305, 405, 505, and 602 (Gymnasium). </t>
  </si>
  <si>
    <t xml:space="preserve">This site includes central air. Temperature control units are provided in classrooms. </t>
  </si>
  <si>
    <t>645 Main Street, Manhattan, NY 10044</t>
  </si>
  <si>
    <t>The nearest accessible subway station is the Roosevelt Island Station (F train), 0.43 miles distant. MTA bus service (Q102) is also nearby. The main entrance of M271 is accessible, located on Main Street (Exit 1). The accessible entrance includes a doorbell and reception. The accessible entrance does not include security cameras. The doorbell is not within reach range (height 51 inches).</t>
  </si>
  <si>
    <t>Cross slope on approach from street</t>
  </si>
  <si>
    <t xml:space="preserve">Two elevators provide service to all floors. Elevators include audible signals on each floor.  </t>
  </si>
  <si>
    <t xml:space="preserve">E1:
Doors: 51 inches, Cab: 123 inches wide, 72 inches deep.
E2:
Doors: 43 inches, Cab: 80 inches wide, 51 inches deep.
</t>
  </si>
  <si>
    <t>Room 170</t>
  </si>
  <si>
    <t>Rooms 319 and 404</t>
  </si>
  <si>
    <t>Room 260</t>
  </si>
  <si>
    <t>Rooms 308 and 313</t>
  </si>
  <si>
    <t>The auditorium is accessible and is located on the second floor. Stage access is provided via corridor. Accessible seating is provided. The cafeteria is accessible and is located on the first floor. The gymnasium is accessible and is located in the basement. Assistive listening systems have been provided in the auditorium.</t>
  </si>
  <si>
    <t xml:space="preserve">Stage access is provided via corridor. Accessible seating is provided. Assistive listening systems have been provided.
</t>
  </si>
  <si>
    <t>There are accessible single-user (unisex) bathrooms (for student and staff use) available on all floors. There are accessible single-user (unisex) bathrooms (for student and staff use) available in the second-floor classrooms.</t>
  </si>
  <si>
    <t>Rooms Basement Hallway, B42, Cafeteria, 215, 242, 315, and 415</t>
  </si>
  <si>
    <t xml:space="preserve">Interior partitions do not provide clear space. Ambulatory stalls. </t>
  </si>
  <si>
    <t>Rooms Basement Hallway, B44, Cafeteria, 206, 241, 306, and 406</t>
  </si>
  <si>
    <t>Rooms Basement Hallway, 102, 103, 140B, 210, 311, 316, 411, and 416</t>
  </si>
  <si>
    <t xml:space="preserve">Room 140B is located inside the nurse’s office.  </t>
  </si>
  <si>
    <t>Second-Floor Classrooms</t>
  </si>
  <si>
    <t xml:space="preserve">Fire alarm system has been upgraded and includes a strobe light feature. Holding rooms have been specifically designated as rooms 219. </t>
  </si>
  <si>
    <t>55 Battery Place, Manhattan, NY 10280</t>
  </si>
  <si>
    <t xml:space="preserve">The nearest accessible subway station is the Cortlandt Street Station (N, R, and W trains), 0.47 miles distant. MTA bus service (M20) is also nearby. The main entrance to building M276 is accessible, located on Battery Place (Exit 1), with ramped access from the corner of First Place. The accessible entrance includes a ramp, security camera, reception, and a doorbell. The doorbell is within reach range (height 47 inches). </t>
  </si>
  <si>
    <t>Some water fountains and other wall-mounted objects protrude in the corridors more than 4 inches, which may present difficulties for individuals with visual disabilities. Braille signs are included throughout the building.</t>
  </si>
  <si>
    <t xml:space="preserve">Three passenger elevators provide access to all floors. Elevators include audible signals on each floor.  </t>
  </si>
  <si>
    <t xml:space="preserve">E1, E2, and E3  
Doors: 48 inches, Cabs: 66 inches wide, 92 inches deep. </t>
  </si>
  <si>
    <t>Rooms 610 and 613</t>
  </si>
  <si>
    <t>Room 601</t>
  </si>
  <si>
    <t>Rooms 103 (02M276) and 210 (75M094)</t>
  </si>
  <si>
    <t>Rooms 410 and 807</t>
  </si>
  <si>
    <t xml:space="preserve">The auditorium is accessible and is located on the first floor. Stage access is not provided. Accessible seating is provided. The cafeteria is accessible and is located on the third floor. The gymnasium is accessible and is located on the first floor. Assistive listening systems have not been provided in the public assembly spaces. </t>
  </si>
  <si>
    <t>There are accessible student bathrooms (boys and girls) available on the first, second, and fourth through eighth floors. There are accessible staff bathrooms (male and female) available on the second, and fourth through eighth floors. There are accessible single-user (unisex) bathrooms (for student and staff use) available on the first through third floors.</t>
  </si>
  <si>
    <t>Rooms 114A, 226, 418, 518, 618, 718, and 818</t>
  </si>
  <si>
    <t>Rooms 114C, 224, 414, 514, 614, 714, and 814</t>
  </si>
  <si>
    <t>Rooms 208, 213, 402, 517A, 602, 702, and 802</t>
  </si>
  <si>
    <t>Rooms 106, 216, 219, and 312</t>
  </si>
  <si>
    <t xml:space="preserve">Fire alarm system has been upgraded and includes a strobe light feature. Holding rooms have been specifically designated as rooms 221, 313, 413, 513, 613, 713, and 813. </t>
  </si>
  <si>
    <t xml:space="preserve">The site includes central air. Temperature control units provided in classrooms. </t>
  </si>
  <si>
    <t>425 East 35 Street, Manhattan, NY 10016</t>
  </si>
  <si>
    <t xml:space="preserve">The nearest accessible subway station is the Grand Central – 42nd Street Station (4, 5, 6, and 7 trains), 0.58 miles distant. MTA bus service (M15 and M34-SBS) is also nearby. The main entrance of M281 is accessible, located on East 35th Street (Exit 1). The accessible entrance includes a ramp, doorbell, security cameras, and reception. The doorbell is within reach range (height 48 inches).  </t>
  </si>
  <si>
    <t>Ramped access from street level to first-floor entry and play yard.</t>
  </si>
  <si>
    <t xml:space="preserve">E1 and E2 
Doors: 48 inches, Cabs: 80 inches wide, 64 inches deep.
</t>
  </si>
  <si>
    <t>Rooms 401, and 609</t>
  </si>
  <si>
    <t xml:space="preserve">Rooms 108, and 416B </t>
  </si>
  <si>
    <t>Rooms 320, 625, and 627</t>
  </si>
  <si>
    <t>This site does not include an auditorium; the second-floor gymnasium fulfills this function. The second-floor gymnasium is accessible. Accessible seating is provided. Stage access is provided via lift and via corridor. The cafeteria spaces are accessible and are located on the first floor. The fourth-floor gymnasium is accessible. This site includes accessible playgrounds on the first floor and on the roof. Assistive listening systems have been provided in the in the gymnasiums.</t>
  </si>
  <si>
    <t>First Floor (Students and Staff)</t>
  </si>
  <si>
    <t xml:space="preserve">Accessible seating available upon request. Food service line does not provide clear path._x000D_
</t>
  </si>
  <si>
    <t xml:space="preserve">Stage access is provided via lift and via corridor. Accessible seating is provided. Assistive listening systems have been provided._x000D_
</t>
  </si>
  <si>
    <t xml:space="preserve">There are accessible student bathrooms (boys and girls) available on all floors. Accessible staff bathrooms (male and female) are available on all floors. Accessible single-user (unisex) bathrooms (available for students and staff) are available on all floors. </t>
  </si>
  <si>
    <t>111B, 211, 311, 403D, 411, 511, and 611</t>
  </si>
  <si>
    <t>Rooms 111C, 215, 315, 403E, 415, 515, and 615</t>
  </si>
  <si>
    <t>Rooms 203, 205, 213, 229B, 229C, 301A, 313, 325B, 325C, 403C, 410A, 412A, 421, 513, and 613</t>
  </si>
  <si>
    <t xml:space="preserve">Available for student and staff use._x000D_
</t>
  </si>
  <si>
    <t>Multi-User Bathrooms Located in Classrooms – Rooms 200A, 210A</t>
  </si>
  <si>
    <t>Fire alarm system has been upgraded and includes a strobe light feature. Holding rooms have been specifically designated as rooms 210, 310, 410, 510, and 610.</t>
  </si>
  <si>
    <t>26 Broadway, Manhattan, NY 10004</t>
  </si>
  <si>
    <t>The nearest accessible subway station is Bowling Green Station (4 and 5), 0.05 miles distant; MTA bus service (M15 and M20) is also nearby. The accessible entrance to building M282 is not the same as the main entrance, located down the block from the main entrance at 5 Beaver Street. The accessible entrance includes security cameras and reception. The accessible entrance does not include a doorbell. Access requires passage through a neighboring building entrance and through alarmed doors that must be deactivated by security personnel; visitors may want to contact the site prior to arrival.</t>
  </si>
  <si>
    <t>This site occupies the first, second, and fourth through seventh floors of a leased building.</t>
  </si>
  <si>
    <t>Two passenger elevators and two freight elevators provide service to all floors. Elevators include audible signals on all floors.</t>
  </si>
  <si>
    <t>Doors: 48 inches wide; Cabs: 66 inches deep, 94 inches wide.</t>
  </si>
  <si>
    <t>Slightly narrow landing width and ramp slopes may pose difficulty for some.</t>
  </si>
  <si>
    <t>Classrooms – Ground, First, Second, Fourth Through Seventh Floors</t>
  </si>
  <si>
    <t>Library – Rooms 102, 519 and 711</t>
  </si>
  <si>
    <t>Main Office – Rooms G01, 511 and 613</t>
  </si>
  <si>
    <t>Nurse’s Office – Rooms 133 and 509A</t>
  </si>
  <si>
    <t>Science Lab – Rooms 230, 234, 236, 525, 527, 627 and 723</t>
  </si>
  <si>
    <t>This site does not include an auditorium. The cafeterias are accessible and are located on the first, fifth, and seventh floors. The gymnasium is accessible and is located on the first floor. Assistive listening systems have not been provided in the public assembly spaces.</t>
  </si>
  <si>
    <t>Cafeteria – First, Fifth, and Seventh Floors</t>
  </si>
  <si>
    <t>Fire alarm system has been updated and includes a strobe light feature. Fire holding rooms have been designated as rooms 407, 507, 607, 725.</t>
  </si>
  <si>
    <t>75 Morton Street, Manhattan, NY 10014</t>
  </si>
  <si>
    <t>The nearest accessible subway station is West 4th Street Station (A, B, C, D, E, F, and M trains), 0.37 miles distant. MTA bus service (M20) is also nearby. The main entrance is accessible, located on Morton Street (Exit 1). The accessible entrance includes a doorbell, security cameras, and reception. The doorbell is within reach range (height 46 inches).</t>
  </si>
  <si>
    <t xml:space="preserve">Doors: 48 Inches, Cabs: 87 Inches wide, 65 Inches deep. </t>
  </si>
  <si>
    <t>Rooms 701, 703, 705, and 707</t>
  </si>
  <si>
    <t>Rooms 321, 323, 421, 423, 521, 523</t>
  </si>
  <si>
    <t xml:space="preserve">This site does not include an auditorium or a gymnasium; the multi-purpose room fulfills these functions. The multi-purpose room is accessible and is located on the sixth floor. Accessible seating is provided. Stage access provided via lift. The cafeteria spaces are accessible and are located on the first and sixth floors.  Assistive listening systems have been provided in the multi-purpose room and cafeteria spaces. </t>
  </si>
  <si>
    <t>First Floor (Students), and Sixth Floor (Staff)</t>
  </si>
  <si>
    <t xml:space="preserve">There are accessible student bathrooms (boys and girls) available on the first through sixth floors. There are accessible single-user (unisex) bathrooms (available for students and staff) available on all floors. </t>
  </si>
  <si>
    <t>Rooms 111, 213, 309, 409, 509, and 605</t>
  </si>
  <si>
    <t>Rooms 107, 211, 307, 407, 507, and 609</t>
  </si>
  <si>
    <t>Rooms C05, C07, C09, 106, 108, 208, 210, 213, 306, 308, 406, 408, 506, 508, and 608</t>
  </si>
  <si>
    <t xml:space="preserve">Fire alarm system has been upgraded and includes a strobe light feature. Holding rooms have been specifically designated as rooms 205, 305, 412, 505, and 603. </t>
  </si>
  <si>
    <t>The site includes central air. Temperature control units have been provided in classrooms.</t>
  </si>
  <si>
    <t>525 West 44Th Street, Manhattan, NY 10036</t>
  </si>
  <si>
    <t>The nearest accessible subway station is the Times Square – 42nd Street Station (N, Q, R, W, 1, 2, 3, and 7 trains), 0.68 miles distant. MTA bus service (M11, M12, and M42) is also nearby. The main entrance of M338 is accessible, located on West 44th Street (Exit 1). The accessible entrance includes a doorbell, security cameras, and a security desk. The doorbell is not within reach range (height 51 inches).</t>
  </si>
  <si>
    <t xml:space="preserve">Doors: 48 Inches, Cabs: 79 Inches wide, 63 Inches deep. </t>
  </si>
  <si>
    <t>Room 520</t>
  </si>
  <si>
    <t>Room 524</t>
  </si>
  <si>
    <t>Rooms 119 (PS051), and 314 (PS094)</t>
  </si>
  <si>
    <t>Room 219CFG</t>
  </si>
  <si>
    <t>Rooms 419, 421, 519, 519A</t>
  </si>
  <si>
    <t xml:space="preserve">This site does not include an auditorium; the multi-purpose room fulfills this function. The multi-purpose room is accessible and is located on the first floor. Accessible seating is provided. Stage access is provided via lift. The cafeterias are accessible and are located in the basement. The gymnasium is accessible and is located on the third floor. Assistive listening systems have been provided the gymnasium and multi-purpose room. </t>
  </si>
  <si>
    <t xml:space="preserve">Stage access is provided via lift. Accessible seating is provided. Assistive listening systems have been provided._x000D_
</t>
  </si>
  <si>
    <t>There are accessible student bathrooms (boys and girls) available on all floors. There are accessible single-user (unisex) bathrooms (available for students and staff) available on all floors.</t>
  </si>
  <si>
    <t>Rooms C17, 117, 217, 317, 417, and 517</t>
  </si>
  <si>
    <t>Rooms C15, 115, 215, 315, 415, and 515</t>
  </si>
  <si>
    <t>Rooms C06, C08, 101A, 105, 114D, 114E, 219D, 227A, 302, 308, 318, 418, 518</t>
  </si>
  <si>
    <t xml:space="preserve">Fire alarm system has been upgraded and includes a strobe light feature. Holding rooms have been specifically designated as rooms C18, 207, 311A, 311B, and 507. </t>
  </si>
  <si>
    <t>The site includes central air. Temperature control units are provided in classrooms.</t>
  </si>
  <si>
    <t>590 Sixth Avenue, New York, NY 10011</t>
  </si>
  <si>
    <t xml:space="preserve">The nearest accessible subway station is 14th Street Station (A, C, E, and L trains), 0.37 miles distant. MTA bus service (M1, M2, M3, M7, and M55) is also nearby. The main entrance to building M340 is accessible, located on West 17th Street. The accessible entrance includes a doorbell, security cameras, and a security desk. The doorbell is not within reach range (Height 55 Inches). </t>
  </si>
  <si>
    <t xml:space="preserve">This site includes three elevators: Two passenger elevators provide service to all floors of the building. One passenger elevator provides service to the first through the fifth floors. Elevators include audible signals on each floor. There is an interior ramp on the first floor, from the main lobby corridor to the cafeteria. </t>
  </si>
  <si>
    <t xml:space="preserve">Doors: 60 Inches, Cabs: 70 Inches wide, 90 Inches deep. </t>
  </si>
  <si>
    <t xml:space="preserve">Ramped access from main corridor to the cafeteria. </t>
  </si>
  <si>
    <t xml:space="preserve">This site is highly accessible; all classrooms are accessible, and are located along accessible routes </t>
  </si>
  <si>
    <t>Room Room 608</t>
  </si>
  <si>
    <t>Room 418</t>
  </si>
  <si>
    <t>Rooms 212 and 214 (Sixth Avenue Elementary), 312 (M094), and 514B/C (District 2 Pre-K)</t>
  </si>
  <si>
    <t>Rooms 612, and 614</t>
  </si>
  <si>
    <t xml:space="preserve">The auditorium is accessible and is located in the basement. The auditorium provides accessible seating. Stage access is provided via built-in ramp. The cafeteria is accessible and is located on the first floor. The gymnasium is accessible and is located on the sixth floor. The multi-purpose room is accessible and is located on the sixth floor. Assistive listening systems have been provided in the auditorium, cafeteria, and gymnasium. </t>
  </si>
  <si>
    <t xml:space="preserve">Stage access via ramp. Accessible seating is provided. Assistive listening systems have been provided.  </t>
  </si>
  <si>
    <t>First Floor (Students and Staff), and Second Floor (Staff)</t>
  </si>
  <si>
    <t xml:space="preserve">There are accessible student bathrooms (boys and girls) available on the first, third, fourth, and fifth floors. There are accessible staff bathrooms (male and female) available on second, third, and fourth floors. There are accessible bathrooms (male and female), located in the basement, available for student and staff use. Accessible single-user (unisex) bathrooms (for student and staff use) available on the second, third, and fourth floors. </t>
  </si>
  <si>
    <t>Rooms C07B, 103A, 201, 301, 401, 501, and 616</t>
  </si>
  <si>
    <t>Rooms C07A, 103B, 205, 305, 505, and 620</t>
  </si>
  <si>
    <t>Rooms 201 and 205</t>
  </si>
  <si>
    <t>Bathrooms – Rooms 315, and 415</t>
  </si>
  <si>
    <t xml:space="preserve">Fire alarm system has been upgraded and includes a strobe light feature. Holding rooms have been specifically designated as rooms 202, 302, 402, 502, and 602. Areas of refuge have been specifically designated as Elevator Lobby D. </t>
  </si>
  <si>
    <t>300 West 61St Street, New York, NY 10023</t>
  </si>
  <si>
    <t>The nearest accessible subway station is the 59 Street – Columbus Circle Station (A, B, C, D, 1, and 2 trains), 0.54 miles distant. MTA bus service (M57) is also nearby. The main entrance of M342 is accessible, located on West 61st Street (Exit 1). The accessible entrance includes a doorbell, security cameras, and a security desk. Doorbell is within reach range (height 47 inches).</t>
  </si>
  <si>
    <t>Accessible entrance leads into reception lobby. Access to the first floor is provided via interior lift.</t>
  </si>
  <si>
    <t xml:space="preserve">E1 and E2 
Doors: 48 inches, Cabs: 68 inches wide, 76 inches deep.
</t>
  </si>
  <si>
    <t>Rooms 329, and 333</t>
  </si>
  <si>
    <t>Rooms 339, and 341</t>
  </si>
  <si>
    <t xml:space="preserve">This site does not include an auditorium; the multi-purpose room fulfills this function. The multi-purpose room is accessible and is located on the third floor. Stage access is provided via lift. Accessible seating is provided. The cafeteria spaces are accessible and are located on the first and fourth floors. The gymnasium is accessible and is located on the second floor. Assistive listening systems have been provided in the gymnasium. </t>
  </si>
  <si>
    <t>First Floor (Students), and Fourth Floor (Staff)</t>
  </si>
  <si>
    <t xml:space="preserve">Stage access is provided via lift. Accessible seating is provided._x000D_
</t>
  </si>
  <si>
    <t>There are accessible student bathrooms (boys and girls) available on all floors. There are accessible staff bathrooms (male and female) available on all floors. There are accessible single-user (unisex) bathrooms (available for students and staff) available on all floors. There are accessible single-user (unisex) bathrooms (available for students and staff) available throughout several classrooms on the second floor.</t>
  </si>
  <si>
    <t>Rooms 101B, 218, 318, and 418</t>
  </si>
  <si>
    <t>Rooms 101A, 216, 316, and 416</t>
  </si>
  <si>
    <t>Male Staff Bathrooms – Rooms 226, and 422</t>
  </si>
  <si>
    <t>Female Staff Bathrooms – Rooms 228, and 421</t>
  </si>
  <si>
    <t>Rooms 103, 220B, and 322A</t>
  </si>
  <si>
    <t xml:space="preserve">Room 220B is located inside the nurse’s office. Room 322A is located inside the teachers’ lounge. </t>
  </si>
  <si>
    <t>Fire alarm system has been upgraded and includes a strobe light feature. Holding rooms or areas of refuge have been specifically designated; Rooms 211, 311, and 411.</t>
  </si>
  <si>
    <t>1 Peck Slip, Manhattan, NY 10038</t>
  </si>
  <si>
    <t>The nearest accessible subway station is the Fulton Street Station (2 and 3 trains), 0.25 miles distant. MTA bus service (BM1, BM2, BM3, BM4, QM7, QM8, QM11, QM25, SIM5, SIM15, and SIM35) is also nearby. The main entrance of M343 is accessible, located on Peck Slip. The accessible entrance includes a doorbell, security cameras, and a security desk. The doorbell is within reach range (height 46 inches).</t>
  </si>
  <si>
    <t>E1 and E2 
Doors: 54 inches, Cabs: 102 inches wide, 74 inches deep.</t>
  </si>
  <si>
    <t>Room 522</t>
  </si>
  <si>
    <t>Rooms 512, and 514</t>
  </si>
  <si>
    <t xml:space="preserve">This site does not include an auditorium; the multi-purpose room fulfills this function. The multi-purpose room is accessible and is located on the fifth floor. Stage access is provided via lift. Accessible seating is provided. The cafeteria is accessible and is located on the first floor. Assistive listening systems have been provided in the multi-purpose room and cafeteria. </t>
  </si>
  <si>
    <t xml:space="preserve">Accessible seating available upon request. Assistive listening systems have been provided._x000D_
</t>
  </si>
  <si>
    <t xml:space="preserve">There are accessible student bathrooms (boys and girls) available on all floors. There are accessible single-user (unisex) bathrooms (available for students and staff) available on all floors. </t>
  </si>
  <si>
    <t>Rooms 116B, 223, 315, 415, 519, and 615</t>
  </si>
  <si>
    <t>Rooms 116C, 225, 313, 413, 513, and 613</t>
  </si>
  <si>
    <t>Rooms 109, 113, 202A, 204A, 208A, 210A, 214A, 218A, 222A, 226A, 231, 233, 301, 305, 401, 405, 501, 505, 601, and 605</t>
  </si>
  <si>
    <t xml:space="preserve">Available for student and staff use. Rooms ending with “A” are located inside corresponding classrooms. </t>
  </si>
  <si>
    <t xml:space="preserve">Fire alarm system has been upgraded and includes a strobe light feature. Holding rooms have been specifically designated as rooms 302, 402, 502, and 622. </t>
  </si>
  <si>
    <t>508 West 153Rd Street, Manhattan, NY 10031</t>
  </si>
  <si>
    <t xml:space="preserve">The nearest accessible subway station is the 168th Street Station (A, C, and 1 trains) 0.9 miles distant. MTA bus service (M4, M5, M100, M101, and Bx6) is also nearby. The main entrance to building M380 is accessible, located on West 153rd Street (Exit 1). The accessible entrance does not include a doorbell or security cameras. </t>
  </si>
  <si>
    <t>Braille signage is provided throughout the building.</t>
  </si>
  <si>
    <t>A lift located at the entrance provides access between the basement and the ground floor, providing access to the cafeteria and accessible bathrooms in the basement. Otherwise, this site does not include an elevator, preventing access to floors other than the first floor.</t>
  </si>
  <si>
    <t xml:space="preserve">This site is moderately accessible; all classrooms and educational spaces located in the basement and on the ground floors are accessible and are located along accessible routes. </t>
  </si>
  <si>
    <t>Room 412</t>
  </si>
  <si>
    <t>This site does not include an auditorium or a gymnasium; the cafeteria fulfills these functions. The cafeteria is accessible and is located in the basement. Stage access is not provided. Accessible seating is provided. Assistive listening systems have not been provided in the public assembly spaces.</t>
  </si>
  <si>
    <t xml:space="preserve">Accessible seating is available upon request. Stage access is not provided._x000D_
</t>
  </si>
  <si>
    <t>There are accessible single-user (unisex) bathrooms (for student and staff use) available in the basement. This site is prevented from attaining a higher accessibility rating due to lack of accessible staff bathrooms throughout the building.</t>
  </si>
  <si>
    <t>Lack of clear path at entry</t>
  </si>
  <si>
    <t>Rooms C03 and C05</t>
  </si>
  <si>
    <t xml:space="preserve">Fire alarm system has been updated and includes strobe light feature. Fire holding rooms have been designated as rooms 104, 204, 304, and 404. </t>
  </si>
  <si>
    <t>461 West 131 Street, Manhattan, NY 10027</t>
  </si>
  <si>
    <t>The nearest accessible subway station is the 125th Street Station (A, B, C, and D trains), 0.4 miles distant. MTA bus service (M11, M100, and M101) is also nearby. The main entrance is not accessible due a change in elevation, located on 131st Street (Exit 1). The main entrance includes a doorbell, security cameras, and reception. The doorbell is not within reach range (height 53 inches). This site does not include an accessible entrance.</t>
  </si>
  <si>
    <t>This site does not include an auditorium or gymnasium. The cafeteria is not accessible and is located on the first floor. Assistive listening systems have not been provided in the public assembly spaces.</t>
  </si>
  <si>
    <t>408 East 67Th Street, Manhattan, NY 10065</t>
  </si>
  <si>
    <t>The nearest accessible subway station is Lexington Av-63 Street Station (F, N, Q, and R trains), 0.5 miles distant. MTA bus service (M15 and M31) is also nearby. Building M390 is the secondary location for primary building M183. The main entrance to M390 is accessible, located on 67th Street (Exit 7). The accessible entrance does not include a doorbell, security cameras, or reception. Visitors may need to contact the site prior to gain access to facility through accessible entrance.</t>
  </si>
  <si>
    <t>This site occupies a single floor and does not include an elevator. Lack of elevator does not prevent access.</t>
  </si>
  <si>
    <t>This site is highly accessible; all educational areas located on the first floor are accessible and are located along accessible routes.</t>
  </si>
  <si>
    <t>Art Rooms – Room 103</t>
  </si>
  <si>
    <t>Located in primary building M183.</t>
  </si>
  <si>
    <t>Not on an accessible route. Located in primary building M183.</t>
  </si>
  <si>
    <t>Main Office – Room 204</t>
  </si>
  <si>
    <t>Nurse’s Office – Room 205</t>
  </si>
  <si>
    <t>This site is a public assembly space that functions as the gymnasium for primary building M183. The other public assembly space, the cafeteria, is located in primary building M183. Assistive listening systems have not been provided in the public assembly areas.</t>
  </si>
  <si>
    <t>Located in primary building M183. Accessible seating available upon request.</t>
  </si>
  <si>
    <t>There is are student bathrooms (girls and boys) available within the gymnasium.</t>
  </si>
  <si>
    <t>260 Pleasant Avenue, Manhattan, NY 10029</t>
  </si>
  <si>
    <t>The nearest accessible subway station is the 125th Street Station (4, 5, and 6 trains), 1.0 mile distant. MTA bus service (M15 and M116) is also nearby. The main entrance to building M435 is accessible, located on Pleasant Avenue. The accessible entrance includes a lift. The accessible entrance does not include a doorbell or security cameras; visitors should contact the site prior to arrival.</t>
  </si>
  <si>
    <t>Signs with braille are provided throughout the building but require replacement. Hallway doors are heavy and may pose a problem for those with limited upper body strength.</t>
  </si>
  <si>
    <t>Art Room – Room 335</t>
  </si>
  <si>
    <t>Classrooms – Basement through 3rd Floor</t>
  </si>
  <si>
    <t>Computer Rooms – Rooms B62, 250, 350, 360 and 362</t>
  </si>
  <si>
    <t>Library – 1st Floor</t>
  </si>
  <si>
    <t>Main Office – Room 151 and 207</t>
  </si>
  <si>
    <t>Nurse’s Office – Room B16 (Health clinic)</t>
  </si>
  <si>
    <t>Science Lab – Rooms 258, 305, 306, 313, and 314</t>
  </si>
  <si>
    <t>The auditorium is accessible and is located on the first and second floors. Accessible seating is not provided. Stage access is not provided. The cafeteria is accessible and is located in the basement. The gymnasium is accessible and is located in the basement and on the first floor. Assistive listening systems have not been provided in the public assembly spaces.</t>
  </si>
  <si>
    <t>Auditorium – First and Second Floors</t>
  </si>
  <si>
    <t>Accessible seating is not provided. Stage access is not provided. Clear floor space prevents installation of stage lift.</t>
  </si>
  <si>
    <t>There are accessible student bathrooms (boys and girls) available on the first and third floors.</t>
  </si>
  <si>
    <t>The fire alarm system has been partially updated and includes a strobe light feature in some parts of the building. Holding rooms or areas of rescue assistance have been designated as room 329.</t>
  </si>
  <si>
    <t>351 West  18 Street, Manhattan, NY 10011</t>
  </si>
  <si>
    <t>The nearest accessible subway station is at 14th Street – 8th Avenue (A, C, E, and L trains), 0.2 miles distant; MTA bus service (M11, M12, and M14D) is also nearby. The main entrance to building M440 is accessible, located on West 18th Street. The accessible entrance does not include a doorbell or security cameras; visitors should contact the site prior to arrival.</t>
  </si>
  <si>
    <t>There are several changes in elevation in the basement preventing access to certain areas. Braille signs are provided for most spaces throughout the building but are needed in some places.</t>
  </si>
  <si>
    <t>Two passenger elevators and two freight elevators provide access to all floors. Elevators include audible signals on all floors.</t>
  </si>
  <si>
    <t>This site is moderately accessible; most classrooms are accessible and are located along accessible routes. A change in elevation in the basement prevents access to some science rooms.</t>
  </si>
  <si>
    <t>Rooms 140, 242, and 341</t>
  </si>
  <si>
    <t>Portion of the Basement, and First through Seventh Floors</t>
  </si>
  <si>
    <t>Basement Rooms B19, B21, B35A, and B35B</t>
  </si>
  <si>
    <t xml:space="preserve">Not on an accessible route. Change in elevation (5 steps) prevents access.
</t>
  </si>
  <si>
    <t>Rooms 204, and 228</t>
  </si>
  <si>
    <t>Rooms 103, 212, 301, 338A, 526, and 712</t>
  </si>
  <si>
    <t>Room 612</t>
  </si>
  <si>
    <t>Rooms 334, 427, 433, and 434</t>
  </si>
  <si>
    <t>The auditorium is accessible and is located on the first floor. Stage access is not provided. Accessible seating is not provided. The cafeteria is accessible and is located on the sixth floor. The gymnasium is accessible and is located on the seventh floor. The multi-purpose rooms are accessible and are located on the fourth through fifth floors. The pool is not accessible and is located in the basement. Assistive listening systems have not been provided in the public assembly spaces.</t>
  </si>
  <si>
    <t xml:space="preserve">Stage access is not provided. Accessible seating is not provided.
</t>
  </si>
  <si>
    <t>Seventh Floor</t>
  </si>
  <si>
    <t xml:space="preserve">Rooms 313, 404, and 504 </t>
  </si>
  <si>
    <t xml:space="preserve">Change in elevation (5 steps) prevents access.
</t>
  </si>
  <si>
    <t>There are accessible student bathrooms (boys) available on the second, sixth, and seventh floors. There are accessible student bathrooms (girls) available on the fifth through seventh floors. There are accessible staff bathrooms (male and female) available on the sixth and seventh floors.</t>
  </si>
  <si>
    <t>Rooms 232, 615 and 712</t>
  </si>
  <si>
    <t>Rooms 524, 607 and 713</t>
  </si>
  <si>
    <t>Rooms 611 and 714</t>
  </si>
  <si>
    <t>Maneuvering clearance at sink conflicts with door swing (714).</t>
  </si>
  <si>
    <t>Room 225A</t>
  </si>
  <si>
    <t>Single-user bathroom is ambulatory but not accessible.</t>
  </si>
  <si>
    <t>The site does not include HVAC/Climate control; A/C units provided.</t>
  </si>
  <si>
    <t>606 W. 57Th Street, New York, NY 10019</t>
  </si>
  <si>
    <t xml:space="preserve">The nearest accessible subway station is 59th Street – Columbus Circle Station (1, A, B, C, and D trains), 0.6 miles distant. MTA bus service (M12 and M57) is also nearby. The main entrance of M444 is accessible, located on West 57th Street (Exit 1). The accessible entrance includes a doorbell, security cameras, and reception. The doorbell is within range (height 48 inches).  </t>
  </si>
  <si>
    <t xml:space="preserve">This site does not include an auditorium, gymnasium, or cafeteria; the multi-purpose room fulfills these functions. The multi-purpose room is accessible and is located on the first floor. Assistive listening systems have not been provided in the multi-purpose room.  </t>
  </si>
  <si>
    <t xml:space="preserve">There are accessible student bathrooms (boys and girls) available on the first floor. There is a single-user (unisex) bathroom (for student and staff use) available on the first floor.  </t>
  </si>
  <si>
    <t>Rooms 101A, 108A, 110A and 112A</t>
  </si>
  <si>
    <t>For staff use</t>
  </si>
  <si>
    <t>200 Monroe Street, Manhattan, NY 10002</t>
  </si>
  <si>
    <t>The nearest accessible subway station is Chambers Street Station (J and Z trains), 1.2 miles distant. MTA bus service (M22 and M14A-SBS) is also nearby. The accessible entrance of M446 is not the same as the main entrance; the accessible entrance is located on Monroe Street (Exit 7). The accessible entrance does not include security cameras or a doorbell. Visitors may need to contact site prior to gain access to the facility through the accessible entrance.</t>
  </si>
  <si>
    <t>Doors: 46 inches, Cab: 67 inches wide, 71 inches deep.</t>
  </si>
  <si>
    <t>Interior ramp at exit 7 does not include handrails and may pose difficulties to some.</t>
  </si>
  <si>
    <t>Art Rooms – Room 205</t>
  </si>
  <si>
    <t>Computer Rooms – Rooms 405 and 411</t>
  </si>
  <si>
    <t>Library – Room 408/409</t>
  </si>
  <si>
    <t>Main Office – Room 304</t>
  </si>
  <si>
    <t>Nurse’s Office – Room 311</t>
  </si>
  <si>
    <t>Science Lab – Room 503/505</t>
  </si>
  <si>
    <t>This site does not include an auditorium; the gymnasium fulfills this function. The gymnasium is accessible and is located on the first floor. The gymnasium does not include a stage. Accessible seating is provided. The cafeteria is accessible and is located on the first floor. Assistive listening systems have been provided in the cafeteria.</t>
  </si>
  <si>
    <t>Boys Bathroom – Rooms 101A</t>
  </si>
  <si>
    <t>Boys Bathroom - Rooms 513</t>
  </si>
  <si>
    <t>Girls Bathrooms – Rooms 101B, and 500</t>
  </si>
  <si>
    <t>Girls Bathroom – Room 201B</t>
  </si>
  <si>
    <t>Staff Bathroom – 213</t>
  </si>
  <si>
    <t>Single-User (Unisex) Bathrooms – Room 401B</t>
  </si>
  <si>
    <t>Single-User (Unisex) Bathroom 213, and 301B</t>
  </si>
  <si>
    <t>250 West  18 Street, Manhattan, NY 10011</t>
  </si>
  <si>
    <t xml:space="preserve">The nearest accessible subway station is 14th Street Station (A, C, E, and L trains), 0.1 miles distant. MTA bus service (M7, and M20) is also nearby. The main entrance to building M451 is accessible, located on West 18th Street. The accessible entrance includes a doorbell, security cameras, and a security desk. The doorbell is within reach range (Height 48 Inches). </t>
  </si>
  <si>
    <t>Some door saddles on the fourth and fifth floors of the building are higher and need beveling and/or transition plates. Braille signage is provided throughout the building but needs replacement to achieve compliance.</t>
  </si>
  <si>
    <t xml:space="preserve">Two passenger elevators provide service to all floors of the building. Elevators include audible signals on each floor.  </t>
  </si>
  <si>
    <t xml:space="preserve">E1 
Doors: 32 Inches, Cab: 59 Inches wide, 44 Inches deep. 
E2 
Doors: 46 Inches, Cab: 85 Inches wide, 67 Inches deep. </t>
  </si>
  <si>
    <t>Room 516</t>
  </si>
  <si>
    <t>Rooms 508, and 510</t>
  </si>
  <si>
    <t xml:space="preserve">This site does not include an auditorium; the gymnasium fulfills this function. The gymnasium is accessible and is located on the sixth floor. The gymnasium does not include a stage. Accessible seating has been provided. The cafeteria spaces are accessible and are located on the first floor. Assistive listening systems have been provided in the student cafeteria and gymnasium. </t>
  </si>
  <si>
    <t xml:space="preserve">Accessible seating has been provided. Assistive listening systems have been provided. </t>
  </si>
  <si>
    <t xml:space="preserve">There are accessible student bathrooms (boys and girls) available on all floors. There are accessible staff bathrooms (male and female) available on the first and fifth floors. There are accessible single-user (unisex) bathrooms (for student and staff use) available on the fifth floor. </t>
  </si>
  <si>
    <t xml:space="preserve">Fire alarm system has been upgraded and includes a strobe light feature. Holding rooms have been specifically designated (Rooms 200, 300, 400, and 501).  </t>
  </si>
  <si>
    <t>40 Irving Place, Manhattan, NY 10003</t>
  </si>
  <si>
    <t>The nearest accessible subway station is 14th Street – Union Square Station (L, N, Q, R, and W trains), 0.19 miles distant. MTA bus service (M1, M2, M3, M14A, M14D, M101, M102, and M103) is also nearby. The accessible entrance to building M460 is not the same as the main entrance; the accessible entrance is located on 16th Street (Exit 5). The accessible entrance includes a doorbell, security cameras, an interior lift, and reception. The doorbell is not within reach range (height 55 inches).</t>
  </si>
  <si>
    <t>Includes an interior lift.</t>
  </si>
  <si>
    <t>Some water fountains and other wall-mounted objects protrude in the corridors more than 4 inches, which may present difficulties for individuals with visual disabilities. Many stone door saddles are high, which may present difficulty for some. Braille signs are included throughout the building.</t>
  </si>
  <si>
    <t>The accessible entrance leads directly into a vestibule with a vertical lift. The vertical lift remediates changes in elevation (10 steps) on the first floor. Five passenger elevators provide access to all floors. Elevators include audible signals on each floor.</t>
  </si>
  <si>
    <t>Remediates change in elevation at entry (10 steps).</t>
  </si>
  <si>
    <t>E1-E5: Doors: 52 inches, Cabs: 81 inches wide, 89 inches deep.</t>
  </si>
  <si>
    <t>Classrooms – Second through Eleventh Floors, Tenth Floor Mezzanine West</t>
  </si>
  <si>
    <t>Classrooms – Tenth Floor Mezzanine East</t>
  </si>
  <si>
    <t>Computer Rooms – Rooms 423, 527, and 733</t>
  </si>
  <si>
    <t>Main Office – Rooms 211, 422, 507, 626, 724, and 805</t>
  </si>
  <si>
    <t>Room 211- Success Academy Room 422- Academy for Software Engineering Room 501- Union Square Academy of Health Science Room 626- H.S. for Language and Diplomacy Room 724- Gramercy Arts H.S. Room 805- International H.S.</t>
  </si>
  <si>
    <t>Nurse’s Office – Rooms 111 (Health Clinic)</t>
  </si>
  <si>
    <t>Science Lab – Rooms 731 and 737</t>
  </si>
  <si>
    <t>The auditorium is accessible and is located on the first floor. Stage access is provided via lift. Accessible seating is provided. The cafeteria is accessible and is located on the fourth floor. The gymnasiums are accessible and are located in the basement, and on the eighth and tenth floors. The multi-purpose rooms are accessible and are located on the second and eighth floors. Assistive listening systems have not been provided in the public assembly spaces.</t>
  </si>
  <si>
    <t>Cafeteria – Fourth Floor</t>
  </si>
  <si>
    <t>Gymnasium – Basement, Eighth Floor, and Tenth Floor</t>
  </si>
  <si>
    <t>Multi-Purpose Room – Rooms 245 and 826</t>
  </si>
  <si>
    <t>This building is prevented from attaining a higher accessibility rating due to lack of accessible student bathrooms throughout the building. There are accessible student bathrooms (boys and girls) available on the eighth floor. There are accessible staff bathrooms (male) available on the first and eighth floors. There are accessible staff bathrooms (female) available on the first, seventh, and eighth floors. There are accessible single-user (student and staff use) bathrooms available on the fifth, sixth, and seventh floors.</t>
  </si>
  <si>
    <t>Boys Bathrooms – Room 834</t>
  </si>
  <si>
    <t>Boys Bathrooms – First Through Seventh, and Ninth Through Eleventh Floors</t>
  </si>
  <si>
    <t>Girls Bathrooms – Room 832</t>
  </si>
  <si>
    <t>Girls Bathrooms – First Through Seventh, and Ninth Through Eleventh Floors</t>
  </si>
  <si>
    <t>Staff Bathrooms (Male) – Rooms 110 and 808</t>
  </si>
  <si>
    <t>Staff Bathrooms (Female) – First through Seventh, and Ninth through Eleventh Floors</t>
  </si>
  <si>
    <t>Single-User (Unisex) Bathrooms – Rooms 522A, 630, and 728</t>
  </si>
  <si>
    <t>28-42 Trinity Place - Manhattan, New York, NY 10006</t>
  </si>
  <si>
    <t>The nearest accessible subway station is the Rector Street Station (R, and W trains), .01 miles distant. MTA bus services (QM7, QM8, QM11, and QM25) is also nearby. The main entrance is accessible, located on Trinity Place (Exit 1). The accessible entrance includes a doorbell, reception, and security cameras. The doorbell is not within reach range (height 55 inches).</t>
  </si>
  <si>
    <t>This site occupies floors first through eighth in the building. Two passenger elevators provide access to all floors. Elevators include audible signals on each floor.</t>
  </si>
  <si>
    <t>E1 and E2 Doors: 54 inches, Cabs: 72 inches wide, 103 inches deep</t>
  </si>
  <si>
    <t>Art Rooms – Room 603</t>
  </si>
  <si>
    <t>Computer Room</t>
  </si>
  <si>
    <t>Nurse’s Office – Room 619</t>
  </si>
  <si>
    <t>Science Lab – Rooms 704</t>
  </si>
  <si>
    <t>This site has a combined gymnasium and auditorium. The gymatorium is accessible and is located on the sixth floor. Stage access is provided via lift. Accessible seating is provided. The cafeteria is accessible and is located on the fifth floor. The multi-purpose room is accessible and is located on the second floor. Assistive listening systems have been provided in the gymatorium and cafeteria.</t>
  </si>
  <si>
    <t>Auditorium – Sixth Floor</t>
  </si>
  <si>
    <t>Cafeteria – Fifth Floor</t>
  </si>
  <si>
    <t>Boys Bathrooms – Rooms 214, 318, 418, 510A, 618, 718, and 810</t>
  </si>
  <si>
    <t>Girls Bathrooms – Rooms 206, 308, 408, 510B, 608, 708, and 808</t>
  </si>
  <si>
    <t>Single-User (Unisex) Bathrooms – Rooms 101, 103, 207, 307, 407, 507, 605, 619, 713, and 807</t>
  </si>
  <si>
    <t>Fire alarm system has been upgraded and includes a strobe light feature. Holding rooms or areas of refuge have been specifically designated as rooms 203, 403, 503, 603, 703, and 803.</t>
  </si>
  <si>
    <t>549 Audubon Avenue, Manhattan, NY 10040</t>
  </si>
  <si>
    <t xml:space="preserve">The nearest accessible subway station is Dyckman Street Station (D train), 0.4 miles distant. MTA bus service (B3, and M101) is also nearby. The accessible entrance to M465 is the same as the main entrance; the accessible entrance is located on Audubon Avenue. At the accessible entrance there is a ramp, security cameras, and a security desk. The doorbell is not within wheelchair reach range (Height 56 Inches). </t>
  </si>
  <si>
    <t>Two passenger elevators provide access to all floors. Elevators include audible signals on all floors.</t>
  </si>
  <si>
    <t>Doors: 49 Inches, Cabs: 80 Inches wide, 52 Inches deep.</t>
  </si>
  <si>
    <t>Rooms 142, 349, and 451</t>
  </si>
  <si>
    <t>Rooms 216, 316, 326, and 509</t>
  </si>
  <si>
    <t>Room 124, 222, 330, and 414</t>
  </si>
  <si>
    <t>Rooms 301,303, 308, 318, and 324</t>
  </si>
  <si>
    <t>The auditorium is accessible and is located on the first floor. Stage access is provided via lift. Accessible seating is provided. The cafeteria is accessible via a lift and is located in the basement. The gymnasium is accessible and is located on the first floor. The pool is not accessible due to a change in elevation (3 Steps). Assistive listening systems have been provided in the auditorium.</t>
  </si>
  <si>
    <t xml:space="preserve">Stage access is provided via lift. Accessible seating is provided. Assistive listening systems have been provided.  </t>
  </si>
  <si>
    <t xml:space="preserve">Change in elevation (3 Steps) </t>
  </si>
  <si>
    <t xml:space="preserve">There are accessible student bathrooms (boys and girls) available on the first and second floors of the building. There are no accessible staff bathrooms in the building.  </t>
  </si>
  <si>
    <t>Rooms 127, 235, and 337</t>
  </si>
  <si>
    <t>Cellar, and Fourth Floors</t>
  </si>
  <si>
    <t>Rooms 113, 241, 343, and 447</t>
  </si>
  <si>
    <t>Cellar Floors</t>
  </si>
  <si>
    <t>145 West  84 Street, Manhattan, NY 10024</t>
  </si>
  <si>
    <t xml:space="preserve">The nearest accessible subway station is the 96th Street Station (1, 2, and 3 trains) 0.57 miles distant. The accessible entrance to building M470 is not the same as the main entrance and is located on West 85th Street. The accessible entrance incudes a ramp, security cameras, and reception. The accessible entrance does not include a doorbell. </t>
  </si>
  <si>
    <t xml:space="preserve">Minor cross slope at ramp at accessible entrance. </t>
  </si>
  <si>
    <t xml:space="preserve">Two passenger elevators provide service to all floors. Elevators do not include audible signals. </t>
  </si>
  <si>
    <t>E1 and E2 
Doors: 47 inches wide. Cabs: 91 inches wide, 84 inches deep.</t>
  </si>
  <si>
    <t xml:space="preserve">This site is highly accessible; all classrooms are accessible and are located on accessible routes.   </t>
  </si>
  <si>
    <t>Rooms 109, and 218</t>
  </si>
  <si>
    <t xml:space="preserve">Rooms 115, 101A, 201, 
316A, 321T, and 429
</t>
  </si>
  <si>
    <t>Rooms 407, 417, and 418</t>
  </si>
  <si>
    <t xml:space="preserve">The auditorium is accessible and is located in the basement. Accessible seating is provided. Stage access is provided via lift. The cafeteria spaces are accessible and are located on the first floor. The gymnasium spaces are accessible and are located in the basement. Assistive listening systems have not been provided in the public assembly areas. </t>
  </si>
  <si>
    <t xml:space="preserve">First Floor - Main; 
Room 104
</t>
  </si>
  <si>
    <t>Accessible seating is provided on request.</t>
  </si>
  <si>
    <t>Basement - Rooms C1, C2 and C14</t>
  </si>
  <si>
    <t xml:space="preserve">There are accessible student bathrooms (boys and girls) available in the basement, and on the first and third floors. There are no accessible staff bathrooms in the building. </t>
  </si>
  <si>
    <t xml:space="preserve"> Basement, First, and Third Floors</t>
  </si>
  <si>
    <t xml:space="preserve">Fire Alarm System has been updated and includes strobe light feature. Holding rooms have not been specifically designated. </t>
  </si>
  <si>
    <t xml:space="preserve">This site does not include HVAC/Central Air. A/C units in classrooms. </t>
  </si>
  <si>
    <t>345 East  15Th Street, Manhattan, NY 10003</t>
  </si>
  <si>
    <t>The nearest accessible subway station is the 14th Street-Union Square Station (L, N, Q, R, 4, 5, and 6 trains) 0.4 miles distant. MTA bus service (M14A, M14D, and M15) also nearby. M475 does not include an accessible entrance.</t>
  </si>
  <si>
    <t>Signs with braille have been provided for most areas within the school. Changes in elevation prevent access in the basement. The doors between each of the north/south main halls are heavy and may be difficult to open for some. Student lockers are pull/latch and may be difficult to operate for some.</t>
  </si>
  <si>
    <t>Changes in elevation in the basement prevent access (7-10 stairs on each side).</t>
  </si>
  <si>
    <t>One passenger elevator provides access to floors one through five. Second passenger elevator provides access to the basement and first floor, but this elevator is kept locked. Elevators are old and do not provide audible signals.</t>
  </si>
  <si>
    <t>E1: Doors: 54 Inches; Cab: 71 Inches wide, 75 Inches deep</t>
  </si>
  <si>
    <t>This site is not accessible it does not include an accessible entrance; all classrooms are not accessible as they are not located along accessible routes.</t>
  </si>
  <si>
    <t>Art Room – Room B8</t>
  </si>
  <si>
    <t>Art Room – Rooms 320B and 520</t>
  </si>
  <si>
    <t>Classrooms –First - Fifth Floors</t>
  </si>
  <si>
    <t>Computer Rooms – Rooms 305, 418 and 520A</t>
  </si>
  <si>
    <t>Main Office – Rooms 203, 210 and 513A</t>
  </si>
  <si>
    <t>Nurse’s Office – Room 106</t>
  </si>
  <si>
    <t>Science Lab – Rooms 110, 112, 309, 315 and 521</t>
  </si>
  <si>
    <t>There is no access to the basement level due to changes in elevation (7-10 stairs on each side): This includes the main gymnasium, the auditorium, boys’ and girls’ locker rooms, and some arts/music classrooms. However, there are alternative accessible spaces within the building for each. The auditorium is not accessible and is located in the basement. Accessible seating is provided on the mezzanine level. Stage access is not provided. The cafeteria is not accessible and is located on the second floor. The main gymnasium is not accessible and is located in the basement. The secondary gymnasium is not accessible and is located on the first floor. Assistive listening systems have not been provided in the public assembly spaces.</t>
  </si>
  <si>
    <t>Change in elevation (7 – 10 Steps). No stage access. Limited space for wheelchairs on mezzanine level (First floor).</t>
  </si>
  <si>
    <t>Cafeteria – Second Floor East and West</t>
  </si>
  <si>
    <t>Gymnasium - Basement</t>
  </si>
  <si>
    <t>Multi-Purpose Rooms – Room 322, Fourth-Floor Music/Choir Room</t>
  </si>
  <si>
    <t>There are accessible student bathrooms (boys and girls) available on the first through fifth floors. There are accessible staff bathrooms (male and female) available on the first through fifth floors. Unfortunately these bathrooms are not accessible due to them being located on a not accessible route.</t>
  </si>
  <si>
    <t>Staff Bathrooms – First - Fifth Floors</t>
  </si>
  <si>
    <t>Fire alarm system is a legacy bell system which has been only minimally updated to include a strobe light feature where new construction has taken place within the building. Holding rooms or areas of rescue assistance have not been specifically designated.</t>
  </si>
  <si>
    <t>345 Chambers Street, Manhattan, NY 10282</t>
  </si>
  <si>
    <t>The nearest accessible subway station is the Chambers Street Station (1, 2, and 3 trains), 0.30 miles distant. MTA bus service (M20 and M22) is also nearby. The main entrance to building M477 is accessible, located on Chambers Street. The accessible entrance includes a doorbell, a security camera, and a security desk. The doorbell is within reach range (height 47 inches).</t>
  </si>
  <si>
    <t>Non-compliant hardware may present difficulties for some.</t>
  </si>
  <si>
    <t xml:space="preserve">Two passenger elevators and one freight elevator provide access to all floors. Elevators include audible signals on each floor. This site also includes interior escalators. </t>
  </si>
  <si>
    <t>E1 and E2 
Doors: 41 inches, Cabs: 80 inches wide, 66 inches deep.</t>
  </si>
  <si>
    <t>Rooms 1006, 1010, and 1024</t>
  </si>
  <si>
    <t>Rooms 251, 307, 325, 351, 411, 413, 451, 1001, 1007, and 1009</t>
  </si>
  <si>
    <t>Room 615</t>
  </si>
  <si>
    <t>Rooms 103, and 209</t>
  </si>
  <si>
    <t>Room 371</t>
  </si>
  <si>
    <t>Rooms 703, 709, 727, 731, 803, 811, 815, 827, 903, 911, 913, and 927</t>
  </si>
  <si>
    <t>The auditorium is accessible and is located on the first floor. Stage access is provided via the corridor. Accessible seating is provided. The cafeteria spaces are accessible and are located on the fifth floor. The gymnasium spaces are accessible and are located on the third, fifth, and sixth floors. The pool is accessible and is located on the first floor. Assistive listening systems have not been provided in the public assembly spaces.</t>
  </si>
  <si>
    <t>Third, Fifth, and Sixth Floors</t>
  </si>
  <si>
    <t xml:space="preserve">Change in elevation (8 Steps), access via elevator. </t>
  </si>
  <si>
    <t>There are accessible student bathrooms (boys and girls) available on the second through tenth floors. There are accessible (single-user) staff bathrooms (male and female) available on the second through eighth, as well as on the tenth floors. An accessible single-user (unisex) bathroom (available for student and staff use) is available on the fifth floor. There are accessible bathrooms (male and female) available on the first floor, via security desk key access.</t>
  </si>
  <si>
    <t>Rooms 230, 330, 430, 517, G581, 630, 730, 830, 930, and 1030</t>
  </si>
  <si>
    <t xml:space="preserve">Male Visitors Bathroom - Available for visitor and general use via security desk key. </t>
  </si>
  <si>
    <t>Rooms 234, 334, 434, 509, G582, 634, 734, 834, 934, and 1034</t>
  </si>
  <si>
    <t xml:space="preserve">Female Visitors' Bathroom - Available for visitor and general use via security desk key. </t>
  </si>
  <si>
    <t>Rooms 211E, 348, 448, 633, 713, 813B, and 1031</t>
  </si>
  <si>
    <t>Male Staff Bathrooms - Single-user</t>
  </si>
  <si>
    <t>Rooms 211F, 346, 446, 527, 631, 711, 813A, and 1029</t>
  </si>
  <si>
    <t>Female Staff Bathrooms - Single-user</t>
  </si>
  <si>
    <t xml:space="preserve"> Room 529</t>
  </si>
  <si>
    <t>317 East  67 Street, Manhattan, NY 10065</t>
  </si>
  <si>
    <t>The nearest accessible subway station is the 72nd Street Station (Q and R trains), 0.24 miles distant. MTA bus service (M15 and M66) is also nearby. The accessible entrance to building M480 is not the same as the main entrance; the accessible entrance is located on 68th Street (Exit 5). The accessible entrance includes reception. The accessible entrance does not include a doorbell or security cameras; visitors may want to contact the school prior to arrival in order to gain access via the accessible entrance.</t>
  </si>
  <si>
    <t>Some of the interior hallway doors are heavy and may be difficult to operate for some. Braille signage is not provided throughout the building.</t>
  </si>
  <si>
    <t>There are several changes in elevation on the first floor preventing access to public assembly areas.</t>
  </si>
  <si>
    <t>One passenger elevator provides service to all floors. A second manually operated elevator provides access in emergency situations only. Elevator 1 provides audible signals on all floors.</t>
  </si>
  <si>
    <t>E1; Door: 42 inches, Cab: 40 inches wide, 65 inches deep. E2; Door: 42 inches, Cab: 40 inches wide, 65 inches deep.</t>
  </si>
  <si>
    <t>Interior ramps do not include handrails and may pose difficulty for some.</t>
  </si>
  <si>
    <t>This site is moderately accessible; most classrooms are accessible and are located along accessible routes.</t>
  </si>
  <si>
    <t>Art Room – Rooms 114 and 202</t>
  </si>
  <si>
    <t>Classrooms – First Through Sixth Floors</t>
  </si>
  <si>
    <t>Computer Rooms – Rooms 210, 404, 426 and 442</t>
  </si>
  <si>
    <t>Library – Room 101</t>
  </si>
  <si>
    <t>Main Office – 208 (02M565), 228 (02M225), 312 (75M226), 405B (02M449), 423 (02M459) and 642 (02M519)</t>
  </si>
  <si>
    <t>Nurse’s Office – Rooms 105, 152, and 239</t>
  </si>
  <si>
    <t>Science Lab – Rooms 516 and 645</t>
  </si>
  <si>
    <t>The auditorium is accessible and is located on the first floor. Stage access is not provided. Accessible seating is provided. The cafeteria is accessible and is located on the fifth floor. The gymnasium is accessible and is located on the second and third floors. The multi-purpose room is not accessible and is located on the fifth floor. The pool is not accessible due to changes in elevation and is located on the first floor. Assistive listening systems have not been provided in the public assembly areas.</t>
  </si>
  <si>
    <t>Cafeteria – Fifth Floor - Large and Small</t>
  </si>
  <si>
    <t>Gymnasium – Second and Third Floors</t>
  </si>
  <si>
    <t>There are accessible student (boys) bathrooms available on the second floor. There are accessible student bathrooms (girls) available on the fourth floor. There are accessible staff bathrooms (male and female) available on the first floor.</t>
  </si>
  <si>
    <t>Boys Bathroom – Room 225A</t>
  </si>
  <si>
    <t>Boys Bathrooms – First and Third through Sixth Floors</t>
  </si>
  <si>
    <t>Girls Bathroom – Room 407</t>
  </si>
  <si>
    <t>Girls Bathrooms – First through Third and Fifth through Sixth Floors</t>
  </si>
  <si>
    <t>Staff Bathrooms (Male) – Room 119</t>
  </si>
  <si>
    <t>Staff Bathrooms (Female) – Room 118</t>
  </si>
  <si>
    <t>Fire Alarm System is a legacy bell system that does not include strobe lights. Holding rooms or areas of refuge have not been specifically designated.</t>
  </si>
  <si>
    <t>223-233 West 132 Street, Manhattan, NY 10027</t>
  </si>
  <si>
    <t xml:space="preserve">The nearest accessible subway station is 125th Street Station (A, B, C, and D trains), 0.4 miles distant. MTA bus service (M2 and M10) is also nearby. The main entrance of M484 is not the same as the accessible entrance; the accessible entrance is located on 132nd Street (Exit 2), adjacent to the main entrance. The accessible entrance includes a lift, a doorbell, security cameras, and reception. The doorbell is within range (height 45 inches).  </t>
  </si>
  <si>
    <t xml:space="preserve">Doors: 33 inches, Cab: 36 inches wide, 51 inches deep </t>
  </si>
  <si>
    <t xml:space="preserve">Doors: 35 inches, Cab: 48 inches wide, 53 inches deep.  </t>
  </si>
  <si>
    <t xml:space="preserve">This site is highly accessible; all classrooms are accessible and are located along accessible routes.  </t>
  </si>
  <si>
    <t>Basement and First through Third Floors</t>
  </si>
  <si>
    <t xml:space="preserve">This site does not include an auditorium, gymnasium, or cafeteria; the multi-purpose room fulfills these functions. The multi-purpose room is accessible and is located in the basement. Assistive listening systems have not been provided in the multi-purpose room. </t>
  </si>
  <si>
    <t xml:space="preserve">There are accessible student bathrooms (boys and girls) available in the basement and on the third floor. There are single-user (unisex) bathrooms (for student and staff use) available in the basement and on the first floor. There are accessible multi-user student bathrooms (boys and girls) available in one of the classrooms on the second floor. </t>
  </si>
  <si>
    <t>Rooms B06 and 304</t>
  </si>
  <si>
    <t>Rooms B02 and 305</t>
  </si>
  <si>
    <t>Rooms B11, B17, and 103</t>
  </si>
  <si>
    <t>Multi-user (Pre-K) - Room 208</t>
  </si>
  <si>
    <t>Fire alarm system has been upgraded and includes a strobe light feature. Holding rooms or areas of refuge have been specifically designated as the multi-purpose room.</t>
  </si>
  <si>
    <t>100 Amsterdam Avenue, Manhattan, NY 10023</t>
  </si>
  <si>
    <t>The nearest accessible subway station is the 66th Street – Lincoln Center Station (1 train), 0.2 miles distant. MTA bus service (M5, M7, M11, M20, M66, and M102) is also nearby. The main entrance of building M485 is accessible, located at the corner of Amsterdam Avenue and West 65th Street. The accessible entrance includes a ramp, a doorbell, and security cameras. The doorbell is within reach range (height 36 inches).</t>
  </si>
  <si>
    <t>Some hallway doors are heavy and without closers, which may be difficult for some users to navigate. Braille signage are provided throughout the building.</t>
  </si>
  <si>
    <t xml:space="preserve">One passenger and one freight elevator provide service to all floors. The passenger elevator provides audible signals. Two sets of escalators provide service to floors one through seven. </t>
  </si>
  <si>
    <t>Doors: 45 inches; Cab: 92 inches wide, 61 inches deep</t>
  </si>
  <si>
    <t>Rooms 701, 711, 713,717, 723, 727, 740, 747, 749, 753, 801, 813, 819, 827, 845, and 859</t>
  </si>
  <si>
    <t>Cellar through Seventh Floor</t>
  </si>
  <si>
    <t>Rooms 423/425, 640 and 729</t>
  </si>
  <si>
    <t>Room 608</t>
  </si>
  <si>
    <t>Room 247</t>
  </si>
  <si>
    <t>Rooms 515, 525, and 545</t>
  </si>
  <si>
    <t>The auditorium spaces are accessible and are located on the first floor. Stage access is provided. Accessible seating is provided in the rear/mezzanine areas. The cafeteria spaces are accessible and are located on the fifth and seventh floors. The gymnasium is accessible and is located on the third floor. Assistive listening systems have been provided in the auditorium.</t>
  </si>
  <si>
    <t>Stage access is provided. Accessible seating is provided in the rear/mezzanine areas. Assistive listening systems have been provided.</t>
  </si>
  <si>
    <t>Concert Hall Theatre (Little Flower)</t>
  </si>
  <si>
    <t xml:space="preserve">Fifth Floor and Seventh Floor  </t>
  </si>
  <si>
    <t>There are accessible student bathrooms (boys and girls) available on the cellar, third, fifth and seventh floors. There are accessible single-user (unisex) bathrooms (for student and staff use) available on the cellar, third, fifth and seventh floors.</t>
  </si>
  <si>
    <t>Rooms G50, 356, 556 and 724</t>
  </si>
  <si>
    <t>Rooms 156, 256, 456 and 656</t>
  </si>
  <si>
    <t>Rooms G56, 350, 550 and 718</t>
  </si>
  <si>
    <t>Rooms 150, 250, 450 and 650</t>
  </si>
  <si>
    <t>Rooms G51, 351, 551, and 757</t>
  </si>
  <si>
    <t>Rooms G49, 349, 549, 755</t>
  </si>
  <si>
    <t>First, Second, Fourth, and Sixth Floors</t>
  </si>
  <si>
    <t>Fire Alarm System is in the process of being updated and will include a strobe light feature. Holding rooms or areas of refuge have been specifically designated as rooms 101, 201, 301, 401, 50, 601, and 701</t>
  </si>
  <si>
    <t>This site includes central air throughout the building. Air-conditioning units also included in classrooms.</t>
  </si>
  <si>
    <t>120 West  46 Street, Manhattan, NY 10036</t>
  </si>
  <si>
    <t>The nearest accessible subway station is 50th Street Station (C and E trains; southbound only), 0.4 miles distant. MTA bus service (M11, M21, and M50) is also nearby. The accessible entrance to building M486 is not the same as the main entrance; the accessible entrance is located on 46th Street and is accessed via an alleyway from the street (Exit 2). The accessible entrance includes a doorbell/intercom and security cameras. Doorbell is within reach range (height 46 inches).</t>
  </si>
  <si>
    <t>Doors: 48 inches, Cab: 88 inches wide, 61 inches deep.</t>
  </si>
  <si>
    <t>Art Room – Room 201B</t>
  </si>
  <si>
    <t>Classrooms – First through Fifth Floors</t>
  </si>
  <si>
    <t>Computer Rooms – Rooms 401, 409, and 411</t>
  </si>
  <si>
    <t>Library – Room 504</t>
  </si>
  <si>
    <t>Nurse’s Office – Room 208</t>
  </si>
  <si>
    <t>Science Lab – Room 311</t>
  </si>
  <si>
    <t>The auditorium is accessible and is located on the first floor. Stage access is not provided. Accessible seating is provided. The cafeteria is accessible and is located in the basement. This site does not include a gymnasium: the second-floor multi-purpose room fulfills this function. The multi-purpose rooms are accessible and are located on the first and second floor. Assistive listening systems have not been provided in the public assembly spaces.</t>
  </si>
  <si>
    <t>is provided.</t>
  </si>
  <si>
    <t>Multi-Purpose Room – First and Second Floors</t>
  </si>
  <si>
    <t>First-floor multi-purpose room is the weight room. Second-floor multi-purpose room is used for gym.</t>
  </si>
  <si>
    <t>This site is prevented from obtaining a higher accessibility rating due to lack of accessible bathrooms throughout the building. There are accessible student bathrooms (boys and girls) available in the basement. There are accessible single-user (unisex) bathrooms (for student and staff use) available on the second floor.</t>
  </si>
  <si>
    <t>Boys Bathroom – Rooms 310 and 400</t>
  </si>
  <si>
    <t>Girls Bathroom – Room B4A</t>
  </si>
  <si>
    <t>Girls Bathroom – Room 300</t>
  </si>
  <si>
    <t>Staff Bathrooms – Rooms 110, 110A, 200, and 410</t>
  </si>
  <si>
    <t>Single-User (Unisex) Bathrooms – Room 210</t>
  </si>
  <si>
    <t>Room 210 is located in the nurse’s office.</t>
  </si>
  <si>
    <t>designated as rooms 108, 208, 308, 408 and 508.</t>
  </si>
  <si>
    <t>Fire alarm system has been upgraded and includes a strobe light feature. Holding rooms have been specifically</t>
  </si>
  <si>
    <t>The site includes central air in a limited area of the building. As a result, air-conditioning units also provided classrooms.</t>
  </si>
  <si>
    <t>231-249 East 56 Street, Manhattan, NY 10022</t>
  </si>
  <si>
    <t>The nearest accessible subway station is Lexington Avenue - 53rd Street Subway Station (E and M trains), 0.2 miles distant. MTA bus service (QM4, QM15, QM16, QM17, QM18, QM21 QM31, QM32, QM34, QM35, QM36, QM40, QM42, QM44, X63, X64, X68, BM1, BM2, BM3, BM4, BM5, M15, M31, and M57) is also nearby. The main entrance to M488 is accessible, located on East 56th Street (Exit 1). The accessible entrance includes a doorbell and security cameras. The doorbell is within reach range (Height 45 inches).</t>
  </si>
  <si>
    <t>Doors: 53 inches, Cabs: 98 inches wide, 64 inches deep.</t>
  </si>
  <si>
    <t xml:space="preserve"> Accessible</t>
  </si>
  <si>
    <t>110 (Beekman), and 222 (Kennedy)</t>
  </si>
  <si>
    <t>Room 221(Kennedy), and L229 (Beekman)</t>
  </si>
  <si>
    <t>Room 204 (Beekman)</t>
  </si>
  <si>
    <t>The auditorium is accessible and is located on the second floor. Stage access is provided at grade. Accessible seating is provided. The cafeteria is accessible and is located on the fifth floor. The gymnasium is accessible and is located on the ground floor. Assistive listening systems have been provided in the auditorium and cafeteria.</t>
  </si>
  <si>
    <t>Accessible seating available. Stage access at grade. Assistive listening systems have been provided.</t>
  </si>
  <si>
    <t>There are accessible student bathrooms (girls and boys) available on all floors. There are accessible staff bathrooms (male and female) available on all floors.</t>
  </si>
  <si>
    <t>Fire alarm system has been upgraded and includes a strobe light feature. Holding rooms have been specifically designated as room 227.</t>
  </si>
  <si>
    <t xml:space="preserve">The site does include central air; Air-conditioning units provided in classrooms. </t>
  </si>
  <si>
    <t>122 Amsterdam Avenue, Manhattan, NY 10023</t>
  </si>
  <si>
    <t>The nearest accessible subway station is 66th Street – Lincoln Center Station (1 and 2 trains), 0.1 mile distant; MTA bus service (M11, M57, and M66) is also nearby. The accessible entrance to building M490 is not the same as the main entrance; the accessible entrance is located on West 65th Street, adjacent to the parking garage entrance. The accessible entrance includes a doorbell. The doorbell is not within reach range (height 65 inches).</t>
  </si>
  <si>
    <t>Three passenger elevators providing access to all floors. Elevators include audible signals on each floor.</t>
  </si>
  <si>
    <t>Computer Rooms – Rooms 186, 340, 380, 428/430, and 580/582</t>
  </si>
  <si>
    <t>Nurse’s Office – Room 203</t>
  </si>
  <si>
    <t>Science Lab – Rooms 581, 583, 585, 587, and 589</t>
  </si>
  <si>
    <t>The auditorium is accessible and is located in the basement. Stage access is not provided. Accessible seating is not provided. The cafeterias are accessible and are located on the second floor. The gymnasiums are accessible and are located in the basement. The multi-purpose room is accessible and is located on the first floor. The multi-purpose rooms are located in the basement and the first floor. The pool is accessible and is located on the ground floor. Assistive listening systems have not been provided in the public assembly areas.</t>
  </si>
  <si>
    <t>Cafeterias – Second Floor (North and South)</t>
  </si>
  <si>
    <t>Gymnasiums – Basement</t>
  </si>
  <si>
    <t>Multi-Purpose Room – Rooms G9D and 192</t>
  </si>
  <si>
    <t>Pool – Room G10</t>
  </si>
  <si>
    <t>Currently not being used.</t>
  </si>
  <si>
    <t>This site is prevented from obtaining a higher accessibility rating due to lack of accessible bathrooms throughout the building.</t>
  </si>
  <si>
    <t>230 East 105 Street, Manhattan, NY 10029</t>
  </si>
  <si>
    <t>The nearest accessible subway station is 96th Street Station (Q train), 0.5 miles distant. MTA bus service (M15, M101, M102, M103, and M106) is also nearby. The main entrance is accessible, but access is confined to a small area of the corridor and the gymnasium, located on 105th Street (Exit 1). The main entrance includes security cameras and reception. This site does not include an accessible entrance.</t>
  </si>
  <si>
    <t>Change in elevation (3 steps) prevents access to all areas except the gymnasium.</t>
  </si>
  <si>
    <t xml:space="preserve">Some water fountains and other wall-mounted objects protrude in the corridors more than 4 inches, which may present difficulties for individuals with visual disabilities. There are several changes of elevation on the first floor. Braille signs are not included throughout the building. </t>
  </si>
  <si>
    <t>Changes in elevation on the first floor prevent access to most program areas.</t>
  </si>
  <si>
    <t>Rooms 410 and 411</t>
  </si>
  <si>
    <t>This site does not include an auditorium; the gymnasium fulfills this function. The gymnasium is accessible and located on the first floor. Stage access is not provided. Accessible seating is provided. The cafeteria is not accessible and is located on the fifth floor. Assistive listening systems have not been provided in the public assembly spaces.</t>
  </si>
  <si>
    <t>Stage Access is not provided. Accessible seating is provided.</t>
  </si>
  <si>
    <t>2005 Madison Avenue, Manhattan, NY 10035</t>
  </si>
  <si>
    <t>The nearest accessible subway station is the 125th Street Station (4, 5, and 6 trains), 0.20 miles distant. MTA bus service (M1) is also nearby. The accessible entrance to M501 is not the same as the main entrance; the accessible entrance is located on East 127th Street (Exit 2).  The accessible entrance includes a ramp, security cameras, and a security desk. The accessible entrance does not include a door bell.</t>
  </si>
  <si>
    <t>Doors: 48 inches, Cab: 67 inches wide, 97 inches deep.</t>
  </si>
  <si>
    <t>Room B32</t>
  </si>
  <si>
    <t>Rooms 307 and 309</t>
  </si>
  <si>
    <t>Rooms B4, 154, 164B, 180, and 184</t>
  </si>
  <si>
    <t>Room 186</t>
  </si>
  <si>
    <t>Room B54</t>
  </si>
  <si>
    <t>The auditorium is accessible and is located on the first floor. Accessible seating is provided. Stage access is provided via lift. The cafeteria is accessible and is located in the basement. The gymnasium is accessible and is located on the second floor. Assistive listening systems have not been provided in the public assembly spaces.</t>
  </si>
  <si>
    <t>Accessible seating available upon request. Service line clear path is less than 32 Inches.</t>
  </si>
  <si>
    <t>Accessible single-user (unisex) bathrooms (available for students and staff) are available in the basement, and on the first floor.</t>
  </si>
  <si>
    <t>Rooms 201, 210, 237, 310, and 335</t>
  </si>
  <si>
    <t>Room B8</t>
  </si>
  <si>
    <t xml:space="preserve">Rooms B48, 208, 235, 301, 308, and 337 </t>
  </si>
  <si>
    <t>Rooms B44, 108, 251, 253, 276A, 274A, and 355</t>
  </si>
  <si>
    <t>Lack of clear path at entry. Partitions prevent access.</t>
  </si>
  <si>
    <t>Room 137</t>
  </si>
  <si>
    <t>Available for both student and staff use.</t>
  </si>
  <si>
    <t>140 West 102 Street, Manhattan, NY 10025</t>
  </si>
  <si>
    <t>The nearest accessible subway station is the 96th Street Station (1, 2, and 3 trains 0.34 miles distant. MTA bus service (M7, M11, and M104) is also nearby. The main entrance of M506 is accessible, located on West 102nd Street (Exit 2). The accessible entrance is reached via an entry quad and a ramp from street level. The accessible entrance includes a doorbell, security cameras and security desk. The doorbell is within reach range (Height 48 Inches).</t>
  </si>
  <si>
    <t xml:space="preserve">Accessed via entry quad. </t>
  </si>
  <si>
    <t>Ramped access from the sidewalk to the first-floor entry quad. Minor concrete degradation.</t>
  </si>
  <si>
    <t>Doors: 42 inches, Cab: 56 inches wide, 79 inches deep.</t>
  </si>
  <si>
    <t>Rooms 203, 227, and 327</t>
  </si>
  <si>
    <t>Rooms B8 and B12</t>
  </si>
  <si>
    <t>Rooms 202 and 210</t>
  </si>
  <si>
    <t>This site does not include an auditorium; the gymnasium fulfills this function. The gymnasium is accessible and is located in the basement. Accessible seating is provided. Stage access is not provided. The cafeteria is accessible and is located in the basement. The multi-purpose room is accessible and is located in the basement. Assistive listening systems have been provided in the cafeteria and multi-purpose room.</t>
  </si>
  <si>
    <t xml:space="preserve">Stage access is not provided, stage is portable. Accessible seating is provided. </t>
  </si>
  <si>
    <t>Assistive listening systems have been provided in the multi-purpose room and attached programming room.</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</si>
  <si>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is an accessible single-user (unisex) bathroom (for student and staff use) located inside the childcare room on the first floor. </t>
  </si>
  <si>
    <t>Rooms B5, B22, 105, 205, and 305</t>
  </si>
  <si>
    <t>Rooms B11, B12, 111, 211, and 311.</t>
  </si>
  <si>
    <t>Rooms B8B, B8F, B9, 108B, 109, 200A, and 302A</t>
  </si>
  <si>
    <t xml:space="preserve">Available for student and staff use. Room 108B is located inside the LYFE Center daycare room. </t>
  </si>
  <si>
    <t>Rooms 207 and 307</t>
  </si>
  <si>
    <t xml:space="preserve">Interior clear floor space prevents access.  Available for student and staff use. </t>
  </si>
  <si>
    <t>Fire alarm system has been upgraded and includes a strobe light feature. Holding rooms have been specifically designated as rooms 226 and 328.</t>
  </si>
  <si>
    <t xml:space="preserve">The site includes central air; Temperature control units are provided in classrooms.  </t>
  </si>
  <si>
    <t>198 Forsyth Street, Manhattan, NY 10002</t>
  </si>
  <si>
    <t>The nearest accessible subway station is Broadway-Lafayette Street Station (B, D, M, F, and 6 trains), 0.5 miles distant. MTA bus service (M15 and M21) is also nearby. The accessible entrance of M510 is not the same as the main entrance; the accessible entrance is located on Stanton Street (Exit 1). The accessible entrance includes a ramp and reception. The accessible entrance does not include security cameras or a doorbell. Visitors may need to contact site prior to gain access to the facility through the accessible entrance.</t>
  </si>
  <si>
    <t>A change in elevation on the first floor prevents access to some program areas. Braille signs are not included throughout the building.</t>
  </si>
  <si>
    <t>A change in elevation (6 steps) on the first floor prevents access to the multi-purpose room.</t>
  </si>
  <si>
    <t>Doors: 41 inches, Cab: 46 inches wide, 72 inches deep.</t>
  </si>
  <si>
    <t>Computer Rooms – Rooms 313 and 508</t>
  </si>
  <si>
    <t>Library – Room 407/408</t>
  </si>
  <si>
    <t>Main Office – Rooms 210, 310, and 514</t>
  </si>
  <si>
    <t>Science Lab – Rooms 204 and 404</t>
  </si>
  <si>
    <t>The auditorium is accessible and is located on the first floor. Stage access is not provided. Accessible seating is provided. The cafeteria is accessible and is located on the first floor. The multi-purpose room is not accessible and is located on the first floor. Assistive listening systems have not been provided in the public assembly spaces.</t>
  </si>
  <si>
    <t>There are accessible student bathrooms (girls and boys) available on the second floor. This building is prevented from attaining a higher accessibility rating due to lack of accessible bathrooms throughout the building.</t>
  </si>
  <si>
    <t>Boys Bathrooms – Room 200</t>
  </si>
  <si>
    <t>Identified as gender-neutral.</t>
  </si>
  <si>
    <t>Boys Bathrooms – First, Third and Fourth, and Fifth Floors</t>
  </si>
  <si>
    <t>Girls Bathrooms – Room 215</t>
  </si>
  <si>
    <t>Girls Bathrooms – First, Third and Fourth, and Fifth Floors</t>
  </si>
  <si>
    <t>411 Pearl Street, Manhattan, NY 10038</t>
  </si>
  <si>
    <t>The nearest accessible subway station is the Brooklyn Bridge – City Hall Station (4, 5, and 6 trains,) 0.4 miles distant. MTA bus service (M9, M15, M22, and M103), is also nearby. The accessible entrance to building M520 is not the same as the main entrance; the accessible entrance is around the corner from the main entrance, located on Pearl Street, and is accessed via a ramp from the sidewalk level. The accessible route to the school’s accessible entrance requires circling around to the south along the Brooklyn Bridge onramp and crossing under the overpass or circling to the north along Centre Street and Pearl Street. The school is also located next to the NYPD Headquarters.  </t>
  </si>
  <si>
    <t>Braille signage is provided throughout the building. </t>
  </si>
  <si>
    <t>Two passenger elevators on site provide access to all floors. Elevators provide audible signals on each floor.  </t>
  </si>
  <si>
    <t>This site is a highly accessible; all classrooms are accessible and are located along accessible routes.  </t>
  </si>
  <si>
    <t>Room 449</t>
  </si>
  <si>
    <t>Basement through Fourth Floors</t>
  </si>
  <si>
    <t>Rooms B43, 105, 154, 209, 215, 217, 225A, 225B, 439, and 459 </t>
  </si>
  <si>
    <t>Rooms B30 (02M135), 152 (02M520), 328 (02M280), and 412 (02M282)</t>
  </si>
  <si>
    <t>Room 440</t>
  </si>
  <si>
    <t>Rooms 331 and 335</t>
  </si>
  <si>
    <t>The auditorium is accessible and is located in the basement. The cafeteria is accessible and is located on the second floor. The gymnasiums are accessible and are located on the fifth and sixth floors. Assistive listening systems have not been provided in the public assembly spaces.</t>
  </si>
  <si>
    <t>There are accessible student bathrooms (boys and girls) available on all floors. There are accessible staff bathrooms available on all floors. </t>
  </si>
  <si>
    <t>Fire Alarm System has been updated and includes strobe light feature. Holding rooms have been specifically designated as rooms 203, 303, 403. An area of refuge has also been identified on the fifth floor opposite room 504.  </t>
  </si>
  <si>
    <t>This site includes central air. Additional air-conditioning units have been provided in some spaces. </t>
  </si>
  <si>
    <t>171 Cherry Street, Manhattan, NY 10038</t>
  </si>
  <si>
    <t>The nearest accessible subway station is at Brooklyn Bridge – City Hall (4, 5, and 6 trains,) 0.4 miles distant; MTA bus service (M9, M15, M22, and M103), is also nearby.  Building M521 is the secondary location for building M520. The main entrance of M521 is not accessible, located inside the athletic field on Cherry Street. The entrance does not include a doorbell, reception, and security cameras; visitors should contact the site prior to arrival.</t>
  </si>
  <si>
    <t>This site is a single-story structure, and does not include an elevator.</t>
  </si>
  <si>
    <t>Room 13</t>
  </si>
  <si>
    <t>Room 2</t>
  </si>
  <si>
    <t xml:space="preserve">This site does not include public assembly areas; the public assembly areas are located in building M520.    </t>
  </si>
  <si>
    <t>This site is prevented from attaining a higher accessibility rating due to lack of accessible bathrooms in the building.</t>
  </si>
  <si>
    <t>Room 10</t>
  </si>
  <si>
    <t>Home Team Bathroom</t>
  </si>
  <si>
    <t>Room 7</t>
  </si>
  <si>
    <t>Visitor Team Bathroom</t>
  </si>
  <si>
    <t>Room 15</t>
  </si>
  <si>
    <t>Male visitor bathroom</t>
  </si>
  <si>
    <t>Room 17</t>
  </si>
  <si>
    <t>Female visitor bathroom</t>
  </si>
  <si>
    <t>Rooms 3 and 14</t>
  </si>
  <si>
    <t>Room 3 is located in the nurse’s office.</t>
  </si>
  <si>
    <t>The nearest accessible subway station is the 125th Street Station (4, 5, and 6 trains), 1.0 miles distant. MTA bus service (M15, M101, and M102) is also nearby. The main entrance is not accessible due to changes in elevation and slopes upon entering school entrance. The main entrance includes security cameras, reception and a doorbell. The doorbell is within reach range (height 35 inches). This site does not include an accessible entrance.</t>
  </si>
  <si>
    <t>Changes in elevation on the first floor.</t>
  </si>
  <si>
    <t xml:space="preserve">There is an existing elevator but it is very small and narrow. It is not suitable for student entry. </t>
  </si>
  <si>
    <t>This site does not include a gymnasium; the auditorium fulfills this function. The auditorium is not accessible and is located on the first floor. The cafeteria is not accessible and is located in the basement. Assistive listening systems have not been provided in the public assembly spaces.</t>
  </si>
  <si>
    <t>180 Wadsworth Avenue, Manhattan, NY 10033</t>
  </si>
  <si>
    <t>The nearest accessible subway station is the 175th Street Station (A train), 0.3 miles distant. MTA bus service (Bx3, Bx7, Bx11, Bx13, Bx35, Bx36, and M100) is also nearby. The accessible entrance to M528 is not the same as the main entrance; the accessible entrance is located on Wadsworth Avenue (Exits 2 and 3). The accessible entrance includes a ramp and a doorbell. The doorbell is not within reach range (height 64 inches).</t>
  </si>
  <si>
    <t>A passenger elevator provides access to all floors. The elevator includes audible signals on each floor.</t>
  </si>
  <si>
    <t>Doors: 42 inches, Cab: 81 inches wide, 51 inches deep.</t>
  </si>
  <si>
    <t>Art Rooms – Room 307</t>
  </si>
  <si>
    <t>Library – Room 109</t>
  </si>
  <si>
    <t>Main Office – Room 121</t>
  </si>
  <si>
    <t>Science Lab – Room 308</t>
  </si>
  <si>
    <t>This site does not include an auditorium or gymnasium; the multi-purpose room is being used to accommodate these activities. The cafeteria is accessible and is located on the first floor. Assistive listening systems have not been provided in the public assembly areas.</t>
  </si>
  <si>
    <t>This site is prevented from attaining a higher accessibility rating due to lack of accessible bathrooms throughout the building. There are accessible student bathrooms (boys) available on the third floor. There are accessible student bathrooms (girls) available on the fourth floor. There are accessible single-user (unisex) bathrooms (for student and staff use) available on the second through fourth floors.</t>
  </si>
  <si>
    <t>Single-User (Unisex) Bathrooms – Second Through Fourth Floors</t>
  </si>
  <si>
    <t>designated as rooms 202, 302, and 402.</t>
  </si>
  <si>
    <t>Fire alarm system has been upgraded and includes a strobe light feature. Holding rooms refuge have been specifically</t>
  </si>
  <si>
    <t>525 West  50Th Street, Manhattan, NY 10019</t>
  </si>
  <si>
    <t>The nearest accessible subway station is the 50th Street Station (C and E trains; southbound only), 0.4mi distant. MTA bus service (M11, M12, and M50) is also nearby. The accessible entrance to building M535 is adjacent to the main entrance, located along West 50th Street (Exit 1). The accessible entrance includes a doorbell, a ramp, security cameras, and reception. Doorbell is within reach range (height 47 inches). Doorbell area lacks level landing area; visitors may need to contact site in advance to gain access to this facility through the accessible entrance.</t>
  </si>
  <si>
    <t>Ramp slope is steep and may pose difficulty for some. Doorbell area lacks level landing area.</t>
  </si>
  <si>
    <t>Braille signs are not included throughout the building. Some hallway doors are narrow, heavy and without closers, which may be difficult for some users to navigate. Some water fountains and other wall-mounted objects protrude into the corridors more than 4 inches, which may present difficulties for individuals with visual disabilities.</t>
  </si>
  <si>
    <t>Clear opening less than 32 inches; does not prevent meaningful access.</t>
  </si>
  <si>
    <t>E1: Doors: 45 inches, Cab: 84 inches wide, 93 inches deep. E2: Doors: 48 inches.</t>
  </si>
  <si>
    <t>The interior ramp on the 5th floor leading to a dance studio and the rooftop greenhouse has a steep slope and thick handrails.</t>
  </si>
  <si>
    <t>Computer Rooms – Rooms G11, 337, 347, 349, 351, 353, and 426</t>
  </si>
  <si>
    <t>Library – Room 275</t>
  </si>
  <si>
    <t>Main Office – Rooms 166, 219, 361, 370, 470M, and 475F</t>
  </si>
  <si>
    <t>Nurse’s Office – Rooms 117A and 551</t>
  </si>
  <si>
    <t>Room 551 includes a single-user bathroom.</t>
  </si>
  <si>
    <t>Science Lab – Room G54</t>
  </si>
  <si>
    <t>The auditorium is accessible and is located on the ground floor. Stage access is provided via lift and corridor. Accessible seating is provided. The cafeteria spaces are accessible and are located on the second floor. The gymnasium spaces are accessible and are located on the fifth floor. Assistive listening systems have been provided in the auditorium, main cafeteria,</t>
  </si>
  <si>
    <t>Stage access is provided via lift and corridor. Accessible seating is provided. Assistive listening systems have been provided.</t>
  </si>
  <si>
    <t>Cafeteria – (Main and Secondary) Second Floor</t>
  </si>
  <si>
    <t>Accessible seating is available upon request. Assistive listening systems have been provided in the main cafeteria.</t>
  </si>
  <si>
    <t>Gymnasium – (Small and Large) Fifth Floor</t>
  </si>
  <si>
    <t>Multi-Purpose Room (Weight Room, Bike Room) – Fifth Floor</t>
  </si>
  <si>
    <t>There are accessible student bathrooms (boys) available on the first, second, fourth, and fifth floors. There are accessible student bathrooms (girls) available on the first, and third through fifth floors. There are accessible single- user (unisex) bathrooms (for student and staff use) available on the fifth floor.</t>
  </si>
  <si>
    <t>Boys Bathrooms – Rooms 153B, 209B, 418B, and 509A</t>
  </si>
  <si>
    <t>Room 509A is located in the gym. Room 418B includes an adult changing table.</t>
  </si>
  <si>
    <t>Boys Bathrooms – Rooms G09B, 221B, 300M, 318B, 400M, and 444.</t>
  </si>
  <si>
    <t>Girls Bathrooms – Rooms 155G, 337, 437, an 555A</t>
  </si>
  <si>
    <t>Room 437 includes an adult changing table. Room 555A is located in the gym.</t>
  </si>
  <si>
    <t>Girls Bathrooms – Rooms G09G, 209G, 221W, 300W, 400W, and 410G</t>
  </si>
  <si>
    <t>Staff Bathrooms – Rooms G73W, G73M, 115A, 253M, 253W, 350B, 310G, 575W, and 575M</t>
  </si>
  <si>
    <t>Single-User (Unisex) Bathrooms – Room 551A</t>
  </si>
  <si>
    <t>Room 551A is located in the nurse’s office.</t>
  </si>
  <si>
    <t>Single-User (Unisex) Bathrooms – Rooms 111 and 113W</t>
  </si>
  <si>
    <t>Room 111 is located adjacent to the nurse’s office. Room 113W is the designated gender- neutral bathroom for this building.</t>
  </si>
  <si>
    <t>Fire alarm system includes a strobe light feature. Holding rooms have been specifically designated as rooms G39, 329, 475, 513, and 551.</t>
  </si>
  <si>
    <t>The site does not include central air. Air-conditioning units provided throughout building.</t>
  </si>
  <si>
    <t>443 West 135 Street, Manhattan, NY 10031</t>
  </si>
  <si>
    <t>The nearest accessible subway station is the 125th Station (A, B, C, and D trains), 0.5 miles distant. MTA bus service (M101) is also nearby. The accessible entrance to M540 is not the same as the main entrance; the accessible entrance is located on Convent Avenue (Exit A). The accessible entrance includes security cameras. The accessible entrance does not include a doorbell or reception. Visitors may need to contact site in advance to gain access to this facility through the accessible entrance.</t>
  </si>
  <si>
    <t>Some water fountains and other wall-mounted objects protrude in the corridors more than 4 inches, which may present difficulties for individuals with visual disabilities. Braille signs are not included throughout the building. A change of elevation (7 steps) on the seventh floor prevents access to the multi-purpose room.</t>
  </si>
  <si>
    <t>E1 and E2 Doors: 38 inches, Cabs: 65 inches wide, 71 inches deep.</t>
  </si>
  <si>
    <t>Computer Rooms – Room 308 and 311</t>
  </si>
  <si>
    <t>Library – Room 217/219</t>
  </si>
  <si>
    <t>Main Office – Room 159</t>
  </si>
  <si>
    <t>Nurse’s Office – Room 617</t>
  </si>
  <si>
    <t>Science Lab – Room 205, 504, 506, and 510</t>
  </si>
  <si>
    <t>The auditorium is accessible and is located on the first floor. The auditorium provides a lift for stage access. Accessible seating is provided. The cafeteria is accessible and is located in the basement. The gymnasium is accessible and is located on the fourth floor. The multi-purpose room is not accessible due to a change of elevation on the seventh floor. Assistive listening systems have not been provided in the public assembly spaces.</t>
  </si>
  <si>
    <t>Multi-Purpose Room – Room 704</t>
  </si>
  <si>
    <t>Change of elevation (7 steps) prevents access.</t>
  </si>
  <si>
    <t>There are accessible student bathrooms (girls) on the third and fifth floors. There is an accessible single-user (unisex) bathroom (available for students and staff) on the sixth floor. There are accessible staff bathrooms on the first and third floors.</t>
  </si>
  <si>
    <t>Girls Bathroom – Third and Fifth Floors</t>
  </si>
  <si>
    <t>Staff Bathrooms – First and Third Floors</t>
  </si>
  <si>
    <t>Single-User (Unisex) Bathroom – Sixth Floor</t>
  </si>
  <si>
    <t>225 West  24 Street, Manhattan, NY 10011</t>
  </si>
  <si>
    <t>The nearest accessible subway station is the 14th Street – 8th Avenue (A, C, and E trains), 0.5 miles distant. MTA bus service (M7, M20, M23, and M34), is also nearby. The main entrance to building M600 is accessible, located on West 24th Street (Exit 2). This site includes designated bus parking. The accessible entrance includes a doorbell. The doorbell is within reach range (Height 47 inches). The accessible entrance does not include security cameras.</t>
  </si>
  <si>
    <t>Sloped approach from the street.</t>
  </si>
  <si>
    <t>Some water fountains and other wall-mounted objects protrude into the corridors more than 4 inches, which may present difficulties for some. Heavy hallway doors and high door saddles on the 9th floor could pose difficulties for some. The tenth floor is not accessible, but only contains one classroom and does not limit program access. Student lockers are accessible throughout the building. Braille signs are not provided and are needed throughout the building.</t>
  </si>
  <si>
    <t>Six passenger elevators provide keycard access to all floors in the building. Elevators do not provide audible signals on each floor.</t>
  </si>
  <si>
    <t>E1 - E6; Doors: 45 Inches wide; Cabs: 96 Inches deep, 88.5 Inches wide. No audible signals.</t>
  </si>
  <si>
    <t>This site is highly accessible; most classrooms are accessible and are located on accessible routes.</t>
  </si>
  <si>
    <t>Art Room – Rooms 419, 529, 619, 629, and 744</t>
  </si>
  <si>
    <t>Classrooms – Second through Ninth Floors</t>
  </si>
  <si>
    <t>Classrooms – Tenth Floor</t>
  </si>
  <si>
    <t>Computer Rooms – Rooms 221, 603, 704, 901, and 919</t>
  </si>
  <si>
    <t>Library – Room 501</t>
  </si>
  <si>
    <t>Main Office – Room 201</t>
  </si>
  <si>
    <t>Nurse’s Office – Room 343</t>
  </si>
  <si>
    <t>Science Lab – Rooms 244, 526, 602, and 944</t>
  </si>
  <si>
    <t>The auditorium is accessible and is located on the first floor. Stage access is provided via lift. Accessible seating is provided. The cafeteria is accessible and is located on the fourth floor. The gymnasium on the third floor is accessible; the gymnasium on the tenth floor is not accessible. Although this site includes a pool, it is not accessible and is not currently in use. Assistive listening systems have not been provided in the public assembly spaces.</t>
  </si>
  <si>
    <t>Boys and Girls locker rooms have no clear floor space.</t>
  </si>
  <si>
    <t>Gymnasium – Tenth Floor</t>
  </si>
  <si>
    <t>Existing pool currently not in use.</t>
  </si>
  <si>
    <t>There are accessible student (boys’) bathrooms on the first, second, fifth, seventh, and ninth floors. There are accessible student (girls’) bathrooms on the first, fifth, seventh, and ninth floors. There is also accessible single-user (unisex) bathroom (available for students and staff) on the first, third, fifth, seventh and ninth floors.</t>
  </si>
  <si>
    <t>Boys Bathroom – Rooms 135, 235, 535, 735 and 935</t>
  </si>
  <si>
    <t>Boys Bathroom – Rooms 409, 635, and 803</t>
  </si>
  <si>
    <t>Girls Bathroom – Rooms 118, 513, 713 and 913</t>
  </si>
  <si>
    <t>Girls Bathroom – Rooms 413, 613, 813 and 843</t>
  </si>
  <si>
    <t>Staff Bathrooms – Rooms 213 and 235</t>
  </si>
  <si>
    <t>Single-User (Unisex) Bathroom – Rooms 106A, 106B, 333, 533, 733, and 933</t>
  </si>
  <si>
    <t>Fire Alarm System includes a strobe light feature. Holding rooms are designated on each floor next to Staircase A: 229, 329, 429, 529, 629, 729, 829, and 929. These include intercoms and landline phones with connectivity to the main office.</t>
  </si>
  <si>
    <t>The school does not have HVAC/Climate control installed. A/C units provided in classrooms. The auditorium includes</t>
  </si>
  <si>
    <t>131 Avenue Of The Americas, Manhattan, NY 10013</t>
  </si>
  <si>
    <t>The nearest accessible subway station is the West 4th Street - Washington Square Station (B, D, F, M, A, C, and E trains), 0.6 miles distant. MTA bus service (M55 and M21) is also nearby. The main entrance is not accessible due to changes in elevation and slopes upon entering school entrance. The main entrance includes security cameras and reception. This site does not include an accessible entrance.</t>
  </si>
  <si>
    <t>Change in elevation (4 steps) prevents access.</t>
  </si>
  <si>
    <t>Art Rooms – Room 502</t>
  </si>
  <si>
    <t>Computer Rooms – Rooms 103, 205, 305, 310 and 405</t>
  </si>
  <si>
    <t>Main Office – Rooms 211, 206, and 5th floor</t>
  </si>
  <si>
    <t>Nurse’s Office – 5th floor</t>
  </si>
  <si>
    <t>This site does not include a gymnasium; the auditorium fulfills this function. Stage access is not provided. Accessible seating is provided. The auditorium is not accessible and is located on the first floor. The cafeteria is not accessible and is located on the first floor. Assistive listening systems have not been provided in the public assembly spaces.</t>
  </si>
  <si>
    <t>Not on an accessible route. Stage access is not provided. Accessible seating available upon request.</t>
  </si>
  <si>
    <t>111 East  33Rd Street, Manhattan, NY 10016</t>
  </si>
  <si>
    <t xml:space="preserve">Nearest accessible subway station is at Grand Central – 42nd Street. (4, 5, 6, and 7 trains), 0.5 miles distant; MTA bus service (M1, M2, M3, M4, and M34) is also nearby.  The main entrance to building M620 is accessible, located on East 33rd Street, near its intersection with Park Avenue. The accessible entrance includes a doorbell and security cameras. The doorbell is not within reach range (Height 63 Inches).  </t>
  </si>
  <si>
    <t xml:space="preserve">Two passenger elevators provide access to all floors. Elevators do not include audible signals. </t>
  </si>
  <si>
    <t xml:space="preserve">Handrails needed in auditorium.  </t>
  </si>
  <si>
    <t>Room 818</t>
  </si>
  <si>
    <t>Third through Eighth Floors</t>
  </si>
  <si>
    <t>Room 538</t>
  </si>
  <si>
    <t>Rooms 428, and 730</t>
  </si>
  <si>
    <t>Rooms 420, 524, 708, and 802</t>
  </si>
  <si>
    <t>Rooms 1020, and 1025</t>
  </si>
  <si>
    <t>Room 804, and Room 818 (Alternate use)</t>
  </si>
  <si>
    <t>The auditorium is accessible and is located on the second floor. Accessible seating is provided. Stage access is not provided. The cafeteria is accessible and is located on the sixth floor. The gymnasium spaces are accessible and are located on the ninth and tenth floors. Assistive listening systems have not been provided in the public assembly spaces.</t>
  </si>
  <si>
    <t>Sixth Floor (students and staff)</t>
  </si>
  <si>
    <t xml:space="preserve">Rooms 908, 910, 
912, 914, 1014, and 1018  
</t>
  </si>
  <si>
    <t xml:space="preserve">This site is prevented from attaining a higher accessibility rating due to lack of accessible student bathrooms throughout the building. There are accessible staff bathrooms (male and female) available on the ninth floor.  </t>
  </si>
  <si>
    <t>Rooms 945 and 947</t>
  </si>
  <si>
    <t xml:space="preserve">Fire Alarm System includes a strobe light feature. There are designated fire holding rooms on the second, third, sixth, and ninth floors of the building.  </t>
  </si>
  <si>
    <t>The site includes HVAC/Climate control.</t>
  </si>
  <si>
    <t>439 West 49Th Street, Manhattan, NY 10019</t>
  </si>
  <si>
    <t xml:space="preserve">The nearest accessible subway station is at 50th Street Station (A, and C trains), 0.3 miles distant; MTA bus service (M11 and M50) is also nearby. The main entrance to building M625 is accessible. The accessible entrance includes a doorbell, ramps, and security cameras.  </t>
  </si>
  <si>
    <t xml:space="preserve">Some water fountains and other wall-mounted objects protrude into the corridors more than 4 inches, which may present difficulties for some. Consistent Braille signage is lacking throughout the building. </t>
  </si>
  <si>
    <t xml:space="preserve">Student lockers are accessible in main halls.  </t>
  </si>
  <si>
    <t>A freight elevator provides services to all floors in the building with the exception of the basement level (preventing access to the gym and locker rooms). There are multiple interior ramps providing access to the spaces in the cellar.</t>
  </si>
  <si>
    <t xml:space="preserve">Door: 66 Inches; Cab: 139 Inches deep, 89.5 Inches wide.  </t>
  </si>
  <si>
    <t>Room 243</t>
  </si>
  <si>
    <t>Second through Seventh Floors</t>
  </si>
  <si>
    <t xml:space="preserve">Rooms 401B, 460, 506, 
511, 532, 559, 560, 710, 721, 736 and 747
</t>
  </si>
  <si>
    <t>Room 646</t>
  </si>
  <si>
    <t>204 (84M170), 306 (84M523), 341 (02M135) 410 (02M139), 543 (02M393), and 716 (02M507</t>
  </si>
  <si>
    <t>Room 625</t>
  </si>
  <si>
    <t>Rooms 601, 602, and 611</t>
  </si>
  <si>
    <t>The auditorium is not accessible and is located on the second floor. Stage access is provided via a ramp. Accessible seating is not provided. The cafeterias are accessible and are located on the first and second floors. The gymnasium is not accessible and is located in the basement. The multi-purpose room is accessible and is located on the sixth floor. Assistive listening systems have been provided in the auditorium.</t>
  </si>
  <si>
    <t>Entry doors do not provide clear path. Stage access is provided via a temporary ramp. Accessible seating is not provided. Assistive listening systems have been provided.</t>
  </si>
  <si>
    <t>There are accessible student bathrooms (boys’ and girls’) on the first, fourth, fifth, sixth, and seventh floors. Accessible single-user (unisex) bathrooms (available for students or staff) are available on the fourth through seventh floors.</t>
  </si>
  <si>
    <t>First, fourth, fifth, sixth, and seventh Floors</t>
  </si>
  <si>
    <t>Fourth Through Seventh Floors</t>
  </si>
  <si>
    <t>Fire Alarm System includes a strobe light feature. There are dedicated fire safety rooms on each floor: 227, 327, 427, 527, 627, 727; each includes landlines that reach the main office.</t>
  </si>
  <si>
    <t>250 West Houston Street, Manhattan, NY 10014</t>
  </si>
  <si>
    <t xml:space="preserve">The nearest accessible subway station is West 4th Street – Washington Square Station (A, C, E, B, D, F and M trains), 0.3 miles distant. MTA bus service (M20, M21, SIM7, SIM9, and SIM33) is also nearby. The accessible entrance of M641 is not the same as the main entrance; the accessible entrance is located on Clarkson Street (Exit 4). The accessible entrance includes a ramp, security cameras and reception. The accessible entrance does not include a doorbell. Visitors may need to contact site in advance to gain access to this facility through the accessible entrance. </t>
  </si>
  <si>
    <t xml:space="preserve">Some hallway doors are heavy and without closers, which may be difficult for some users to navigate. Braille signs are included throughout some parts of the building, but not all.  </t>
  </si>
  <si>
    <t xml:space="preserve">Doors: 48 inches, Cab: 88 inches wide, 64 inches deep. </t>
  </si>
  <si>
    <t xml:space="preserve">This site is moderately accessible; all classrooms are accessible and are located along accessible routes.  </t>
  </si>
  <si>
    <t>Rooms 201 and 412</t>
  </si>
  <si>
    <t>Room 407/409</t>
  </si>
  <si>
    <t>Rooms 203 and 214</t>
  </si>
  <si>
    <t>Rooms 111 and 509</t>
  </si>
  <si>
    <t xml:space="preserve">The auditorium is accessible and is located in the cellar. Stage access is not provided. Accessible seating is provided. The cafeteria is accessible and is located on the first floor. The gymnasium is accessible and is located on the first floor. Assistive listening systems have not been provided in the public assembly spaces. </t>
  </si>
  <si>
    <t xml:space="preserve">Cellar </t>
  </si>
  <si>
    <t xml:space="preserve">There are accessible student bathrooms (boys and girls) available on the first, third, and fifth floors. There are accessible single-user (unisex) bathrooms (for student and staff use) available on the second, third, and fourth floors.  </t>
  </si>
  <si>
    <t>Rooms 117, 317, and 517</t>
  </si>
  <si>
    <t>Rooms 217 and 417</t>
  </si>
  <si>
    <t>Rooms 120, 316 and 516</t>
  </si>
  <si>
    <t>Rooms 216 and 416</t>
  </si>
  <si>
    <t>Rooms 220, 319, and 419</t>
  </si>
  <si>
    <t xml:space="preserve">Fire alarm system has been upgraded and includes a strobe light feature. Areas of refuge have been specifically designated as rooms 201, 301, 401, and 501. </t>
  </si>
  <si>
    <t>321 East  96 Street, Manhattan, NY 10128</t>
  </si>
  <si>
    <t>The nearest accessible subway station is 96 Street Station (Q train), 0.2 miles distant. MTA bus service (Bx99, M15, M96, and M15-SBS) is also nearby. The main entrance to M646 is accessible, located on East 96th Street (Exit 1). The accessible entrance includes security cameras and reception. The accessible entrance does not include a doorbell.</t>
  </si>
  <si>
    <t>Doors: 35 inches, Cab: 69 inches wide, 50 inches deep.</t>
  </si>
  <si>
    <t>Rooms 215, 312, 313, 322, and 339</t>
  </si>
  <si>
    <t xml:space="preserve">This site does not include an auditorium, a cafeteria, or a gymnasium. The multi-purpose room is accessible and is located on the first floor. The multi-purpose room does not include a stage. Accessible seating is provided. Assistive listening systems have not been provided in the public assembly areas. </t>
  </si>
  <si>
    <t>There are accessible student bathrooms (boys) available the first and fourth floors. There are accessible single-user (unisex) bathrooms (for student and staff use) available on the second and third floors.</t>
  </si>
  <si>
    <t xml:space="preserve">Fire alarm system has been upgraded and includes a strobe light feature. Holding rooms or areas of refuge have been specifically designated as rooms 231 and 331. </t>
  </si>
  <si>
    <t>127 East  22 Street, Manhattan, NY 10010</t>
  </si>
  <si>
    <t xml:space="preserve">The nearest accessible subway station is 14th Street – Union Square Station (L, N, Q, R, 4, 5, and 6 trains), 0.4 miles distant; MTA bus service (M1, M2, M3, M101, M102, M103, M14A, and M14D) is also nearby. The accessible entrance to building M660 is the same as the main entrance, located at the corner of East 22nd Street and Lexington Avenue. A small ramp provides access to the main entrance lobby from the sidewalk.  </t>
  </si>
  <si>
    <t xml:space="preserve">Student lockers are in the basement and are not accessible, reached only via staircase. Several interior doors are heavy and may present difficulty for some. Braille signage is provided throughout the building. </t>
  </si>
  <si>
    <t xml:space="preserve">Two passenger elevators provide service to all floors. Elevators provide audible signals on each floor. </t>
  </si>
  <si>
    <t xml:space="preserve">E1: Doors: 45 Inches, 72.5 Inches deep, 85.5 Inches wide;  
E2: Doors: 66 Inches, 57 Inches deep, 114 Inches wide.   </t>
  </si>
  <si>
    <t>First through Eighth Floors</t>
  </si>
  <si>
    <t>Rooms 302, 701, 702, and 803</t>
  </si>
  <si>
    <t xml:space="preserve">The auditorium is accessible and is located on the second floor. The auditorium provides accessible seating, but not stage access. The cafeteria is accessible and is located on the ninth floor. The gymnasium is accessible and is located on the tenth floor. Assistive listening systems have not been provided in the public assembly spaces. </t>
  </si>
  <si>
    <t>Ninth Floor</t>
  </si>
  <si>
    <t>Tenth Floor</t>
  </si>
  <si>
    <t xml:space="preserve">Accessible bathrooms (boys) are available on the fifth and eighth floors. Accessible bathrooms (girls) are available on the third, sixth, and tenth floors. Accessible staff bathrooms are available on the eighth floor.  </t>
  </si>
  <si>
    <t>Fifth and Eighth Floors</t>
  </si>
  <si>
    <t xml:space="preserve">First, Second, Fourth, Seventh, and Ninth Floors </t>
  </si>
  <si>
    <t>Third, Sixth, and Tenth Floors</t>
  </si>
  <si>
    <t>Eighth Floor</t>
  </si>
  <si>
    <t>Sink arrangement may present difficulties for some.</t>
  </si>
  <si>
    <t>All Floors Other than the Eighth</t>
  </si>
  <si>
    <t xml:space="preserve">Fire Alarm System includes a strobe light feature. Holding rooms have been specifically designated as rooms 501 and 601. Areas of refuge exist on all floors near the rear staircase. </t>
  </si>
  <si>
    <t xml:space="preserve">This site does not include HVAC/Climate control; A/C units provided in classrooms. </t>
  </si>
  <si>
    <t>240 2 Avenue, Manhattan, NY 10003</t>
  </si>
  <si>
    <t>The nearest accessible subway station is First Avenue Station (L train), 0.14 miles distant. MTA bus service (M15, M14A, and M14D) is also nearby. The main entrance is accessible, located on Second Avenue (Exit 1). The accessible entrance includes a ramp, an interior lift, a doorbell, reception, and security cameras. The doorbell is within reach range (height 44 inches).</t>
  </si>
  <si>
    <t>Doors: 50 inches, Cab: 80 inches wide, 52 inches deep.</t>
  </si>
  <si>
    <t>Remediates change in elevation from lobby to first floor.</t>
  </si>
  <si>
    <t>Art Rooms – Room 501</t>
  </si>
  <si>
    <t>Classrooms – Second through Sixth Floors</t>
  </si>
  <si>
    <t>Science Lab – Rooms 602 and 605</t>
  </si>
  <si>
    <t>The auditorium is accessible and is located on the first floor. Stage access is not provided. Accessible seating is provided. The cafeteria is accessible and is located on the fifth floor. The gymnasium is accessible and is located on the fourth floor. The indoor track is not accessible due to a change of elevation on the fifth floor. Assistive listening systems have not been provided in the public assembly spaces.</t>
  </si>
  <si>
    <t>Cafeteria- Fifth Floor</t>
  </si>
  <si>
    <t>Multi-Purpose Room – Indoor Track - Fifth Floor</t>
  </si>
  <si>
    <t>This building is prevented from attaining a higher accessibility rating due to lack of accessible bathrooms throughout the building. There are accessible student bathrooms (boys and girls) available on the sixth floor.</t>
  </si>
  <si>
    <t>Boys Bathrooms – Room 301B and 501B</t>
  </si>
  <si>
    <t>Girls Bathrooms – Room 201B</t>
  </si>
  <si>
    <t>Staff Bathrooms – Room 200</t>
  </si>
  <si>
    <t>Single-User (Unisex) Bathrooms – Lobby and Rooms 401B and 601B</t>
  </si>
  <si>
    <t>Multi-User (Unisex) Bathrooms – Room 601B</t>
  </si>
  <si>
    <t>113 East  4Th Street, Manhattan, NY 10003</t>
  </si>
  <si>
    <t>The nearest accessible subway station is Bleeker Street – Broadway-Lafayette Street Station (4, 6, B, D, F, and M trains trains), 0.34 miles distant. MTA bus service (M15 and M21) is also nearby. This building does not include an accessible entrance. The main entrance is not accessible, located on East Fourth Street (Exit 2). The main entrance includes a doorbell, reception, and security cameras. The doorbell is not within reach range (height 68 inches).</t>
  </si>
  <si>
    <t>Changes in elevation at entry prevent access.</t>
  </si>
  <si>
    <t>Room 305 stage lift is not on an accessible route.</t>
  </si>
  <si>
    <t>Library – Room 407</t>
  </si>
  <si>
    <t>Nurse’s Office – Room 210A</t>
  </si>
  <si>
    <t>The auditorium is not accessible and is located on the third floor. Stage access is provided via lift. Accessible seating is provided. The cafeteria is accessible and is located on the first floor. The gymnasium is accessible and is located on the third floor. Th multi-purpose room is not accessible and is located on the third floor. Assistive listening systems have been provided in the auditorium, cafeteria, gymnasium, and multi-purpose room.</t>
  </si>
  <si>
    <t>Not on an accessible route. Stage access is provided via lift. Accessible seating is provided. Assistive listening systems have been provided.</t>
  </si>
  <si>
    <t>Multi-Purpose Room – Dance Room 306</t>
  </si>
  <si>
    <t>This site is prevented from attaining a higher accessibility rating due to lack of accessible bathrooms throughout the building. There are accessible student bathrooms (boys and girls) available on the third floor.</t>
  </si>
  <si>
    <t>Boys Bathrooms – First, Second, Fourth, and Fifth Floors</t>
  </si>
  <si>
    <t>Girls Bathrooms – First Through Fifth Floors</t>
  </si>
  <si>
    <t>Staff Bathrooms – Room 124</t>
  </si>
  <si>
    <t>Single-User (Unisex) Bathrooms – In Cafeteria</t>
  </si>
  <si>
    <t>2-10 Astor Place, Manhattan, NY 10003</t>
  </si>
  <si>
    <t xml:space="preserve">The nearest accessible subway station is the 14th Street – Union Square Station (L, N, Q, R, 4, 5, and 6 trains) 0.4 miles distant. MTA bus service (M1, M2, M3, M8, M55, M101, M102, and M103) is also nearby. The main entrance to building M807 is accessible. The accessible entrance includes a doorbell and security cameras.  </t>
  </si>
  <si>
    <t xml:space="preserve">The school occupies the third floor in a leased site and is accessed by one passenger elevator. One passenger elevator provides service to all floors. Elevator provides audible signals on each floor. </t>
  </si>
  <si>
    <t>Lacks handrails on one side.</t>
  </si>
  <si>
    <t xml:space="preserve">This site is highly accessible; All classrooms are accessible and are located along accessible routes.  </t>
  </si>
  <si>
    <t>Room 335</t>
  </si>
  <si>
    <t>This site does not include an auditorium or gymnasium. The cafeteria is accessible and is located on the third floor. Assistive listening systems have not been provided in the public assembly spaces.</t>
  </si>
  <si>
    <t>Accessible bathrooms (student and staff) are available on the third floor.</t>
  </si>
  <si>
    <t>Fire Alarm System has been updated and includes strobe light feature. One fire holding room has been designated: 301. Holding room includes a fire extinguisher but does not include a form of communication at present.</t>
  </si>
  <si>
    <t xml:space="preserve">No HVAC/Central Air. A/C units in classrooms. </t>
  </si>
  <si>
    <t>240 Convent Ave, Manhattan, NY 10031</t>
  </si>
  <si>
    <t>The nearest accessible subway station is 125th Street (A, B, C, and D trains), 0.8 miles distant. MTA bus service (M100, M101, and Bx19) is also nearby. The main entrance is accessible, located on Convent Avenue. The accessible entrance includes reception. The accessible entrance does not include security cameras or a doorbell.</t>
  </si>
  <si>
    <t>Access is limited to the ground floor (basement level) of the building. Braille signage is provided throughout the site.</t>
  </si>
  <si>
    <t>This site is moderately accessible; all classrooms located in the basement level are accessible.</t>
  </si>
  <si>
    <t>Art Room –</t>
  </si>
  <si>
    <t>Classrooms – Cellar, First, and Second Floors</t>
  </si>
  <si>
    <t>Computer Rooms – Rooms B05 and B06</t>
  </si>
  <si>
    <t>Computer Rooms – Room C01</t>
  </si>
  <si>
    <t>Library –</t>
  </si>
  <si>
    <t>Main Office – Room B18</t>
  </si>
  <si>
    <t>Nurse’s Office –</t>
  </si>
  <si>
    <t>Science Lab – Rooms 107, and 108</t>
  </si>
  <si>
    <t>This site does not include any public assembly and recreational areas.</t>
  </si>
  <si>
    <t>Cafeteria –</t>
  </si>
  <si>
    <t>Accessible student bathrooms (boys and girls) are available on the ground floor. Accessible staff bathrooms (male and female) are available on the ground floor.</t>
  </si>
  <si>
    <t>Boys Bathroom – Ground Floor</t>
  </si>
  <si>
    <t>narrow doorway maneuvering clearances.</t>
  </si>
  <si>
    <t>Boys Bathroom – Cellar, First, and Second Floor</t>
  </si>
  <si>
    <t>Girls Bathroom – Ground Floor</t>
  </si>
  <si>
    <t>Inadequate clear floor space and narrow doorway maneuvering clearances.</t>
  </si>
  <si>
    <t>Staff Bathrooms – Ground Floor - Men's and Women's</t>
  </si>
  <si>
    <t>Fire alarm system has been updated and includes strobe light feature. Fire holding rooms have not been designated.</t>
  </si>
  <si>
    <t>504 West 158Th Street, Manhattan, NY 10032</t>
  </si>
  <si>
    <t>The nearest accessible subway station is the 168th Street Station (A and C trains), 0.52 miles distant. MTA bus service (M3 and M101) is also nearby. The main entrance of M814 is accessible, located on West 158th Street (Exit 1). The accessible entrance includes a doorbell, security cameras, a ramp, and reception. The doorbell is within reach range (Height 48 Inches).</t>
  </si>
  <si>
    <t xml:space="preserve">Two passenger elevators provide access to all floors.  Elevators include audible signals on each floor. </t>
  </si>
  <si>
    <t xml:space="preserve">Doors: 47 Inches, Cabs: 78 Inches wide, 62 Inches deep. </t>
  </si>
  <si>
    <t>Room 511</t>
  </si>
  <si>
    <t>Rooms 305, 311, 314, and 317</t>
  </si>
  <si>
    <t xml:space="preserve">This site does not include an auditorium; the gymnasium fulfills this function. The gymnasium is accessible and is located on the fifth floor. Stage access is not provided. Accessible seating is provided. The cafeteria is accessible and is located on the first floor. Assistive listening systems have been provided in the cafeteria and gymnasium. </t>
  </si>
  <si>
    <t xml:space="preserve">Portable stage. No stage access. Accessible seating is provided. Assistive listening systems have been provided. </t>
  </si>
  <si>
    <t xml:space="preserve">There are accessible bathrooms (student and staff) available on all floors. There are accessible single-user (unisex) bathrooms (for student and staff use) available on all floors.   </t>
  </si>
  <si>
    <t>Rooms 120C, 208, 308, 408, 508, and 608</t>
  </si>
  <si>
    <t>Rooms 120A, 204, 304, 404, 504, and 604</t>
  </si>
  <si>
    <t>Rooms 114, 121B, 212, 312, 412, 511A, 512, 601A, and 611A</t>
  </si>
  <si>
    <t xml:space="preserve">Available for student and staff use. Room 121B is reached via Room 111. Room 511A is located inside the Nurse’s Office. Room 601A is reached via the custodial locker rooms. </t>
  </si>
  <si>
    <t xml:space="preserve">Fire alarm system has been upgraded and includes a strobe light feature. Holding rooms have been specifically designated as rooms 201, 305, 401, and 505. </t>
  </si>
  <si>
    <t>75 Broad Street, Manhattan, NY 10004</t>
  </si>
  <si>
    <t xml:space="preserve">The nearest accessible subway station is at Bowling Green Station (4 and 5 trains), 0.2 miles distant. MTA bus service (M55, X27 and X28) is also nearby. The main entrance to building M824 is accessible. The accessible entrance includes security cameras, reception, and automatic doors. The accessible entrance does not include a doorbell.  </t>
  </si>
  <si>
    <t xml:space="preserve">Some water fountains and other wall-mounted objects protrude in to the corridors more than 4 inches, which may present difficulties for individuals with visual disabilities. Braille signage is provided throughout the building.  </t>
  </si>
  <si>
    <t>Three passenger elevators and a freight elevator provide access the eleventh, twelfth, and thirteenth floors. Elevators provide audible signals on each floor.</t>
  </si>
  <si>
    <t xml:space="preserve">Doors: 42 Inches wide; Cabs: 50 Inches deep, 77 Inches wide. </t>
  </si>
  <si>
    <t>Rooms 1201 and 1210</t>
  </si>
  <si>
    <t>Eleventh through Thirteenth Floors</t>
  </si>
  <si>
    <t>Room 1234</t>
  </si>
  <si>
    <t>Room 1323</t>
  </si>
  <si>
    <t>Room 1206</t>
  </si>
  <si>
    <t>Rooms 1125, 1127, 1332, and 1334</t>
  </si>
  <si>
    <t xml:space="preserve">This site does not include an auditorium or gymnasium. There is an accessible exercise weight room with on the first floor. There is also an accessible multi-purpose space on the first floor. The cafeteria is accessible and is located on the twelfth floor. Assistive listening systems have not been provided in the public assembly spaces. </t>
  </si>
  <si>
    <t>Twelfth Floor</t>
  </si>
  <si>
    <t>There are accessible bathrooms (student and staff) on the eleventh, twelfth, and thirteenth floors.</t>
  </si>
  <si>
    <t>Fire Alarm System includes a strobe light feature. The interior lobbies adjacent to the elevators on each floor are designated areas of refuge.</t>
  </si>
  <si>
    <t xml:space="preserve">The site includes HVAC/Climate control. </t>
  </si>
  <si>
    <t>500 8 Avenue, Manhattan, NY 10018</t>
  </si>
  <si>
    <t>The nearest accessible subway station is the 34th - Penn Station (A, C, E, 1, 2, and 3 trains), 0.1 miles distant. MTA bus service (M34-SBS, M20, and M11) is also nearby. The main entrance of M827 is accessible, located on 8th Avenue (Exit 1). The accessible entrance includes reception. This school occupies the seventh, tenth, and eleventh floors of this building.</t>
  </si>
  <si>
    <t>E1; Doors: 54 inches, Cab: 92 inches wide, 108 inches deep. E2; Doors: 49 inches, Cab: 72 inches wide, 91 inches deep.</t>
  </si>
  <si>
    <t>This site is highly accessible; all classrooms are accessible and are located along accessible routes. This school occupies the seventh, tenth and eleventh floors of this building.</t>
  </si>
  <si>
    <t>Art Room – Room 1012</t>
  </si>
  <si>
    <t>Classrooms – Seventh, Eleventh and Tenth Floors only</t>
  </si>
  <si>
    <t>Computer Rooms – Rooms 1015 and 1115</t>
  </si>
  <si>
    <t>Main Office – Rooms 709 (LYFE), 715 and 1018 (Pathways to Graduation)</t>
  </si>
  <si>
    <t>This site does not include an auditorium or a gymnasium. The cafeteria is accessible and is located on the third floor. Assistive listening systems have not been provided in the public assembly areas.</t>
  </si>
  <si>
    <t>Cafeteria – Tenth Floor</t>
  </si>
  <si>
    <t>There are single-user (unisex) bathrooms (for staff and student use) available on the seventh, tenth and eleventh floors.</t>
  </si>
  <si>
    <t>Boys Bathrooms – Rooms 725, 1020, and 1121</t>
  </si>
  <si>
    <t>Girls Bathrooms – Rooms 726, 1021, and 1122</t>
  </si>
  <si>
    <t>Single-User (Unisex) Bathrooms –Rooms 727, 1022, and 1123</t>
  </si>
  <si>
    <t>100 Trinity Place, Manhattan, NY 10006</t>
  </si>
  <si>
    <t>The nearest accessible subway station is Cortlandt Street Station (4 and 5 trains), 0.2 miles distant. MTA bus service (M55) is also nearby. The main entrance is accessible, located on Trinity Place. The accessible entrance includes security cameras and reception.</t>
  </si>
  <si>
    <t>Four passenger elevator provides access to all floors. Elevator includes audible signals on each floor.</t>
  </si>
  <si>
    <t>Doors: 54 inches, Cab: 72 inches wide, 78 inches deep.</t>
  </si>
  <si>
    <t>Computer Rooms – Room 207</t>
  </si>
  <si>
    <t>Library – 1001</t>
  </si>
  <si>
    <t>Main Office – Room 1006</t>
  </si>
  <si>
    <t>Nurse’s Office – Room 404</t>
  </si>
  <si>
    <t>Science Lab – Room 607</t>
  </si>
  <si>
    <t>The auditorium is accessible and is located on the first floor. Stage access is provided via lift. Accessible seating is provided. The cafeteria is accessible and is located on the eighth floor. This site does not include a gymnasium; the multi-purpose room fulfills this function. The multi-purpose room is accessible and is located in the basement. Assistive listening systems have not been provided in the public assembly areas.</t>
  </si>
  <si>
    <t>Cafeteria – Eighth Floor</t>
  </si>
  <si>
    <t>Multi-Purpose Room - Basement</t>
  </si>
  <si>
    <t>This building is prevented from attaining a higher accessibility rating due to lack of accessible bathrooms throughout the building. There are accessible student bathrooms (boys and girls) available on the 6th and 10th floors.</t>
  </si>
  <si>
    <t>Boys Bathrooms – Sixth and Tenth Floors</t>
  </si>
  <si>
    <t>First-floor lobby bathrooms are accessible but are not located along an accessible route.</t>
  </si>
  <si>
    <t>Girls Bathrooms – Sixth and Tenth Floors</t>
  </si>
  <si>
    <t>444 West 56 Street, Manhattan, NY 10019</t>
  </si>
  <si>
    <t>The nearest accessible subway station is 59th Street – Columbus Circle (A, B, C, D, and 1 trains), 0.5 miles distant. MTA bus service (M11, M12, M31, and M57) is also nearby. The accessible entrance to building M834 is not the same as the main entrance; the accessible entrance is reached via a ramp adjacent to the main entrance located on West 56th Street (Exit 2). The accessible entrance includes a ramp, doorbell, intercom, and security cameras.</t>
  </si>
  <si>
    <t>Another accessible entrance is available at street level at exit 5. This entrance does not include a doorbell, security cameras or reception; visitors may need to contact site in advance to gain access to this facility through this entrance.</t>
  </si>
  <si>
    <t>Exterior ramp remediates changes in elevation between street to Ground Level of the building at Exit 2.</t>
  </si>
  <si>
    <t>There are three passenger elevators and one freight elevator that provide access to all floors. Elevators 1 and 2 provide access to all floors. Elevator 3 provides access from basement to the fourth-floor cafeteria. Elevators 1 and 2 include audible signals on each floor.</t>
  </si>
  <si>
    <t>This site is moderately accessible; all classrooms are accessible and are located along accessible routes. There are a lot of ramps and doorways connecting different spaces. There is a change of elevation on the third floor that prevents access to some classrooms.</t>
  </si>
  <si>
    <t>Art Room – Room 4031</t>
  </si>
  <si>
    <t>Classrooms – Rooms 3091 through 3100</t>
  </si>
  <si>
    <t>Computer Rooms – Room G18</t>
  </si>
  <si>
    <t>Library – Rooms G13 and 4023</t>
  </si>
  <si>
    <t>Main Office – Rooms G25, 3013, and 448</t>
  </si>
  <si>
    <t>Room G25 (HS for Environmental Studies) Room 3013 (Independence HS) Room 448 (Restart Citywide )</t>
  </si>
  <si>
    <t>Nurse’s Office – Room 3078</t>
  </si>
  <si>
    <t>Science Lab – Rooms 5002, 5013, and 5021</t>
  </si>
  <si>
    <t>The auditorium is accessible and is located on the sixth floor. Stage access is provided via lift. Accessible seating is provided. The cafeterias are accessible and are located on the first and fourth floors. The gymnasium is accessible and is located on the third floor. The multi-purpose rooms are accessible and are located on the ground floor and third floor. Assistive listening systems have not been provided in the public assembly spaces.</t>
  </si>
  <si>
    <t>Cafeteria – First and Fourth Floors</t>
  </si>
  <si>
    <t>Multi-Purpose Room – Room G20 and 3089 (Dance Studio)</t>
  </si>
  <si>
    <t>Accessible bathrooms (boys and girls) are available on the first through sixth floors. Accessible staff bathrooms (male and female) are available on the first through sixth floors.</t>
  </si>
  <si>
    <t>Fire alarm system has been upgraded and includes a strobe light feature. Holding rooms have been specifically designated as rooms 4002 and 6046.</t>
  </si>
  <si>
    <t>This site does not include central air. Air-conditioning units are provided in classrooms.</t>
  </si>
  <si>
    <t>227-243 West 61St Street, Manhattan, NY 10023</t>
  </si>
  <si>
    <t xml:space="preserve">The nearest accessible subway station is the 66th Street - Lincoln Center Station (1 and 2 trains), 0.33 miles distant. MTA bus service (M11 and M57) is also nearby. The accessible entrance to building M837 is not the same as the main entrance; the accessible entrance is located on West 61st Street (Exit 4), which leads into the student cafeteria on the first floor. The accessible entrance does not include a doorbell, security cameras, or reception. Visitors may have to contact the site prior to arrival to gain access to this facility through the accessible entrance.  </t>
  </si>
  <si>
    <t>One passenger elevator provides access to all floors. Elevator includes audible signals on each floor.</t>
  </si>
  <si>
    <t>Doors: 42 inches, Cab: 79 inches wide, 56 inches deep. </t>
  </si>
  <si>
    <t>Ramp from street entrance at Exit 1 to basement level. </t>
  </si>
  <si>
    <t>Rooms 222 and 321</t>
  </si>
  <si>
    <t xml:space="preserve">This site does not include an auditorium; the first-floor gymnasium fulfills this function. The first-floor gymnasium is accessible. Stage access is provided via lift. Accessible seating is provided. There is a secondary gymnasium that is accessible and is located in the basement. The cafeteria is accessible and is located on the first floor. The multi-purpose room is accessible and is located on the first floor. Assistive listening systems have been provided in the second-floor gymnasium and in the cafeteria. </t>
  </si>
  <si>
    <t>Accessible seating available upon request. Assistive listening systems have been provided. </t>
  </si>
  <si>
    <t>Accessible seating is provided. </t>
  </si>
  <si>
    <t>Room 102 (Black Box Theater)</t>
  </si>
  <si>
    <t>Stage access is not provided; the school possesses a portable stage with a ramp feature. </t>
  </si>
  <si>
    <t xml:space="preserve">There are accessible student bathrooms (boys and girls) available on the first through third floors. Accessible single-user (unisex) bathrooms (available for students and staff) are available on the first through third floors.  </t>
  </si>
  <si>
    <t>Rooms 134, 233, and 327</t>
  </si>
  <si>
    <t>Room B46</t>
  </si>
  <si>
    <t>Rooms 137, 230, and 330</t>
  </si>
  <si>
    <t>Room B47</t>
  </si>
  <si>
    <t>Rooms B30, 136, 231, and 328</t>
  </si>
  <si>
    <t>Available for student and staff use. Room B30 is located inside the nurse’s medical suite and is accessed via room B34. </t>
  </si>
  <si>
    <t>Room B48</t>
  </si>
  <si>
    <t>This site does not include exterior recreational spaces.  </t>
  </si>
  <si>
    <t>Fire alarm system has been upgraded and includes a strobe light feature. Holding rooms have been specifically designated as rooms 218 and 318. </t>
  </si>
  <si>
    <t>This site provides central air. Temperature control units have been provided in the classrooms. </t>
  </si>
  <si>
    <t>466 West End Avenue, Manhattan, NY 10024</t>
  </si>
  <si>
    <t xml:space="preserve">The nearest accessible subway station is 72nd Street Station (1, 2, and 3 trains), 0.6 miles distant. MTA bus service (M104 and M5) is also nearby. The accessible entrance to M841 is not the same as the main entrance; the accessible entrance is located on 82nd Street (Exit 5). The accessible entrance includes a doorbell. The doorbell is not within reach range (height 55 inches). Visitors may need to contact site in advance to gain access to this facility through the accessible entrance. </t>
  </si>
  <si>
    <t xml:space="preserve">One passenger elevator provides access to all floors. Elevator includes audible signals on all floors. </t>
  </si>
  <si>
    <t xml:space="preserve">Doors: 49 inches, Cab: 80 inches wide, 52 inches deep.  </t>
  </si>
  <si>
    <t xml:space="preserve">This site is highly accessibility; all classrooms and educational spaces are accessible and are located along accessible routes. </t>
  </si>
  <si>
    <t xml:space="preserve">The auditorium is accessible and is located on the second floor. Stage access is provided via lift. Accessible seating is provided. The cafeteria is accessible and located on the first floor. The gymnasium is accessible and located on the fifth floor. Assistive listening systems have not been provided in the public assembly spaces. </t>
  </si>
  <si>
    <t>Rooms 116, 309B, and 501B</t>
  </si>
  <si>
    <t>Rooms 115, 309A, and 501A</t>
  </si>
  <si>
    <t>Rooms 109, 110, 212A, 212B, 412A, and 412B</t>
  </si>
  <si>
    <t>For staff and student use</t>
  </si>
  <si>
    <t xml:space="preserve">Fire alarm system has been upgraded and includes a strobe light feature. Holding rooms are specifically designated as rooms 205, 302, 402, and 504.  </t>
  </si>
  <si>
    <t>200 Chambers Street, Manhattan, NY 10007</t>
  </si>
  <si>
    <t>The nearest accessible subway station is the Chambers Street Station (1, 2, and 3 trains), 0.13 miles distant. MTA bus service (M9, M20, and M22) is also nearby. Building M843 is the secondary location for building M234, and is accessed from the main entrance of building M234 via the covered, ramped, exterior pathway that connects to building M843 via an exterior play yard. The main entrance of M234 is accessible, located on Greenwich Street (Exit 2). The accessible entrance includes a doorbell and reception. The doorbell is not within reach range (height 57 inches). The accessible entrance does not include security cameras. The main entrance of M843 is accessible, located in the exterior play yard. The accessible entrance includes reception. The accessible entrance does not include a doorbell or security cameras.</t>
  </si>
  <si>
    <t xml:space="preserve">This site occupies the third and fourth floors of a leased building. Some door saddles are high, which may be difficult for some users to navigate. Braille signs are included throughout the building. </t>
  </si>
  <si>
    <t>E1 
Doors: 42 inches, Cab: 80 inches wide, 51 inches deep.</t>
  </si>
  <si>
    <t>Room 438</t>
  </si>
  <si>
    <t>Room 438A</t>
  </si>
  <si>
    <t xml:space="preserve">All public assembly spaces are located in primary building M234. The auditorium is accessible and is located on the second floor. Stage access is provided via lift. Accessible seating is provided. The cafeteria is accessible and is located on the first floor. The gymnasium is accessible and is located on the first floor. Assistive listening systems have not been provided in the public assembly spaces. </t>
  </si>
  <si>
    <t>Located in building M234</t>
  </si>
  <si>
    <t xml:space="preserve">There are accessible single-user (unisex) bathrooms (for student and staff use) available on all floors.  </t>
  </si>
  <si>
    <t>No clear path at entry</t>
  </si>
  <si>
    <t>Rooms 331A/333A, 337, 431A/433A, and 437</t>
  </si>
  <si>
    <t>Located inside corresponding classrooms. Rooms 331A/333A and 431A/433A are gender-neutral, Pre-K, multiuser bathrooms.</t>
  </si>
  <si>
    <t>Fire alarm system has been upgraded and includes a strobe light feature. Holding rooms have been specifically designated as rooms 331 and 430.</t>
  </si>
  <si>
    <t>400 First Avenue, Manhattan, NY 10010</t>
  </si>
  <si>
    <t xml:space="preserve">The nearest accessible subway station is the 23rd Street Station (6 train), 0.5 miles distant. MTA bus service (M9, M23-SBS, M34-SBS, SIM3, SIM6, and SIM10) is also nearby. The main entrance of M844 is accessible, located on 1st Avenue (Exit 1). The accessible entrance includes reception, security cameras, and automatic door openers. This school occupies the second and third floors of this administrative building. </t>
  </si>
  <si>
    <t xml:space="preserve">Doors: 48 inches, Cab: 75 inches wide, 78 inches deep. </t>
  </si>
  <si>
    <t xml:space="preserve">This site is highly accessible; all classrooms are accessible and are located along accessible routes. This school occupies the second and third floors of this administrative building. </t>
  </si>
  <si>
    <t>Second Floor Only</t>
  </si>
  <si>
    <t>Room 82 and 225C</t>
  </si>
  <si>
    <t xml:space="preserve">This site does not include an auditorium or a gymnasium. The cafeteria is accessible and is located on the third floor. Assistive listening systems have been provided in the cafeteria. </t>
  </si>
  <si>
    <t xml:space="preserve">There are accessible bathrooms (boys and girls) available on the second and third floors. There are accessible staff bathrooms available on the first and second floors.  </t>
  </si>
  <si>
    <t>Rooms 231 and 331</t>
  </si>
  <si>
    <t>Rooms 230 and 330</t>
  </si>
  <si>
    <t>411 East 76 Street, Manhattan, NY 10021</t>
  </si>
  <si>
    <t xml:space="preserve">The nearest accessible subway station is the 63rd Street – Lexington Avenue Station (F train), 1.2 miles distant. MTA bus service on 1st Avenue is also nearby. The main entrance to building M855 is accessible, located on East 76th Street. The accessible entrance includes a doorbell, security cameras, and an interior lift. </t>
  </si>
  <si>
    <t xml:space="preserve">Braille signage is provided throughout the building. </t>
  </si>
  <si>
    <t>Change in elevation at entrance. Lift provides access to main floor.</t>
  </si>
  <si>
    <t>Two passenger elevators provide service to all floors. Elevators provide audible signals on all floors.</t>
  </si>
  <si>
    <t>Doors: 41 Inches; Cabs: 51.5 Inches deep, 81.5 Inches wide</t>
  </si>
  <si>
    <t>Room 212</t>
  </si>
  <si>
    <t>Room 518</t>
  </si>
  <si>
    <t>Small office doesn’t provide clear floor or maneuvering space</t>
  </si>
  <si>
    <t>Rooms 414, and 417</t>
  </si>
  <si>
    <t>The auditorium is accessible and is located on the first floor. Stage access is provided. Accessible seating is provided. The cafeteria is accessible and is located on the second floor. This site does not include a gymnasium. Assistive listening systems have not been provided in the public assembly spaces.</t>
  </si>
  <si>
    <t>Accessible seating is provided. Stage access is provided via ramp.</t>
  </si>
  <si>
    <t>Accessible student bathrooms (boys’ and girls’) are available on the first through fifth floors of the building. Accessible staff bathrooms (male and female) are available on the first through fifth floors.</t>
  </si>
  <si>
    <t>Fire Alarm System includes a strobe light feature. Holding rooms are designated on each floor next to Staircase A: 201, 301, 401, 501. Holding rooms include intercoms and landline phones with connectivity to the main office.</t>
  </si>
  <si>
    <t>The school resides in a leased building space that includes HVAC/Climate control.</t>
  </si>
  <si>
    <t>10 East 15Th Street, Manhattan, NY 10003</t>
  </si>
  <si>
    <t xml:space="preserve">The nearest accessible subway station is 14 St-Union Square Station (L, N, Q, R, and W trains), 0.1 miles distant. MTA bus service (M1, M2, M3, M3, M14A, M14D, and M55) is also nearby. The main entrance to building M868 is accessible (Exit 1). The accessible entrance includes a doorbell, security cameras, and a security desk. The doorbell is not within reach range (height 49 inches). There is a slight cross slope on approach to the accessible entrance. </t>
  </si>
  <si>
    <t xml:space="preserve">E1, E2, and E3; Doors: 46 Inches, Cabs: 64 Inches wide, 46 Inches deep. </t>
  </si>
  <si>
    <t>Rooms 327 and 711</t>
  </si>
  <si>
    <t xml:space="preserve">Located inside a glass enclosure in the library </t>
  </si>
  <si>
    <t>Rooms 303, 311, 701, and 703</t>
  </si>
  <si>
    <t>Rooms 409, 415, 419, 611, and 613</t>
  </si>
  <si>
    <t xml:space="preserve">This site does not include an auditorium; the gymnasium space fulfills this function. The gymnasium is accessible and is located in the basement. Stage access is provided via lift. The gymnasium provides accessible seating. The cafeteria spaces are accessible and are located on the second and fourth floors. The multi-purpose spaces are accessible and are located on the eighth floor. Assistive listening systems have been provided in the gymnasium. </t>
  </si>
  <si>
    <t xml:space="preserve">Accessible seating is available upon request. </t>
  </si>
  <si>
    <t xml:space="preserve">There are accessible student bathrooms (girls and boys) available in the basement, and on floors three through seven. There are accessible single-user (unisex) bathrooms (for student and staff use) available on floors one through eight. </t>
  </si>
  <si>
    <t>Rooms B15, 314, 414, 514, 614, and 714.</t>
  </si>
  <si>
    <t>Rooms B13, 318, 418, 518, 618, and 718</t>
  </si>
  <si>
    <t>Rooms 203A, First Floor, 203B, 203C, 801C, and 801E</t>
  </si>
  <si>
    <t xml:space="preserve">Fire alarm system has been upgraded and includes a strobe light feature. Areas of refuge have been specifically designated as Gymnasium, Cafeteria, rooms 311, 411, 511, 611, 711, and stair area S8B.  </t>
  </si>
  <si>
    <t xml:space="preserve">The site does not include central air; Air-conditioning units provided in classrooms. The auditorium is air-conditioned </t>
  </si>
  <si>
    <t>134 Carder Road, Manhattan, NY 10004</t>
  </si>
  <si>
    <t xml:space="preserve">This is a secondary site for M877. The nearest accessible subway station is the South Street Station (1 train), 0.70 miles distant, and is reached via the Governor’s Island Ferry. The Governor’s Island Ferry Terminal is also nearby, 0.16 miles distant. The main entrance doors of M871 are accessible, located on Carder Road (Exit 1). Access is to the building is prevented due to lack of curb cuts, ramps, or lifts that would transport a visitor from the street level to the building entrance. The building possesses an at-grade entrance in the form of a garage door; this entrance can possibly be used to gain access to the site. </t>
  </si>
  <si>
    <t xml:space="preserve">Access is prevented due to lack of curb cuts, ramps, or lifts from street level. Doors themselves are accessible. </t>
  </si>
  <si>
    <t xml:space="preserve">One passenger lift provides access to all floors. Lift does not include audible signals on each floor.  </t>
  </si>
  <si>
    <t xml:space="preserve">Doors: 36 Inches </t>
  </si>
  <si>
    <t xml:space="preserve">This site offers no accessibility; there are no accessible classrooms located along accessible routes. </t>
  </si>
  <si>
    <t xml:space="preserve">This site does not include any public assembly spaces. Assistive listening systems have not been provided in the building. </t>
  </si>
  <si>
    <t xml:space="preserve">There are accessible single-user (unisex) bathrooms (for student and staff use) available on the first floor. There are no bathrooms on the second floor.   </t>
  </si>
  <si>
    <t>Rooms M104 and M105</t>
  </si>
  <si>
    <t>43 West  22 Street, Manhattan, NY 10010</t>
  </si>
  <si>
    <t>The nearest accessible subway station is the 23rd Street Station (6 train), 0.3 miles distant. MTA bus service (M1, M2, M3, M7 and M55) is also nearby. The main entrance is not accessible due a change in elevation upon entering school entrance, located on 22nd street. The main entrance includes security cameras, reception and a doorbell. The doorbell is not within reach range (height 71 inches). This site does not include an accessible entrance.</t>
  </si>
  <si>
    <t>This lift is currently out of order. DSF has been contacted to service the lift.</t>
  </si>
  <si>
    <t>Elevator shaft has been created. SCA has been contacted to better understand current status of project.</t>
  </si>
  <si>
    <t>Room 353</t>
  </si>
  <si>
    <t>Room 354</t>
  </si>
  <si>
    <t>Rooms 221B, 229B, 362, and 370</t>
  </si>
  <si>
    <t>This site does not include an auditorium or a gymnasium; the multi-purpose room fulfills this function. The multi-purpose room is accessible and located on the first floor. This room does not include a stage. Accessible seating is provided. The cafeteria is not accessible and is located on the second floor. Assistive listening systems have not been provided in the public assembly spaces.</t>
  </si>
  <si>
    <t>Room 364</t>
  </si>
  <si>
    <t>Rooms 245 and 345</t>
  </si>
  <si>
    <t>Rooms 246 and 378</t>
  </si>
  <si>
    <t>55 East  25 Street, Manhattan, NY 10010</t>
  </si>
  <si>
    <t xml:space="preserve">The nearest accessible subway station is 23rd Street Station (4 and 6 trains), 0.13 miles distant. MTA bus service (BxM8, BxM9, M1, M2, M3, X63, X64, and X68) is also nearby. The main entrance to building M874 is accessible, located on East 25th Street. The accessible entrance includes a doorbell and reception. The doorbell is within reach range (Height 42 Inches). The accessible entrance does not include security cameras. </t>
  </si>
  <si>
    <t>One of the corridors on the ground floor is narrow, restricting maneuvering clearance when accessing adjacent educational and administrative spaces. Lockers are available but are pull-latch operated and may present difficulties for those some. Consistent Braille signage is lacking throughout the building.</t>
  </si>
  <si>
    <t>There is a passenger elevator that provides service to all floors. Elevator does not provide audible signals on all floors.</t>
  </si>
  <si>
    <t>Cab: 60 Inches deep; 67 Inches wide</t>
  </si>
  <si>
    <t xml:space="preserve">Located in narrow hallway, which may present some door maneuvering clearance issues.  </t>
  </si>
  <si>
    <t>Non-beveled granite saddle is higher than 0.5 Inches.</t>
  </si>
  <si>
    <t xml:space="preserve">Located in narrow hallway, which may present some maneuvering issues. Non-beveled granite saddle is higher than 0.5 Inches.   </t>
  </si>
  <si>
    <t>Room 417</t>
  </si>
  <si>
    <t>This site does not include an auditorium or a gymnasium; the multi-purpose room fulfills these functions. The multi-purpose room is accessible and is located on the first floor. The cafeteria is accessible and is located on the second floor. Assistive listening systems have not been provided in the public assembly areas.</t>
  </si>
  <si>
    <t>Accessible student bathrooms (boys’) are available on the second and fourth floors of the building. Accessible student bathrooms (girls’) are available on the first, second, third, and fifth floors of the building. Accessible staff bathrooms (male and female) are available on the first through fourth floors of the building.</t>
  </si>
  <si>
    <t>First, Second, Third, and Fifth Floors</t>
  </si>
  <si>
    <t>Fire Alarm System includes a strobe light feature. Two holding rooms are designated next to Staircase A: 313, 513. These include intercoms and landline phones with connectivity to the main office.</t>
  </si>
  <si>
    <t>The school resides in a leased building space that includes HVAC/Climate control</t>
  </si>
  <si>
    <t>12 West  12 Street, Manhattan, NY 10011</t>
  </si>
  <si>
    <t>The nearest accessible subway station is 14th Street – Union Square (L, N, Q, R, 4, 5, and 6 trains) 0.3 miles distant. MTA bus service (M1, M2, M3, M7, M14A, M14D, and M55) is also nearby. The main entrance is accessible and reached via an inclined walkway from the church yard on 12th Street. The accessible entrance includes a ramp, reception, and security cameras.</t>
  </si>
  <si>
    <t>Remediates change of elevation at main entry.</t>
  </si>
  <si>
    <t>The school is located on the third and fifth floors of the building. Some water fountains and other wall-mounted objects may protrude in the corridors more than 4 inches, which may present difficulties for some. Consistent Braille signage is lacking throughout the building.</t>
  </si>
  <si>
    <t>Door: 52 inches; Cab: 95 inches wide, 50 inches deep.</t>
  </si>
  <si>
    <t>Classrooms – Third and Fifth Floors</t>
  </si>
  <si>
    <t>Main Office – Third Floor</t>
  </si>
  <si>
    <t>Nurse’s Office – Room 306</t>
  </si>
  <si>
    <t>This site does not include an auditorium or a gymnasium; the multi-purpose room fulfills these functions. The Multi- purpose room is accessible and is located on the third floor. The cafeteria is accessible and is located on the sixth floor. Assistive listening systems have not been provided in the public assembly spaces.</t>
  </si>
  <si>
    <t>Cafeteria – Sixth Floor</t>
  </si>
  <si>
    <t>Boys Bathroom – Third and Fifth Floors</t>
  </si>
  <si>
    <t>Student bathrooms are labeled W at this site but serve as single-user bathrooms.</t>
  </si>
  <si>
    <t>Staff Bathrooms – Third and Fifth Floors</t>
  </si>
  <si>
    <t>Staff bathrooms are labeled M at this site but serve as single-user bathrooms.</t>
  </si>
  <si>
    <t>These bathrooms are not exclusive to the school.</t>
  </si>
  <si>
    <t>This site includes exterior recreational spaces. The exterior recreational spaces are not accessible due to a change in elevation (3 steps). The recreational equipment is not accessible.</t>
  </si>
  <si>
    <t>Fire Alarm System has been updated and includes strobe light feature. Holding rooms have been designated as rooms 304 and 504.</t>
  </si>
  <si>
    <t>501 West 165Th Street, Manhattan, NY 10032</t>
  </si>
  <si>
    <t xml:space="preserve">The nearest accessible subway station is the 168 Street Station (A, and C trains), 0.17 miles distant. MTA bus service (M2, and M3) is also nearby. The main entrance of M876 is accessible, located on West 165th Street. The accessible entrance includes a doorbell, cameras, and reception. The doorbell is not within reach range (Height 49 Inches). </t>
  </si>
  <si>
    <t xml:space="preserve">Some stone door saddles are high, which may be difficult for some users to navigate. Some water fountains and other wall-mounted objects protrude in to the corridors more than 4 inches, which may present difficulties for individuals with visual disabilities. Braille signs are not included throughout the building.  </t>
  </si>
  <si>
    <t xml:space="preserve">Doors: 48 Inches, Cabs: 78 Inches wide, 64 Inches deep. </t>
  </si>
  <si>
    <t>Rooms 302, 310, and 312</t>
  </si>
  <si>
    <t xml:space="preserve">This site does not include an auditorium; the multi-purpose room fulfills this function. The multi-purpose room is accessible and is located on the first floor. The multi-purpose room provides accessible seating. Stage access is not provided. The cafeteria is accessible and is located in the basement. The gymnasium is accessible and is located on the fourth floor. Assistive listening systems have been provided in the cafeteria, gymnasium, and multi-purpose room. </t>
  </si>
  <si>
    <t xml:space="preserve">Stage access not provided.  Accessible seating is provided. Assistive listening systems have been provided. </t>
  </si>
  <si>
    <t xml:space="preserve">There is an accessible student bathroom (boys and girls) are available on the first, second, and fourth through eighth floors. Accessible staff bathrooms (male and female) are available on the second, and fourth through eighth floors. Accessible single-user (unisex) bathrooms (available for students and staff) are available on the first through third floors.  </t>
  </si>
  <si>
    <t>Rooms C03, 104, 204, 304, and 402</t>
  </si>
  <si>
    <t>Rooms C01, 106, 205, 305, and 403</t>
  </si>
  <si>
    <t>Rooms C22, 110A, 113, 208A, and 405A</t>
  </si>
  <si>
    <t xml:space="preserve">Available for student and staff use. Room 208A is located in the principal’s office. Room 110A is located inside the nurse’s office. Room 405A is located inside the staff lounge and includes a shower. </t>
  </si>
  <si>
    <t xml:space="preserve">Fire alarm system has been upgraded and includes a strobe light feature. Holding rooms have been specifically designated as rooms 203, 305, and the gymnasium. </t>
  </si>
  <si>
    <t xml:space="preserve">The site does not include central air; Air-conditioning units provided in classrooms.  </t>
  </si>
  <si>
    <t>10 South Street, Slip 7, Manhattan, NY 10004</t>
  </si>
  <si>
    <t xml:space="preserve">The nearest accessible subway station is the South Street Station (1 train), 0.83 miles distant, and is reached via the Governor’s Island Ferry. The Governor’s Island Ferry Terminal is also nearby, 0.29 miles distant. The main entrance of M877 is accessible, located on Short Avenue (Exit 1). The accessible entrance includes a doorbell, cameras, and reception. The doorbell is within reach range (height 48 inches). </t>
  </si>
  <si>
    <t>Two passenger elevators provide access to all floors.  Elevators include audible signals on each floor.</t>
  </si>
  <si>
    <t>Doors: 48 inches, Cabs: 68 inches wide, 93 inches deep. </t>
  </si>
  <si>
    <t>This site is highly accessible; all classrooms are accessible and are located along accessible routes.</t>
  </si>
  <si>
    <t>Rooms 306 and 310</t>
  </si>
  <si>
    <t xml:space="preserve">This site does not include an auditorium; the cafeteria fulfills this function. The cafeteria is accessible and is located on the first floor. This site does not include a stage. The gymnasium is accessible and is located on the second floor.  Assistive listening systems have not been provided in the public assembly spaces. </t>
  </si>
  <si>
    <t>Rooms 117A and 319</t>
  </si>
  <si>
    <t>Rooms 117B and 219</t>
  </si>
  <si>
    <t>Rooms 108, 208, 210B, 218C, and 308</t>
  </si>
  <si>
    <t>Available for student and staff use. Room 210B is located in the nurse’s office. Room 218C is located inside the corresponding classroom.  </t>
  </si>
  <si>
    <t>This site includes exterior recreational spaces. The exterior recreational spaces are accessible. The recreational equipment is accessible. </t>
  </si>
  <si>
    <t>Fire alarm system has been upgraded and includes a strobe light feature. Holding rooms have been specifically designated as rooms 102, 213, 220, and 320. </t>
  </si>
  <si>
    <t>This site includes central air. Temperature control units have been provided in classrooms.  </t>
  </si>
  <si>
    <t>4130 9 Avenue, Manhattan, NY 10034</t>
  </si>
  <si>
    <t>The nearest accessible subway station is the Inwood-207th Street Station (A train), 0.5 miles distant. MTA bus service (M100, Bx7, and Bx12) is also nearby. The main entrance to M884 is accessible, located on 9th Avenue (Exit 4). Building M884 is the secondary location for primary buildings M918 and M898 serving as the gymnasium for both these schools. The accessible entrance does not include a doorbell, reception, or security cameras. Visitors may access M884 through either of the primary buildings M918 or M898, as both buildings include accessible entrances.</t>
  </si>
  <si>
    <t>This site is highly accessible; all educational areas are accessible and are located along accessible routes.</t>
  </si>
  <si>
    <t>Located in primary building M898.</t>
  </si>
  <si>
    <t>Science Lab – Room 404</t>
  </si>
  <si>
    <t>This site is a public assembly space that functions as the gymnasium for primary buildings M918 and M898. The other public assembly spaces, cafeteria and auditorium, are located in primary building M918. Assistive listening systems have not been provided in the public assembly spaces.</t>
  </si>
  <si>
    <t>Located in primary building M918. Stage access is provided via lift. Accessible seating is provided.</t>
  </si>
  <si>
    <t>Located in primary building M918. Accessible seating available upon request.</t>
  </si>
  <si>
    <t>There is an accessible single-user bathroom (for student and staff use) available on the first floor.</t>
  </si>
  <si>
    <t>90 Trinity Place, Manhattan, NY 10006</t>
  </si>
  <si>
    <t xml:space="preserve">The nearest accessible subway station is the Cortlandt Street Station (N, R, and W trains), 0.15 miles distant. MTA bus service (BxM18, M55, QM7, QM8, QM11, QM25, and SIM15) is also nearby. The main entrance to building M894 is accessible, located on Trinity Place. The accessible entrance includes a reception. The accessible entrance does not include a doorbell or security cameras. </t>
  </si>
  <si>
    <t>Some door saddles are high, which may be difficult for some users to navigate. Some water fountains and other wall-mounted objects protrude in the corridors more than 4 inches, which may present difficulties for individuals with visual disabilities. Braille signs are included throughout the building.  </t>
  </si>
  <si>
    <t>Four passenger elevators provide access throughout the building. There are three passenger elevators that provides access to the first through fourteenth floors. One passenger elevator provides access to the basement through fourteenth floor. Elevators include audible signals on each floor.  </t>
  </si>
  <si>
    <t>Doors: 48 inches, Cabs: 91 inches wide, 93 inches deep. </t>
  </si>
  <si>
    <t>This site is highly accessible; all classrooms are accessible and are located along accessible routes. </t>
  </si>
  <si>
    <t>Rooms 306 and 309</t>
  </si>
  <si>
    <t>Second through Fourteenth Floors</t>
  </si>
  <si>
    <t>Room 702</t>
  </si>
  <si>
    <t>Rooms 403 and 503</t>
  </si>
  <si>
    <t xml:space="preserve">This site does not include an auditorium; the multi-purpose room fulfills this function. The multi-purpose room is accessible and is located on the second floor. The cafeteria is accessible and is located on the fourteenth floor. The gymnasium is accessible and is located in the basement. Assistive listening systems have not been provided in the public assembly spaces. </t>
  </si>
  <si>
    <t>Fourteeth Floor</t>
  </si>
  <si>
    <t>Accessible seating is provided. Sloped floor may pose difficulties for some. </t>
  </si>
  <si>
    <t xml:space="preserve">There are accessible single-user (unisex) bathrooms (for student and staff use) available in the basement, and on the second through the fourteenth floors.   </t>
  </si>
  <si>
    <t>Rooms 221, 321, 421, 521, 621, 721, 821, 921, 1021, 1121, 1221, 1321, and 1421</t>
  </si>
  <si>
    <t>Rooms 219, 319, 419, 519, 619, 719, 819, 919, 1019, 1119, 1219, 1319, and 1419</t>
  </si>
  <si>
    <t>Rooms B19A, B23A, 203, 323, 423, 423, 523, 623, 723, 823, 923, 1023, 1123, 1223, and 1423</t>
  </si>
  <si>
    <t>Fire alarm system has been upgraded and includes a strobe light feature. Holding rooms or areas of refuge have been specifically designated.  </t>
  </si>
  <si>
    <t>This site includes central air.  </t>
  </si>
  <si>
    <t>105 East 106 Street, New York, NY 10029</t>
  </si>
  <si>
    <t xml:space="preserve">The nearest accessible subway station is at 125th Street (4, 5, and 6 trains), 1.2 miles distant. MTA bus service on Lexington and Park Avenues is also nearby. The main entrance to building M895 is accessible, located on East 106th Street. The accessible entrance does not include a doorbell or security cameras; visitors should contact the site prior to arrival. </t>
  </si>
  <si>
    <t>The front desk is operated by the building (not the school), and visitors must be directed to the passenger elevator.  Consistent Braille signage is not provided throughout the building.</t>
  </si>
  <si>
    <t xml:space="preserve">Because there is no key function available, access to additional floors requires calling the front desk of the building (not a part of the school) to send the elevator. </t>
  </si>
  <si>
    <t>Door: 37.5 Inches wide; Cab: 58 Inches deep, 91 Inches wide.</t>
  </si>
  <si>
    <t xml:space="preserve">This site is highly accessible; all classrooms are accessible and are located along accessible routes. The Nurse’s Office is not accessible due to a change of elevation (1.5 Inches); this room is not a treatment space and should not have any impact on treating students. </t>
  </si>
  <si>
    <t>Room 1006</t>
  </si>
  <si>
    <t>Seventh through Eleventh Floors</t>
  </si>
  <si>
    <t>Room 1106</t>
  </si>
  <si>
    <t>Room 909</t>
  </si>
  <si>
    <t>Room 812</t>
  </si>
  <si>
    <t>Change of elevation (1.5 Inches)</t>
  </si>
  <si>
    <t>Rooms 703, and 1005</t>
  </si>
  <si>
    <t>This site does not include an auditorium or a gymnasium; the multi-purpose room fulfills these functions. The multi-purpose room is accessible and is located on the seventh floor. The cafeteria is accessible and is located on the eleventh floor. Assistive listening systems have not been provided in the public assembly spaces.</t>
  </si>
  <si>
    <t>Eleventh Floor</t>
  </si>
  <si>
    <t>Accessible seating is available on request. This tray slide is not within reach (Height 38 Inches).</t>
  </si>
  <si>
    <t xml:space="preserve">There are no accessible student (boys’) bathrooms in the building. Accessible student bathrooms (girls’) are available on the seventh, eighth, and tenth floors of the building. Accessible staff bathrooms (male and female) are available on the seventh, tenth, and eleventh floors of the building. </t>
  </si>
  <si>
    <t>Seventh, Eighth, and Tenth Floors</t>
  </si>
  <si>
    <t>Seventh, Tenth, and Eleventh Floors</t>
  </si>
  <si>
    <t>123 West  43 Street, Manhattan, NY 10036</t>
  </si>
  <si>
    <t>The nearest accessible subway station is the 42nd Street – Times Square (A, C, E, N, Q, R, 1, 2, 3, and 7 trains), 0.1 mile distant. MTA bus service (M4, M5, M7, M20, M42, and M55) is also nearby. The main entrance to building M896 is accessible, located on West 43rd Street. The accessible entrance includes a doorbell and a security camera. The doorbell is not within reach range (height 70 inches).</t>
  </si>
  <si>
    <t>The main entrance has carpeting throughout the lobby. Hallway doors are old and warped in some places. Braille signage is not provided throughout the building. Many doorways have high saddles that need to be beveled or fitted with transition plates.</t>
  </si>
  <si>
    <t>One passenger and one freight elevator provide service to all floors. The passenger elevator is very old and operated by an attendant, limiting the cab space. The freight elevator provides audible signals on each floor.</t>
  </si>
  <si>
    <t>Operated by attendant and has limited space.</t>
  </si>
  <si>
    <t>Library – Room 207C</t>
  </si>
  <si>
    <t>Main Office – Room 218</t>
  </si>
  <si>
    <t>This site does not include an auditorium or a gymnasium. The cafeteria is accessible and is located on the second floor. Assistive listening systems have been provided in the cafeteria.</t>
  </si>
  <si>
    <t>Accessible seating is provided on request. Assistive listening systems have been provided.</t>
  </si>
  <si>
    <t>Accessible student bathrooms (boys and girls) are available on the second (main) floor. Accessible staff bathrooms (male and female) are available on the second and fourth floors. Accessible single-user (unisex) bathrooms are available on the fourth floor.</t>
  </si>
  <si>
    <t>Boys Bathroom – Room 209</t>
  </si>
  <si>
    <t>Girls Bathroom – Room 202</t>
  </si>
  <si>
    <t>Staff Bathrooms (Unisex) – Room 205 and Fourth Floor</t>
  </si>
  <si>
    <t>Fire Alarm System has been updated and includes strobe light feature. An area of refuge is established in the main office near the passenger elevator bank.</t>
  </si>
  <si>
    <t>4124 9 Avenue, Manhattan, NY 10034</t>
  </si>
  <si>
    <t>The nearest accessible subway station is the Inwood-207th Street Station (A train), 0.5 miles distant. MTA bus service (M100, Bx7, and Bx12) is also nearby. The main entrance to M898 is accessible, located on West 219th Street (Exit 7). The accessible entrance includes a doorbell. The doorbell is not within reach range (height 71 inches). The accessible entrance does not include security cameras.</t>
  </si>
  <si>
    <t>Lift remediates change in elevation (5 steps) in corridor that links building M898 to building M918.</t>
  </si>
  <si>
    <t>Doors: 36 inches, Cab: 79 inches wide, 90 inches deep.</t>
  </si>
  <si>
    <t xml:space="preserve">This building does not include public assembly spaces: The cafeteria and auditorium are located in primary building M918. The auditorium is accessible and located on the first floor. Stage access is provided via lift. Accessible seating is provided. The cafeteria is accessible and is located on the first floor. The gymnasium is located in secondary building M884. The gymnasium is accessible and located on the first floor. Assistive listening systems have not been provided in the public assembly areas. </t>
  </si>
  <si>
    <t>Located in secondary building M884.</t>
  </si>
  <si>
    <t>There are accessible student bathrooms (girls and boys) on all floors. There are also accessible single-user staff (unisex) bathrooms on all floors.</t>
  </si>
  <si>
    <t>Rooms 106, 211, 318, and 406</t>
  </si>
  <si>
    <t>Rooms 105, 210, 319, and 410</t>
  </si>
  <si>
    <t>Rooms 103, 208, 307, and 408</t>
  </si>
  <si>
    <t xml:space="preserve">Fire alarm system has been upgraded and includes a strobe light feature. Holding rooms or areas of refuge have been specifically designated as rooms 209, 310, and 407. </t>
  </si>
  <si>
    <t>The site does include central air. Air-conditioning units provided in classrooms.</t>
  </si>
  <si>
    <t>Jyoti</t>
  </si>
  <si>
    <t>890 Broadway, Manhattan, NY 10003</t>
  </si>
  <si>
    <t>The nearest accessible subway station is Fourteenth Street-Union Square Station (L, N, Q, R, W, 4, 5, and 6), 0.2 miles distant. MTA bus service (M4, M5, M7, and M34) is also nearby. The accessible entrance to M905 is the same as the main entrance. The accessible entrances one is located on Broadway (Exit 1). The accessible entrance does include security cameras and reception. The accessible entrance does not include a doorbell.</t>
  </si>
  <si>
    <t>This site occupies the sixth and seventh floors of a building. Water fountains and other wall-mounted objects protrude into the corridors more than 4 inches, which may present difficulties for individuals with visual disabilities. Braille signs are not included throughout the building.</t>
  </si>
  <si>
    <t>One passenger elevator provides access to all floors. Elevator provides audible signals on each floor. Narrow door</t>
  </si>
  <si>
    <t>Doors: 29 inches, Cab: 68 inches wide, 54 inches deep. Narrow door clearance may pose difficulties for some.</t>
  </si>
  <si>
    <t>This site is not accessible; classrooms are not accessible nor located on accessible routes.</t>
  </si>
  <si>
    <t>Library -</t>
  </si>
  <si>
    <t>Main Office - Room 702</t>
  </si>
  <si>
    <t>This site does not include an auditorium or a gymnasium. The cafeteria is not accessible and is located on the seventh floor. Assistive listening systems have not been provided in the public assembly areas.</t>
  </si>
  <si>
    <t>Cafeteria- Seventh Floor</t>
  </si>
  <si>
    <t>There are accessible student bathrooms (girls and boys) in the building, but they are not located on accessible route. There are accessible staff bathrooms in the building, but they are not located on accessible route.</t>
  </si>
  <si>
    <t>None on accessible route.</t>
  </si>
  <si>
    <t>Single-User (Unisex) Bathrooms – Sixth Floor</t>
  </si>
  <si>
    <t>The site does include central air; Air-conditioning units provided in classrooms.</t>
  </si>
  <si>
    <t>245 West 129Th Street, New York, NY 10027</t>
  </si>
  <si>
    <t xml:space="preserve">The nearest accessible subway station is the 125th Street Station (A, B, C and D trains), 0.22 miles distant. MTA bus service (M2 and M10) is also nearby. The main entrance of M908 is accessible, located on West 129th Street (Exit 1). The accessible entrance includes a doorbell, cameras, and reception. The doorbell is not within reach range (height 62 inches). </t>
  </si>
  <si>
    <t>Some water fountains and other wall-mounted objects protrude in the corridors more than 4 inches, which may present difficulties for individuals with visual disabilities. Braille signs are included throughout the building.  </t>
  </si>
  <si>
    <t>Two passenger elevators provide access to all floors. Elevators include audible signals on each floor.  </t>
  </si>
  <si>
    <t xml:space="preserve">E1; Doors: 42 inches, Cabs: 77 inches wide, 64 inches deep. 
E2; Doors: 42 inches, Cabs: 77 inches wide, 64 inches deep. </t>
  </si>
  <si>
    <t>Rooms 302 and 402</t>
  </si>
  <si>
    <t>Rooms 203, 303 and 403</t>
  </si>
  <si>
    <t>Rooms C113 and 113 </t>
  </si>
  <si>
    <t>Rooms 408, 410 and 412 </t>
  </si>
  <si>
    <t xml:space="preserve">This site does not include an auditorium or a gymnasium. The cafeteria is not accessible and is located on the seventh floor. Assistive listening systems have not been provided in the public assembly areas. </t>
  </si>
  <si>
    <t>Stage access is provided via ramp. Accessible seating is provided. Assistive listening systems have been provided. </t>
  </si>
  <si>
    <t>Accessible student bathrooms (boys and girls) are available on all floors. Accessible single-user (unisex) bathrooms (available for student and staff use) are available on all floors. There are accessible multi-user bathrooms located in two classroom blocks on the second floor. </t>
  </si>
  <si>
    <t>Rooms 111, 204, 304, 404, and 504</t>
  </si>
  <si>
    <t>112, 205, 305, 405, and 505</t>
  </si>
  <si>
    <t>Rooms 208A and 212A</t>
  </si>
  <si>
    <t>Rooms 103C, 109, 110, 206, 220, 326, 325, 424, 506 and 525</t>
  </si>
  <si>
    <t>This site includes central air. Temperature control units are provided in classrooms. </t>
  </si>
  <si>
    <t>22 East 128 Street, Manhattan, NY 10035</t>
  </si>
  <si>
    <t>The nearest accessible subway station is the 125th Street Station (4, 5, and 6 trains), 0.04 miles distant. MTA bus service (M1, M100, and Bx15) is also nearby. The main entrance of M911 is not accessible; the accessible entrance is located on 128th Street (Exit 2), adjacent to the main entrance. The accessible entrance does not include a doorbell or security cameras. Visitors may need to contact the facility prior to their arrival to gain access through the accessible entrance.</t>
  </si>
  <si>
    <t>Doors: 34 inches, Cab: 63 inches wide, 40 inches deep.</t>
  </si>
  <si>
    <t>This site is offers limited accessibility; all classrooms are accessible and are located along accessible routes.</t>
  </si>
  <si>
    <t>Art Rooms – Room 402</t>
  </si>
  <si>
    <t>Main Office – Rooms 204A and 309</t>
  </si>
  <si>
    <t>Nurse’s Office – Room 201</t>
  </si>
  <si>
    <t>Science Lab – Rooms 306 and 406</t>
  </si>
  <si>
    <t>This site does not include an auditorium or cafeteria; the multi-purpose room fulfills these functions. The multi-purpose room is accessible and is located on the first floor. Stage access is not provided. Accessible seating is provided. The gymnasium is accessible and is located on the fifth floor. Assistive listening systems have not been provided in the public assembly spaces.</t>
  </si>
  <si>
    <t>Boys Bathrooms – Rooms 6 (In Cafeteria) and 410</t>
  </si>
  <si>
    <t>Girls Bathrooms – Rooms 7 (In Cafeteria), 310, and 510</t>
  </si>
  <si>
    <t>Single-User (Unisex) – Room 201D</t>
  </si>
  <si>
    <t>Single-User (Unisex) – Rooms SB-4, SB-3, and SB-2</t>
  </si>
  <si>
    <t>522 West 44Th Street, New York, NY 10036</t>
  </si>
  <si>
    <t>The nearest accessible subway station is the Times Square – 42nd Street Station (N, Q, R, W, 1, 2, 3, and 7 trains), 0.68 miles distant. MTA bus service (M11, M12, and M42) is also nearby. The main entrance of M912 is accessible, located on West 44th Street (Exit 1). The accessible entrance includes a doorbell, automatic door opener, security cameras, and a security desk. The doorbell is within reach range (height 48 inches).</t>
  </si>
  <si>
    <t>E1; Doors: 48 inches, Cabs: 64 inches wide, 110 inches deep. E2; Doors: 48 inches, Cabs: 64 inches wide, 110 inches deep.</t>
  </si>
  <si>
    <t>Art Rooms – Rooms 111, 405 and 407</t>
  </si>
  <si>
    <t>Library – Rooms 203 (75M035) and 302 (03M479)</t>
  </si>
  <si>
    <t>Main Office – Rooms 107 (03M479) and 201 (75M035)</t>
  </si>
  <si>
    <t>Nurse’s Office – Room 207</t>
  </si>
  <si>
    <t>Science Labs – Rooms 503, 504, 506, 522, 523, 527, 536, 601, 603, 616 and 620</t>
  </si>
  <si>
    <t>The auditorium is accessible and is located on the seventh floor. Stage access is provided via lift. Accessible seating is provided. The cafeteria spaces are accessible and are located in the basement, as well as the first and second floor. Assistive listening systems have been provided in the auditorium, cafeteria gymnasium, and multi-purpose room.</t>
  </si>
  <si>
    <t>Auditorium – Seventh Floor</t>
  </si>
  <si>
    <t>Stage access provided via lift. Accessible seating is provided. Assistive listening systems have been provided.</t>
  </si>
  <si>
    <t>Cafeteria – Basement, First Floor (Students) and Second Floor (Staff)</t>
  </si>
  <si>
    <t>Gymnasium – Seventh Floor</t>
  </si>
  <si>
    <t>Multi-Purpose Rooms – Basement and Sixth Floor</t>
  </si>
  <si>
    <t>There are accessible student bathrooms (boys and girls) available on all floors. There are accessible single-user (unisex) bathrooms (available for students and staff) available in the basement, and on the first through sixth floors.</t>
  </si>
  <si>
    <t>Boys Bathrooms – Rooms C06, 110, 233, 337, 428, 530, 614, 623, and 707</t>
  </si>
  <si>
    <t>Girls Bathrooms – Rooms C04, 108, 229, 333, 242, 424, 526, 621, and 703</t>
  </si>
  <si>
    <t>Single-User (Unisex) Bathrooms – Rooms C15, C27, C39, C41, C52A, 223, 225, 323, 325, 417, 419, 519, 521, 604B, 604D, 610, and 619</t>
  </si>
  <si>
    <t>Fire alarm system has been upgraded and includes a strobe light feature. Holding rooms have been specifically designated as rooms C33, 111, 210, 317, 411, 513, 613 and 702.</t>
  </si>
  <si>
    <t>The site includes central air.</t>
  </si>
  <si>
    <t>50 Broadway, Manhattan, NY 10004</t>
  </si>
  <si>
    <t xml:space="preserve">The nearest accessible subway station is the Bowling Green Station (4 and 5 trains), 0.1 miles distant. MTA bus service (M55, QM7, QM8, QM11, QM25, SIM2, SIM32, and SIM34) is also nearby. The main entrance to building M913 is accessible, located on Broadway. The accessible entrance includes wayfinding signage, a doorbell, reception, and automatic doors. The accessible entrance does not include a camera, and the doorbell is not within reach range (Height 78 Inches). </t>
  </si>
  <si>
    <t>Some water fountains and other wall-mounted objects protrude into the corridors more than 4 inches, which may present difficulties for individuals with visual disabilities. Braille signage is not provided at this site.</t>
  </si>
  <si>
    <t>Three passenger elevators provide access to the 12th floor.  Elevators provide audible signals on each floor.</t>
  </si>
  <si>
    <t>Door: 38 Inches wide; Cab: 58 Inches deep, 60 Inches wide.</t>
  </si>
  <si>
    <t xml:space="preserve">This site is highly accessible; all classrooms are accessible and are located along accessible routes. The Nurse’s Office is accessible, but access is prevented due to a change of elevation (1.5 Inches); this room is not a treatment space and should not have any impact on treating students. </t>
  </si>
  <si>
    <t>This site does not include an auditorium, a cafeteria, or a gymnasium; the multi-purpose room fulfills these functions. The multi-purpose room is accessible and is located on the twelfth floor. Assistive listening systems have not been provided in the public assembly spaces.</t>
  </si>
  <si>
    <t xml:space="preserve">Accessible seating is available on request. </t>
  </si>
  <si>
    <t>Accessible student bathrooms (boys and girls) are available on the twelfth floor. Accessible staff bathrooms (female) are available on the twelfth floor. Accessible single-user (unisex) bathrooms are available on the twelfth floor.</t>
  </si>
  <si>
    <t>Single-User Bathroom</t>
  </si>
  <si>
    <t>Fire Alarm System includes a strobe light feature. There are no dedicated fire safety rooms or holding areas</t>
  </si>
  <si>
    <t>The site includes HVAC/Climate control</t>
  </si>
  <si>
    <t>421 W 219Th St, Manhattan, NY 10034</t>
  </si>
  <si>
    <t xml:space="preserve">The nearest accessible subway station is Inwood-207 Street Station (A train), 0.5 miles distant. MTA bus service (M100, Bx7, and Bx12) is also nearby. The main entrance to M918 is accessible, located on West 219th Street (Exit 7). The accessible entrance includes a doorbell. The doorbell is not within reach range (height 71 inches). </t>
  </si>
  <si>
    <t>Lift remediates change in elevation (5 steps) in corridor that links building M918 to building M898.</t>
  </si>
  <si>
    <t>Doors: 41 inches, Cab: 80 inches wide, 49 inches deep.</t>
  </si>
  <si>
    <t>Room 109A</t>
  </si>
  <si>
    <t xml:space="preserve">The auditorium located on the first floor is accessible. Stage access is provided via portable lift. Accessible seating is provided. The cafeteria is accessible and is located on the first floor. The gymnasium is accessible and located on the first floor of secondary building M884. Assistive listening systems have not been provided in the public assembly areas. </t>
  </si>
  <si>
    <t>Rooms 123 and 223</t>
  </si>
  <si>
    <t>Including inside classroom 101.</t>
  </si>
  <si>
    <t xml:space="preserve">Fire alarm system has been upgraded and includes a strobe light feature. Holding rooms or areas of refuge have been specifically designated as room 219. </t>
  </si>
  <si>
    <t>120 West  30 Street, Manhattan, NY 10001</t>
  </si>
  <si>
    <t xml:space="preserve">The nearest accessible subway station is 34th Street-Herald Sq Station (B, D, F, M, N, Q, R, and W trains), 0.2 miles distant. MTA bus service (M7, M20, and M55) is also nearby. The main entrance of building M920 is accessible, located on 30th Street (Exit 1). The accessible entrance includes reception. The accessible entrance does not include security cameras or a doorbell. </t>
  </si>
  <si>
    <t xml:space="preserve">Braille signs are included throughout some of the building. </t>
  </si>
  <si>
    <t xml:space="preserve">
Doors: 39 inches, Cab: 49 inches wide, 73 inches deep. </t>
  </si>
  <si>
    <t xml:space="preserve">This site is moderately accessible; all classrooms and educational spaces are accessible and are located along accessible routes.  </t>
  </si>
  <si>
    <t>Room 507</t>
  </si>
  <si>
    <t>This site does not include an auditorium, gymnasium, or a multi-purpose room; the cafeteria fulfills these functions. The cafeteria is accessible and is located on the sixth floor. The cafeteria does not include a stage. Accessible seating is provided. Assistive listening systems have not been provided in the public assembly spaces.</t>
  </si>
  <si>
    <t xml:space="preserve">There are accessible single-user (unisex) bathrooms (for student and staff use) available on the third and fifth floors. </t>
  </si>
  <si>
    <t>Uniex (student and staff use)</t>
  </si>
  <si>
    <t>Fire alarm system has been upgraded and includes a strobe light feature. Holding rooms have been specifically designated as room 209.</t>
  </si>
  <si>
    <t>129 West  67 Street, Manhattan, NY 10023</t>
  </si>
  <si>
    <t xml:space="preserve">The nearest accessible subway station is 66th Street – Lincoln Center Station (1 and 2 trains), 0.1 miles distant. MTA bus service (M5, M7, M11, M20, M66, M104, and BxM2) is also nearby. The accessible entrance to M932 is the same as the main entrance; the accessible entrance is located on 67th Street (Exit 1). The accessible entrance includes a reception and security cameras. There is no doorbell at the accessible entrance. </t>
  </si>
  <si>
    <t xml:space="preserve">Some water fountains and other wall-mounted objects may protrude in the corridors more than 4 inches, which may present difficulties for individuals with visual disabilities. Braille signs are not included throughout the building. </t>
  </si>
  <si>
    <t xml:space="preserve">One passenger elevator provides access to all floors. A second passenger elevator provides service from the fifth to the sixth floor. Elevators include audible signals on each floor. </t>
  </si>
  <si>
    <t>Lift to auditorium.  </t>
  </si>
  <si>
    <t>Doors: 47 inches, Cab: 70 inches wide, 83 inches deep (all floors.).
Doors: 35 inches, Cab: 51 inches wide, 68 inches deep (elevator from fifth to sixth floor.)</t>
  </si>
  <si>
    <t>Ramp present on the second floor.  </t>
  </si>
  <si>
    <t>This site is moderately accessible; all classrooms are accessible and located on accessible routes. </t>
  </si>
  <si>
    <t xml:space="preserve">Third, Fourth, and Sixth Floors </t>
  </si>
  <si>
    <t>Room 603</t>
  </si>
  <si>
    <t xml:space="preserve">The auditorium is accessible and located in the basement. The auditorium provides stage access via the corridor. Accessible seating is provided. The cafeteria is accessible and is located on the second floor. The gymnasium is not accessible due to a change in elevation (5 steps) and located on the third floor. Assistive listening systems have not been provided in the public assembly areas. </t>
  </si>
  <si>
    <t>Stage access provided via corridor. Accessible seating is provided. </t>
  </si>
  <si>
    <t>Change in elevation (5 steps). </t>
  </si>
  <si>
    <t xml:space="preserve">There are accessible staff bathrooms (male) available on the sixth floor. There are accessible single-user (unisex) bathrooms (for student and staff use) available in the basement, and on the first and sixth floors.  </t>
  </si>
  <si>
    <t>Basement, First, and Sixth Floors</t>
  </si>
  <si>
    <t>200-214 West 135Th Street, Manhattan, NY 10030</t>
  </si>
  <si>
    <t xml:space="preserve">The nearest accessible subway station is the 135th Street Station (2 and 3 trains), 0.2 miles distant. MTA bus service (Bx33 and M2) is also nearby. The main entrance of M970 is accessible, located on West 135th Street. The accessible entrance includes security cameras and a reception. The accessible entrance does not include a doorbell; visitors will have to contact the site prior to arrival.  </t>
  </si>
  <si>
    <t>Two elevators provide access to all floors of the building. Elevators provide audible signals on each floor.</t>
  </si>
  <si>
    <t>Doors: 41 Inches; Cabs: 78 Inches wide, 50 Inches deep.</t>
  </si>
  <si>
    <t>Room 007</t>
  </si>
  <si>
    <t>Rooms 407, and 411</t>
  </si>
  <si>
    <t>This site does not include an auditorium. The cafeteria is accessible and is located in the basement. The gymnasium is accessible and is located on the sixth floor. Assistive listening systems have not been provided in the public assembly spaces.</t>
  </si>
  <si>
    <t>Accessible student bathrooms (boys and girls) are available on all floors. Accessible single-user (unisex) bathrooms (students and staff) are available on the first and third floors.</t>
  </si>
  <si>
    <t>Fire Alarm System includes a strobe light feature. Holding rooms or areas of refuge are designated at this site (Rooms 203, 303, 403, and 505).</t>
  </si>
  <si>
    <t>The school has HVAC/Climate control.</t>
  </si>
  <si>
    <t>12 Spruce Street, Manhattan, NY 10038</t>
  </si>
  <si>
    <t xml:space="preserve">The nearest accessible subway station is the Fulton Street Station (A, C, J, Z, 2, 3, 4, and 5 trains), 0.07 miles distant. MTA bus service (BM1, BM2, BM3, BM4, and M22) is also nearby. The main entrance to building M971 is accessible, located on Spruce Street via entry quad. The accessible entrance includes a doorbell, a security camera, and a security desk. The doorbell is within reach range (height 48 inches). </t>
  </si>
  <si>
    <t xml:space="preserve">Some water fountains and other wall-mounted objects protrude in the corridors more than 4 inches, which may present difficulties for individuals with visual disabilities. Braille signs are included throughout the building. </t>
  </si>
  <si>
    <t xml:space="preserve">E1; Doors: 43 inches, Cabs: 59 inches wide, 88 inches deep. 
E2; Doors: 43 inches, Cabs: 59 inches wide, 88 inches deep. </t>
  </si>
  <si>
    <t>This site is highly accessible; all classrooms are accessible and are located along accessible routes. </t>
  </si>
  <si>
    <t>Rooms 241 and 401 </t>
  </si>
  <si>
    <t>Rooms 104 (02M397) and 219 (75M094)</t>
  </si>
  <si>
    <t>Room 242</t>
  </si>
  <si>
    <t>Room 405 and 409</t>
  </si>
  <si>
    <t xml:space="preserve">The auditorium is accessible and is located on the second and third floors. The cafeteria is accessible and is located on the first floor. The gymnasiums are accessible and are located on the second, third, and fifth floors. Assistive listening systems have not been provided in the public assembly spaces. </t>
  </si>
  <si>
    <t>Second, Third, and Fifth Floors</t>
  </si>
  <si>
    <t xml:space="preserve">There are accessible student bathrooms (boys and girls) available on all floors. There are accessible single-user (unisex) bathrooms (for student and staff use) available on the second and fourth floors.  </t>
  </si>
  <si>
    <t>Rooms 101B, 226, 326, 426, and 545C</t>
  </si>
  <si>
    <t>Rooms 101C, 228, 328, 428, and 545B</t>
  </si>
  <si>
    <t>Rooms 213, 410, and 412</t>
  </si>
  <si>
    <t xml:space="preserve">Fire alarm system has been upgraded and includes a strobe light feature. Holding rooms have been specifically designated as rooms 225, 325, and 425. </t>
  </si>
  <si>
    <t>The site includes central air. </t>
  </si>
  <si>
    <t>75-10 21 Avenue, Queens, NY 11370</t>
  </si>
  <si>
    <t>The nearest accessible subway station is Queens Plaza Subway South Station (E, M, and R trains), 2.9 miles distant. MTA bus service (Q69 and Q101) is also nearby. The main entrance of Q002 is accessible, located on 21st Avenue (Exit 4). The accessible entrance includes a ramp. The accessible entrance does not include a doorbell or security cameras; visitors should contact the site prior to arrival.</t>
  </si>
  <si>
    <t>Braille signs are provided in new addition but are not provided in the original building.</t>
  </si>
  <si>
    <t>Non-Complaint door hardware in original building.</t>
  </si>
  <si>
    <t>Two passenger elevators provide access to all floors. Elevators includes audible signals on each floor.</t>
  </si>
  <si>
    <t>Stair Lift located in Exit 9 for Gymnasium/Auditorium access.</t>
  </si>
  <si>
    <t>E1 and E2 Doors: 58 inches, Cabs: 71 inches wide, 77 inches deep.</t>
  </si>
  <si>
    <t>This site is highly accessible; most classrooms are accessible and are located along accessible routes. Classrooms located in the basement of the original building are not accessible.</t>
  </si>
  <si>
    <t>Art Rooms – Room 317</t>
  </si>
  <si>
    <t>Classrooms – First Floor through Third Floor</t>
  </si>
  <si>
    <t>Classrooms – Rooms B36, B37, B40, and B46</t>
  </si>
  <si>
    <t>Computer Rooms – Room 315</t>
  </si>
  <si>
    <t>Main Office – Room 107</t>
  </si>
  <si>
    <t>Nurse’s Office- Room 105</t>
  </si>
  <si>
    <t>This site does not include an auditorium; the gymnasium fulfills this function. The gymnasium is accessible and is located on the first floor. Stage access is not provided. Accessible seating is provided. The cafeteria is accessible and is located on the first floor. Assistive listening systems have been provided in the cafeteria.</t>
  </si>
  <si>
    <t>Accessible from the exterior of the building, via a ramp at Exit 9, and via an interior lift from corridor. Stage access is not provided. Accessible seating is provided.</t>
  </si>
  <si>
    <t>Boys Bathrooms – Rooms B42, 120, 209, and 309</t>
  </si>
  <si>
    <t>Boys Bathrooms – Rooms 209, 243, and 343</t>
  </si>
  <si>
    <t>Girls Bathrooms – Rooms B44, 123, 225, and 325</t>
  </si>
  <si>
    <t>Girls Bathrooms- Rooms 241, and 341</t>
  </si>
  <si>
    <t>Staff Bathrooms – Rooms 127, 208, 308, and 328</t>
  </si>
  <si>
    <t>Staff Bathrooms- Rooms 148, 240, 248, and 348</t>
  </si>
  <si>
    <t>Single-User (Unisex) Bathrooms – Classrooms 145A, 147A, 150A, 152A, 245A, 247A, 250A, and 252A</t>
  </si>
  <si>
    <t>Fire alarm system has been upgraded and includes a strobe light feature. Holding rooms have been specifically designated as rooms 247 and 347.</t>
  </si>
  <si>
    <t>This site includes central air in the new addition. This site does not include central air in the original building. Air-conditioning units have been provided in classrooms.</t>
  </si>
  <si>
    <t>68-60 110 Street, Queens, NY 11375</t>
  </si>
  <si>
    <t xml:space="preserve">The nearest accessible subway station is the Forest Hills – 71st Avenue Station (E and F trains), 0.4 miles distant. MTA bus service (Q64, QM4 and QM44) is also nearby. The main entrance of Q003 is accessible, located on 110th Street (Exit 1).  The accessible entrance includes a doorbell, reception, and security cameras. The doorbell is within reach range (height 48 inches). </t>
  </si>
  <si>
    <t xml:space="preserve">E1; Doors: 41 inches, Cab: 78 inches wide, 62 inches deep. 
E2; Doors: 42 inches, Cab: 77 inches wide, 63 inches deep. </t>
  </si>
  <si>
    <t xml:space="preserve">This site does not include an auditorium; the gymnasium fulfills this function. The gymnasium is accessible and is located in the basement. Stage access is provided via lift. Accessible seating is provided. The cafeteria is accessible and is located in the basement. Assistive listening systems have been provided in the cafeteria and gymnasium. </t>
  </si>
  <si>
    <t>Rooms C56, C51B, 162, 260 and 275</t>
  </si>
  <si>
    <t>Rooms C54, C51A, 160, 258 and 273</t>
  </si>
  <si>
    <t>Rooms C66, C68, 164, 252 and 264</t>
  </si>
  <si>
    <t xml:space="preserve">Fire alarm system has been upgraded and includes a strobe light feature. Holding rooms have been specifically designated as rooms C58 and 262. </t>
  </si>
  <si>
    <t>50-40 Jacobus Street, Queens, NY 11373</t>
  </si>
  <si>
    <t xml:space="preserve">The nearest accessible subway station is the Roosevelt Avenue – Jackson Heights Subway Station (7, E, F, M, and R trains), 0.7 miles distant. MTA bus service (Q60, Q58, and Q59) is also nearby. The main entrance of Q005 is accessible, located on Jacobus Street (Exit 1).   The accessible entrance includes a doorbell, reception, and security cameras. The doorbell is located out of reach range (Height 65 inches). </t>
  </si>
  <si>
    <t xml:space="preserve">Three passenger elevators provide access to all floors. Elevators include audible signals on each floor. </t>
  </si>
  <si>
    <t>Rooms A316 and B307</t>
  </si>
  <si>
    <t>Rooms A116A-E (24Q005) and 129-P (75Q009)</t>
  </si>
  <si>
    <t>Rooms A122 and A127</t>
  </si>
  <si>
    <t>Rooms B310, B312, C310, C312, D306, and D307</t>
  </si>
  <si>
    <t xml:space="preserve">The auditorium is accessible and is located on the third floor. Stage access is provided via lift. Accessible seating is provided. The cafeteria is accessible and is located on the first floor. The gymnasium is accessible and is located on the third floor. The multi-purpose rooms are accessible and are located on the second floor. Assistive listening systems have not been provided in the public assembly spaces. </t>
  </si>
  <si>
    <t>Music Rooms – A203 and A205A-C</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</si>
  <si>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 on the first floor. </t>
  </si>
  <si>
    <t>Rooms B106, A206, A306, A310, A332, A406, A429, and A432</t>
  </si>
  <si>
    <t>Rooms B102, A202, A302, A312, A330, A402, A427, and A430</t>
  </si>
  <si>
    <t>Rooms B104, A117, A119, A204, A304, A328, A404, and A431</t>
  </si>
  <si>
    <t>Classrooms C103 and C105, C106, C110, C112, A107, and A131</t>
  </si>
  <si>
    <t xml:space="preserve">Fire alarm system has been upgraded and includes a strobe light feature. Holding rooms have been specifically designated as rooms B207, C207, B207, C307, B407, and C407.  </t>
  </si>
  <si>
    <t>80-55 Cornish Avenue, Queens, NY 11373</t>
  </si>
  <si>
    <t xml:space="preserve">The nearest accessible subway station is the Roosevelt Avenue – Jackson Heights Subway Station (7, E, F, M, and R trains), 0.8 miles distant. MTA bus service (Q60 and Q53-SBS) is also nearby. The main entrance of Q007 is accessible, located on Cornish Avenue (Exit 1). The accessible entrance does include a doorbell, reception, and  security cameras. The doorbell is located within reach range (Height 47 inches). </t>
  </si>
  <si>
    <t xml:space="preserve">Braille signs are included throughout the building although are degrading in some areas. </t>
  </si>
  <si>
    <t xml:space="preserve">Two passenger elevators provide access to all floors. A third passenger elevator provides access to the first and second floors. Elevators include audible signals on each floor.  </t>
  </si>
  <si>
    <t xml:space="preserve">E1 and E2  
Doors: 42 Inches, Cabs: 72 Inches wide, 79 Inches deep. 
E3  
Doors: 42 Inches, Cab: 116 Inches wide, 73 Inches deep. </t>
  </si>
  <si>
    <t>Room 43 – Fourth Floor</t>
  </si>
  <si>
    <t>Rooms 272A (24Q007), and 276 (75Q255)</t>
  </si>
  <si>
    <t>Rooms 210 (24Q007), and 274-1 (75Q255)</t>
  </si>
  <si>
    <t xml:space="preserve">The auditorium is accessible and is located on the second floor. Stage access is provided via lift. Accessible seating is provided. The cafeteria is accessible and is located on the first floor. The gymnasium is accessible and is located on the second floor. Assistive listening systems have not been provided in the public assembly spaces.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</si>
  <si>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some first- and second-floor classrooms.     </t>
  </si>
  <si>
    <t>Rooms 187, 291, 323, 418, 432</t>
  </si>
  <si>
    <t>Rooms 188, 290, 324, 419, and 433</t>
  </si>
  <si>
    <t>Rooms 137, 239, 226, 220, 332, 321, 427, and 45</t>
  </si>
  <si>
    <t>Classrooms 145 and 143, 142 and 140, 130 and 128, 127 and 125, 138, 119, 219, 227, 229, 241, 243, 245, 251, 249, 247, 154, 156, 158, 172, 170, 158, 166, 263, 265, 267, and 269</t>
  </si>
  <si>
    <t xml:space="preserve">Fire alarm system has been upgraded and includes a strobe light feature. Holding rooms have been specifically designated as rooms 218, 263, 317, 337, 425, and 48. </t>
  </si>
  <si>
    <t>108-35 167 Street, Queens, NY 11433</t>
  </si>
  <si>
    <t xml:space="preserve">The nearest accessible subway station is the Sutphin Boulevard Station (E, J, and Z trains), 1.4 miles distant. MTA bus service (Q4, Q5, Q84, and Q85) is also nearby. The main entrance to Q008 is accessible, located on 167th Street (Exit 6). The accessible entrance includes reception, security cameras, and a doorbell. The doorbell is not within reach range (height 62 inches). </t>
  </si>
  <si>
    <t>Some hallway doors are heavy and without closers, which may be difficult for some users to operate. Braille signs are not provided throughout the building.</t>
  </si>
  <si>
    <t>This site offers limited accessibility; all classrooms located on the ground floor are accessible and located on accessible routes.</t>
  </si>
  <si>
    <t>Rooms 201, 208, and 422</t>
  </si>
  <si>
    <t>Rooms 127 (28Q008) and 116 (28Q287)</t>
  </si>
  <si>
    <t>Room 122B</t>
  </si>
  <si>
    <t>Rooms 302, 402, 405, and 406</t>
  </si>
  <si>
    <t xml:space="preserve">The auditorium is accessible and is located on the first floor. Stage access is provided via a lift. Accessible seating is provided. The cafeteria is not accessible and is located in the basement. The gymnasium is accessible and is located on the first floor. Assistive listening systems have not been provided in the public assembly areas. </t>
  </si>
  <si>
    <t>There are accessible student bathrooms (boys and girls) available on the ground floor.</t>
  </si>
  <si>
    <t xml:space="preserve">The fire alarm system has been upgraded and includes a strobe light feature. Holding rooms or areas of refuge have not been specifically designated. </t>
  </si>
  <si>
    <t>45-11 31St Ave, Queens, NY 11103</t>
  </si>
  <si>
    <t>The nearest accessible subway station is the 74th Street – Broadway/Roosevelt Avenue Jackson Heights Station (7, E, F, M and R trains), 1.5 miles distant. MTA bus service (Q18 and Q104) is also nearby. The accessible entrance to Q010 is not the same as the main entrance; the accessible entrance is located on 45th Street (Exit 9).  The accessible entrance includes security cameras. The accessible entrance does not include a doorbell or reception. Visitors may need to contact site in advance to gain access to this facility through the accessible entrance.</t>
  </si>
  <si>
    <t>Doors: 36 inches, Cabs: 75 inches wide, 54 inches deep.</t>
  </si>
  <si>
    <t>The auditorium is accessible and is located on the first floor. Stage access is not provided. Accessible seating is provided. The cafeteria is accessible and is located in the basement. The gymnasium is accessible and is located on the fourth floor. The gymnasium is not accessible and is located on the third floor due to a change in elevation. Assistive listening systems have been provided in the auditorium.</t>
  </si>
  <si>
    <t>Change of Elevation (12 Steps)</t>
  </si>
  <si>
    <t>There are accessible student bathrooms (boys and girls) available on the first floor. There are no accessible staff bathrooms (male and female) available on all floors.</t>
  </si>
  <si>
    <t>Rooms 124, 126, 210, 312, 313, 410</t>
  </si>
  <si>
    <t>54-25 Skillman Avenue, Queens, NY 11377</t>
  </si>
  <si>
    <t xml:space="preserve">The nearest accessible subway station is the Roosevelt Avenue – Jackson Heights Station (7, E, F, M, and R trains), 0.95 miles distant. MTA bus service (Q32) is also nearby. The main entrance of Q011 is accessible, located on Skillman Avenue (Exit 16). The accessible entrance includes a doorbell and reception. The doorbell is not within reach range (Height 69 inches). The accessible entrance does not include security cameras.  </t>
  </si>
  <si>
    <t xml:space="preserve">Three passenger elevators and one freight elevator provide access to all floors. Elevators include audible signals on each floor.  </t>
  </si>
  <si>
    <t xml:space="preserve">E1 and E2: Doors: 47 inches, Cabs: 77 inches wide, 63 inches deep. 
E3: (Freight) In use at time of survey 
E4: Doors: 36 inches, Cabs: 68 inches wide, 52 inches deep. </t>
  </si>
  <si>
    <t>Rooms 219 and 316</t>
  </si>
  <si>
    <t xml:space="preserve">The auditorium is accessible and is located on the ground floor. Stage access is provided via lift. Accessible seating is provided. The cafeteria is accessible and is located on the ground floor. The gymnasium is accessible and is located on the second floor. The multi-purpose room is accessible and is located on the first floor. Assistive listening systems have been provided in the cafeteria and multi-purpose room. </t>
  </si>
  <si>
    <t>Rooms G23, G32, 114, 129, 218, 225A, 229, 318, 329, and 429</t>
  </si>
  <si>
    <t>Rooms G20, G34, 112, 127, 204, 225B, 227, 304, 327, and 427</t>
  </si>
  <si>
    <t>Rooms G14A, G28, 125, 134, 144, 221, 233, 320, 331, 333, 431, and 433</t>
  </si>
  <si>
    <t>Available to students and staff</t>
  </si>
  <si>
    <t xml:space="preserve">Fire alarm system has been upgraded and includes a strobe light feature. Holding rooms have been specifically designated as rooms 207, 244, 307, 350, and 444. </t>
  </si>
  <si>
    <t>42-00 72 Street, Queens, NY 11377</t>
  </si>
  <si>
    <t>The nearest accessible subway station is 74th Street Broadway – Roosevelt Avenue Jackson Station (7, E, F, M, and R trains), 0.4 miles distant. MTA bus service (Q47 and Q60) is also nearby. The main entrance is accessible, located on 43rd Avenue (Exit 5). The accessible entrance includes security cameras, a doorbell, and reception. The doorbell is not within reach range (height 75 inches).</t>
  </si>
  <si>
    <t>E1: Doors: 35 inches, Cab: 66 inches wide, 51 inches deep. E2: Doors: 48 inches, Cab: 88 inches wide, 57 inches deep.</t>
  </si>
  <si>
    <t>A ramp connects the original building to the two additions on the second floor.</t>
  </si>
  <si>
    <t>Classrooms – First to Third Floors</t>
  </si>
  <si>
    <t>Computer Rooms – Rooms 316 and 318</t>
  </si>
  <si>
    <t>Library – Room 107</t>
  </si>
  <si>
    <t>Main Office – Rooms 103</t>
  </si>
  <si>
    <t>The auditorium is accessible and is located on the first floor. Stage access is not provided. Accessible seating is provided. The cafeteria is accessible and is located on the first floor. This site does not include a gymnasium; the cafeteria, and multi-purpose room fulfills this function. The multi-purpose room is accessible and is located on the first floor. Assistive listening systems have not been provided in the public assembly areas.</t>
  </si>
  <si>
    <t>There are accessible student bathrooms (boys) available on the first and second floors. There are accessible student bathrooms (girls) available on the first and third floors. There are accessible single-user (unisex) bathrooms (for student and staff use) available on the first, second and third floors. There are accessible single-user (unisex) bathrooms (for student and staff use) available in some classrooms on the second and third floors.</t>
  </si>
  <si>
    <t>Boys Bathrooms – Rooms 121C, 158, and 260</t>
  </si>
  <si>
    <t>Girls Bathrooms – Rooms 121B, 162, and 352</t>
  </si>
  <si>
    <t>Girls Bathroom – Room 207</t>
  </si>
  <si>
    <t>Single-User (Unisex) Bathrooms – Rooms 138, 211, 270, 303, 304, and 370</t>
  </si>
  <si>
    <t>Single-User (Unisex) Bathrooms – Classrooms 265, 267, 269, 271, 276, 365, 367, 368, 373, 374, and 375</t>
  </si>
  <si>
    <t>Fire alarm system has been upgraded and includes a strobe light feature. Holding rooms have been specifically designated as rooms 203, 271, 330, and 375.</t>
  </si>
  <si>
    <t>This site includes central air in the 2005 addition. The original site does not include central air: have been provided in classrooms.</t>
  </si>
  <si>
    <t>55-01 94 Street, Queens, NY 11373</t>
  </si>
  <si>
    <t xml:space="preserve">The nearest accessible subway station is the 74th Street-Broadway Roosevelt Avenue Station (7, E, F, and R trains), 1.5 miles distant. MTA bus service (Q72 and Q29) is also nearby. The main entrance of Q013 is accessible, located on 56th Avenue (Exit 11). The accessible entrance includes is a ramp, doorbell, reception, and security cameras. The doorbell is within reach range (height 48 inches). </t>
  </si>
  <si>
    <t>Interior lifts provide access over the change of elevation on the second and third floors.</t>
  </si>
  <si>
    <t>E1 and E2; Doors: 48 inches, Cabs: 61 inches wide, 78 inches deep.</t>
  </si>
  <si>
    <t>Rooms 172 and 176</t>
  </si>
  <si>
    <t>Room 156</t>
  </si>
  <si>
    <t>Room 167</t>
  </si>
  <si>
    <t>Rooms 372 and 376</t>
  </si>
  <si>
    <t xml:space="preserve">The auditorium is accessible and is located on the first floor. Stage access is provided via lift. Accessible seating is provided. The cafeteria is accessible and is located in the basement. The gymnasiums are accessible and are located on the first and second floors. The multi-purpose rooms are accessible and are located on the first floor. Assistive listening systems have been provided in the cafeteria and first-floor gymnasium. </t>
  </si>
  <si>
    <t>Rooms 173 and 175</t>
  </si>
  <si>
    <t xml:space="preserve">There are accessible student bathrooms (girls and boys) available on all floors. There are accessible single-user (unisex) bathrooms (for student and staff use) available on all floors. </t>
  </si>
  <si>
    <t>Fire alarm system has been upgraded and includes a strobe light feature. Holding rooms have been specifically designated as rooms 189, 289, and 389.</t>
  </si>
  <si>
    <t>107-01 Otis Avenue, Queens, NY 11368</t>
  </si>
  <si>
    <t>The nearest accessible subway station is Junction Boulevard Station (7 train), 1.2 miles distant. MTA bus service (Q23 and Q58) is also nearby. The accessible entrance to Q014 is not the same as the main entrance; the accessible entrance is located on Otis Avenue (Exit 2). The accessible entrance includes a doorbell, video intercom, and security cameras. The doorbell is within reach range (height 36.5 inches).</t>
  </si>
  <si>
    <t>Some water fountains and other wall-mounted objects protrude in the corridors of the original building more than 4 inches, which may present difficulties for individuals with visual disabilities. Braille signs are included throughout the addition.</t>
  </si>
  <si>
    <t>Doors: 42 inches, Cab: 79 inches wide, 64 inches deep.</t>
  </si>
  <si>
    <t>There are ramps in the multi-purpose rooms connecting the left wing of Q014 to the rest of the building due to centrally located boiler room.</t>
  </si>
  <si>
    <t>Art Rooms – Room 424B</t>
  </si>
  <si>
    <t>Computer Rooms – Rooms 370 and 413</t>
  </si>
  <si>
    <t>Library – Room 325</t>
  </si>
  <si>
    <t>Main Office – Room 217</t>
  </si>
  <si>
    <t>Nurse’s Office – Room 213</t>
  </si>
  <si>
    <t>The auditorium is accessible and is located on the second floor. Stage access is provided via lift. Accessible seating is provided. The cafeteria is accessible and is located on the first floor. The gymnasium is accessible and is located on the fourth floor. The multi-purpose room is accessible and is located on the first floor. Assistive listening systems have not been provided in the public assembly spaces.</t>
  </si>
  <si>
    <t>There are accessible student bathrooms (boys) available on the first, third, and fourth floors. There are accessible student bathrooms (girls) available on the third floor. There are accessible single-user (unisex) bathrooms (for student and staff use) available on the first and fourth floors. There are accessible single-user (unisex) bathrooms (for student and staff use) available in the classrooms of the 1995 addition, on the second and third floors.</t>
  </si>
  <si>
    <t>Boys Bathrooms – Rooms 115, 378, and 407</t>
  </si>
  <si>
    <t>Boys Bathrooms –Room 472</t>
  </si>
  <si>
    <t>Girls Bathrooms – Room 376</t>
  </si>
  <si>
    <t>Girls Bathrooms – Room 113</t>
  </si>
  <si>
    <t>Single-User (Unisex) Bathrooms – Rooms 100, 102, 275A, 275B, and 470</t>
  </si>
  <si>
    <t>Single-User (Unisex) Bathrooms – Classrooms 271, 273, 274, 276, 277, 371, 372, 373, 374, 375, 377</t>
  </si>
  <si>
    <t>Located inside classrooms within the 1995 addition.</t>
  </si>
  <si>
    <t>Fire alarm system has been upgraded and includes a strobe light feature. Holding rooms have been specifically designated as rooms 219, 319, and 419.</t>
  </si>
  <si>
    <t>121-15 Lucas Street, Queens, NY 11413</t>
  </si>
  <si>
    <t>The nearest accessible subway station is Avenue N Station (E, J, and F trains), 3.0 miles distant. MTA bus service (X84 and Q3) is also nearby. The main entrance is accessible, located on Lucas Street. The accessible entrance includes reception, security cameras, and a doorbell. The doorbell is not within reach range (height 64).</t>
  </si>
  <si>
    <t>Some water fountains and other wall-mounted objects may protrude in the corridors more than 4 inches, which may present difficulty to individuals with visual disabilities. Braille signs are included throughout the building.</t>
  </si>
  <si>
    <t>Doors: 42 inches, Cab: 51 inches wide, 78 inches deep.</t>
  </si>
  <si>
    <t>Computer Rooms – Rooms 313 and 327</t>
  </si>
  <si>
    <t>The auditorium is accessible and is located on the first floor. Stage access is provided via ramp. Accessible seating is provided. The cafeteria is accessible and is located on the first floor. The gymnasium is accessible and located on the second floor. Assistive listening systems have not been provided in the public assembly spaces.</t>
  </si>
  <si>
    <t>There are accessible student bathrooms (boys and girls) available on the second floor. There are accessible staff bathrooms (male and female) available on the first and second floors. There is an accessible single-user (unisex) bathroom (for student and staff use) available on the first floor.</t>
  </si>
  <si>
    <t>Staff Bathrooms – First and Second Floors</t>
  </si>
  <si>
    <t>Single-User (Unisex) Bathrooms – Room 201A</t>
  </si>
  <si>
    <t>Located in the nurse’s office.</t>
  </si>
  <si>
    <t>28-37 29 Street, Queens, NY 11102</t>
  </si>
  <si>
    <t xml:space="preserve">The nearest accessible subway station is the 21st Street – Queensbridge Station (F train), 1.40 miles distant. MTA bus service (Q18 and Q102) is also nearby. The accessible entrance to Q014 is not the same as the main entrance; the accessible entrance is located on 30th Avenue and accessed via the school play yard (Exit 5). The accessible entrance includes a doorbell and reception. The doorbell is not within reach range (Height 61 Inches). </t>
  </si>
  <si>
    <t xml:space="preserve">Ramped access from building to Pre-K play yard. </t>
  </si>
  <si>
    <t xml:space="preserve">This site does not include an elevator, which prevents access to floors other than the first.  </t>
  </si>
  <si>
    <t xml:space="preserve">This site is provides limited accessibility; all classrooms on the first floor are accessible, and are located along accessible routes. </t>
  </si>
  <si>
    <t xml:space="preserve">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 </t>
  </si>
  <si>
    <t>Rooms 149, 225, 325, and 425</t>
  </si>
  <si>
    <t xml:space="preserve">Clear opening prevents access. Bathrooms located in basement and on upper floors are not located on accessible routes. </t>
  </si>
  <si>
    <t>Rooms 143, 231, 331, and 431</t>
  </si>
  <si>
    <t>Rooms 151, 153, 201, and 203</t>
  </si>
  <si>
    <t>Room 134A</t>
  </si>
  <si>
    <t xml:space="preserve">Clear opening prevents access. Located in the nurse’s office. </t>
  </si>
  <si>
    <t>44-10 99 Street, Queens, NY 11368</t>
  </si>
  <si>
    <t>The nearest accessible subway station is Junction Boulevard Station (7 train), 0.1 miles distant. MTA bus service (Q072) is also nearby. The main entrance of Q019 is accessible, located on 99th Street (Exit 6). The accessible entrance includes a doorbell, reception, and security cameras. The doorbell is within reach range (height 48 inches).</t>
  </si>
  <si>
    <t>E1 and E2; Doors: 41 inches, Cabs: 63 inches wide, 79 inches deep.</t>
  </si>
  <si>
    <t xml:space="preserve">Includes accessible single-user bathroom. </t>
  </si>
  <si>
    <t>The auditorium is accessible and is located on the second floor. Stage access is provided. Accessible seating is provided. The cafeterias are accessible and are located on the first floor. The gymnasium is accessible and is located on the second floor. The multi-purpose room in the form of an exterior play yard is accessible and is located on the second floor. Assistive listening systems have been provided in the cafeterias, auditorium, and gymnasium.</t>
  </si>
  <si>
    <t>Exterior Play yard - Second Floor</t>
  </si>
  <si>
    <t>There are accessible student bathrooms (girls and boys) available on all floors. There are single-user (unisex) bathrooms (for student and staff use) available on all floors.</t>
  </si>
  <si>
    <t>Fire alarm system has been upgraded and includes a strobe light feature. Holding rooms have been specifically designated; Rooms 567, 473, 365, and 263.</t>
  </si>
  <si>
    <t>142-30 Barclay Avenue, Queens, NY 11355</t>
  </si>
  <si>
    <t xml:space="preserve">The nearest accessible subway station is Flushing Main Street Station (7 train), 0.3 miles distant. MTA bus service (Q12, Q26m Q65, N20, and N20G) is also nearby. The accessible entrance is not the same as the main entrance; the accessible entrance is located on Sanford Avenue (Exit 5). The accessible entrance includes security cameras and a doorbell. The doorbell is within reach range (height 45 inches).  </t>
  </si>
  <si>
    <t>Doors: 41 inches, Cab: 51 inches wide, 80 inches deep.</t>
  </si>
  <si>
    <t>Room 257</t>
  </si>
  <si>
    <t xml:space="preserve">The auditorium is accessible and is located on the first floor. Stage access is provided via lift. Accessible seating is provided. The cafeteria is accessible and is located in the basement. The gymnasium is accessible and is located on the first floor. Assistive listening systems have not been provided in the public assembly spaces. </t>
  </si>
  <si>
    <t xml:space="preserve">There are accessible student bathrooms (boys) available in the basement. There are accessible single-user (unisex) bathrooms (for student and staff use) available in the basement and on the second floor. There are accessible staff bathrooms (male) available on the second floor. There are accessible staff bathrooms (female) available on the first and second floors. </t>
  </si>
  <si>
    <t xml:space="preserve">Staff Bathroom (Male) – Second Floor </t>
  </si>
  <si>
    <t xml:space="preserve">Staff Bathroom (Female) – First and Second Floors </t>
  </si>
  <si>
    <t>Fire alarm system has been upgraded and includes a strobe light feature. Holding rooms have been specifically designated as rooms 244 and 333.</t>
  </si>
  <si>
    <t>147-36 26 Avenue, Queens, NY 11354</t>
  </si>
  <si>
    <t>The nearest accessible subway station is Flushing Main Street Station (7 train), 1.7 miles distant. MTA bus service (Q16 and QM20) is also nearby. The accessible entrance to Q021 is not the same as the main entrance; the accessible entrance is located on 26th Avenue (Exit 10). The accessible entrance includes a ramp, security cameras, doorbell, and intercom. The doorbell is within reach range (height 42 inches).</t>
  </si>
  <si>
    <t>Doors: 36 inches, Cab: 51 inches wide, 67 inches deep.</t>
  </si>
  <si>
    <t>Ramp connects the original building to the 1999 addition on the first floor.</t>
  </si>
  <si>
    <t>Classrooms – Basement to Third Floors</t>
  </si>
  <si>
    <t>Main Office – Room 123</t>
  </si>
  <si>
    <t>Nurse’s Office – Room 102, and 150</t>
  </si>
  <si>
    <t>The auditorium is accessible and is located on the first floor. Stage access is provided via lift. Accessible seating is provided. The cafeteria is accessible and is located in the basement. The gymnasium is accessible and located on the first floor. Assistive listening systems have been provided in the auditorium.</t>
  </si>
  <si>
    <t>There are accessible student bathrooms (girls and boys) available in the basement. There are accessible single-user (unisex) bathrooms (for student and staff use) available in the basement and on the first and second floors. There are accessible single-user (unisex) bathrooms (for student and staff use) available in some classrooms on the first and second floors.</t>
  </si>
  <si>
    <t>Boys Bathroom – Room B23</t>
  </si>
  <si>
    <t>Boys Bathrooms – Rooms 114, 214, and 314</t>
  </si>
  <si>
    <t>Girls Bathroom – Room B18</t>
  </si>
  <si>
    <t>Girls Bathrooms – Rooms 120, 220, and 320</t>
  </si>
  <si>
    <t>Single-User (Unisex) Bathrooms – Rooms B16, 150, and 254</t>
  </si>
  <si>
    <t>Single-User (Unisex) Bathrooms – Classrooms 100, 101, 102, 103, 104, 105, 200, 201, 202, 203, 204, and 205</t>
  </si>
  <si>
    <t>45-57 Union Street, Queens, NY 11355</t>
  </si>
  <si>
    <t>The nearest accessible subway station is the Main Street station (7 train), 1.0 miles distant. MTA bus service (Q27, Q25, Q17 and Q34) is also nearby. The main entrance of Q024 is accessible, located on Union Street (Exit 1). The accessible entrance includes a doorbell, reception, ramp, and security cameras. The doorbell is not within reach range (height 54 inches).</t>
  </si>
  <si>
    <t>Braille signs are included throughout the 2018 addition. Braille signs are not included throughout the original building.</t>
  </si>
  <si>
    <t>This site occupies floors basement to fifth. A vertical lift remediates changes in elevation on the first floor to the auditorium. Two passenger elevators provide access to all floors. Elevators include audible signals on each floor.</t>
  </si>
  <si>
    <t>An interior lift provides access from first floor to the auditorium.</t>
  </si>
  <si>
    <t>E1 and E2: Doors: 45 inches, Cabs: 75 inches wide, 80 inches deep.</t>
  </si>
  <si>
    <t>Art Rooms – Room 107, and 404</t>
  </si>
  <si>
    <t>Computer Rooms – Room 233</t>
  </si>
  <si>
    <t>Library – Room 329</t>
  </si>
  <si>
    <t>Nurse’s Office – Room 224A</t>
  </si>
  <si>
    <t>Science Lab – Rooms 301 and 402</t>
  </si>
  <si>
    <t>The auditorium is accessible and is located on the first floor. A lift provides access due to a change in elevation. Accessible seating is provided. Stage access is provided via lift. The cafeteria is accessible and is located in the basement. The gymnasium is accessible and is located on the third floor. The multi-purpose room is accessible and is located on the second floor. Assistive listening systems have not been provided in the public assembly areas.</t>
  </si>
  <si>
    <t>Change in elevation prevents access. Accessible seating is not provided. Stage access is not provided.</t>
  </si>
  <si>
    <t>Multi-Purpose Room – Room 201</t>
  </si>
  <si>
    <t>There are accessible student bathrooms (girls and boys) available on all floors. There are accessible single-user (unisex) bathrooms (for student and staff use) available on all floors.</t>
  </si>
  <si>
    <t>Fire alarm system has been upgraded and includes a strobe light feature. Holding rooms or areas of refuge have been specifically designated as rooms 215, 315, and 415.</t>
  </si>
  <si>
    <t>34-65 192 Street, Queens, NY 11358</t>
  </si>
  <si>
    <t>The nearest accessible subway station is Main Street Flushing Station (7 train), 3.7 miles distant. MTA bus service (Q28 and Q76) is also nearby. The main entrance to building Q025 is accessible (Exit 1 and 2). The accessible entrance includes security cameras, ramp and a doorbell. The doorbell is not within reach range (height: 63 inches).</t>
  </si>
  <si>
    <t>Non-compliant hardware present throughout building.</t>
  </si>
  <si>
    <t>One passenger elevator on site provides access to all floors. Elevator includes audible signals on each floor.</t>
  </si>
  <si>
    <t>Door: 47 Inches; Cab: 82 Inches wide, 55 Inches deep.</t>
  </si>
  <si>
    <t>Art Room – Room B56A, B60, and 352</t>
  </si>
  <si>
    <t>Computer Rooms – Rooms 262</t>
  </si>
  <si>
    <t>Library – Room B8</t>
  </si>
  <si>
    <t>Main Office – Rooms 334 (25Q285), 108 (25Q025), B30 (75Q233)</t>
  </si>
  <si>
    <t>Nurse’s Office – Room B26, and 118</t>
  </si>
  <si>
    <t>Science Lab – Rooms 156, 160, 256, 260, 356, and 362</t>
  </si>
  <si>
    <t>The auditorium is accessible and is located on the second floor. Accessible seating is provided. Stage access is provided via lift. The cafeteria is accessible and is located in the basement. The gymnasium is accessible and is located in the basement. Assistive listening systems have not been provided in the public assembly areas.</t>
  </si>
  <si>
    <t>Accessible seating is provided. Stage access via lift.</t>
  </si>
  <si>
    <t xml:space="preserve">There are accessible student bathrooms (girls and boys) available in the basement. There are accessible staff restrooms (male and female) available on the first and third floors. There are accessible single-user (unisex) bathrooms (for student and staff use) available on the first and third floors. </t>
  </si>
  <si>
    <t>Fire Alarm System includes a strobe light feature. Holding rooms have been specifically designated as rooms 252, and 352.</t>
  </si>
  <si>
    <t>109-10 47 Avenue, Queens, NY 11368</t>
  </si>
  <si>
    <t xml:space="preserve">The nearest accessible subway station is the Junction Boulevard Station (7 train), 1.00 mile distant. MTA bus service (Q23, and Q58) is also nearby. The main entrance of Q028 is accessible, located on 47th Avenue (Exit # 2). The accessible entrance does include a doorbell, and security cameras. The doorbell is located within reach range (Height 45 Inches). </t>
  </si>
  <si>
    <t xml:space="preserve">E1; Doors: 42 Inches, Cabs: 64 Inches wide, 80 Inches deep. 
E2; Doors: 42 Inches, Cabs: 64 Inches wide, 80 Inches deep </t>
  </si>
  <si>
    <t xml:space="preserve">This site does not include an auditorium; the multi-purpose room fulfills this function. The multi-purpose room is accessible and is in room 119. The cafeteria is accessible and is located on the first floor. Assistive listening systems have not been provided in the public assembly spaces. </t>
  </si>
  <si>
    <t xml:space="preserve">There are accessible student bathrooms (boys and girls) available on all floors. There are accessible single-user (unisex) bathrooms (for student and staff use) available within corresponding classrooms. There are accessible single-user (unisex) bathrooms (for student and staff use) available on all floors.   </t>
  </si>
  <si>
    <t>Rooms 214A, 109, and 107</t>
  </si>
  <si>
    <t>Classrooms 212A, 213A, 215A, 210A, 211A, 208A, 206A, 209A, 204B, 207A, 203A, 219A, 218A, 221A, and 118A</t>
  </si>
  <si>
    <t xml:space="preserve">Fire alarm system has been upgraded and includes a strobe light feature. Holding rooms have been specifically designated as room 204. </t>
  </si>
  <si>
    <t>125-10 23 Avenue, Queens, NY 11356</t>
  </si>
  <si>
    <t xml:space="preserve">The nearest accessible subway station is the Main Street Station (7 train), 1.8 miles distant. MTA bus service (Q65 and Q25) is also nearby. The main entrance of Q029 is accessible, located on 126th Street (Exit 7). The accessible entrance includes a doorbell and security cameras. The doorbell is within reach range (height 48 inches). </t>
  </si>
  <si>
    <t xml:space="preserve">Braille signs are included throughout the addition constructed in 2012. Braille signs are not included throughout the original building. </t>
  </si>
  <si>
    <t>Room 161D</t>
  </si>
  <si>
    <t>Room 392</t>
  </si>
  <si>
    <t xml:space="preserve">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been provided in the cafeteria, gymnasium, and auditorium. </t>
  </si>
  <si>
    <t xml:space="preserve">There are accessible bathrooms (boys) available on the first and third floors. There are accessible bathrooms (girls) available on the first and second floors. There is an accessible single-user (unisex) bathroom (for student and staff use) available in the nurse’s suite. </t>
  </si>
  <si>
    <t xml:space="preserve">Rooms 185B and 380 </t>
  </si>
  <si>
    <t>Room 460 and 259</t>
  </si>
  <si>
    <t>Rooms 185A and 280</t>
  </si>
  <si>
    <t>Rooms 459 and 358</t>
  </si>
  <si>
    <t>Located in the Nurse’s Office.</t>
  </si>
  <si>
    <t xml:space="preserve">Fire alarm system has been upgraded and includes a strobe light feature. Holding rooms have been specifically designated as rooms 394 and 294. </t>
  </si>
  <si>
    <t xml:space="preserve">This site includes central air in the 2012 addition; temperature control units have been provided in the classrooms of the 2012 addition. This site does not include central air in the original building; air-conditioning units provided in original buildings classrooms. </t>
  </si>
  <si>
    <t>91-37 222 Street, Queens, NY 11428</t>
  </si>
  <si>
    <t xml:space="preserve">The nearest accessible subway station is Jamaica Station (E, J, Z trains), 4.2 miles distant. MTA bus service (Q1) is also nearby. The accessible entrance to Q033 is not the same as the main entrance; the accessible entrance is located on 91st road and includes security cameras. Currently there is no doorbell installed at the accessible entrances, visitors should call in advance to gain access. </t>
  </si>
  <si>
    <t xml:space="preserve">One passenger elevator provides access from the first through third floors. No elevator access is provided to the fourth and fifth floors. Elevator does not include audible signals on each floor. </t>
  </si>
  <si>
    <t>Doors: 36 Inches, Cabs: 50 Inches wide, 86 Inches deep.</t>
  </si>
  <si>
    <t xml:space="preserve">This site is moderately accessible; all classrooms are accessible located on accessible routes from the first through third floors. Classrooms located on the fourth and fifth floors are not accessible due to lack of elevator service to these floors. </t>
  </si>
  <si>
    <t>Fourth and Fourth Floors</t>
  </si>
  <si>
    <t xml:space="preserve">Elevator does not provide access.  </t>
  </si>
  <si>
    <t>Rooms A306, and A307</t>
  </si>
  <si>
    <t>Room 258</t>
  </si>
  <si>
    <t xml:space="preserve">The auditorium is accessible and is located on the second floor. Accessible seating is provided. Stage access is not provided. The third- and fifth-floor gymnasiums are inaccessible due to lack of elevator service to these floors. The multi-purpose room is accessible and is located on the first floor. Assistive listening systems have not been provided in the public assembly areas. </t>
  </si>
  <si>
    <t xml:space="preserve">Change in elevation of (15 steps); not on an accessible route. </t>
  </si>
  <si>
    <t xml:space="preserve">There are accessible student bathrooms (girls and boys) on the first through third floors. There are accessible staff bathrooms located in the first-floor teachers’ lounge. </t>
  </si>
  <si>
    <t>Fourth, and Fifth Floors</t>
  </si>
  <si>
    <t>90-01 191 Street, Queens, NY 11423</t>
  </si>
  <si>
    <t xml:space="preserve">The nearest accessible subway station is the Jamaica-179 Street Station (E, and F trains), 0.8 miles distant. MTA bus service (Q110, Q1, Q36, Q43, Q76, and Q17) is also nearby. The main entrance of Q035 is accessible, located on 191st Street (Exit 1). The accessible entrance does include security camera feature. The accessible entrance does not include a doorbell. </t>
  </si>
  <si>
    <t xml:space="preserve">Braille signs are included throughout the building. Automatic door openers are also included on classrooms 326, 328, 218, 316, 218, 220, and 230. </t>
  </si>
  <si>
    <t xml:space="preserve">E1; Doors: 40 Inches, Cabs: 68 Inches wide, 71 Inches deep. 
E2; Doors: 40 Inches, Cabs: 68 Inches wide, 71 Inches deep. 
E3; Doors: 55 Inches, Cabs: 51 Inches wide, 68 Inches deep. </t>
  </si>
  <si>
    <t xml:space="preserve">This site is highly accessible; all classrooms are accessible and are located along accessible routes. Automatic door openers are also included on classrooms 326, 328, 218, 316, 218, 220, and 230. </t>
  </si>
  <si>
    <t xml:space="preserve">This site does not include an auditorium; the gymnasium fulfills this function. The gymnasium is accessible and is located on the first floor. Stage access is provided via lift. Accessible seating is provided. The cafeteria is accessible and is located on the second floor. Assistive listening systems have been provided in the gymnasium, and cafeteria. </t>
  </si>
  <si>
    <t xml:space="preserve">There are accessible student bathrooms (boys and girls) available on all floors. There are accessible single-user (unisex) bathrooms (for student and staff use) available from the second through fourth floors. </t>
  </si>
  <si>
    <t>Rooms 105, 115, 203, 222, 301, 321, and 401</t>
  </si>
  <si>
    <t>Rooms 106, 116, 204, 225, 303, 323, and 403</t>
  </si>
  <si>
    <t>Rooms 240, 304, and 404</t>
  </si>
  <si>
    <t xml:space="preserve">Fire alarm system has been upgraded and includes a strobe light feature. Holding rooms have been specifically designated as rooms 230, 328, 315, and 415. </t>
  </si>
  <si>
    <t xml:space="preserve">This site includes central air in the addition. The original building does not include central air; Air-conditioning units provided in classrooms. </t>
  </si>
  <si>
    <t>179-37 137 Avenue, Queens, NY 11434</t>
  </si>
  <si>
    <t xml:space="preserve">The nearest accessible subway station is Jamaica Center-Parsons/Archer Avenue Station (E, J, and Z trains), 3.30 miles distant. MTA bus service (Q077) is also nearby. The accessible entrance to Q037 is not the same as the main entrance; the accessible entrance is located on 137th Avenue (Exit 9). The accessible entrance does not include a doorbell or security cameras. Visitors may need to contact site in advance to gain access to this facility through the accessible entrance. </t>
  </si>
  <si>
    <t>Changes of elevation on the first and third floors prevents access to some program areas. Braille signs are not included throughout the building.</t>
  </si>
  <si>
    <t>Changes in elevation on the first floor (4 steps) and on third floor (11 steps) prevent access to some program areas.</t>
  </si>
  <si>
    <t>This site offers limited accessibility; some classrooms located on basement level are accessible and are located along accessible routes.</t>
  </si>
  <si>
    <t>First, Second, and Third Floors</t>
  </si>
  <si>
    <t>Room 309/311</t>
  </si>
  <si>
    <t>Room 201/20W</t>
  </si>
  <si>
    <t>The auditorium is not accessible and is located on the first floor. Stage access is not provided. Accessible seating is provided. The cafeteria is accessible and is located in the basement. The gymnasium is not accessible and is located on the third floor. Assistive listening systems have not been provided in the public assembly spaces.</t>
  </si>
  <si>
    <t>Not on accessible route. A change in elevation (11 steps) prevents access.</t>
  </si>
  <si>
    <t>Rooms G8, 107A, 260 and 358</t>
  </si>
  <si>
    <t>Rooms G6, 162, 258 and 357</t>
  </si>
  <si>
    <t>Rooms G2, G3, Second and Third Floors</t>
  </si>
  <si>
    <t>109-20 Union Hall Street, Queens, NY 11433</t>
  </si>
  <si>
    <t xml:space="preserve">The nearest accessible subway station is Jamaica Center-Parsons/Archer Station (E, J, and Z train), 0.9 miles distant. MTA bus service (Q111, Q113, and Q114) is also nearby. The main entrance of Q040 is not the same as the accessible entrance; the accessible entrance is located on 109th Avenue (Exit 2). The accessible entrance includes a doorbell and reception. The accessible entrance does not include security cameras. The doorbell is within reach range (height 41 inches). </t>
  </si>
  <si>
    <t xml:space="preserve">This site is moderately accessible; all classrooms located on first floor are accessible and are located along accessible routes.  </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</si>
  <si>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gymnasium, and cafeteria. </t>
  </si>
  <si>
    <t xml:space="preserve">There are accessible student bathrooms (boys and girls) available on the first floor. </t>
  </si>
  <si>
    <t>Room 002</t>
  </si>
  <si>
    <t>Rooms 219, 319, and 409</t>
  </si>
  <si>
    <t>Room 001</t>
  </si>
  <si>
    <t>Rooms 209, 309, and 419</t>
  </si>
  <si>
    <t>214-43 35 Avenue, Queens, NY 11361</t>
  </si>
  <si>
    <t xml:space="preserve">The nearest accessible subway station is 179th Street Station (F train), 5.0 miles distant. MTA bus service (Q13 and Q31) is also nearby. The accessible entrance to Q041 is not the same as the main entrance; the accessible entrance is located on 214th Place (Exit 6), providing access only to the cafeteria. Building Q041 is the primary building and is linked to secondary site Q809, specifically an annex. The accessible entrance does not include a doorbell, security cameras, or reception. Visitors may need to contact site in advance to gain access to this facility through the accessible entrance.  </t>
  </si>
  <si>
    <t>Room 102 (26Q041) and Room 214 (75Q993)</t>
  </si>
  <si>
    <t>Rooms 118 and 214A</t>
  </si>
  <si>
    <t xml:space="preserve">The auditorium is not accessible and is located on the first floor. Stage access is not provided. Accessible seating is provided. The cafeteria is accessible and is located in the basement. The gymnasium is accessible and is located on the first floor. Assistive listening systems have not been provided in the public assembly spaces. </t>
  </si>
  <si>
    <t>488 Beach  66 Street, Queens, NY 11692</t>
  </si>
  <si>
    <t>The nearest accessible subway station is Far Rockaway Mott Avenue. (A train), 2.4 miles distant. MTA bus service (Q22, QM17, and Q52) is also nearby. The main entrance is accessible, located on Beach 66th Street (Exit 1). The accessible entrance includes wayfinding signs, a ramp, security cameras, and reception. The accessible entrance includes a doorbell. The doorbell is within reach range (height 32 inches).</t>
  </si>
  <si>
    <t>Non-compliant door hardware throughout original building.</t>
  </si>
  <si>
    <t>E1 and E2 Doors: 48 inches, Cabs: 61.5 inches deep, 80 inches wide.</t>
  </si>
  <si>
    <t>Art Room – Room 404</t>
  </si>
  <si>
    <t>Computer Rooms – Room 537</t>
  </si>
  <si>
    <t>Main Office – Rooms 239 (27Q042), and 618 (75Q233)</t>
  </si>
  <si>
    <t>Nurse’s Office – Room 309, and 616</t>
  </si>
  <si>
    <t>Science Lab – Rooms 602, and 612</t>
  </si>
  <si>
    <t>The auditorium is accessible and is located on the third floor. The auditorium does not provide stage access. The cafeteria is accessible and is located on the first floor. The gymnasium is accessible and is located on the third floor. Assistive listening systems have been installed in the Cafeteria and Auditorium.</t>
  </si>
  <si>
    <t>Stage access has not provided. Assistive listening system have been provided.</t>
  </si>
  <si>
    <t>There are accessible student bathrooms (girls and boys) located on the first floor and on the third to sixth floors. There are accessible single-user (unisex) bathrooms (for student and staff use) available on all floors.</t>
  </si>
  <si>
    <t>Boys Bathrooms – 316B, and 650</t>
  </si>
  <si>
    <t>Girls Bathrooms – 102B, 301, 401, and 501</t>
  </si>
  <si>
    <t>Fire alarm system includes a strobe light feature. Holding rooms have been specifically designated as rooms 219, 305B, 405B, 505B and 605B.</t>
  </si>
  <si>
    <t>This site includes central air in new addition. Air-conditioning units have been provided in original building classrooms.</t>
  </si>
  <si>
    <t>160 Beach  29 Street, Queens, NY 11691</t>
  </si>
  <si>
    <t xml:space="preserve">The nearest accessible subway station is the Far Rockaway Mott Avenue Station (A train), 1.00 miles distant. MTA bus service (QM17 and Q22) is also nearby. The main entrance of Q043 is accessible, located on Beach 29th Street (Exit 1). The accessible entrance includes a ramp, a doorbell, reception, and security cameras. The doorbell is located within reach range (Height 34 Inches). </t>
  </si>
  <si>
    <t xml:space="preserve">Two passenger elevators provide access to all floors. Elevators include audible signals on each floor. Elevator One provides access to all floors. Elevator Two provides access between the first and second floors. </t>
  </si>
  <si>
    <t xml:space="preserve">E1: Doors: 41 inches, Cabs: 80 inches wide, 74 inches deep 
E2: Doors: 42 inches, Cabs: 74 inches wide, 116 inches deep </t>
  </si>
  <si>
    <t xml:space="preserve">Rooms 171 and 407 </t>
  </si>
  <si>
    <t>Rooms 112 (27Q043) and 213 (75Q256)</t>
  </si>
  <si>
    <t>Rooms 138 (75Q256) and 213 (27Q043)</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</si>
  <si>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 on the first floor.     </t>
  </si>
  <si>
    <t xml:space="preserve">Boys Bathrooms – Rooms 070, 125, 225, 304, 324, 402, and 424 </t>
  </si>
  <si>
    <t xml:space="preserve">Girls Bathrooms – Rooms 127, 227, 302, 326, 404, and 426 </t>
  </si>
  <si>
    <t>Rooms 109, 110, 147, 149, 207, 215, 241, 307, 317, and 413</t>
  </si>
  <si>
    <t>Classrooms 101, 103, 104, 106, 107, 108, 110, 112, 114, and 115</t>
  </si>
  <si>
    <t xml:space="preserve">Fire alarm system has been upgraded and includes a strobe light feature. Holding rooms have been specifically designated as rooms 202, 232, 306, 328, 406, and 428. </t>
  </si>
  <si>
    <t>64-45 218 Street, Queens, NY 11364</t>
  </si>
  <si>
    <t>The nearest accessible subway station is Jamaica Center Station (J, M, and Z trains), 4.6 miles distant. MTA bus service (Q27, QM5, QM8, and QM35) is also nearby. The accessible entrance to Q046 is not the same as the main entrance; the accessible entrance is located on 219th Street. The accessible entrance includes a ramp and security cameras. The accessible entrance does not include a doorbell. Visitors may need to contact site in advance to gain access to this facility through the accessible entrance.</t>
  </si>
  <si>
    <t>Doors: 45 inches, Cab: 78 inches wide, 54 inches deep.</t>
  </si>
  <si>
    <t>Computer Rooms – Room 203</t>
  </si>
  <si>
    <t>Library – Room 117</t>
  </si>
  <si>
    <t>Boys Bathroom – Room 112</t>
  </si>
  <si>
    <t>Boys Bathroom – Second and Third Floors</t>
  </si>
  <si>
    <t>Girls Bathroom – Room 122</t>
  </si>
  <si>
    <t>Fire alarm system has been upgraded and includes a strobe light feature. Holding rooms have been specifically designated as rooms 202 and 302.</t>
  </si>
  <si>
    <t xml:space="preserve">The nearest accessible subway station is Euclid Avenue station (A and C trains), 6.3 miles distant. MTA bus service (Q21 and Q52-SBS) is also nearby. The accessible entrance to building Q047 is not the same as the main entrance. The accessible entrance is located behind the school and is accessed from Power Road (Exits 1 and 2). The accessible entrance includes a doorbell. The doorbell is within reach range (height 48 inches). </t>
  </si>
  <si>
    <t xml:space="preserve">Braille signs are included throughout the building. Some water fountains and other wall-mounted objects may protrude in the corridors more than 4 inches, which may present difficulty to individuals with visual disabilities. </t>
  </si>
  <si>
    <t xml:space="preserve">Doors: 41 inches, Cab: 51 inches wide, 78 inches deep. </t>
  </si>
  <si>
    <t>Room 5</t>
  </si>
  <si>
    <t xml:space="preserve">This site does not include an auditorium or a gymnasium; the multi-purpose room fulfills these functions. The multi-purpose room is accessible and is located on the first floor. Stage access is not provided. Accessible seating is provided. The cafeteria is accessible and is located on the first floor. Assistive listening systems have not been provided in the public assembly spaces. </t>
  </si>
  <si>
    <t xml:space="preserve">There are accessible student bathrooms (boys and girls) available on all floors. There are accessible staff bathrooms (male and female) available on all floors. </t>
  </si>
  <si>
    <t>Fire alarm system has not been upgraded and does not includes a strobe light feature. Holding room has been specifically designated as room 208.</t>
  </si>
  <si>
    <t>155-02 108 Avenue, Queens, NY 11433</t>
  </si>
  <si>
    <t xml:space="preserve">The nearest accessible subway station is the Jamaica Center-Parsons/Archer Station (E, J, and Z trains), 0.8 miles distant. MTA bus service (Q060, Q6, and Q112) is also nearby. The main entrance, located on 108 Avenue, is not accessible due to a change in elevation upon entering school entrance. The main entrance includes security cameras, reception, and a doorbell. The doorbell is not within reach range (height 71 inches). This site does not include an accessible entrance. </t>
  </si>
  <si>
    <t xml:space="preserve">Changes in elevation at the main entrance (7 steps). </t>
  </si>
  <si>
    <t xml:space="preserve">The cafeteria is not accessible and is located on the first floor. The gymnasium is not accessible and is located in the basement. Assistive listening systems have not been provided in the public assembly spaces. </t>
  </si>
  <si>
    <t>63-60 80Th Street, Queens, NY 11379</t>
  </si>
  <si>
    <t>The nearest accessible subway station is Forest Hills – 71 Avenue Station (E and F trains), 1.9 miles distant. MTA bus service (Q38 and Q47) is also nearby. The main entrance of Q049 is accessible, located on 80th Street (Exit 2). At the accessible entrance there is a doorbell, reception, and security cameras. The doorbell is within reach range (height 48 inches).</t>
  </si>
  <si>
    <t xml:space="preserve">One passenger elevator provides access from the ground floor to the entrance on the first floor. Two passenger elevators provide access to all floors. Elevators include audible signals on each floor. </t>
  </si>
  <si>
    <t>Doors: 42 inches, Cabs: 63 inches wide, 79 inches deep.</t>
  </si>
  <si>
    <t>Rooms 257, and 354</t>
  </si>
  <si>
    <t>The cafeteria is accessible and is located on the first floor. Assistive listening systems have been provided in the cafeteria. The auditorium/gymnasium is combined and is accessible and is located on the second floor.</t>
  </si>
  <si>
    <t>Seconf Floor</t>
  </si>
  <si>
    <t>Auditorium and Gymnasium are combined.</t>
  </si>
  <si>
    <t>There are accessible student bathrooms (girls and boys) on all floors. There is also an accessible single-user (unisex) bathroom (available for students and staff) on all floors.</t>
  </si>
  <si>
    <t>Fire alarm system has been upgraded and includes a strobe light feature. Holding rooms have been specifically designated; Rooms 113, 125, 213, 225, 313, and 325.</t>
  </si>
  <si>
    <t>143-26 101 Avenue, Queens, NY 11435</t>
  </si>
  <si>
    <t xml:space="preserve">The nearest accessible subway station is Sutphin Boulevard – Archer Avenue Station (E train), 0.4 miles distant. MTA bus service (Q8, Q6, Q40, and Q60) is also nearby. The main entrance is accessible, located on Liberty Ave (Exit 1). The accessible entrance includes a doorbell, security cameras, and reception. The doorbell is within reach range (height 48 inches). </t>
  </si>
  <si>
    <t xml:space="preserve">Two elevators provide access to all floors. Elevators include audible signals on each floor. </t>
  </si>
  <si>
    <t xml:space="preserve">Doors: 47 inches, Cabs: 64 inches wide, 64 inches deep. </t>
  </si>
  <si>
    <t>Room 351</t>
  </si>
  <si>
    <t xml:space="preserve">The auditorium is accessible and is located on the second floor. Stage access is provided via lift. Accessible seating is provided. The cafeteria is accessible and is located on the first floor. The gymnasium is accessible and is located on the fourth floor. The multi-purpose room is accessible and is located on the second floor. Assistive listening systems have been provided in the cafeteria and gymnasium. </t>
  </si>
  <si>
    <t>Assistive listening system have been provided.</t>
  </si>
  <si>
    <t xml:space="preserve">There are accessible student bathrooms (boys) available on first through fourth floors. There are accessible student bathrooms (girls) available on first through fifth floors. There are accessible single-user (unisex) bathrooms (for student and staff use) available on all floors. There are accessible single-user (unisex) bathrooms (for student and staff use) available in some second-floor classrooms.   </t>
  </si>
  <si>
    <t>Rooms 120, 218, 318, and 406A</t>
  </si>
  <si>
    <t xml:space="preserve">Room 551 </t>
  </si>
  <si>
    <t>Rooms 118, 216, 316, 406, and 506B</t>
  </si>
  <si>
    <t>Classrooms 217, 219, 221, 223, 225, and 228</t>
  </si>
  <si>
    <t>Rooms 108A, 200A, 300A, 400A and 552</t>
  </si>
  <si>
    <t xml:space="preserve">Fire alarm system has been upgraded and includes a strobe light feature. Holding rooms or areas of refuge have been specifically designated as rooms 209, 211, 309, 313, 409, 413, 509, and 511. </t>
  </si>
  <si>
    <t xml:space="preserve">The site includes central air in the 2016 addition; temperature control units have been provided in classrooms of the 2016 addition. This site does not include central air in the original building; air-conditioning units have been provided in classrooms of the original building. </t>
  </si>
  <si>
    <t>87-45 117 Street, Queens, NY 11418</t>
  </si>
  <si>
    <t xml:space="preserve">The nearest accessible subway station is the Jamaica – Van Wyck Station (E train), 0.82 miles distant. MTA bus service (Q10, Q55, and Q56) is also nearby. The main entrance of Q051 is accessible, located on 117th Street (Exit 1). The accessible entrance includes a ramp, a doorbell, reception, and security cameras. The doorbell is not within reach range (Height 51 inches). </t>
  </si>
  <si>
    <t xml:space="preserve">Ramp is 32 inches wide, which may pose difficulty for some. </t>
  </si>
  <si>
    <t>Doors: 42 inches, Cab: 76 inches wide, 48 inches deep</t>
  </si>
  <si>
    <t>Room 08</t>
  </si>
  <si>
    <t xml:space="preserve">This site does not include an auditorium, cafeteria, or gymnasium; the multi-purpose room fulfills this function. The multi-purpose room is accessible and is located in the cellar. The multi-purpose room does not include a stage. Accessible seating is available on request. Assistive listening systems have not been provided in the public assembly spaces. </t>
  </si>
  <si>
    <t xml:space="preserve">There are accessible student bathrooms (boys and girls) available in the cellar. There are accessible single-user (unisex) bathrooms (for student and staff use) available on all floors. There is an accessible unisex bathroom (for student use) available in two classrooms on the first floor. </t>
  </si>
  <si>
    <t>Room C8</t>
  </si>
  <si>
    <t>Room C9</t>
  </si>
  <si>
    <t>Rooms C6, 105, 205, 207, 208A, and 213A</t>
  </si>
  <si>
    <t xml:space="preserve">Room 208A is located in the nurse’s office. </t>
  </si>
  <si>
    <t xml:space="preserve">Classrooms 108 and 109  </t>
  </si>
  <si>
    <t xml:space="preserve">Fire alarm system has been upgraded and includes a strobe light feature. A holding room has been specifically designated as room 216. </t>
  </si>
  <si>
    <t>10-45 Nameoke Street, Queens, NY 11691</t>
  </si>
  <si>
    <t xml:space="preserve">The nearest accessible subway station is Far Rockaway Mott Avenue station (A train), 0.4 miles distant. MTA bus service (Q114, Q22 and QM17) is also nearby. The main entrance is accessible, located on Nameoke Street (Exit 1). The accessible entrance includes a doorbell, reception and security cameras. The doorbell is within reach range (height 48 inches).  </t>
  </si>
  <si>
    <t xml:space="preserve">Doors: 39 inches, Cab: 64 inches wide, 77 inches deep. </t>
  </si>
  <si>
    <t>Rooms 211, 268, and 368</t>
  </si>
  <si>
    <t>Room 347</t>
  </si>
  <si>
    <t>Rooms 109, 337, and 447B</t>
  </si>
  <si>
    <t>Room 208, 306, and 406</t>
  </si>
  <si>
    <t xml:space="preserve">The auditorium is accessible and is located on the third floor. Stage access is provided via lift. Accessible seating is provided. The cafeteria is accessible and is located on the first floor. The gymnasium is accessible and is located on the first floor. Assistive listening systems have been provided in the auditorium and cafeteria. </t>
  </si>
  <si>
    <t xml:space="preserve">Accessible seating available upon request. Food servery does not provide clear path. Assistive listening systems have been provided. </t>
  </si>
  <si>
    <t>Accessible via ramp.</t>
  </si>
  <si>
    <t xml:space="preserve">There are accessible student bathrooms (boys) available on the first and third floors. There are accessible student bathrooms (girls) available on the first floor. There are accessible single-user (unisex) bathrooms (for student and staff use) available on the third and fourth floors. There is an accessible staff bathroom (male) available on the first floor. </t>
  </si>
  <si>
    <t>First Floor (Men's)</t>
  </si>
  <si>
    <t>Fire alarm system has been upgraded and includes a strobe light feature. Holding rooms have been specifically designated as rooms 247A, 347, and 447A.</t>
  </si>
  <si>
    <t>131-10 97 Avenue, Queens, NY 11419</t>
  </si>
  <si>
    <t>The nearest accessible subway station is Sutphin Boulevard – Archer Avenue - JFK Station (E, J, and Z trains), 0.8 miles distant. Building Q055 is the primary building and is connected on the first floor to Mini-School Q865. In order to access Q055, you will need to use the accessible entrance at Q865. The accessible entrance to Q865 is not the same as the main entrance; the accessible entrance is located on 131st Street (Exit 10). The accessible entrance includes a ramp and doorbell. The doorbell is within reach range (height 47 inches).</t>
  </si>
  <si>
    <t>This site does not include an elevator, preventing access to floors other than the first floor. A ramp within Mini-School Q865 connects to primary building Q055.</t>
  </si>
  <si>
    <t>Located in Mini-School Q865.</t>
  </si>
  <si>
    <t>This site does not include an auditorium; the multi-purpose room fulfills this function. The multi-purpose room is located in Mini-School Q865 and is accessible and is located on the first floor. Accessible seating is provided. The cafeteria located in primary building Q055 is accessible and is located on the first floor. Assistive listening systems have been provided in the multi-purpose room and cafeteria.</t>
  </si>
  <si>
    <t>Located in Mini-School Q865. Accessible seating is provided. Assistive listening systems have been provided.</t>
  </si>
  <si>
    <t>72-24 Grand Avenue, Queens, NY 11378</t>
  </si>
  <si>
    <t>The nearest accessible subway station is the Middle Village – Metropolitan Avenue Station (M train), 1.14 miles distant. MTA bus service (Q58 and Q59) is also nearby. The main entrance of Q058 is accessible, located on 75th Avenue (Exit 1). The accessible entrance includes a doorbell, reception, and security cameras. The doorbell is not within reach range (Height 62 inches).</t>
  </si>
  <si>
    <t>This site occupies floors first through third, in the building. One passenger elevator provides access to all floors. Elevator includes audible signals on each floor.</t>
  </si>
  <si>
    <t>Doors: 36 inches, Cab: 67 inches wide, 49 inches deep.</t>
  </si>
  <si>
    <t>Ramp connects lobby to the auditorium.</t>
  </si>
  <si>
    <t>Computer Rooms - Rooms 331 and 339</t>
  </si>
  <si>
    <t>Library – Room 310</t>
  </si>
  <si>
    <t>Main Office – Rooms 102 and 229</t>
  </si>
  <si>
    <t>Nurse’s Office – Rooms 120 and 231</t>
  </si>
  <si>
    <t>Science Lab – Room 326</t>
  </si>
  <si>
    <t>The auditorium is accessible and is located on the first floor. Stage access is provided via corridor. Accessible seating is provided. The cafeteria spaces are accessible and are located on the first floor. The gymnasium is accessible and is located on the second floor. Assistive listening systems have been provided in the gymnasium and the staff cafeteria.</t>
  </si>
  <si>
    <t>Stage access via lift. Accessible seating is provided.</t>
  </si>
  <si>
    <t>Cafeteria – First Floor (Students)</t>
  </si>
  <si>
    <t>Boys Bathrooms – Rooms 109B, 217 and 315</t>
  </si>
  <si>
    <t>Girls Bathrooms – Rooms 109A, 211 and 311</t>
  </si>
  <si>
    <t>Single-User (Unisex) Bathrooms – Rooms 109C, 120, 129, 213 and 313</t>
  </si>
  <si>
    <t>Room 120 is located in the nurse’s office.</t>
  </si>
  <si>
    <t>Single-User (Unisex) Bathrooms – Classrooms 101C, 110, 111, 112, 113, 114, 115, 200, 201, 202, 203, 204, 205, 208, 210, 212, 214, 216, 218, 219, 221, 222, 223, 224, 226,</t>
  </si>
  <si>
    <t>Fire alarm system has been upgraded and includes a strobe light feature. Holding rooms have been specifically designated as rooms 209, 239, and 308.</t>
  </si>
  <si>
    <t>132-55 Ridgedale Street, Queens, NY 11413</t>
  </si>
  <si>
    <t xml:space="preserve">The nearest accessible subway station is the Jamaica Center – Parsons/Archer (E, and J trains), 3.3 miles distant. MTA bus service (Q77, Q5, X63, and N4) is also nearby. The main entrance of Q059 is accessible, located on Ridgedale Street (Exit # 1). The accessible entrance does include a ramp, and security camera feature. There is no doorbell installed at the accessible entrance. </t>
  </si>
  <si>
    <t xml:space="preserve">One passenger elevator provides access to all floors. Elevator includes audible signals on each floor. There is also a lift that provides access to classrooms over the first-floor change in elevation (4 Steps). </t>
  </si>
  <si>
    <t xml:space="preserve">Doors: 48 Inches, Cabs: 66 Inches wide, 92 Inches deep. </t>
  </si>
  <si>
    <t>Rooms 106, 204, 206, and 217</t>
  </si>
  <si>
    <t>Rooms 119, 328, and 421</t>
  </si>
  <si>
    <t>Rooms 114 and 408</t>
  </si>
  <si>
    <t xml:space="preserve">The auditorium is accessible and is located on the first floor. Stage access is provided via lift. Accessible seating is provided. The cafeteria is accessible and is in the basement. The gymnasium is accessible and is located on the first floor. Assistive listening systems have been provided in the auditorium. </t>
  </si>
  <si>
    <t xml:space="preserve">Stage access is provided via lift. Accessible seating is provided. Assistive listening system have been provided. </t>
  </si>
  <si>
    <t xml:space="preserve">There are accessible student bathrooms (boys) available in the basement. There are no accessible student bathrooms (girls) available. There are accessible single-user (unisex) bathrooms (for student and staff use) available on all floors.   </t>
  </si>
  <si>
    <t>Room B6</t>
  </si>
  <si>
    <t>Rooms 124, 224, 324, and 424</t>
  </si>
  <si>
    <t>Rooms 422, 322, 222, 122, and B6A</t>
  </si>
  <si>
    <t xml:space="preserve">This site includes include exterior recreational spaces. The exterior recreational spaces are accessible. The recreational equipment is accessible. </t>
  </si>
  <si>
    <t>91-02 88 Avenue, Queens, NY 11421</t>
  </si>
  <si>
    <t xml:space="preserve">The nearest accessible subway station is Euclid Avenue station (A and C trains), 2.0 miles distant. MTA bus service (Q11 and Q21) is also nearby. The main entrance is accessible, located on 88th Road (Exit 1). The accessible entrance includes a doorbell, reception, and security cameras. The doorbell is not within reach range (height 66 inches). </t>
  </si>
  <si>
    <t xml:space="preserve">This site does not include an elevator, preventing access to floors above the first floor.  </t>
  </si>
  <si>
    <t>This site is moderately accessible; all classrooms located on the first floor are accessible and located on an accessible route.</t>
  </si>
  <si>
    <t>Second through Third Floors</t>
  </si>
  <si>
    <t xml:space="preserve">Lack of clear width at entry. </t>
  </si>
  <si>
    <t>Accessible seating available upon request. Food service line does not provide clear path.</t>
  </si>
  <si>
    <t xml:space="preserve">Fire alarm system has not been upgraded. Holding rooms or areas of refuge have been specifically designated. </t>
  </si>
  <si>
    <t>98-50 50 Avenue, Queens, NY 11368</t>
  </si>
  <si>
    <t xml:space="preserve">The nearest accessible subway station is Junction Boulevard station (7 train), 0.7 miles distant. MTA bus service (Q38) is also nearby. The main entrance of Q061 is accessible, located on 99th Street (Exit 6). The accessible entrance includes a doorbell, reception, and security cameras. The doorbell is within reach range (height 48 inches). </t>
  </si>
  <si>
    <t xml:space="preserve">Two passenger elevators provide access to all floors. One elevator provides access between the basement and fourth floor. The other elevator provides access between the basement and second floor. Elevators include audible signals on each floor.  </t>
  </si>
  <si>
    <t>Doors: 41 inches, Cabs: 55 inches wide, 79 inches deep.</t>
  </si>
  <si>
    <t>Room 275</t>
  </si>
  <si>
    <t>Rooms 246 and 248</t>
  </si>
  <si>
    <t>Rooms 225, 226, 227, 230, 240, and 244</t>
  </si>
  <si>
    <t xml:space="preserve">There are accessible student bathrooms (girls and boys) available on the first and second floors. There are accessible single-user (unisex) bathrooms (for student and staff use) available on the first and second floors of the addition. </t>
  </si>
  <si>
    <t>97-25 108 Street, Queens, NY 11419</t>
  </si>
  <si>
    <t xml:space="preserve">The nearest accessible subway station is Sutphin Boulevard–Archer Avenue–JFK Airport Station (E and J trains), 2.0 miles distant. MTA bus service (Q8 and Q24) is also nearby. The main entrance of Q062 is accessible, located on 108th Street (Exit 1). The accessible entrance includes a ramp, doorbell, reception and security cameras. The doorbell is within reach range (height 37 inches). </t>
  </si>
  <si>
    <t>Room 303A</t>
  </si>
  <si>
    <t>Interior nurse’s suite does not provide clear path.</t>
  </si>
  <si>
    <t xml:space="preserve">The auditorium is accessible and is located on the first floor. Stage access is provided via a corridor from the gymnasium. Accessible seating is provided. The cafeteria is accessible and is located on the first floor. The gymnasium is accessible and is located on the first floor. Assistive listening systems have not been provided in the public assembly areas. </t>
  </si>
  <si>
    <t xml:space="preserve">There are accessible student bathrooms (girls and boys) available on all floors. There are accessible single-user (unisex) bathrooms (for student and staff use) available on all floors. There are accessible staff bathrooms (male and female) available on the first floor. </t>
  </si>
  <si>
    <t>Males</t>
  </si>
  <si>
    <t>Fire alarm system has been upgraded and includes a strobe light feature. Holding rooms or areas of refuge have been specifically designated as rooms 304 and 204.</t>
  </si>
  <si>
    <t>90-15 Sutter Avenue, Queens, NY 11417</t>
  </si>
  <si>
    <t>The nearest accessible subway station is Euclid Avenue Station (A and C trains), 1.4 miles distant. MTA bus service (Q7, Q111, Q21, and Q41) is also nearby. The accessible entrance to Q063 is not the same as the main entrance; the accessible entrance is located on 90th Street (Exit 15). The accessible entrance includes security cameras, doorbell, and intercom. The doorbell is not within reach range (height 60 inches). The accessible entrance does not include reception.</t>
  </si>
  <si>
    <t>Braille signs are included throughout the addition. Braille signs are not included in the original building.</t>
  </si>
  <si>
    <t>One passenger elevator provides access between the first and third floors. There is no elevator access to the fourth floor. Elevator includes audible signals on each floor.</t>
  </si>
  <si>
    <t>Doors: 58 inches, Cab: 65 inches wide, 70 inches deep.</t>
  </si>
  <si>
    <t>This site is moderately accessible; all classrooms located between the first and third floor are accessible and are located on accessible routes. The fourth-floor classrooms in the original building are not accessible due to lack of elevator access.</t>
  </si>
  <si>
    <t>Art Rooms – Room 411</t>
  </si>
  <si>
    <t>Classrooms – Fourth Floor</t>
  </si>
  <si>
    <t>Computer Rooms – Room 407A</t>
  </si>
  <si>
    <t>Main Office – Room 161</t>
  </si>
  <si>
    <t>Nurse’s Office – Room 215</t>
  </si>
  <si>
    <t>The auditorium is accessible and is located on the first floor. Stage access is provided via corridor and lift. Due to a change in elevation (5 steps) in the auditorium floor, accessible seating is provided via lift down from stage. The cafeteria, and multi-purpose rooms are accessible and located on the first floor. The gymnasium is accessible and is located on the first floor. The multi-purpose room is accessible and is located on the first floor. Assistive listening systems have not been provided in the public assembly areas.</t>
  </si>
  <si>
    <t>Stage access is provided via corridor and lift. Due to a change in elevation (5 steps) in the auditorium floor, accessible seating is provided via lift down from stage.</t>
  </si>
  <si>
    <t>There are accessible student bathrooms (girls and boys) available on the first floor. There are accessible staff restrooms (male and female) available on the first floor. There are accessible single-user (unisex) bathrooms (for student and staff use) available on the first through third floors. There are accessible single-user (unisex) bathrooms (for student and staff use) available in the classrooms of the new addition.</t>
  </si>
  <si>
    <t>Boys Bathroom – Room 165</t>
  </si>
  <si>
    <t>Boys Bathrooms – Second through Fourth Floors</t>
  </si>
  <si>
    <t>Girls Bathroom – Room 153</t>
  </si>
  <si>
    <t>Girls Bathrooms – Second through Fourth Floors</t>
  </si>
  <si>
    <t>Single-User (Unisex) Bathroom – First through Third Floors</t>
  </si>
  <si>
    <t>Fire alarm system has been upgraded and includes a strobe light feature. Holding rooms have been specifically designated as rooms 121, 251, and 451.</t>
  </si>
  <si>
    <t>82-01 101 Avenue, Queens, NY 11416</t>
  </si>
  <si>
    <t xml:space="preserve">The nearest accessible subway station is Euclid Avenue station (A and C trains), 1.1 miles distant. MTA bus service (Q8 and Q24) is also nearby. The main entrance is accessible, located on 83rd Street (Exit 8). The accessible entrance includes a doorbell, reception, and security cameras. The doorbell is within reach range (height 37 inches). </t>
  </si>
  <si>
    <t>Doors: 42 inches, Cabs: 68 inches wide, 109 inches deep.</t>
  </si>
  <si>
    <t>Room 252</t>
  </si>
  <si>
    <t xml:space="preserve">The auditorium is accessible and is located on the first floor. Stage access is provided via corridor. Accessible seating is provided. The cafeteria is accessible and is located on the first floor. The gymnasium is accessible and is located on the second floor. Assistive listening systems have not been provided in the public assembly spaces. </t>
  </si>
  <si>
    <t xml:space="preserve">There are accessible student bathrooms (girls and boys) available on the first and third floors. There are accessible single-user (unisex) bathrooms (for student and staff use) available all floors. </t>
  </si>
  <si>
    <t>First Floor (Cafeteria), Rooms 222 and 316</t>
  </si>
  <si>
    <t>First (Cafeteria) and Room 317</t>
  </si>
  <si>
    <t>Fire alarm system has been upgraded and includes a strobe light feature. Holding rooms have been specifically designated as rooms 313, 213, 113.</t>
  </si>
  <si>
    <t>85-11 102 Street, Queens, NY 11418</t>
  </si>
  <si>
    <t>The nearest accessible subway station is the Jamaica – Van Wyck Subway Station (E train), 1.8 miles distant. MTA bus service (Q56, Q11, and Q21) is also nearby. The main entrance of Q066 is accessible, located on 102 Street (Exits 6 and 7). The accessible entrance includes a ramp, doorbell, reception, and security cameras. The doorbell is within reach range (height 36 inches).</t>
  </si>
  <si>
    <t>One passenger elevator provides access to all floors. Elevator includes audible signals on each floor. A lift provides access from the main entrance lobby to the first floor.</t>
  </si>
  <si>
    <t>Lift provides access from main entrance lobby to first floor.</t>
  </si>
  <si>
    <t>E1
Doors: 42 inches, Cab: 80 inches wide, 66 inches deep.</t>
  </si>
  <si>
    <t>The auditorium is not accessible and is located on the third floor. Stage access is not provided. Accessible seating is not provided. The multi-purpose room is accessible and is located on the third floor. The cafeteria is accessible and is located in the basement. Assistive listening systems have been provided in the cafeteria and multi-purpose room.</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</si>
  <si>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and second floors.</t>
  </si>
  <si>
    <t>Rooms B018G, 224 and 323</t>
  </si>
  <si>
    <t>Rooms B018D, 222 and 322</t>
  </si>
  <si>
    <t>Rooms B018A, B022B, B022A and 223</t>
  </si>
  <si>
    <t>Classrooms 121A and 221A</t>
  </si>
  <si>
    <t>Fire alarm system has been upgraded and includes a strobe light feature. Holding rooms have been specifically designated as rooms 121, 221, and 321.</t>
  </si>
  <si>
    <t>51-60 Marathon Parkway, Queens, NY 11362</t>
  </si>
  <si>
    <t>The nearest accessible subway station is Jamaica – 179th Street Station (F train), 5.6 miles distant. MTA bus service (Q30, QM5, QM8, and QM35) is also nearby. The main entrance is accessible and is located on Marathon Parkway. The accessible entrance includes a doorbell, security cameras, and reception. The doorbell is not within reach range (height 58 inches).</t>
  </si>
  <si>
    <t>Doors: 35 inches, Cab: 63 inches wide, 59 inches deep.</t>
  </si>
  <si>
    <t>Provides access to classrooms B-8B to B-19.</t>
  </si>
  <si>
    <t>Art Rooms – Room 113</t>
  </si>
  <si>
    <t>Computer Rooms – Room 217</t>
  </si>
  <si>
    <t>Library – Room 213</t>
  </si>
  <si>
    <t>Main Office – Room 108</t>
  </si>
  <si>
    <t>The auditorium is accessible and is located on the first floor. Stage access is provided via corridor. Accessible seating is provided. The cafeteria is accessible and is located in the basement. The gymnasium is accessible and is located in the basement. Assistive listening systems have not been provided in the public assembly spaces.</t>
  </si>
  <si>
    <t>There are accessible student bathrooms (boys) available in the basement and on the first and third floors. There are accessible student bathrooms (girls) available in the basement. There are single-user (unisex) bathrooms (for student and staff use) available on the first and second floors.</t>
  </si>
  <si>
    <t>Boys Bathrooms – Rooms B22A, 129, and 309</t>
  </si>
  <si>
    <t>Boys Bathrooms – Room 207</t>
  </si>
  <si>
    <t>Girls Bathroom – Room B21</t>
  </si>
  <si>
    <t>Girls Bathrooms – Rooms 129, 210, and 310</t>
  </si>
  <si>
    <t>Single-User (Unisex) Bathrooms – Rooms 101A and 215A</t>
  </si>
  <si>
    <t>Fire alarm system does not include a strobe light feature. Holding rooms or areas of refuge have not been specifically designated.</t>
  </si>
  <si>
    <t>59-09 Saint Felix Avenue, Queens, NY 11385</t>
  </si>
  <si>
    <t>The nearest accessible subway station is Wilson Avenue Station (L train), 0.9 miles distant. MTA bus service (B20 and Q39) is also nearby. The accessible entrance to Q068 is not the same as the main entrance; the accessible entrance is located on St. Felix Avenue (Exit 9). The accessible entrance includes a ramp, intercom, doorbell and security cameras. The doorbell is within reach range (height 44 inches).</t>
  </si>
  <si>
    <t>One passenger elevator provides access to the ground through second floors of the addition. There is no elevator access to the third floor of the original building. Elevator includes audible signals on each floor.</t>
  </si>
  <si>
    <t>Doors: 36 inches, Cab: 67 inches wide, 61 inches deep.</t>
  </si>
  <si>
    <t>The addition connects to the original building via a ramp on the ground and second floor.</t>
  </si>
  <si>
    <t>This site is moderately accessible; all classrooms located between the ground and second floors are accessible and located on accessible routes. There is no elevator access to the third floor.</t>
  </si>
  <si>
    <t>Classrooms – Ground through Second Floors</t>
  </si>
  <si>
    <t>Classrooms – Third Floor</t>
  </si>
  <si>
    <t>Main Office – Room 153</t>
  </si>
  <si>
    <t>Nurse’s Office – Room B22</t>
  </si>
  <si>
    <t>This site does not include a gymnasium; the auditorium fulfills this function. The auditorium is accessible and is located on the first floor. Stage access is provided via a lift. Accessible seating is provided. The cafeteria is accessible and is located in the basement. Assistive listening systems have been provided in the auditorium.</t>
  </si>
  <si>
    <t>There are accessible student bathrooms (girls and boys) available in the basement, first, and second floors. There are accessible single-user (unisex) bathrooms (for student and staff use) available in the basement, first, and second floors.</t>
  </si>
  <si>
    <t>Boys Bathrooms – B29, 127, and 227</t>
  </si>
  <si>
    <t>Boys Bathroom – Room 255</t>
  </si>
  <si>
    <t>Girls Bathrooms – B30, 154, 129A, and 229A</t>
  </si>
  <si>
    <t>Girls Bathroom – Room 350</t>
  </si>
  <si>
    <t>Single-User (Unisex) Bathrooms – Rooms B27, 124A, and 224A</t>
  </si>
  <si>
    <t>77-02 37 Avenue, Queens, NY 11372</t>
  </si>
  <si>
    <t>The nearest accessible subway station is Junction Boulevard Station (L train), 1.1 miles distant. MTA bus service (Q32 and Q33) is also nearby. The accessible entrance to building Q069 is not the same as the main entrance; accessible entrance is located on 77th Street (Exits 2 and 3). The accessible entrance includes security cameras. The accessible entrance does not include a doorbell; visitors may need to contact school in advance to gain access to the facility through the accessible entrance.</t>
  </si>
  <si>
    <t>E1 and E2: Doors: 44 inches; Cabs: 80 inches wide, 98 inches deep.</t>
  </si>
  <si>
    <t>This site is highly accessible; all classrooms located on all floors are accessible and located on accessible routes.</t>
  </si>
  <si>
    <t>Art Rooms – Room 100</t>
  </si>
  <si>
    <t>Nurse’s Office – Room 237</t>
  </si>
  <si>
    <t>The auditorium is accessible and is located on the second floor. Stage access is not provided. Accessible seating is not provided. The cafeteria is accessible and is located on the first floor. The gymnasium is accessible and is located on the third floor. Assistive listening systems have been provided in the gymnasium.</t>
  </si>
  <si>
    <t>Accessible Accessible Accessible</t>
  </si>
  <si>
    <t>30-44 43Rd Street, Queens, NY 11103</t>
  </si>
  <si>
    <t xml:space="preserve">The nearest accessible subway station is 21 Street–Queensbridge Station (F train), 1.9 miles distant. MTA bus service (Q18 and Q101) is also nearby. The main entrance is accessible and is located on 43rd Street (Exit 1). The accessible entrance includes a doorbell, ramp, reception, and security cameras. The doorbell is within reach range (height 45 inches). </t>
  </si>
  <si>
    <t>Doors: 47 inches, Cabs: 78 inches wide, 63 inches deep.</t>
  </si>
  <si>
    <t>Room 201 and 565</t>
  </si>
  <si>
    <t xml:space="preserve">The auditorium is accessible and is located on the second floor. Stage access is provided via lift. Accessible seating is provided. The cafeteria is accessible and is located on the first floor. The gymnasium is accessible and is located in the basement. The multi-purpose room is accessible and is located on the first floor. Assistive listening systems have been provided in the cafeteria and gymnasium. </t>
  </si>
  <si>
    <t>Fire alarm system has been upgraded and includes a strobe light feature. Holding rooms have been specifically designated as rooms 202, 212, 262, 302, 314, 362, 402, 412, 462, 502, 512, and 562.</t>
  </si>
  <si>
    <t>62-85 Forest Avenue, Queens, NY 11385</t>
  </si>
  <si>
    <t>The nearest accessible subway station is Myrtle-Wyckoff Avenue station (M train), 0.6 miles distant. MTA bus service (Q39 and Q38) is also nearby. The accessible entrance to Q071 is not the same as the main entrance; the accessible entrance is located on 60th Avenue (Exit 2). The accessible entrance includes a ramp, doorbell, and intercom. The accessible entrance does not include security cameras. The doorbell is within reach range (height 40.5 inches).</t>
  </si>
  <si>
    <t>Computer Rooms – Rooms 307B, 414A, and 414B</t>
  </si>
  <si>
    <t>Nurse’s Office – Room 258</t>
  </si>
  <si>
    <t>The auditorium is accessible and is located on the first floor. Stage access is not provided. Accessible seating is provided. The cafeteria is accessible and is located on the first floor. Assistive listening systems have not been provided in the public assembly spaces.</t>
  </si>
  <si>
    <t>There are accessible student bathrooms (boys) available on the first floor.</t>
  </si>
  <si>
    <t>Boys Bathrooms – Room 151</t>
  </si>
  <si>
    <t>Boys Bathrooms – Second Through Fourth Floors</t>
  </si>
  <si>
    <t>133-25 Guy R Brewer Boulevard, Queens, NY 11434</t>
  </si>
  <si>
    <t>The nearest accessible subway station is Aqueduct Racetrack (A train), 3.1 miles distant. MTA bus service (Q111 and Q114) is also nearby. The main entrance to building Q072 is accessible, located on Guy R. Brewer Boulevard. (Exit 1). The accessible entrance includes a doorbell, security cameras, and reception. The doorbell is not within reach range (height 56 inches).</t>
  </si>
  <si>
    <t>Art Room – Room 421</t>
  </si>
  <si>
    <t>Main Office – Rooms 106, 108, 128A, and 203</t>
  </si>
  <si>
    <t>Science Lab – Rooms 309, and 317</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</si>
  <si>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cafeteria and auditorium.</t>
  </si>
  <si>
    <t>Accessible seating is provided. Stage access is provided via lift. Automatic door opener available for entry/exit. Assistive listening systems have been provided.</t>
  </si>
  <si>
    <t>Accessible seating available upon request. Assistive listening system provided.</t>
  </si>
  <si>
    <t>There are accessible student bathrooms (girls and boys) available on all floors. There are accessible staff bathrooms (male and female) available on the first floor. There are accessible single-user (unisex) bathrooms (for student and staff use) available on the first and third floors.</t>
  </si>
  <si>
    <t>Staff Bathrooms – Rooms 136 and 138</t>
  </si>
  <si>
    <t>70-02 54 Avenue, Queens, NY 11378</t>
  </si>
  <si>
    <t>The nearest accessible subway station is Roosevelt-Jackson Avenue Station (7, E, F, and R trains), 1.4 miles distant. MTA bus service (Q58) is also nearby. The accessible entrance to Q073 is not the same as the main entrance; the accessible entrance is located on 54th Street (Exit 16). The accessible entrance includes a ramp. The accessible entrance does not include a doorbell or security cameras, visitors should contact the site prior to arrival.</t>
  </si>
  <si>
    <t>Some water fountains and other wall-mounted objects protrude in to the corridors more than 4 inches, which may present difficulties for individuals with visual disabilities. Braille signs are not included throughout the building. The passenger elevator only provides access between the first and third floor of the addition, changes of elevation prevent access above the first floor of the original building. Connection between the two buildings on the second floor is not accessible due to a change in elevation (10 Steps).</t>
  </si>
  <si>
    <t>One passenger elevator provides access in the addition between the first and third floors. Elevators include audible signals on each floor.</t>
  </si>
  <si>
    <t>Doors: 36 inches, Cabs: 69 inches wide, 51 inches deep.</t>
  </si>
  <si>
    <t>This site is moderately accessible; all classrooms located on the first floor of the original building are accessible and located on accessible routes. All classrooms located in the addition are accessible and located on accessible routes.</t>
  </si>
  <si>
    <t>Classrooms – Main Building - First Floor</t>
  </si>
  <si>
    <t>Classrooms – Addition – First through Third Floors</t>
  </si>
  <si>
    <t>Main Office – Room 202</t>
  </si>
  <si>
    <t>Nurse’s Office- Room 250</t>
  </si>
  <si>
    <t>Science Lab – Rooms 217, and 303</t>
  </si>
  <si>
    <t>The auditorium is accessible and is located on the first floor. The auditorium does not provide stage access or accessible seating. The cafeteria is accessible and is located on the first floor. The gymnasiums are located on an inaccessible route on the third and fourth floor, elevator does not provide access to these floors. The gymnasium on the third floor also has a change of elevation (12 Steps). Assistive listening systems have not been installed in the public assembly spaces.</t>
  </si>
  <si>
    <t>Change of elevation, and no elevator access.</t>
  </si>
  <si>
    <t>No elevator access.</t>
  </si>
  <si>
    <t>There are accessible student bathrooms (girls and boys) on the first, and second floor. There is also an accessible single-user (unisex) bathroom (available for students and staff) on the third floor.</t>
  </si>
  <si>
    <t>Boys Bathroom – Addition – First, and Second Floors</t>
  </si>
  <si>
    <t>Boys Bathroom – Original building – All Floors</t>
  </si>
  <si>
    <t>Girls Bathroom – Addition – First, and Second Floors</t>
  </si>
  <si>
    <t>Girls Bathroom – Original building – All Floors</t>
  </si>
  <si>
    <t>Single-User (Unisex) Bathroom – Third Floor</t>
  </si>
  <si>
    <t>designated; Rooms S207, and S307.</t>
  </si>
  <si>
    <t>61-15 Oceania Street, Queens, NY 11364</t>
  </si>
  <si>
    <t xml:space="preserve">The nearest accessible subway station is Jamaica Center Station (J, M, Z trains), 7.0 miles distant. MTA bus service (Q46, Q43, and Q36) is also nearby. The main entrance located on Oceania Street Avenue is accessible. The accessible entrance includes a ramp, doorbell, and security cameras. The doorbell is not within reach range (Height 66). The ramp is steep and has sidewalk degradation that may present difficulty for some. </t>
  </si>
  <si>
    <t>Doors: 42 inches, Cabs: 80 inches wide, 52 inches deep.</t>
  </si>
  <si>
    <t>Rooms 116, and 322</t>
  </si>
  <si>
    <t>Rooms 320, and 321</t>
  </si>
  <si>
    <t xml:space="preserve">The auditorium is accessible and is located on the first floor. Stage access is provided. Accessible seating is provided. The cafeteria is accessible and is located in the basement. The gymnasium is accessible and is located in the basement. Assistive listening systems have been provided in the auditorium. </t>
  </si>
  <si>
    <t xml:space="preserve">Stage access is provided via corridor. Accessible seating is provided. Assistive listening systems have been provided.  </t>
  </si>
  <si>
    <t xml:space="preserve">There are accessible student bathrooms (boys and girls) available in the basement, and on the first and third floors. There are accessible staff bathrooms (male and female) available on the second floor. </t>
  </si>
  <si>
    <t xml:space="preserve">The site does not include central air; Air-conditioning units have been provided in classrooms. </t>
  </si>
  <si>
    <t>16-66 Hancock Street, Queens, NY 11385</t>
  </si>
  <si>
    <t xml:space="preserve">The nearest accessible subway station is the Myrtle-Wyckoff Avenues Station (L and M trains), 0.36 miles distant. MTA bus service (B26 and Q55) is also nearby. The main entrance of Q075 (Exit 1.2) is not accessible due to the interior set of doors in series not providing clear width (Clear width is less than 32 inches). The main entrance of Q075 includes a ramp, a doorbell, and reception. The doorbell is not within reach range (Height 60 inches). The main entrance does not include security cameras. The only other entrance that provides a clear path of travel (Exit 7) leads through the kitchen area and is not legally suitable for use as the accessible student entrance. Note: This site is located one block away from Q239, a fully accessible elementary school site. </t>
  </si>
  <si>
    <t xml:space="preserve">Interior doors in series do not provide clear path. </t>
  </si>
  <si>
    <t xml:space="preserve">Exit 1.2 to main lobby and Exit 7 to kitchen </t>
  </si>
  <si>
    <t xml:space="preserve">Door hardware throughout the building is not accessible and requires remediation. Change in elevation (4 steps) prevents access to the first floor gymnasium. Braille signs are not included throughout the building.  </t>
  </si>
  <si>
    <t xml:space="preserve">Hardware is not compliant throughout. Bathroom doors do not provide clear path. </t>
  </si>
  <si>
    <t xml:space="preserve">Doors: 48 inches, Cab: 79 inches wide, 47 inches deep. </t>
  </si>
  <si>
    <t xml:space="preserve">Main entry to first floor lobby </t>
  </si>
  <si>
    <t xml:space="preserve">This site is not accessible. Once inside, all classrooms are accessible and are located along accessible routes, but access is impeded at entry as per the notes above. </t>
  </si>
  <si>
    <t xml:space="preserve">The auditorium and cafeteria spaces are accessible, but are not located along accessible routes due to lack of building access at entry. The auditorium is not accessible and is located on the first floor. Stage access is not provided. Accessible seating is provided. The cafeteria is not accessible and is located on the first floor. The gymnasium is not accessible due to a change of elevation (4 steps) and is located on the first floor. Assistive listening systems have been provided in the auditorium. </t>
  </si>
  <si>
    <t xml:space="preserve">Not on an accessible route (Change of elevation 4 steps). </t>
  </si>
  <si>
    <t xml:space="preserve">This site is also prevented from attaining a higher accessibility ranking due to a lack of accessible bathrooms in the building. </t>
  </si>
  <si>
    <t>Rooms 127 and 317</t>
  </si>
  <si>
    <t xml:space="preserve">Clear opening less than 32 inches. Interior partitions prevent do not provide clear floor space. </t>
  </si>
  <si>
    <t>Rooms 200, 201, 209, 314, and 316</t>
  </si>
  <si>
    <t xml:space="preserve">Clear opening less than 32 inches. Interior dimensions do not provide clear floor space. Room 209 is located in the nurse’s office. </t>
  </si>
  <si>
    <t xml:space="preserve">Fire alarm system has been upgraded and includes a strobe light feature. Holding rooms have been specifically designated as rooms 202 and 304. </t>
  </si>
  <si>
    <t>36-36 10 Street, Queens, NY 11106</t>
  </si>
  <si>
    <t>The nearest accessible subway station is the 21st - Queensbridge Station (F train), 0.6 miles distant. MTA bus service (Q102 and Q103) is also nearby. The main entrance of Q076 is accessible, located off of 10th Street (Exit 4). The accessible entrance includes a ramp, doorbell, reception, and security cameras. The doorbell is within reach range (height 38 inches).</t>
  </si>
  <si>
    <t>This site does not include an elevator. Preventing access to floors above the ground floor.</t>
  </si>
  <si>
    <t>Room 111 (30Q076)</t>
  </si>
  <si>
    <t>Room 224 (75Q277)</t>
  </si>
  <si>
    <t>There are accessible student bathrooms (boys and girls) available on the first floor. There are no accessible staff bathrooms (male and female) available.</t>
  </si>
  <si>
    <t>Rooms 218 and 320</t>
  </si>
  <si>
    <t>Rooms 222 and 324</t>
  </si>
  <si>
    <t>Rooms 128, 130, 214, 312 and 316</t>
  </si>
  <si>
    <t>147-27 15 Drive, Queens, NY 11357</t>
  </si>
  <si>
    <t xml:space="preserve">The nearest accessible subway station is Flushing Main Street Station (7 train), 2.2 miles distant. MTA bus service (Q76 and Q15) is also nearby. The main entrance is accessible, located on 15th Drive (Exit 1). The accessible entrance includes a ramp, doorbell, reception, and security cameras. The doorbell is within reach range (height 39 inches). </t>
  </si>
  <si>
    <t xml:space="preserve">Some water fountains and other wall-mounted objects protrude in the corridors more than 4 inches, which may present difficulties for individuals with visual disabilities. Braille signs are not included throughout the building. Interior lifts provide access over multiple changes in elevation. </t>
  </si>
  <si>
    <t xml:space="preserve">Interior lift provides access over the first-floor change in elevation (12 steps). </t>
  </si>
  <si>
    <t>Doors: 39 inches, Cab: 79 inches wide, 48 inches deep.</t>
  </si>
  <si>
    <t>Rooms 205 and 215</t>
  </si>
  <si>
    <t xml:space="preserve">The auditorium is accessible and is located on the first floor. Stage access is not provided. Accessible seating is not provided. The cafeteria is accessible and is located on the first floor. The gymnasium is accessible and is located on the second floor. Assistive listening systems have not been provided in the public assembly spaces. </t>
  </si>
  <si>
    <t>Accessible student and staff bathrooms are not provided.</t>
  </si>
  <si>
    <t>171-05 137Th Avenue, Jamaica, NY 11434</t>
  </si>
  <si>
    <t xml:space="preserve">The nearest accessible subway station is Jamaica Center Station (E and J trains), 2.9 miles distant. MTA bus service (QM21, Q111, and Q114) is also nearby. The main entrance is accessible, located on 137th Street (Exit 6). The accessible entrance includes a ramp and a doorbell. The doorbell is within reach range (height 32 inches).  </t>
  </si>
  <si>
    <t xml:space="preserve">Doors: 42 inches, Cab: 84 inches wide, 56 inches deep. </t>
  </si>
  <si>
    <t>Room 341</t>
  </si>
  <si>
    <t xml:space="preserve">The auditorium is accessible and is located on the first floor. Stage access is provided. Accessible seating is provided. The cafeteria is accessible and is located on the first floor. The gymnasium is accessible and is located on the first floor. Assistive listening systems have been provided in the auditorium. </t>
  </si>
  <si>
    <t xml:space="preserve">Stage access is provided. Accessible seating is provided. Assistive listening systems have been provided. </t>
  </si>
  <si>
    <t xml:space="preserve">There are accessible student bathrooms (girls) available on all floors. This site is prevented from attaining a higher accessibility rating due to lack of accessible bathrooms throughout the building.  </t>
  </si>
  <si>
    <t>Rooms 132, 232, and 332</t>
  </si>
  <si>
    <t>Rooms 138, 238, and 338</t>
  </si>
  <si>
    <t xml:space="preserve">Fire alarm system has been upgraded and includes a strobe light feature. Holding rooms have been specifically designated as rooms 227 and 327. </t>
  </si>
  <si>
    <t>88-02 144 Street, Queens, NY 11435</t>
  </si>
  <si>
    <t>The nearest accessible subway station is the Jamaica – Van Wyck Subway Station (E train), 0.4 miles distant. MTA bus service (Q24, Q54, Q56, and Q60) is also nearby. The accessible entrance to Q082 is not the same as the main entrance; the accessible entrance is located on 88th Road (Exit 1). The accessible entrance includes a ramp. The accessible entrance does not include a doorbell or security cameras. Visitors may need to contact site in advance to gain access to the facility through the accessible entrance.</t>
  </si>
  <si>
    <t xml:space="preserve">One elevator provides access to all floors. Elevator includes audible signals on each floor. </t>
  </si>
  <si>
    <t xml:space="preserve">Doors: 45 inches, Cab: 65 inches wide, 70 inches deep. </t>
  </si>
  <si>
    <t xml:space="preserve">The auditorium is accessible and is located on the first floor. Stage access is provided via a ramp. Accessible seating is provided. The cafeteria is accessible and is located in the basement. The gymnasium is accessible and is located on the first floor. Assistive listening systems have not been provided in the public assembly areas. </t>
  </si>
  <si>
    <t xml:space="preserve">There are accessible student bathrooms (boys) available in the basement, and on the first and second floors. There are accessible student bathrooms (girls) available in the basement, and on the first and third floors. Accessible single-user (unisex) bathrooms (available for students and staff) are available on all floors.  </t>
  </si>
  <si>
    <t>Rooms 210, 121, and B25</t>
  </si>
  <si>
    <t xml:space="preserve">Rooms 310, 118, and B25 </t>
  </si>
  <si>
    <t xml:space="preserve">Rooms B26, 123, 212, and 312 </t>
  </si>
  <si>
    <t>Fire alarm system has been upgraded and includes a strobe light feature. Holding rooms or areas of refuge have been specifically designated as rooms 311 and 211.</t>
  </si>
  <si>
    <t>67-54 80 Street, Queens, NY 11379</t>
  </si>
  <si>
    <t xml:space="preserve">The nearest accessible subway station is the Middle Village – Metropolitan Avenue Station (M train), 0.95 miles distant. MTA bus service (XQ29, Q47, and Q54) is also nearby. The main entrance of Q087 is accessible, located on 67th Drive (Exit 15). The accessible entrance includes include a ramp, a doorbell, reception, and security cameras. The doorbell is within reach range (Height 48 inches). </t>
  </si>
  <si>
    <t xml:space="preserve">Ramped access to basement playroom from Exit 4 </t>
  </si>
  <si>
    <t xml:space="preserve">Braille signs are included in the new addition but are not included throughout the original building.  </t>
  </si>
  <si>
    <t xml:space="preserve">Doors: 48 inches, Cab: 78 inches wide, 64 inches deep. </t>
  </si>
  <si>
    <t>Room B35</t>
  </si>
  <si>
    <t xml:space="preserve">The auditorium is accessible and is located on the third floor. Stage access is not provided. Accessible seating is provided. The cafeteria is accessible and is located in the basement. The gymnasium is accessible and is located in the basement. The multi-purpose rooms are accessible and are located in the basement. Assistive listening systems have been provided in the auditorium, cafeteria, and both multi-purpose rooms. </t>
  </si>
  <si>
    <t xml:space="preserve">There are accessible student bathrooms (boys and girls) available in the basement, and on the first and second floors. There is an accessible single-user (unisex) bathroom (for student and staff use) available in one classroom on the first floor. There are no accessible staff bathrooms in this building.   </t>
  </si>
  <si>
    <t>Rooms B16, B46, 135, and 232</t>
  </si>
  <si>
    <t>Rooms 107, 118, 215, 307, and 314</t>
  </si>
  <si>
    <t xml:space="preserve">Clear opening does not provide access. Interior partitions do not provide clear space. </t>
  </si>
  <si>
    <t>Rooms B05, B47, 134, and 231</t>
  </si>
  <si>
    <t>Rooms 206 and 309</t>
  </si>
  <si>
    <t>Room 120A</t>
  </si>
  <si>
    <t xml:space="preserve">Located inside a corresponding classroom. </t>
  </si>
  <si>
    <t>Rooms 106, 306, and 314, Classrooms 104 and 105</t>
  </si>
  <si>
    <t xml:space="preserve">Interior dimensions prevent access. </t>
  </si>
  <si>
    <t xml:space="preserve">Fire alarm system has been upgraded and includes a strobe light feature. Holding rooms have been specifically designated as room 138. </t>
  </si>
  <si>
    <t xml:space="preserve">This site includes central air in the new addition. Temperature control units have been provided in classrooms. This site does not include central air in the original building; Air-conditioning units have been provided in classrooms.  </t>
  </si>
  <si>
    <t>60-85 Catalpa Avenue, Queens, NY 11385</t>
  </si>
  <si>
    <t>The nearest accessible subway station is Middle Village – Metropolitan Avenue Station (M train), 1.3 miles distant. MTA bus service (B13 and B20) is also nearby. The main entrance of Q088 is accessible, located on Catalpa Avenue (Exit 1). At the accessible entrance there is a doorbell, ramp, reception, and security cameras. The doorbell is within reach range (Height 48 inches).</t>
  </si>
  <si>
    <t>Doors: 42 inches, Cabs: 64 inches wide, 79 inches deep.</t>
  </si>
  <si>
    <t>The auditorium is accessible and is located on the first floor. The auditorium provides stage access via a lift and accessible seating. The cafeteria is accessible and is located on the ground floor. The gymnasium is accessible and is located on the first floor. Assistive listening systems have been provided in the auditorium.</t>
  </si>
  <si>
    <t>There are accessible student bathrooms (girls) on the ground, and first floor, and accessible student bathrooms (boys) on the ground and third floor. There is also an accessible single-user (unisex) bathroom (available for students and staff) on the ground, and first floor.</t>
  </si>
  <si>
    <t>Ground, and Third Floor</t>
  </si>
  <si>
    <t>Ground and First Floor</t>
  </si>
  <si>
    <t>Ground, and First Floor</t>
  </si>
  <si>
    <t>85-28 Britton Avenue, Queens, NY 11373</t>
  </si>
  <si>
    <t>The nearest accessible subway station is Roosevelt Avenue Station (7, E, F, and R trains), 0.6 miles distant. MTA bus service (Q29) is also nearby. The accessible entrance to Q089 is not the same as the main entrance; the accessible entrance is located on Hampton Street (Exit 11). The accessible entrance includes a ramp, security cameras, and a doorbell. The doorbell is not within reach range (height 57 inches).</t>
  </si>
  <si>
    <t>Two passenger elevators provide access to all floors. Elevator includes audible signals on each floor.</t>
  </si>
  <si>
    <t>E1: Doors: 42 inches, Cab: 79 inches wide, 49 inches deep E2: Doors: 40 inches, Cab: 50 inches wide, 78 inches deep</t>
  </si>
  <si>
    <t>Library – Room 109A</t>
  </si>
  <si>
    <t>Nurse’s Office – Room 126</t>
  </si>
  <si>
    <t>This site does not include a gymnasium; the multi-purpose room fulfills this function. The multi-purpose room is accessible and is located in the basement. The auditorium is accessible and is located in the basement. Stage access is not provided. Accessible seating is provided. The cafeteria is accessible and is located in the cellar. Assistive listening systems have not been provided in the public assembly spaces.</t>
  </si>
  <si>
    <t>There are accessible student bathrooms (boys) available in the cellar and basement. There are accessible student bathrooms (girls) available in the cellar, basement, and on the first floor. There are accessible single-user (unisex) bathrooms (for student and staff use) available in the basement and first through fourth floors. There are accessible single-user (unisex) bathrooms (for student and staff use) available in some basement and first-floor classrooms.</t>
  </si>
  <si>
    <t>Boys Bathrooms – Cellar and Basement</t>
  </si>
  <si>
    <t>Boys Bathrooms – First through Fourth Floors</t>
  </si>
  <si>
    <t>Girls Bathroom – Cellar, Basement, 104, and 110</t>
  </si>
  <si>
    <t>Girls Bathroom – Second Through Fourth Floors</t>
  </si>
  <si>
    <t>Single-User (Unisex) Bathrooms – Classrooms B25, B26, B29, 115, 118, 119, 125, and 129</t>
  </si>
  <si>
    <t>designated; Rooms 102, 202, 302 and 402.</t>
  </si>
  <si>
    <t>86-50 109 Street, Queens, NY 11418</t>
  </si>
  <si>
    <t>The nearest accessible subway station is the Sutphin Boulevard – Archer Avenue – JFK Airport Station (E, J, and Z trains), 2.2 miles distant. MTA bus service (Q56 and Q37) is also nearby. Q090 does not contain an accessible entrance.</t>
  </si>
  <si>
    <t>Interior Ramp slope is steep.</t>
  </si>
  <si>
    <t>Exterior ramp is degrading.</t>
  </si>
  <si>
    <t>This site occupies multiple floors and does not include an elevator. Lack of elevator does prevent access.</t>
  </si>
  <si>
    <t>Ramp slope is steep.</t>
  </si>
  <si>
    <t>This site offers limited accessibility; no classrooms are accessible and are located on accessible routes.</t>
  </si>
  <si>
    <t>Room 409A</t>
  </si>
  <si>
    <t>The auditorium is not accessible and is located in the basement. Stage access is not provided. Accessible seating is not provided. This site does not include a gymnasium; the cafeteria fulfills this function. The cafeteria is not accessible and is located in the basement. Assistive listening systems have not been provided in the public assembly spaces.</t>
  </si>
  <si>
    <t>Change in elevation 4 steps. Stage access is not provided. Accessible seating is not provided. Assistive listening systems have not been provided.</t>
  </si>
  <si>
    <t>Assistive listening systems have not been provided.</t>
  </si>
  <si>
    <t>Fire alarm system has not been upgraded and does not includes a strobe light feature.</t>
  </si>
  <si>
    <t>68-10 Central Ave, Queens, NY 11385</t>
  </si>
  <si>
    <t xml:space="preserve">The nearest accessible subway station is the Middle Village – Metropolitan Avenue Station (M train), 0.67 miles distant. MTA bus service (Q55, QM24, QM25, and QM34) is also nearby. The accessible entrance to Q091 is not the same as the main entrance; the accessible entrance is located on 68th Street (Exit 5).  The accessible entrance includes a doorbell, a ramp, and security cameras. The accessible entrance does not include reception. The doorbell is not within reach range (Height 51 inches). </t>
  </si>
  <si>
    <t xml:space="preserve">E1 and E2 
Doors: 36 inches, Cabs: 68 inches wide, 51 inches deep. </t>
  </si>
  <si>
    <t>Rooms 408 and 410</t>
  </si>
  <si>
    <t>Room 409</t>
  </si>
  <si>
    <t xml:space="preserve">The auditorium is accessible and is located on the second floor. Stage access is not provided. Accessible seating is provided. The cafeteria is accessible and is located on the first floor. The gymnasiums are accessible and are located on the first floor. Assistive listening systems have been provided in the auditorium. </t>
  </si>
  <si>
    <t xml:space="preserve">There are accessible student bathrooms (boys and girls) available on the first floor. There are accessible single-user (unisex) bathrooms (for student and staff use) available on the first through fourth floors. There are accessible single-user (unisex) bathrooms (for student and staff use) available in some classrooms on the second through fourth floors.   </t>
  </si>
  <si>
    <t>Rooms 113, 353, and Fifth-Floor Boys Bathroom</t>
  </si>
  <si>
    <t xml:space="preserve">Clear opening prevents access. Interior partitions prevent access. </t>
  </si>
  <si>
    <t>Rooms 111 and 411</t>
  </si>
  <si>
    <t>Rooms 123, 223, 323, and 423 Classrooms 224, 225, 226, 227, 228, 229, 324, 325, 326, 327, 328, 329, 424, 425, 426, 427, 428, and 429</t>
  </si>
  <si>
    <t>Rooms 200A, 353A, 452A, and 559A</t>
  </si>
  <si>
    <t xml:space="preserve">Clear opening prevents access. Interior dimensions prevent access. Room 200A is located in the nurse’s office. </t>
  </si>
  <si>
    <t xml:space="preserve">Fire alarm system has been upgraded and includes a strobe light feature. Holding rooms have been specifically designated as rooms 229, 329, and 429. </t>
  </si>
  <si>
    <t>66-56 Forest Avenue, Queens, NY 11385</t>
  </si>
  <si>
    <t xml:space="preserve">The nearest accessible subway station is Myrtle – Wyckoff Avenue Station (L train), 0.7 miles distant. MTA bus service (B13 and Q39) is also nearby. The accessible entrance to building Q093 is not the same as the main entrance. The accessible entrance is located off of Woodbine Street (Exit 12). The accessible entrance does not include a doorbell or security cameras; visitors may need to contact site in advance in order to gain access to the facility through the accessible entrance. </t>
  </si>
  <si>
    <t xml:space="preserve">Changes in elevation prevent access to the gymnasium, auditorium and cafeteria. Braille signs are not provided throughout the building. </t>
  </si>
  <si>
    <t xml:space="preserve">One passenger elevator provides access to the first through third floors in the 1998 addition. The other two buildings attached to this facility do not include elevators. </t>
  </si>
  <si>
    <t xml:space="preserve">Doors: 36 inches, Cab: 68 inches deep, 68 inches wide </t>
  </si>
  <si>
    <t xml:space="preserve">This site is moderately accessible; changes of elevation between buildings make various areas of the site non‐accessible, including all public assembly spaces.  </t>
  </si>
  <si>
    <t>Room 117 (1961 Addition)</t>
  </si>
  <si>
    <t>All Floors (1998 Addition)</t>
  </si>
  <si>
    <t>Room 405 (Original Building)</t>
  </si>
  <si>
    <t>Room 209 (Original Building)</t>
  </si>
  <si>
    <t>Room 214 (Original Building)</t>
  </si>
  <si>
    <t xml:space="preserve">The auditorium is not accessible and is located on the second floor. The cafeteria is not accessible and is located on the first floor. The gymnasium is not accessible and is located on the second floor. Assistive listening systems have not been provided in the public assembly spaces. </t>
  </si>
  <si>
    <t>Second Floor (Original Building)</t>
  </si>
  <si>
    <t>First Floor (1961 Addition)</t>
  </si>
  <si>
    <t>Second Floor (1961 Addition)</t>
  </si>
  <si>
    <t xml:space="preserve">There are accessible student (boys and girls) bathrooms available on all floors of the 1998 addition. </t>
  </si>
  <si>
    <t>All Floors in the 1998 Addition</t>
  </si>
  <si>
    <t>All Floors – Original Building, 1961 Addition</t>
  </si>
  <si>
    <t xml:space="preserve">The Fire Alarm System includes a strobe light feature. Holding rooms or areas of refuge have not been specifically designated. </t>
  </si>
  <si>
    <t>41-77 Little Neck Parkway, Queens, NY 11363</t>
  </si>
  <si>
    <t>The nearest accessible subway station is Flushing-Main Street Station (7 train), 5.3 miles distant. MTA bus service (Q12 and Q36) is also nearby. The accessible entrance to Q094 is not the same as the main entrance; the accessible entrance is located on 42nd Avenue (Exit 8). The accessible entrance includes a ramp. The accessible entrance does not include a doorbell, reception, or security cameras. Visitors may need to contact the site in advance to gain access to this facility through the accessible entrance.</t>
  </si>
  <si>
    <t>Main Office – Room 160</t>
  </si>
  <si>
    <t>Nurse’s Office – Room 158</t>
  </si>
  <si>
    <t>The auditorium is not accessible and is located on the first floor. Stage access is not provided. Accessible seating is provided. The cafeteria is not accessible and is located on the ground floor. The gymnasium is accessible and is located on the ground floor. The multi-purpose room is accessible and is located on the ground floor. Assistive listening systems have not been provided in the public assembly spaces.</t>
  </si>
  <si>
    <t>Doorway does not provide clear width. Accessible seating available upon request.</t>
  </si>
  <si>
    <t>Multi-Purpose Room – Ground Floor</t>
  </si>
  <si>
    <t>This building is prevented from attaining a higher accessibility rating due to lack of accessible bathrooms throughout the building. There is an accessible student bathroom (girls) available in the basement.</t>
  </si>
  <si>
    <t>Boys Bathrooms – Rooms 1005 and 253</t>
  </si>
  <si>
    <t>There is an accessible stall located in Room 1005 but it is not on an accessible route due to narrow doorway (less than 32 inches).</t>
  </si>
  <si>
    <t>Girls Bathroom – Room 1014</t>
  </si>
  <si>
    <t>Single-User Bathroom – Room 158</t>
  </si>
  <si>
    <t>Located inside the Nurse’s Office. Not on an accessible route.</t>
  </si>
  <si>
    <t>85-52 85 Street, Queens, NY 11421</t>
  </si>
  <si>
    <t xml:space="preserve">The nearest accessible subway station is Euclid Avenue Station (A and C trains), 2.0 miles distant. MTA bus service (Q56) is also nearby. The accessible entrance to Q097 is not the same as the main entrance; the accessible entrance is located on 85th Drive (Exits 5 and 6). The accessible entrance includes security cameras and a ramp. The accessible entrance does not include a doorbell; visitors should contact the site prior to arrival.  </t>
  </si>
  <si>
    <t>Changes of elevation</t>
  </si>
  <si>
    <t>A passenger elevator provides access to first through third floors of the 1999 addition. The elevator provides access to the second floor of the original building. Elevators include audible signals on each floor. Classrooms located in the original building on the third and fourth floor are not accessible due to no elevator access to those floors.</t>
  </si>
  <si>
    <t>Doors: 36 inches, Cabs: 51 inches wide, 68 inches deep.</t>
  </si>
  <si>
    <t>This site is moderately accessible; all classrooms located in the 1999 addition are accessible and located on accessible routes. Classrooms located in the original building are also accessible because it is connected to the 1999 addition. Classrooms located in the original building on the third and fourth floor are not accessible due to no elevator access to those floors.</t>
  </si>
  <si>
    <t>Original building -First and Second Floors</t>
  </si>
  <si>
    <t>Original building -Third and Fourth Floors</t>
  </si>
  <si>
    <t>Elevator does not service the third and fourth floor of original building.</t>
  </si>
  <si>
    <t xml:space="preserve">The auditorium is accessible and is located on the second floor. The auditorium does not provide stage access or accessible seating. The cafeteria and multi-purpose room are accessible and located on the first floor. Assistive listening systems have been provided in the auditorium and cafeteria. </t>
  </si>
  <si>
    <t xml:space="preserve">Stage access is not provided via. Accessible seating is not provided is provided. Assistive listening systems have been provided. </t>
  </si>
  <si>
    <t>There are accessible student bathrooms (girls and boys) on the second and third floors of the 1999 addition in the classrooms. There are no accessible staff bathrooms in the building.</t>
  </si>
  <si>
    <t>1999 addition - Second and Third Floor</t>
  </si>
  <si>
    <t>Original Building - All Floors</t>
  </si>
  <si>
    <t>111-11 118 Street, Queens, NY 11420</t>
  </si>
  <si>
    <t>The nearest accessible subway station is Aqueduct Racetrack Station (A train), 1.1 miles distant. MTA bus service (Q10 and Q37) is also nearby. The accessible entrance to Q100 is not the same as the main entrance; the accessible entrance is located on Lefferts Boulevard (Exit 10). At the accessible entrance there is security cameras, and ramp. Currently there is no doorbell installed at the accessible entrance, visitors will need to call in advance to gain access.</t>
  </si>
  <si>
    <t>Doors: 47 inches, Cabs: 68 inches wide, 88 inches deep.</t>
  </si>
  <si>
    <t>The auditorium is accessible and is located on the first floor. Stage access is not provided. Accessible seating is not provided. The cafeteria is accessible and is located on the first floor. The gymnasium is accessible and is located on the third floor. The multi-purpose room is accessible and is located on the first floor. Assistive listening systems have been provided in the auditorium and cafeteria.</t>
  </si>
  <si>
    <t>Stage access is not provided. Accessible seating is not provided. Assistive listening systems have been provided.</t>
  </si>
  <si>
    <t>Access is provided via ramp.</t>
  </si>
  <si>
    <t>There are accessible student bathrooms (girls and boys) on the first floor and third floor. There are also accessible student bathrooms (girls and boys) in the classrooms located on the third and second floor of the addition. There is also an accessible single-user (unisex) bathroom (available for students and staff) on the second and third floors.</t>
  </si>
  <si>
    <t>Room 132 and Third Floor</t>
  </si>
  <si>
    <t>Room 134 and Third Floor</t>
  </si>
  <si>
    <t>Fire alarm system has been upgraded and includes a strobe light feature. Holding rooms have been specifically designated as rooms 231, and 331.</t>
  </si>
  <si>
    <t>55-24 Van Horn Street, Queens, NY 11373</t>
  </si>
  <si>
    <t xml:space="preserve">The nearest accessible subway station is Roosevelt Avenue – Jackson Heights station (7, E, F, M and R trains), 1.4 miles distant. MTA bus service (Q59 and Q60) is also nearby. The main entrance is accessible, located on Van Horn Street (Exit 1). The accessible entrance includes security cameras, a doorbell and reception. The doorbell is within reach range (height 47 inches). </t>
  </si>
  <si>
    <t>Doors: 48 inches, Cabs: 79 inches wide, 63 inches deep.</t>
  </si>
  <si>
    <t>Rooms 322 and 326</t>
  </si>
  <si>
    <t>Room 202, 424, and 428</t>
  </si>
  <si>
    <t xml:space="preserve">The auditorium is accessible and is located on the second floor. Stage access is provided via lift. Accessible seating is provided. The cafeteria is accessible and is located in the basement. The gymnasium is accessible and is located in the basement. The multi-purpose room is accessible and is located on the first floor. Assistive listening systems have been provided in the cafeteria and gymnasium. </t>
  </si>
  <si>
    <t xml:space="preserve">There are accessible student bathrooms (girls and boys) available on all floors. There are accessible single-user (unisex) bathrooms (for students and staff) available on the first and second floors. </t>
  </si>
  <si>
    <t>Fire alarm system has been upgraded and includes a strobe light feature. Holding rooms have been specifically designated as rooms 222, 322, and 422.</t>
  </si>
  <si>
    <t>167-02 45 Avenue, Queens, NY 11358</t>
  </si>
  <si>
    <t xml:space="preserve">The nearest accessible subway station is Main Street Station (7 train), 1.6 miles distant. The accessible entrance to building Q107 is not the same as the main entrance; the accessible entrance is located on 168th Street (Exit 2). The accessible entrance includes a ramp. The accessible entrance does not include a doorbell or security cameras. Visitors may need to contact site in advance to gain access to this facility through the accessible entrance.  </t>
  </si>
  <si>
    <t xml:space="preserve">One elevator provides access to all floors of the building. Elevator provides audible signals on each floor. </t>
  </si>
  <si>
    <t xml:space="preserve">Doors: 42 inches; Cab: 77 inches wide, 55 inches deep. </t>
  </si>
  <si>
    <t xml:space="preserve">This site is highly accessible; all classrooms and educational spaces are accessible and are located along accessible routes.  </t>
  </si>
  <si>
    <t>Rooms 211 and 355</t>
  </si>
  <si>
    <t>Rooms 101 and 503</t>
  </si>
  <si>
    <t xml:space="preserve">The auditorium is accessible and is located on the second floor. Accessible seating is provided. Stage access is provided via lift. The cafeteria is accessible and is located on the first floor. The gymnasium is accessible and is located on the first floor. The multi-purpose rooms are accessible and are located on the first floor. Assistive listening systems have been provided in the auditorium, cafeteria, gymnasium, and multi-purpose spaces. </t>
  </si>
  <si>
    <t xml:space="preserve">Accessible seating is available on request. Assistive listening systems have been provided. </t>
  </si>
  <si>
    <t xml:space="preserve">Access provided via lift. Assistive listening systems have been provided. </t>
  </si>
  <si>
    <t xml:space="preserve">There are accessible student bathrooms (boys and girls) available on the first, third, fourth, and fifth floors. There are accessible single-user (unisex) bathrooms available in eight classrooms on the second floor. There is an accessible single-user (unisex) bathroom available on the first floor. </t>
  </si>
  <si>
    <t>Change in elevation (6 steps)</t>
  </si>
  <si>
    <t xml:space="preserve">Fire alarm system includes a strobe light feature. Holding rooms have been specifically designated as rooms 207, 307, 407, and 507. </t>
  </si>
  <si>
    <t>108-10 109 Avenue, Queens, NY 11420</t>
  </si>
  <si>
    <t xml:space="preserve">The nearest accessible subway station is Aqueduct Racetrack Station (A train), 0.7 miles distant. MTA bus service (Q41 and Q7) is also nearby. The accessible entrance to Q108 is not the same as the main entrance; the accessible entrance is located on 109th Street (Exit 3), accessed from the park. The accessible entrance includes a ramp, doorbell, and security cameras. The doorbell is within reach range (height 43 inches). </t>
  </si>
  <si>
    <t xml:space="preserve">Braille signs are included throughout the addition built in 2000, however, they are not included in the original building. A change of elevation (15 steps) exists in the original building on the first floor preventing access to the gymnasium. </t>
  </si>
  <si>
    <t xml:space="preserve">Change in elevation (15 steps) preventing access to gymnasium. </t>
  </si>
  <si>
    <t>Doors: 41 inches, Cab: 78 inches wide, 51 inches deep.</t>
  </si>
  <si>
    <t>Rooms 410 and 412</t>
  </si>
  <si>
    <t>The auditorium is accessible and is located on the second floor. Stage access is not provided. Accessible seating is not provided. The cafeteria is accessible and is located on the first floor. The gymnasium is not accessible and is located in the basement. The multi-purpose room is accessible and is located on the first floor. Assistive listening systems have been provided in the cafeteria.</t>
  </si>
  <si>
    <t xml:space="preserve">Change of elevation (15 steps) prevents access. </t>
  </si>
  <si>
    <t xml:space="preserve">There are accessible student bathrooms (girls and boys) available on the first floor. There are accessible single-user (unisex) bathrooms (for students and staff) available in the classrooms of the second and fourth floors of the addition. There are accessible single-user (unisex) bathrooms available on the third and fourth floors. </t>
  </si>
  <si>
    <t xml:space="preserve">Located within in classrooms of the 2000 addition. </t>
  </si>
  <si>
    <t xml:space="preserve">This site includes exterior recreational spaces. The exterior recreational spaces are accessible. The recreational equipment is accessible.  </t>
  </si>
  <si>
    <t xml:space="preserve">Fire alarm system has been upgraded and includes a strobe light feature. Holding rooms or areas of refuge have been specifically designated as rooms 221, 321, and 421. </t>
  </si>
  <si>
    <t>25-05 37 Avenue, Queens, NY 11101</t>
  </si>
  <si>
    <t xml:space="preserve">The nearest accessible subway station is 21st Street ‐ Queensbridge (F train), 0.7 miles distant. MTA bus service (Q102) is also nearby. The main entrance to building Q112 is accessible, located on 37th Avenue. The accessible entrance includes a ramp. The accessible entrance does not include a doorbell or security cameras; visitors should contact the site prior to arrival. </t>
  </si>
  <si>
    <t xml:space="preserve">Braille signs are not provided and are needed throughout the building. </t>
  </si>
  <si>
    <t>A passenger elevator on site provides access to all floors in the building. Elevator include audible signals on each floor.</t>
  </si>
  <si>
    <t>Doors: 41 Inches, Cab: 71 Inches deep, 61 Inches wide.</t>
  </si>
  <si>
    <t>The auditorium is accessible and is located on the first floor. The auditorium provides stage access via a lift, and accessible seating. The cafeteria is accessible and is located on the first floor. The gymnasium is accessible and is located on the first floor. Assistive listening systems have not been provided in the public assembly spaces.</t>
  </si>
  <si>
    <t>Accessible seating avialable upon request.</t>
  </si>
  <si>
    <t>There are accessible student (boys and girls) bathrooms on the first and third floors. There are no accessible staff bathrooms on site.</t>
  </si>
  <si>
    <t>First, and Third Floors</t>
  </si>
  <si>
    <t>The Fire Alarm System includes a strobe light feature. No fire safety rooms have been specifically designated.</t>
  </si>
  <si>
    <t>78-23 87Th Street, Queens, NY 11385</t>
  </si>
  <si>
    <t xml:space="preserve">The nearest accessible subway station is Forest Hills – 71st Avenue Station (E and F trains), 1.7 miles distant. MTA bus service (Q55, Q21, and Q11) is also nearby. The main entrance is accessible, located on 87th Avenue (Exit 1). The accessible entrance includes a ramp, security cameras, doorbell, and reception. The doorbell is within reach range (height 48 inches). </t>
  </si>
  <si>
    <t>E1; Doors: 42 inches, Cabs: 64 inches wide, 78 inches deep.
E2; Doors: 42 inches, Cabs: 64 inches wide, 78 inches deep.</t>
  </si>
  <si>
    <t>Includes an accessible single-user restroom.</t>
  </si>
  <si>
    <t>Rooms 201 and 203</t>
  </si>
  <si>
    <t xml:space="preserve">This site does not include an auditorium; the multi-purpose room fulfills this function. The multi-purpose room is accessible and is located on the second floor. Stage access is provided via a lift. Accessible seating is provided. The cafeteria is accessible and is located on the ground floor. The gymnasium is accessible and is located on the ground floor. Assistive listening systems have been provided in the cafeteria and gymnasium. </t>
  </si>
  <si>
    <t xml:space="preserve">Stage access is provided via a lift. Accessible seating is provided. </t>
  </si>
  <si>
    <t xml:space="preserve">There are accessible student bathrooms (girls and boys) available on the ground through second floors. There are accessible single-user (unisex) bathrooms (for students and staff) available on all floors. </t>
  </si>
  <si>
    <t>Ground, First, and Second Floor</t>
  </si>
  <si>
    <t xml:space="preserve">Fire alarm system has been upgraded and includes a strobe light feature. Holding rooms have been specifically designated as rooms C15, 205, and 305. </t>
  </si>
  <si>
    <t>134-01 Cronston Avenue, Queens, NY 11694</t>
  </si>
  <si>
    <t xml:space="preserve">The nearest accessible subway station is Rockaway Park Beach 116 Street Station (A trains), 1.0 miles distant. MTA bus service (Q35 and Q22) is also nearby. The accessible entrance to Q114 is not the same as the main entrance; the accessible entrance is located on Cronston Avenue (Exit 4). The accessible entrance includes a ramp, security cameras, and a doorbell. The doorbell has been installed (Height 43 Inches) within reach range. </t>
  </si>
  <si>
    <t xml:space="preserve">Room labels with braille signs are not included throughout the building. Multiple changes of elevation throughout the building are accessible with accessible lifts. </t>
  </si>
  <si>
    <t>Doors: 48 inches, Cabs: 87 inches wide, 92 inches deep.</t>
  </si>
  <si>
    <t xml:space="preserve">This site has limited accessibility; all classrooms are accessible and located on accessible routes. </t>
  </si>
  <si>
    <t xml:space="preserve">The auditorium is accessible and is located on the first floor. Accessible seating is provided. Stage access is provided via a lift. The cafeteria is accessible and is located on the first floor. The gymnasium is accessible and is located on the first floor. Assistive listening systems have been provided in the auditorium. </t>
  </si>
  <si>
    <t xml:space="preserve">This site is prevented from attaining a higher accessibility rating due to lack of accessible bathrooms throughout the building. There is an accessible single-user (unisex) bathroom (available for students and staff) available on the third floor. </t>
  </si>
  <si>
    <t>Clear path is not provided (Width 31 Inches)</t>
  </si>
  <si>
    <t xml:space="preserve">Fire alarm system has been upgraded and includes a strobe light feature. Holsing rooms or areas of refuge have not been specifically designated.  </t>
  </si>
  <si>
    <t>80-51 261 Street, Queens, NY 11004</t>
  </si>
  <si>
    <t>The nearest accessible subway station is Jamaica Center Station (J, M, and Z trains), 7.0 miles distant. MTA bus service (Q46, Q43, and Q36) is also nearby. The accessible entrance to Q115 is not the same as the main entrance; the accessible entrance is located on 262nd Street (Exit 8F). The accessible entrance includes a ramp, doorbell, and security cameras. The doorbell is not within reach range (height 60 inches).</t>
  </si>
  <si>
    <t>Accessible inches)</t>
  </si>
  <si>
    <t>Does not provide clear path throughout (width 31</t>
  </si>
  <si>
    <t>This site is moderately accessible; all classrooms located on the first floor are accessible and located on accessible routes.</t>
  </si>
  <si>
    <t>Art Rooms – Room 140</t>
  </si>
  <si>
    <t>Library – Room 124</t>
  </si>
  <si>
    <t>Nurse’s Office – Room 132</t>
  </si>
  <si>
    <t>There are accessible student bathrooms (girls and boys) available on the ground floor.</t>
  </si>
  <si>
    <t>Boys Bathrooms – Room 127</t>
  </si>
  <si>
    <t>Girls Bathrooms – Room 128</t>
  </si>
  <si>
    <t>Fire alarm system has been upgraded and includes a strobe light feature. Holding rooms or areas of refuge have not been specifically designated at this site.</t>
  </si>
  <si>
    <t>85-15 143 Street, Queens, NY 11435</t>
  </si>
  <si>
    <t>The nearest accessible subway station is Sutphin Blvd – Archer Avenue Station (E and J trains), 0.9 miles distant. MTA bus service (Q20A, Q20B, and Q44-SBS) is also nearby. The accessible entrance to Q117 is not the same as the main entrance; the accessible entrance is located on 144th Street (Exit 8). The accessible entrance includes a ramp. The accessible entrance does not include a doorbell or security cameras; visitors should contact the site prior to arrival.</t>
  </si>
  <si>
    <t>Some water fountains and other wall-mounted objects protrude in the corridors more than 4 inches, which may present difficulties for individuals with visual disabilities. Braille signs are included throughout the 1990 addition.</t>
  </si>
  <si>
    <t>Provides access to gymnasium.</t>
  </si>
  <si>
    <t>Doors: 35 inches, Cab: 58 inches wide, 74 inches deep.</t>
  </si>
  <si>
    <t>Art Rooms – Room 313</t>
  </si>
  <si>
    <t>Main Office – Room 253</t>
  </si>
  <si>
    <t>Nurse’s Office- Room 128</t>
  </si>
  <si>
    <t>The auditorium is accessible and is located on the first floor. Stage access is not provided. Accessible seating is provided. The cafeteria is accessible and is located on the first floor. The gymnasium is accessible and is located on the third floor. Assistive listening systems have not been provided in the public assembly spaces.</t>
  </si>
  <si>
    <t>Lift remediates a change in elevation (12 steps).</t>
  </si>
  <si>
    <t>There are accessible student bathrooms (girls and boys) available on the first and third floors. There are accessible staff bathrooms (male and female) available on the first and third floors. There are accessible single-user (unisex) bathrooms (for student and staff use) available on the first and third floors. There are accessible single-user (unisex) bathrooms (for student and staff use) available in some classrooms on all floors.</t>
  </si>
  <si>
    <t>Boys Bathroom – Rooms 112 and 302</t>
  </si>
  <si>
    <t>Girls Bathroom – Rooms 154 and 355</t>
  </si>
  <si>
    <t>Staff Bathrooms – Rooms 121 and 356</t>
  </si>
  <si>
    <t>Single-User (Unisex) Bathroom – 121, 153, and 321</t>
  </si>
  <si>
    <t>Single-User (Unisex) Bathroom – 128, 129, 131, 132, 133, 134, 229, 230, 231, 232, 329, 330, 331, 332, 333, and 334</t>
  </si>
  <si>
    <t>This site includes exterior recreational spaces. The exterior recreational spaces are accessible. The</t>
  </si>
  <si>
    <t>190-20 109 Road, Queens, NY 11412</t>
  </si>
  <si>
    <t>The nearest accessible subway station is Sutphin Boulevard – Archer Avenue – JFK Airport Station (E, J, and Z trains), 2.24 miles distant. MTA bus service (Q3 and Q83) is also nearby. The accessible entrance to Q118 is not the same as the main entrance; the accessible entrance is located on 109 Road (Exit 4). The accessible entrance includes a doorbell and security cameras. The doorbell is within reach range (height 48 inches).</t>
  </si>
  <si>
    <t>Non-compliant door hardware present throughout the building.</t>
  </si>
  <si>
    <t>Computer Rooms – Room 303A</t>
  </si>
  <si>
    <t>Library – Room 305</t>
  </si>
  <si>
    <t>Main Office – Room 262</t>
  </si>
  <si>
    <t>Nurse’s Office – Room 253</t>
  </si>
  <si>
    <t>The auditorium is accessible and is located on the first floor. Stage access has not been provided. Accessible seating is provided. The cafeteria is accessible and is located on the first floor. The gymnasium is not accessible and is located on the third floor. Assistive listening systems have been provided in the cafeteria.</t>
  </si>
  <si>
    <t>Boys Bathroom – Room 160</t>
  </si>
  <si>
    <t>Boys Bathrooms – Rooms 256, and 356</t>
  </si>
  <si>
    <t>Girls Bathroom – Room 150</t>
  </si>
  <si>
    <t>Girls Bathrooms – Rooms 254, and 354</t>
  </si>
  <si>
    <t>Staff Bathrooms – Rooms 156, and 161</t>
  </si>
  <si>
    <t>Single-User (Unisex) Bathroom – Room 151</t>
  </si>
  <si>
    <t>Single-User (Unisex) Bathrooms – Classrooms 104, 106, 202, and 204</t>
  </si>
  <si>
    <t>This site includes recreational spaces. The exterior recreational spaces are not accessible. The recreational equipment is not accessible.</t>
  </si>
  <si>
    <t>74-01 78 Avenue, Queens, NY 11385</t>
  </si>
  <si>
    <t xml:space="preserve">The nearest accessible subway station is Middle Village - Metropolitan Avenue station (M train), 1.1 miles distant. MTA bus service (Q55 and Q29) is also nearby. The main entrance is accessible, located on 78th Avenue (Exits 3 and 4). The accessible entrance includes a ramp, security cameras, and reception.  </t>
  </si>
  <si>
    <t>E1; Doors: 47 inches, Cab: 67 inches wide, 94 inches deep.
E2; Doors: 36 inches, Cab: 67 inches wide, 51 inches deep.</t>
  </si>
  <si>
    <t>Rooms 207 and 309</t>
  </si>
  <si>
    <t>Room M301</t>
  </si>
  <si>
    <t xml:space="preserve">The auditorium is accessible and is located on the first floor. Stage access is provided via lift. Accessible seating is provided. The cafeteria is accessible and is located on the first floor. The gymnasiums are accessible and are located on the third and fourth floors. Assistive listening systems have not been provided in the public assembly spaces. </t>
  </si>
  <si>
    <t xml:space="preserve">Access provided via lift. </t>
  </si>
  <si>
    <t xml:space="preserve">There are accessible student bathrooms (girls) available on the first, third, and fourth floors of the original building and on all floors of the 1997 addition. There are accessible student bathrooms (boys) available on the first and fourth floors of the original building and on all floors of the 1997 addition. There are accessible single-user (unisex) bathrooms (for students and staff) available on all floors of the original building and on all floors of the 1997 addition.  </t>
  </si>
  <si>
    <t xml:space="preserve">Located only in the original building. </t>
  </si>
  <si>
    <t xml:space="preserve">Located only in the 1997 addition. </t>
  </si>
  <si>
    <t>58-01 136 Street, Queens, NY 11355</t>
  </si>
  <si>
    <t xml:space="preserve">The nearest accessible subway station is Flushing Main Street station (7 train), 1.2 miles distant. MTA bus service (Q20A and Q20B) is also nearby. The accessible entrance to Q120 is not the same as the main entrance; the accessible entrance is located on 58th Avenue (Exit 7). The accessible entrance includes ramps and security cameras. The accessible entrance does not include doorbells. Visitors may need to contact site in advance to gain access to the facility through the accessible entrance. </t>
  </si>
  <si>
    <t xml:space="preserve">Some water fountains and other wall-mounted objects protrude in the corridors more than 4 inches, which may present difficulties for individuals with visual disabilities. Braille signs are not included throughout the building. Changes in elevation on all floors prevent access to some program areas.  </t>
  </si>
  <si>
    <t xml:space="preserve">Changes in elevation on all floors prevent access to some program areas. </t>
  </si>
  <si>
    <t>Doors: 42 inches, Cab: 80 inches wide, 52 inches deep.</t>
  </si>
  <si>
    <t xml:space="preserve">The auditorium is not accessible and is located on the first floor. Accessible seating is not provided. Stage access is not provided. The cafeteria is accessible and is located on the first floor. The gymnasium is not accessible and is located on the third floor. Assistive listening systems have not been provided in the public assembly areas. </t>
  </si>
  <si>
    <t xml:space="preserve">Change in elevation (4 steps) prevents access. </t>
  </si>
  <si>
    <t>Third floor</t>
  </si>
  <si>
    <t xml:space="preserve">Change in elevation (10 steps) prevents access. </t>
  </si>
  <si>
    <t xml:space="preserve">There are accessible student bathrooms (girls and boys) available on all floors. There is also an accessible single-user (unisex) bathroom (for student and staff use) available on all floors. </t>
  </si>
  <si>
    <t>145-01 119 Avenue, Queens, NY 11436</t>
  </si>
  <si>
    <t>The nearest accessible subway station is 179th Street Station (F train), 3.2 miles distant. MTA bus service (Q6 and Q40) is also nearby. This building does not include an accessible entrance.</t>
  </si>
  <si>
    <t>Art Rooms – Rooms 319</t>
  </si>
  <si>
    <t>Nurse’s Office – Room 263</t>
  </si>
  <si>
    <t>The auditorium is not accessible and is located on the first floor. Stage access is not provided. Accessible seating is provided. The cafeteria is not accessible and is located on the first floor. The gymnasium is not accessible and is located on the third floor. Assistive listening systems have not been provided in the public assembly spaces.</t>
  </si>
  <si>
    <t>There are accessible student bathrooms (boys and girls) available on the first floor but these located are not on an accessible route. There are accessible single-user (unisex) bathrooms (for student and staff use) available on the first floor but these are not located on an accessible route.</t>
  </si>
  <si>
    <t>Boys Bathrooms – Room 159</t>
  </si>
  <si>
    <t>Boys Bathrooms – Rooms 260 and 358</t>
  </si>
  <si>
    <t>Girls Bathrooms – Rooms 153</t>
  </si>
  <si>
    <t>Staff Bathrooms – Rooms 256 and 357</t>
  </si>
  <si>
    <t>Single-User (Unisex) Bathroom – Room 160</t>
  </si>
  <si>
    <t>Fire alarm system has been upgraded and includes a strobe light feature. Holding rooms or areas of rescue assistance have not been specifically designated.</t>
  </si>
  <si>
    <t>129-15 150 Avenue, Queens, NY 11420</t>
  </si>
  <si>
    <t xml:space="preserve">The nearest accessible subway station is Aqueduct Racetrack station (A train), 2.3 miles distant. MTA bus service (Q10) is also nearby. The accessible entrance to Q124 is not the same as the main entrance; the accessible entrance is located on 129th Street. The accessible entrance includes a doorbell and security cameras. The doorbell is not within reach range (height 54 inches). </t>
  </si>
  <si>
    <t>Doors: 36 inches, Cab: 67 inches wide, 51 inches deep.</t>
  </si>
  <si>
    <t xml:space="preserve">This site is moderately accessible; most classrooms are accessible and are located along accessible routes. </t>
  </si>
  <si>
    <t>Rooms 319 through 324</t>
  </si>
  <si>
    <t xml:space="preserve">Change of elevation (16 steps) prevents access. </t>
  </si>
  <si>
    <t>Room 262R</t>
  </si>
  <si>
    <t xml:space="preserve">The auditorium is accessible and is located on the first floor. Stage access is not provided. Accessible seating is not provided. The cafeteria is accessible and is located on the first floor. The gymnasium is accessible and is located on the fourth floor. Assistive listening systems have been provided in the cafeteria and auditorium. </t>
  </si>
  <si>
    <t xml:space="preserve">There are accessible student bathrooms (girls and boys) available on the first and second floors. There are accessible single-user (unisex) bathrooms (for student and staff use) available on the first and second floors. </t>
  </si>
  <si>
    <t xml:space="preserve">Fire alarm system has been upgraded and includes a strobe light feature. A holding room has been specifically designated as room 202. </t>
  </si>
  <si>
    <t>46-02 47 Avenue, Queens, NY 11377</t>
  </si>
  <si>
    <t xml:space="preserve">The nearest accessible subway station is 61 Street – Woodside Station (7 train), 0.9 miles distant. MTA bus service (B24 and Q39) is also nearby. The main entrance located on 47th Avenue is accessible (Exit 1). The accessible entrance includes a ramp, security cameras, doorbell, and reception. The doorbell is installed within reach range (Height 42 inches). </t>
  </si>
  <si>
    <t>Doors: 47 inches, Cabs: 91 inches wide, 62 inches deep.</t>
  </si>
  <si>
    <t>Rooms 307, and 313</t>
  </si>
  <si>
    <t>Room 308A</t>
  </si>
  <si>
    <t>Room 401, 402, 404, and 407</t>
  </si>
  <si>
    <t xml:space="preserve">The auditorium is accessible and is located on the first floor. The auditorium provides an accessible stage, and accessible seating. The cafeteria is accessible and is located on the first floor. The gymnasium on the third and fifth floor is accessible. Assistive listening systems have been provided in the auditorium, cafeteria, and multi-purpose dance room. </t>
  </si>
  <si>
    <t>Dance Room – Room 134</t>
  </si>
  <si>
    <t xml:space="preserve">There are accessible student bathrooms (girls and boys) on all floors. There is also an accessible single-user (unisex) bathroom (available for students and staff) on all floors. </t>
  </si>
  <si>
    <t xml:space="preserve">Fire alarm system has been upgraded and includes a strobe light feature. Areas of refuge have been specifically designated; Rooms 510, 410, 310, 210, and 229. </t>
  </si>
  <si>
    <t>128-02 7 Avenue, Queens, NY 11356</t>
  </si>
  <si>
    <t>The nearest accessible subway station is Flushing Main Street Station (7 train), 2.5 miles distant. MTA bus service (Q25) is also nearby. The main entrance is accessible, located on 128th Street (Exit 8). The accessible entrance includes a ramp, reception, doorbell, and security cameras. The doorbell is not within reach range (height 61 inches).</t>
  </si>
  <si>
    <t>Braille signs are included throughout the building. A change in elevation on the third floor prevents access to some program areas.</t>
  </si>
  <si>
    <t xml:space="preserve">A change in elevation on the third floor (4 steps) prevents access to some program areas. </t>
  </si>
  <si>
    <t>Three passenger elevators provide access to all floors. Elevators include audible signals on each floor. Elevators A and B provide access from the first to fourth floors. Elevator C provides access from the basement to the third floor.</t>
  </si>
  <si>
    <t xml:space="preserve">E1; A: Doors: 35 inches, Cab: 51 inches wide, 68 inches deep. 
E2; B: Doors: 42 inches, Cab: 78 inches wide, 51 inches deep. 
E3; C: Doors: 42 inches, Cab: 62 inches wide, 79 inches deep. </t>
  </si>
  <si>
    <t>Room 355</t>
  </si>
  <si>
    <t>The auditorium is accessible and is located on the first floor. Stage access is not provided. Accessible seating is not provided. The cafeteria is accessible and is located on the first floor. The gymnasium is not accessible and is located on the third floor. The multi-purpose room is accessible and is located on the first floor. Assistive listening systems have been provided in the auditorium.</t>
  </si>
  <si>
    <t>There are accessible student bathrooms (girls and boys) available on all floors. There are accessible single-user (unisex) bathrooms (for student and staff use) available on the second through fourth floors. There are accessible single-user (unisex) bathrooms (for student and staff use) available in the kindergarten classrooms.</t>
  </si>
  <si>
    <t>Rooms 170, 270, and 370</t>
  </si>
  <si>
    <t>Rooms 159, 174, 269, 274, and 369</t>
  </si>
  <si>
    <t>B86, 182, 265, 282, 365, and 382</t>
  </si>
  <si>
    <t>B83A, B94A, B92A, B90A, B81A, and B75A</t>
  </si>
  <si>
    <t>200-01 42 Avenue, Queens, NY 11361</t>
  </si>
  <si>
    <t xml:space="preserve">The nearest accessible subway station is Flushing Main Street Station (7 train), 2.7 miles distant. MTA bus service (Q76, Q12, and Q13) is also nearby. The accessible entrance to Q130 is not the same as the main entrance; the accessible entrance is located on 201st Street (Exit 7). At the accessible entrance there is a doorbell, and security cameras. At the accessible entrance there is no level landing area before the door and may present difficulty for some. The doorbell is within wheelchair reach range (Height 45 Inches). </t>
  </si>
  <si>
    <t xml:space="preserve">Braille signs are not included throughout the building. Some water fountains and other wall-mounted objects may protrude into the corridors more than 4 inches, which may present difficulty to individuals with visual disabilities.  </t>
  </si>
  <si>
    <t xml:space="preserve">This site does not include an elevator, which prohibits access to floors other than the first. </t>
  </si>
  <si>
    <t xml:space="preserve">This site is moderately accessible; all classrooms located on the first floor are accessible and located on accessible routes.  </t>
  </si>
  <si>
    <t>Second Through Third Floors</t>
  </si>
  <si>
    <t>No elevator in building preventing access to other floors.</t>
  </si>
  <si>
    <t>Room 106 (71Q993)</t>
  </si>
  <si>
    <t>Room 213 (25Q130)</t>
  </si>
  <si>
    <t xml:space="preserve">The basement cafeteria is not accessible. The first-floor cafeteria is accessible. The first-floor gymnasium is accessible.  The third-floor gymnasium is not accessible. The multi-purpose room is accessible and is located on the first floor. Assistive listening systems have not been provided in the public assembly areas. </t>
  </si>
  <si>
    <t>There are no accessible student bathrooms in the building. There are accessible single-user (unisex) bathrooms (for student and staff use) available on the first floor.</t>
  </si>
  <si>
    <t>Rooms 116D and 116E</t>
  </si>
  <si>
    <t>170-21 84 Avenue, Queens, NY 11432</t>
  </si>
  <si>
    <t>The nearest accessible subway station is 179th Street Station (E, J, and Z trains), 1.4 miles distant. MTA bus service (Q30 and Q31) is also nearby. The main entrance is accessible, located on 84 Avenue (Exit 0). The accessible entrance includes a doorbell, reception, and security cameras. The doorbell is within reach range (height 48 inches).</t>
  </si>
  <si>
    <t>Braille signs are provided included throughout the 2022 addition.</t>
  </si>
  <si>
    <t>E1 and E2 Doors: 42 inches, Cabs: 79 inches wide, 67 inches deep.</t>
  </si>
  <si>
    <t>Classrooms – First through Third Floors</t>
  </si>
  <si>
    <t>Computer Rooms – Room 229</t>
  </si>
  <si>
    <t>Main Office – Room 115</t>
  </si>
  <si>
    <t>Nurse’s Office- Room 241</t>
  </si>
  <si>
    <t>Science Lab – Room 231</t>
  </si>
  <si>
    <t>The auditorium is accessible and is located on the ground floor. Stage access is not provided. Accessible seating is provided. The cafeteria is accessible and is located on the ground floor. The gymnasium is accessible and is located on the ground floor. Assistive listening systems have been provided in the gymnasium and cafeteria.</t>
  </si>
  <si>
    <t>Cafeteria - Ground Floor</t>
  </si>
  <si>
    <t>Boys Bathroom – Room G44, 124, 245, and 344</t>
  </si>
  <si>
    <t>Girls Bathroom – Room G42, 126, 137, 243, and 348</t>
  </si>
  <si>
    <t>Single-User (Unisex) Bathrooms – Rooms G38,144, 241, 246, and 340</t>
  </si>
  <si>
    <t>Room 241 is located in the nurse’s office.</t>
  </si>
  <si>
    <t>Single-User (Unisex) Bathrooms – Classrooms 138, 140, 141, 143, 145, 240, 242, 251, 253, and 255</t>
  </si>
  <si>
    <t>Fire alarm system has been upgraded and includes a strobe light feature. Holding rooms have been specifically designated as rooms G33, G36, 147, 255, and 347.</t>
  </si>
  <si>
    <t>The 2022 addition includes central air. The original building does not include central air; Air-conditioning units have been provided in classrooms.</t>
  </si>
  <si>
    <t>203-02 109 Avenue, Queens, NY 11412</t>
  </si>
  <si>
    <t>The nearest accessible subway station is 179 Street Station (E and F trains), 1.80 miles distant. MTA bus service (Q77 and Q2) is also nearby. Building Q134 is a primary building and includes an adjacent secondary mini-building, Q835. The secondary building, Q835, is accessed through primary building Q134. The accessible entrance to Q134 is the same as the main entrance, located on 109 Avenue (Exit 1). The accessible entrance includes a ramp, doorbell, and reception. The doorbell is out of reach range (height 50 inches).</t>
  </si>
  <si>
    <t>Narrow maneuvering clearance.</t>
  </si>
  <si>
    <t>Changes of elevation on the third floor prevent access to the gymnasium. Braille signs are not included throughout the building.</t>
  </si>
  <si>
    <t>Changes in elevation on the third floor (11 steps) prevent access to the gymnasium.</t>
  </si>
  <si>
    <t>This site offers limited accessibility; some classrooms located on the first level are accessible and are located along accessible routes.</t>
  </si>
  <si>
    <t>Room 255</t>
  </si>
  <si>
    <t>The auditorium is accessible and is located on the first floor. Stage access is not provided. Accessible seating is provided. The cafeteria is accessible and is located on the first floor. The gymnasium is located on the third floor and is not accessible due to changes in elevation. Assistive listening systems have not been provided in the public assembly spaces.</t>
  </si>
  <si>
    <t>DOes Not Exist</t>
  </si>
  <si>
    <t>Room 360</t>
  </si>
  <si>
    <t>Rooms 258 and 357</t>
  </si>
  <si>
    <t>207-11 89 Avenue, Queens, NY 11427</t>
  </si>
  <si>
    <t>The nearest accessible subway station is Jamaica Center station (E, J, and Z trains), 1.5 miles distant. MTA bus service (Q1, Q2, Q3, Q17, and Q36) is also nearby. The accessible entrance to Q135 is not the same as the main entrance; the accessible entrance is located on 207th Street (Exit 5). The accessible entrance includes security cameras and a doorbell. The doorbell is within reach range (height 43 inches).</t>
  </si>
  <si>
    <t>Two passenger elevators provide access to all floors. Elevators include audible signals on each floor. An interior ramp connects the 1955 addition to the third floor of the original building.</t>
  </si>
  <si>
    <t>E1: Doors: 41 inches, Cab: 85 inches wide, 55 inches deep E2: Doors: 36 inches, Cab: 68 inches wide, 52 inches deep.</t>
  </si>
  <si>
    <t>Computer Rooms – Room 222</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</si>
  <si>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areas.</t>
  </si>
  <si>
    <t>There are accessible student bathrooms (girls and boys) available on the first and second floors.</t>
  </si>
  <si>
    <t>Boys Bathroom – First and Second Floors</t>
  </si>
  <si>
    <t>Girls Bathroom – First and Second Floors</t>
  </si>
  <si>
    <t>109-15 98 Street, Queens, NY 11417</t>
  </si>
  <si>
    <t xml:space="preserve">The nearest accessible subway station is the Euclid Avenue Station (A and C trains), 1.8 miles distant. MTA bus service (Q7 and Q41) is also nearby. The main entrance of Q137 is accessible, located on 98 Street (Exit 1). The main entrance includes security cameras, reception, and a doorbell. The doorbell is not within reach range (Height 56 inches). </t>
  </si>
  <si>
    <t xml:space="preserve">E1: Doors: 42 Inches, Cab: 74 Inches wide, 78 Inches deep. 
E2: Doors: 42 Inches, Cab: 70 Inches wide, 70 Inches deep. </t>
  </si>
  <si>
    <t>Rooms 219 and 332</t>
  </si>
  <si>
    <t>Rooms 229, 318, and 433</t>
  </si>
  <si>
    <t>Rooms 207, 209, 309, 311, 313, 409, 411, and 413</t>
  </si>
  <si>
    <t xml:space="preserve">The auditorium is accessible and is located on the first floor. Stage access is provided at grade. Accessible seating is provided. The cafeteria is accessible and is located on the first floor. The gymnasium is accessible and is located on the second floor. Assistive listening systems have been provided in the gymnasium.  </t>
  </si>
  <si>
    <t xml:space="preserve">Stage access at grade. Accessible seating is provided. </t>
  </si>
  <si>
    <t xml:space="preserve">Food service area not accessible. Accessible seating available upon request. </t>
  </si>
  <si>
    <t xml:space="preserve">Assistive listening systems have been provided </t>
  </si>
  <si>
    <t xml:space="preserve">There are accessible student bathrooms (boys and girls) available on all floors. There are accessible staff bathrooms (male and female) available on all floors.  </t>
  </si>
  <si>
    <t>Rooms 121, 128A, 218, 317, and 416</t>
  </si>
  <si>
    <t>Rooms 119, 128B, 226, 334, and 426</t>
  </si>
  <si>
    <t>Rooms 105, 130, 305, 337, 237, 405, and 439</t>
  </si>
  <si>
    <t xml:space="preserve">Fire alarm system has been upgraded and includes a strobe light feature. Holding rooms have been specifically designated as rooms 336 and 444. </t>
  </si>
  <si>
    <t>251-11 Weller Avenue, Queens, NY 11422</t>
  </si>
  <si>
    <t xml:space="preserve">The nearest accessible subway station is Jamaica Center station (E, J, and Z trains), 5.2 miles distant. MTA bus service (X63 and Q111) is also nearby. The main entrance is accessible, located on Caney Lane. The accessible entrance includes security cameras and reception. The accessible entrance does not include a doorbell. </t>
  </si>
  <si>
    <t>Doors: 36 inches, Cab: 67 inches wide, 70 inches deep.</t>
  </si>
  <si>
    <t>Rooms 210 and 312N</t>
  </si>
  <si>
    <t>Room 217 and 322</t>
  </si>
  <si>
    <t>Includes single-user restroom.</t>
  </si>
  <si>
    <t xml:space="preserve">The auditorium is accessible and is located on the first floor. Accessible seating is provided. Stage access is not provided. The gymnasium is not accessible and is located on the third floor. The cafeteria is accessible and is located on the first floor. The multi-purpose room is accessible and is located on the first floor. Assistive listening systems have not been provided in the public assembly areas. </t>
  </si>
  <si>
    <t xml:space="preserve">There are accessible student bathrooms (boys and girls) available on the first through third floors. There are accessible single-user bathrooms (for student and staff use) available on the second and third floors. </t>
  </si>
  <si>
    <t xml:space="preserve">The site includes central air in the addition. Temperature control units have been provided in the addition classrooms. This site does not include central air in the original building. Air-conditioning units have been provided in the classrooms of the original building. </t>
  </si>
  <si>
    <t>93-06 63 Drive, Queens, NY 11374</t>
  </si>
  <si>
    <t xml:space="preserve">The nearest accessible subway station is Forest Hills – 71 Avenue station (E, F, M, and R trains), 1.2 miles distant. MTA bus service (Q38) is also nearby. The accessible entrance to Q139 is not the same as the main entrance; the accessible entrance is located on Wetherole Street (Exit 8). The accessible entrance includes a doorbell. The accessible entrance does not include security cameras. The doorbell is not within reach range (height 54 inches). </t>
  </si>
  <si>
    <t xml:space="preserve">One passenger elevator provides access to the first and second floors of the building. The elevator does not provide access to the third floor. Elevator includes audible signals on each floor.  </t>
  </si>
  <si>
    <t xml:space="preserve">Doors: 41 inches, Cab: 79 inches wide, 51 inches deep. </t>
  </si>
  <si>
    <t xml:space="preserve">This site is moderately accessible; all classrooms located on the first and second floors are accessible and located on an accessible route. Classrooms located on the third floor are not located on an accessible route. </t>
  </si>
  <si>
    <t>Rooms 205/207</t>
  </si>
  <si>
    <t xml:space="preserve">The auditorium is accessible and is located on the first floor. Stage access is not provided. Accessible seating is not provided. The cafeteria is accessible and is located on the first floor. The gymnasium is accessible and is located on the second floor. Assistive listening systems have not been provided in the public assembly areas. </t>
  </si>
  <si>
    <t xml:space="preserve">There are accessible student bathrooms (girls and boys) available on the second floor. There are accessible single-user (unisex) bathrooms (for student and staff use) available in some first-and second-floor classrooms. </t>
  </si>
  <si>
    <t xml:space="preserve">Located in the kindergarten classrooms. </t>
  </si>
  <si>
    <t xml:space="preserve">The site does not include central air. Air-conditioning units provided in some classrooms. </t>
  </si>
  <si>
    <t>37-11 21 Avenue, Queens, NY 11105</t>
  </si>
  <si>
    <t>The nearest accessible subway station is the Astoria Blvd Station (N trains), 0.9 miles distant. MTA bus service (Q101) is also nearby. Q141 does not have an accessible entrance and is not accessible.`</t>
  </si>
  <si>
    <t>Non-compliant hardware.</t>
  </si>
  <si>
    <t>Rooms 220 and 302</t>
  </si>
  <si>
    <t xml:space="preserve">not on an accessible route. </t>
  </si>
  <si>
    <t xml:space="preserve">The auditorium is not accessible and is located on the first floor. Stage access is provided via lift. Accessible seating is provided. The cafeteria is not accessible and is located on the first floor. The gymnasium is not accessible and is located on the third and fourth floors. Assistive listening systems have not been provided in the public assembly spaces. </t>
  </si>
  <si>
    <t xml:space="preserve">Not on Accessible Route. Stage access via lift. Accessible seating is provided. </t>
  </si>
  <si>
    <t xml:space="preserve">Not on Accessible Route. Change of elevation (7 steps). Accessible seating available upon request.  </t>
  </si>
  <si>
    <t xml:space="preserve">Not on Accessible Route. Change of elevation (12 steps). </t>
  </si>
  <si>
    <t xml:space="preserve">This building is prevented from attaining a higher accessibility rating due to lack of accessible bathrooms throughout the building. There are no accessible student bathrooms (boys and girls) available on all floors. There is a single-user (unisex) bathroom (for student and staff use) available on the first floor that is not accessible due to being on a non-accessible route.   </t>
  </si>
  <si>
    <t>Rooms 108</t>
  </si>
  <si>
    <t>Not on an accessible route. Accessible configuration.</t>
  </si>
  <si>
    <t xml:space="preserve">This site includes an exterior recreational space. The exterior recreational space is not accessible.  </t>
  </si>
  <si>
    <t xml:space="preserve">Fire alarm system has not been upgraded and does not include a strobe light feature.  </t>
  </si>
  <si>
    <t>142-10 Linden Boulevard, Queens, NY 11436</t>
  </si>
  <si>
    <t>The nearest accessible subway station is at Ozone Park – Lefferts Blvd. (A train), 1.6 miles distant; MTA bus service (Q40, QM21) is also nearby. The accessible entrance to Q142 is not the same as the main entrance. The accessible entrance (Exit 7) is located of 142nd St. and is reached via a large ramp. Although there is a security camera installed, there is no doorbell. Visitors should call in advance to gain access to the facility.</t>
  </si>
  <si>
    <t>A passenger elevator provides service to all floors in the building. Elevator include audible signals on each floor. An interior ramp in the auditorium provides stage access.</t>
  </si>
  <si>
    <t xml:space="preserve">Doors: 48 Inches wide; Cab: 106 Inches deep, 63 Inches wide. </t>
  </si>
  <si>
    <t>Rooms 217, and 427</t>
  </si>
  <si>
    <t xml:space="preserve">Rooms 317, and 411 </t>
  </si>
  <si>
    <t>Rooms 203, and 425</t>
  </si>
  <si>
    <t>Rooms 401, and 405</t>
  </si>
  <si>
    <t>The auditorium is accessible and is located on the first floor. Stage access is provided via ramp. Accessible seating is not provided. The cafeteria is accessible and is located in the basement. The third-floor gymnasium is not accessible. The fourth-floor gymnasium is accessible. Assistive listening systems have been provided in the cafeteria.</t>
  </si>
  <si>
    <t>Accessible seating is not provided provided. Ramped stage access.</t>
  </si>
  <si>
    <t>Change in elevation (11 Steps)</t>
  </si>
  <si>
    <t>All student bathrooms (boys and girls) between the first and fourth floors are accessible. There are accessible staff bathrooms from the first through fourth floors.</t>
  </si>
  <si>
    <t>Fire Alarm System includes a strobe light feature. Fire holding rooms have not been specifically designated.</t>
  </si>
  <si>
    <t>34-74 113 Street, Queens, NY 11368</t>
  </si>
  <si>
    <t xml:space="preserve">The nearest accessible subway station is the Junction Boulevard Station (7 train), 0.83 miles distant. MTA bus service (Q48 and Q66) is also nearby. The main entrance of Q143 is accessible, located on 112th Street (Exit 6). The accessible entrance includes reception, security cameras, and a doorbell. The doorbell is within reach range (height 46 inches). </t>
  </si>
  <si>
    <t>Some water fountains and other wall-mounted objects protrude into the corridors more than 4 inches, which may present difficulties for individuals with visual disabilities. Braille signs are included throughout the new addition.</t>
  </si>
  <si>
    <t xml:space="preserve">E1: Doors: 42 inches, Cab: 77 inches wide, 57 inches deep. 
E2: Doors: 43 inches, Cab: 68 inches wide, 77 inches deep. </t>
  </si>
  <si>
    <t xml:space="preserve">Room 305 </t>
  </si>
  <si>
    <t>Room 264</t>
  </si>
  <si>
    <t xml:space="preserve">The auditorium is accessible and is located on the first floor. Stage access is provided via corridor. Accessible seating is provided. The cafeteria is accessible and is located on the first floor. The gymnasium is not accessible and is located on the second floor. Assistive listening systems have been provided in the cafeteria and the multi-purpose room. </t>
  </si>
  <si>
    <t xml:space="preserve">Change in elevation (3 steps at one entrance, 4 steps at another entrance). </t>
  </si>
  <si>
    <t>Room 327</t>
  </si>
  <si>
    <t xml:space="preserve">This room is used as a Dance Room. Assistive listening systems have been provided. </t>
  </si>
  <si>
    <t>There are accessible student bathrooms (boys and girls) available on the first floor in the old building. There are accessible student bathrooms (boys and girls) available on all floors in the new addition. There are accessible single-user (unisex) bathrooms (for student and staff use) available on all floors.</t>
  </si>
  <si>
    <t>Rooms 109, 159, 309, 409, and 509</t>
  </si>
  <si>
    <t>Rooms 132, 232, 260, and 360</t>
  </si>
  <si>
    <t>Located in the old building.</t>
  </si>
  <si>
    <t>Rooms 108, 121, 305, 405, and 505</t>
  </si>
  <si>
    <t>Rooms 128, 228, 258, and 328</t>
  </si>
  <si>
    <t>Rooms 226 and 312 </t>
  </si>
  <si>
    <t>Rooms 228 and 314</t>
  </si>
  <si>
    <t>Rooms 129, 130, 229, 230, 329, and 330</t>
  </si>
  <si>
    <t>Fire alarm system has been upgraded and includes a strobe light feature. Holding rooms have been specifically designated as rooms 215 and 315. Fire rescue rooms has been designated as rooms 215, 327, 425, and 535.</t>
  </si>
  <si>
    <t>The new addition includes central air. The old building does not include central air. Air-conditioning units have been provided in some classrooms.</t>
  </si>
  <si>
    <t>69-20 Juno Street, Queens, NY 11375</t>
  </si>
  <si>
    <t xml:space="preserve">The nearest accessible subway station is the Forest Hill – 71st Avenue Station (E and F trains), 0.61 miles distant. MTA bus service (Q23) is also nearby. The main entrance of Q144 is accessible, located on Juno Street. The accessible entrance includes a doorbell, reception, and security cameras. The doorbell is within reach range (Height 46 inches). </t>
  </si>
  <si>
    <t xml:space="preserve">Some hallway doors are heavy, which may be difficult for some users to navigate. Some water fountains and other wall-mounted objects protrude into the corridors more than 4 inches, which may present difficulties for individuals with visual disabilities. Braille signs are included in the new addition but are not included throughout the original building.  </t>
  </si>
  <si>
    <t xml:space="preserve">Door hardware is accessible in the new addition. Door hardware non-compliant throughout the original building. </t>
  </si>
  <si>
    <t xml:space="preserve">E1 Doors: 36 inches, Cab: 78 inches wide, 66 inches deep. 
E2 Doors: 42 inches, Cab: 78 inches wide, 66 inches deep. </t>
  </si>
  <si>
    <t xml:space="preserve">The auditorium is accessible and is located on the first floor. Stage access is not provided. Accessible seating is provided. The cafeterias are accessible and are located in the cellar. The gymnasium is accessible and is located on the fourth floor. Assistive listening systems have been provided in the original cafeteria and in the gymnasium. </t>
  </si>
  <si>
    <t>(Original) - Cellar</t>
  </si>
  <si>
    <t xml:space="preserve">(New) - Cellar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</si>
  <si>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is an accessible single-user (unisex) bathroom (for student and staff use) available in a classroom on the second floor. </t>
  </si>
  <si>
    <t xml:space="preserve">Boys Bathrooms – Rooms C64, 165, 264, 365, and 464 </t>
  </si>
  <si>
    <t>Rooms 157, Auditorium, and 260</t>
  </si>
  <si>
    <t>Rooms C65, 164, 265, 364, and 465</t>
  </si>
  <si>
    <t>Rooms 160 and 358</t>
  </si>
  <si>
    <t>Rooms C24, 258, 356, and 457</t>
  </si>
  <si>
    <t>Rooms C63, 220B, 353, 363, 452A, and 463</t>
  </si>
  <si>
    <t xml:space="preserve">Room 220B is located in the nurse’s office. </t>
  </si>
  <si>
    <t>Classroom 224</t>
  </si>
  <si>
    <t xml:space="preserve">Fire alarm system has been upgraded and includes a strobe light feature. Holding rooms have been specifically designated as rooms C26, 126, 226, 326, and 426. </t>
  </si>
  <si>
    <t xml:space="preserve">This site includes central air in the new addition. Temperature control units have been provided in classrooms. This site does not include central air in the original building; Air-conditioning units have been provided in some offices, but not in classrooms.  </t>
  </si>
  <si>
    <t>33-34 80 Street, Queens, NY 11372</t>
  </si>
  <si>
    <t xml:space="preserve">The nearest accessible subway station is 74th Street-Broadway Station (7, E, F, M, and R trains), 2.2 miles distant. MTA bus service (Q66 and Q32) is also nearby. The main entrance is accessible, located on 80th Street (Exit 1). The accessible entrance includes a ramp, doorbell, reception, and security cameras. The doorbell is within reach range (height 24 inches). </t>
  </si>
  <si>
    <t xml:space="preserve">Some water fountains and other wall-mounted objects protrude in the corridors more than 4 inches, which may present difficulties for individuals with visual disabilities. Braille signs are included throughout the building, although they are degrading. </t>
  </si>
  <si>
    <t>Doors: 41 inches, Cab: 77 inches wide, 53 inches deep.</t>
  </si>
  <si>
    <t>Rooms B2A and B2B</t>
  </si>
  <si>
    <t>Rooms 131, 231, and 234</t>
  </si>
  <si>
    <t>Rooms 202 and 333</t>
  </si>
  <si>
    <t>Room 250, 254, and 256</t>
  </si>
  <si>
    <t xml:space="preserve">The auditorium is accessible and is located on the first floor. Accessible seating is provided. Stage access is not provided. The cafeteria is accessible and is located in the basement. The gymnasium is accessible and is located on the first floor. Assistive listening systems have not been provided in the public assembly areas. </t>
  </si>
  <si>
    <t>Fire alarm system has been upgraded and includes a strobe light feature. Holding rooms have been specifically designated as rooms 218 and 318.</t>
  </si>
  <si>
    <t>218-01 116 Avenue, Queens, NY 11411</t>
  </si>
  <si>
    <t xml:space="preserve">The nearest accessible subway station is Jamaica Center–Parsons/Archer Station (E, J, and Z trains), 3.7 miles distant. MTA bus service (Q27 and Q4) is also nearby. There is no accessible entrance to this building. </t>
  </si>
  <si>
    <t xml:space="preserve">This site does not include an elevator. </t>
  </si>
  <si>
    <t xml:space="preserve">This site is not accessible; none of the educational spaces are accessible and are not located on accessible routes. </t>
  </si>
  <si>
    <t xml:space="preserve">Room 325 </t>
  </si>
  <si>
    <t>All Floors (Main Building)</t>
  </si>
  <si>
    <t xml:space="preserve">Room 324 </t>
  </si>
  <si>
    <t xml:space="preserve">The auditorium is not accessible and is located on the first floor. The cafeteria is not accessible and is located in the basement. The gymnasium is not accessible and is located on the third floor. The multi-purpose room is not accessible and is located on the first floor. Assistive listening systems have been provided in the gymnasium. </t>
  </si>
  <si>
    <t>First Floor (Main building)</t>
  </si>
  <si>
    <t>Basement (Main building)</t>
  </si>
  <si>
    <t>Third Floor (Main building)</t>
  </si>
  <si>
    <t xml:space="preserve">Fire alarm system includes a strobe light feature. Holding rooms and areas of rescue have not been specifically designated. </t>
  </si>
  <si>
    <t>89-02 32 Avenue, Queens, NY 11369</t>
  </si>
  <si>
    <t xml:space="preserve">The nearest accessible subway station is Junction Boulevard Station (7 train), 0.9 miles distant. MTA bus service (Q49 and Q66) is also nearby. The accessible entrance to Q148 is not the same as the main entrance; the accessible entrance is located on 89th Street (Exit 8). The accessible entrance includes a ramp and security cameras. The accessible entrance does not include a doorbell. Visitors may need to contact site in advance to gain access to this facility through the accessible entrance. </t>
  </si>
  <si>
    <t xml:space="preserve">Some water fountains and other wall-mounted objects protrude in the corridors more than 4 inches, which may present difficulties for individuals with visual disabilities. Braille signs are not included throughout the building. Changes in elevation on the third floor prevent access to some program areas. </t>
  </si>
  <si>
    <t xml:space="preserve">Changes in elevation on the third floor prevent access to some program areas. </t>
  </si>
  <si>
    <t xml:space="preserve">One passenger elevator provides access to the first through third floors. There is no elevator access to the fourth floor. Elevator includes audible signals on each floor.  </t>
  </si>
  <si>
    <t>Doors: 41 inches, Cab: 81 inches wide, 52 inches deep.</t>
  </si>
  <si>
    <t xml:space="preserve">This site is moderately accessible; all classrooms located between the first and third floors are accessible and located on accessible routes.  </t>
  </si>
  <si>
    <t xml:space="preserve">Elevator does not provide access to the fourth floor. </t>
  </si>
  <si>
    <t>Room 352A</t>
  </si>
  <si>
    <t>Room 317, and 319</t>
  </si>
  <si>
    <t>The auditorium is accessible and is located on the first floor. The auditorium provides a lift for stage access and accessible seating. Assistive listening systems have been provided in the auditorium. The cafeteria is accessible and is located on the first floor. The gymnasium is not accessible due to a change of elevation (10 Steps) on the third floor.</t>
  </si>
  <si>
    <t>Change of elevation (10 Steps)</t>
  </si>
  <si>
    <t>There are accessible student bathrooms (girls) on the third floor. There are accessible student bathrooms (boys) on the first and second floor. There is also an accessible single-user (unisex) bathroom (available for students and staff) in most of the classrooms of the 1997 addition. There are no accessible staff bathrooms in the building.</t>
  </si>
  <si>
    <t>Third, and Fourth Floors</t>
  </si>
  <si>
    <t>93-11 34 Avenue, Queens, NY 11372</t>
  </si>
  <si>
    <t xml:space="preserve">The nearest accessible subway station is Junction Boulevard Station (7 train), 1.3 miles distant. MTA bus service (Q66 and Q72) is also nearby. The accessible entrance to Q149 is not the same as the main entrance; the accessible entrance is located on 94th Street (Exit 8) and is accessed through the courtyard. The accessible entrance includes a ramp and security cameras. The accessible entrance does not include a doorbell. Visitors may need to contact site in advance to gain access to this facility through the accessible entrance. </t>
  </si>
  <si>
    <t xml:space="preserve">Braille signs are not included throughout the building. Changes in elevation on the third floor prevent access to some program areas. </t>
  </si>
  <si>
    <t xml:space="preserve">Changes in elevation on the third floor prevent access to some program areas (11 steps). </t>
  </si>
  <si>
    <t>Doors: 35 inches, Cab: 54 inches wide, 68 inches deep.</t>
  </si>
  <si>
    <t>Rooms 321 through 326</t>
  </si>
  <si>
    <t>Change of elevation (11 steps) prevents access.</t>
  </si>
  <si>
    <t xml:space="preserve">The auditorium is accessible and is located on the first floor. Stage access is not provided. Accessible seating is not provided. The cafeteria is accessible and is located on the first floor. The gymnasium is accessible and is located on the fourth floor. Assistive listening systems have been provided in the cafeteria.  </t>
  </si>
  <si>
    <t xml:space="preserve">There are accessible student bathrooms (girls and boys) available on the first floor. There are accessible single-user (unisex) bathrooms (for student and staff use) available on all floors. There are accessible single-user (unisex) bathrooms (for student and staff use) available in some classrooms on the first through third floors. </t>
  </si>
  <si>
    <t xml:space="preserve">Located inside classrooms of the 1999 addition. </t>
  </si>
  <si>
    <t>40-01 43 Avenue, Queens, NY 11104</t>
  </si>
  <si>
    <t xml:space="preserve">The nearest accessible subway station is Queens Plaza Station (E and R trains), 0.8 miles distant. MTA bus service (Q32 and Q60) is also nearby. The accessible entrance to Q150 is not the same as the main entrance; the accessible entrance is located on 40th Street (Exit 10). The accessible entrance includes security cameras. The accessible entrance does not include a doorbell. Visitors may need to contact school in advance to gain access to this facility through the accessible entrance. </t>
  </si>
  <si>
    <t xml:space="preserve">Changes in elevation (13 steps) on the third floor prevent access to some program areas. </t>
  </si>
  <si>
    <t>Room 262A</t>
  </si>
  <si>
    <t xml:space="preserve">The auditorium is accessible and is located on the first floor. Stage access is provided via lift. Accessible seating is not provided. The cafeteria is accessible and is located on the first floor. The gymnasium is not accessible and is located on the third floor. The multi-purpose room is accessible and is located on the first floor. Assistive listening systems have been provided in the cafeteria. </t>
  </si>
  <si>
    <t xml:space="preserve">Change of elevation (13 steps) prevents access. </t>
  </si>
  <si>
    <t>There are accessible student bathrooms (girls and boys) available on the first, second, and third floors. There are accessible single-user (unisex) bathrooms (for student and staff use) available on the first and second floors.</t>
  </si>
  <si>
    <t xml:space="preserve">Fire alarm system has been upgraded and includes a strobe light feature. Holding rooms or areas of refuge have not been specifically designated at this site.  </t>
  </si>
  <si>
    <t>33-52 62 Street, Queens, NY 11377</t>
  </si>
  <si>
    <t xml:space="preserve">The nearest accessible subway station is 61 Street-Woodside Station (7 train), 0.6 miles distant. MTA bus service (Q66) is also nearby. The accessible entrance to Q152 is not the same as the main entrance; the accessible entrance is located on 61st Street (Exit 3). The accessible entrance includes a ramp and security cameras. The accessible entrance does not include a doorbell. Visitors may need to contact site in advance to gain access to this facility through the accessible entrance.  </t>
  </si>
  <si>
    <t xml:space="preserve">Some water fountains and other wall-mounted objects protrude in the corridors more than 4 inches, which may present difficulties for individuals with visual disabilities. Braille signs are not included throughout the building. A change of elevation exists (11 steps) on the third floor preventing access to the gymnasium. </t>
  </si>
  <si>
    <t xml:space="preserve">One passenger elevator provides access to the first through third floors. Elevator does not provide access to the fourth floor. Elevator includes audible signals on each floor.  </t>
  </si>
  <si>
    <t>Doors: 35 inches, Cab: 67 inches wide, 59 inches deep.</t>
  </si>
  <si>
    <t xml:space="preserve">This site is moderately accessible; all classrooms located between the first and third floor are accessible. Classrooms located on the fourth floor are not accessible. </t>
  </si>
  <si>
    <t xml:space="preserve">The auditorium is accessible and is located on the first floor. The auditorium provides stage access via a lift, although does not provide accessible seating. The cafeteria is accessible and is located on the first floor. The gymnasium is not accessible due to a change of elevation on the third floor. Assistive listening systems have not been provided in the public assembly spaces.  </t>
  </si>
  <si>
    <t>Change of elevation on third floor (11 steps).</t>
  </si>
  <si>
    <t xml:space="preserve">There are accessible student bathrooms (girls) on the first and third floors and accessible student bathrooms (boys) on the first and third floors. There is also an accessible single-user (unisex) bathroom (available for students and staff) between the first and third floors. </t>
  </si>
  <si>
    <t>60-02 60 Lane, Queens, NY 11378</t>
  </si>
  <si>
    <t xml:space="preserve">The nearest accessible subway station is Jamaica Center Station (E, J, and Z trains), 1.5 miles distant. MTA bus service (Q1, Q2, Q3, Q17, and Q36) is also nearby. The accessible entrance to Q153 is not the same as the main entrance: The accessible entrance is located on 60th Avenue (Exit 5). The accessible entrance includes security cameras and ramps. The accessible entrance does not include doorbells. Visitors may need to contact site in advance to gain access to this facility through either of the accessible entrances.  </t>
  </si>
  <si>
    <t xml:space="preserve">Doors: 43 inches, Cab: 64 inches wide, 76 inches deep. </t>
  </si>
  <si>
    <t>Rooms G31, G37, and G37B</t>
  </si>
  <si>
    <t>Room 131 and 227</t>
  </si>
  <si>
    <t>Room 163</t>
  </si>
  <si>
    <t>Room G27</t>
  </si>
  <si>
    <t xml:space="preserve">The auditorium is accessible and is located on the second floor. Stage access is not provided.  Accessible seating is provided. The cafeteria is accessible and is located on the ground floor. The fourth-floor gymnasium is accessible. The third-floor gymnasium is not accessible. Assistive listening systems have been provided in the cafeteria. </t>
  </si>
  <si>
    <t xml:space="preserve">Stage access is not provided.  Accessible seating is provided. </t>
  </si>
  <si>
    <t xml:space="preserve">Change of elevation (11 steps) prevents access. </t>
  </si>
  <si>
    <t xml:space="preserve">There are accessible student bathrooms (girls and boys) available from the first through the third floors. There are accessible single-user (unisex) bathrooms (for student and staff use) on the first floor and fourth floors, as well as in all classrooms of the wing/addition built in 2000. </t>
  </si>
  <si>
    <t>75-02 162 Street, Queens, NY 11366</t>
  </si>
  <si>
    <t>The nearest accessible subway station is the Sutphin Boulevard – Archer Avenue – JFK Airport Station (E, J, and Z trains), 2.1 miles distant. MTA bus service (Q65, Q25 and Q34) is also nearby. The accessible entrance to Q154 is not the same as the main entrance; the accessible entrance is located on 75th Road (Exit 10).  The accessible entrance includes a ramp and security cameras. The accessible entrance does not include a doorbell and reception. Visitors may need to contact site in advance to gain access to this facility through the accessible entrance.</t>
  </si>
  <si>
    <t>Located on the second floor.</t>
  </si>
  <si>
    <t xml:space="preserve">E1 
Doors: 48 inches, Cabs: 61 inches wide, 77 inches deep. </t>
  </si>
  <si>
    <t>Located on the first floor.</t>
  </si>
  <si>
    <t>Rooms 110 (25Q154) and 351 (P.S. Q255)</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</si>
  <si>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 cafeteria, and gymnasium.</t>
  </si>
  <si>
    <t>There are accessible student bathrooms (boys) available on the second floor. There are accessible staff bathrooms (male and female) available on the first floor. There are accessible single-user (unisex) bathrooms (for student and staff use) available on the second and third floors.</t>
  </si>
  <si>
    <t>Rooms First Floor and 361</t>
  </si>
  <si>
    <t>Rooms 261, and 353</t>
  </si>
  <si>
    <t>Rooms 121, 123</t>
  </si>
  <si>
    <t>Rooms 273 and 373</t>
  </si>
  <si>
    <t>This site includes include exterior recreational spaces. The exterior recreational spaces are accessible. The recreational equipment is accessible.</t>
  </si>
  <si>
    <t>Fire alarm system has been upgraded and includes a strobe light feature. Holding rooms have been specifically designated as rooms 318, and 218 and the area immediately outside the elevator bank.</t>
  </si>
  <si>
    <t>46-35 Oceania Street, Queens, NY 11361</t>
  </si>
  <si>
    <t xml:space="preserve">The nearest accessible subway station is the Flushing-Main Street Station (7 train), 3.3 miles distant. MTA bus service (Q27 and Q31) is also nearby. The accessible entrance to Q158 is not the same as the main entrance; the accessible entrance is located on 47th Avenue (Exit 12). The accessible entrance does not include a doorbell, reception, and security cameras. Visitors may need to contact site in advance to gain access to this facility through the accessible entrance. </t>
  </si>
  <si>
    <t xml:space="preserve">This site occupies multiple floors and does not include an elevator. Lack of elevator does prevent access. </t>
  </si>
  <si>
    <t xml:space="preserve">This site offers limited accessibility; most classrooms are accessible and are located along accessible routes.  </t>
  </si>
  <si>
    <t>Room 328 and 330</t>
  </si>
  <si>
    <t xml:space="preserve">Second, and Third </t>
  </si>
  <si>
    <t xml:space="preserve">The auditorium is accessible and is located on the first floor. Stage access is not provided. Accessible seating is provided. The cafeteria is accessible and is located on the first floor. The gymnasium is not accessible and is located on the first floor. Assistive listening systems have not been provided in the public assembly spaces. </t>
  </si>
  <si>
    <t>`</t>
  </si>
  <si>
    <t xml:space="preserve">Not on Accessible Route. Change of elevation (3 steps). </t>
  </si>
  <si>
    <t>101-33 124 Street, Queens, NY 11419</t>
  </si>
  <si>
    <t xml:space="preserve">The nearest accessible subway station is the Sutphin Boulevard – Archer Avenue - JFK Station (E, J, and Z trains), 1.3 miles distant. MTA bus service (Q8 and Q41) is also nearby. The main entrance of Q161 is accessible, located on 124th Street (Exit 1). The accessible entrance includes a doorbell, reception, and security cameras. The doorbell is located within reach range (Height 44 inches). </t>
  </si>
  <si>
    <t xml:space="preserve">E1; Doors: 48 inches, Cabs: 98 inches wide, 108 inches deep. 
E2; Doors: 41 inches, Cabs: 79 inches wide, 63 inches deep. </t>
  </si>
  <si>
    <t xml:space="preserve">The auditorium is accessible and is located on the third floor. Stage access is provided via a ramp. Accessible seating is provided. The cafeteria is accessible and is located on the second floor. The gymnasium is accessible and is located in the basement. Assistive listening systems have not been provided in the public assembly spaces. </t>
  </si>
  <si>
    <t xml:space="preserve">Stage access via a ramp. Accessible seating is provided. </t>
  </si>
  <si>
    <t xml:space="preserve">There are accessible student bathrooms (boys and girls) available on the all floors. There are accessible staff bathrooms (male and female) available on all floors. There are accessible single-user (unisex) bathrooms (for student and staff use) available on all floors. There are accessible single-user (unisex) bathrooms (for student and staff use) located within some classrooms on the first and second floor. </t>
  </si>
  <si>
    <t>Rooms B29, 128, 203, 328, and 428</t>
  </si>
  <si>
    <t xml:space="preserve">Rooms B35, 124, 202, 318, and 418 </t>
  </si>
  <si>
    <t>Rooms B33, B31, 126, 202A, and 426</t>
  </si>
  <si>
    <t>Classrooms 131, 137, 136 and 138, 140 and 142, 229, 231, 233, 235, 236, 238, 240, and 242</t>
  </si>
  <si>
    <t xml:space="preserve">Fire alarm system has been upgraded and includes a strobe light feature. Holding rooms have been specifically designated as rooms 4210, 310, and 410. </t>
  </si>
  <si>
    <t>159-01 59 Avenue, Queens, NY 11365</t>
  </si>
  <si>
    <t xml:space="preserve">The nearest accessible subway station is the Main Street Station (7 train), 1.9 miles distant. MTA bus service (Q65, Q17, and Q88) is also nearby. The main entrance of Q163 is accessible, located on 59th Avenue (Exit 2). The accessible entrance includes a ramp, security cameras, and reception. </t>
  </si>
  <si>
    <t xml:space="preserve">Braille signs are not included throughout the original building, but they are included throughout the 2016 addition. </t>
  </si>
  <si>
    <t xml:space="preserve">Doors: 48 inches, Cabs: 69 inches wide, 74 inches deep. </t>
  </si>
  <si>
    <t>Room 339</t>
  </si>
  <si>
    <t>Room 439</t>
  </si>
  <si>
    <t xml:space="preserve">The auditorium is accessible and is located in the basement. Stage access is provided via lift. Accessible seating is provided. The cafeteria is accessible and is located in the basement. The gymnasium is not accessible and is located on the first floor. The multi-purpose room is accessible and is located on the first floor. Assistive listening systems have been provided in the cafeteria, auditorium, and multi-purpose room. </t>
  </si>
  <si>
    <t xml:space="preserve">Change of elevation (3 steps) prevents access. </t>
  </si>
  <si>
    <t xml:space="preserve">There are accessible bathrooms (for student and staff use) available on all floors. There are accessible single-user (unisex) bathrooms (for student and staff use) available within some kindergarten classrooms on the first and second floors. There are accessible single-user (unisex) bathrooms (for student and staff use) available on all floors.   </t>
  </si>
  <si>
    <t>Rooms 432, 450, 358, 332, 232, 260, 101B, 157B, C003B, and C003C</t>
  </si>
  <si>
    <t>Rooms 436, 460, 359, 336, 236, 262, 101A, 157A, C003A, and C003D</t>
  </si>
  <si>
    <t>Rooms 434, 456, 356, 334, 234, 258, 155, and 136</t>
  </si>
  <si>
    <t xml:space="preserve">Classrooms Rooms 211A, 209A, 203A, 205A, 137A, and 139A.  </t>
  </si>
  <si>
    <t xml:space="preserve">This site does include exterior recreational spaces. The exterior recreational spaces are accessible. The recreational equipment is not accessible. </t>
  </si>
  <si>
    <t xml:space="preserve">Fire alarm system has been upgraded and includes a strobe light feature. Holding rooms or areas of refuge have been specifically designated as rooms 140, 244, 322, and 443. </t>
  </si>
  <si>
    <t xml:space="preserve">This site includes central air in the 2016 addition. Temperature control units have been provided in the classrooms of the 2016 addition. This site does not include central air in the original building. Air-conditioning units are provided in the classrooms of the original building. </t>
  </si>
  <si>
    <t>70-35 150 Street, Queens, NY 11367</t>
  </si>
  <si>
    <t>The nearest accessible subway station is Jamaica – 179th Street Station (F train), 2.8 miles distant. MTA bus service (Q25 and Q34) is also nearby. The accessible entrance to Q165 is not the same as the main entrance; the accessible entrance is located on 70 Road (Exit 9). The accessible entrance includes a ramp. The accessible entrance does not include a doorbell, reception, or security cameras. Visitors may need to contact the site in advance to gain access to this facility through the accessible entrance.</t>
  </si>
  <si>
    <t>Doors: 36 inches, Cab: 67 inches wide, 48 inches deep.</t>
  </si>
  <si>
    <t>This site is moderately accessible; all classrooms are accessible and are located along accessible routes. Nurse’s office is located on the lower level of first floor (change in elevation 13 steps from lobby). For internal access, visitors should take the elevator to the first floor - lower level (opening onto the auditorium stage). Stage lift provides access to the ground level.</t>
  </si>
  <si>
    <t>Library – Room 130</t>
  </si>
  <si>
    <t>Accessible internally from the first floor lower level via auditorium stage lift. Exterior access is available through exit 7 in auditorium.</t>
  </si>
  <si>
    <t>The auditorium is accessible and is located on the first floor – lower level. Stage access is provided via lift. Accessible seating is provided. The gymnasium is accessible and is located on the first floor – lower level. For internal access to the auditorium or gymnasium, visitors should take the elevator to the first floor - lower level (opening onto the auditorium stage), and take the stage lift down to the ground level. The cafeteria is accessible and is located on the first floor. Assistive listening systems have been provided in the auditorium.</t>
  </si>
  <si>
    <t>Auditorium – First Floor Lower Level</t>
  </si>
  <si>
    <t>Accessible internally from the first-floor lower level via auditorium stage lift. Exterior access is available through exit 7 in auditorium. Accessible seating is provided. Assistive listening systems have been provided.</t>
  </si>
  <si>
    <t>Gymnasium – First Floor Lower Level</t>
  </si>
  <si>
    <t>Accessible internally from the first-floor lower level via auditorium stage lift. Exterior access is available through exit 7 in auditorium.</t>
  </si>
  <si>
    <t>There are accessible student bathrooms (boys) available on the first and third floors. There are accessible student bathrooms (girls) available on the first floor.</t>
  </si>
  <si>
    <t>Boys Bathrooms – Rooms 122 and 329</t>
  </si>
  <si>
    <t>Boys Bathrooms – Rooms 112A and 223</t>
  </si>
  <si>
    <t>Girls Bathrooms – Rooms 131</t>
  </si>
  <si>
    <t>Staff Bathrooms – Rooms 121, 127, 224, and 324</t>
  </si>
  <si>
    <t>33-09 35 Avenue, Queens, NY 11106</t>
  </si>
  <si>
    <t xml:space="preserve">The nearest accessible subway station is at Queens Plaza Subway Station. (E, M, and R trains) 0.9 miles distant. MTA bus service (Q66 and Q102) is also nearby. The accessible entrance to Q166 is not the same as the main entrance; the accessible entrance is located on 33rd Street (Exit 5). The accessible entrance includes a ramp and security cameras. The accessible entrance does not include a doorbell. Visitors may need to contact school in advance to gain access to this facility through the accessible entrance. </t>
  </si>
  <si>
    <t xml:space="preserve">Braille signs are provided throughout some areas of the building. A change of elevation on the third floor prevents access to some program areas. </t>
  </si>
  <si>
    <t xml:space="preserve">Change of elevation (11 steps) prevents access to some program areas. </t>
  </si>
  <si>
    <t xml:space="preserve">Doors: 36 inches; Cab: 51 inches wide, 70 inches deep. </t>
  </si>
  <si>
    <t xml:space="preserve">Rooms 202 and 401 </t>
  </si>
  <si>
    <t xml:space="preserve">Rooms 321 and 452 </t>
  </si>
  <si>
    <t xml:space="preserve">The auditorium is accessible and is located on the first floor. Stage access is not provided. Accessible seating is not provided. The cafeteria is accessible and is located on the first floor. The gymnasium is not accessible and is located on the third floor. Assistive listening systems have been provided in the cafeteria. </t>
  </si>
  <si>
    <t xml:space="preserve">There are accessible student bathrooms (girls and boys) available on all floors. There are accessible staff bathrooms (male and female) available on all floors. </t>
  </si>
  <si>
    <t xml:space="preserve">Fire alarm system has been updated and includes strobe light feature. Holding rooms or areas of refuge have been not been designated at this site. </t>
  </si>
  <si>
    <t>158-40 76 Road, Queens, NY 11366</t>
  </si>
  <si>
    <t xml:space="preserve">The nearest accessible subway station is Sutphin Boulevard Station (E, F, and Z trains), 1.7 miles distant. MTA bus service (Q025 and Q34) is also nearby. The main entrance of Q168 is accessible, located on 167th Street (Exit 6). The accessible entrance includes a ramp, doorbell, reception, and security cameras. The doorbell is not within reach range (height 66 inches). </t>
  </si>
  <si>
    <t>Doors: 48 inches, Cab: 63 inches wide, 78 inches deep.</t>
  </si>
  <si>
    <t>Rooms B31 and 223B</t>
  </si>
  <si>
    <t>Rooms 122 (25Q250), 224 (25Q252), and 312 (75Q255)</t>
  </si>
  <si>
    <t>Rooms 126 and 314</t>
  </si>
  <si>
    <t xml:space="preserve">The auditorium is accessible and located on the first floor. Stage access is provided via corridor. Accessible seating is provided. The cafeteria is accessible and is located in the basement. The gymnasium is accessible and is located in the basement. Assistive listening systems have not been provided in the public assembly areas. </t>
  </si>
  <si>
    <t xml:space="preserve">There are accessible student bathrooms (girls and boys) available on the first floor and third floors. There are accessible single-user (unisex) bathrooms (for student and staff use) available on the second floor. There is an accessible staff bathroom (female) available in the basement. </t>
  </si>
  <si>
    <t>Fire alarm system has been upgraded and includes a strobe light feature. Holding rooms or areas of refuge have been specifically designated as rooms 324B, 316B, 224, and 216.</t>
  </si>
  <si>
    <t>14-14 29 Avenue, Queens, NY 11102</t>
  </si>
  <si>
    <t>The nearest accessible subway station is the 21 Street – Queensbridge Station (F train), 1.5 miles distant. MTA bus service (Q18 and Q102) is also nearby. Q171 does not contain an accessible entrance, all entrances contain changes of elevation.</t>
  </si>
  <si>
    <t>Changes of elevation.</t>
  </si>
  <si>
    <t xml:space="preserve">The auditorium is not accessible and is located on the first floor. Stage access is not provided. Accessible seating is not provided. The cafeteria is not accessible and is located on the first floor. The gymnasium is not accessible and is located on the first floor. Assistive listening systems have not been provided in the public assembly spaces. </t>
  </si>
  <si>
    <t>Not on accessible route. Stage access not provided. Accessible seating is not provided. Assistive listening systems have not been provided.</t>
  </si>
  <si>
    <t>Not on accessible route. Accessible seating available upon request. Assistive listening systems have not been provided.</t>
  </si>
  <si>
    <t>Not on accessible route. Assistive listening systems have not been provided.</t>
  </si>
  <si>
    <t>This building is prevented from attaining a higher accessibility rating due to lack of accessible bathrooms throughout the building. There are no accessible student bathrooms (boys and girls) available on all floors.</t>
  </si>
  <si>
    <t>Rooms 106, 135, 216, 237, 304 and 337</t>
  </si>
  <si>
    <t>Rooms 102, 160, 207, 224, 307, and 324</t>
  </si>
  <si>
    <t>Rooms 182, 186, and 319</t>
  </si>
  <si>
    <t>81-14 257 Street, Queens, NY 11004</t>
  </si>
  <si>
    <t>The nearest accessible subway station is the Jamaica Center–Parsons/Archer Station (E, J and Z trains), 5.90 miles distant. MTA bus service (Q25 and Q34) is also nearby. The main entrance to Q172 is accessible via ramp and located on 257th Street (Exits 1 and 2). The accessible entrance includes a ramp and reception.</t>
  </si>
  <si>
    <t>This site offers limited accessibility; only classrooms located on the first floor are accessible.</t>
  </si>
  <si>
    <t>Rooms 106 and 108</t>
  </si>
  <si>
    <t>Rooms 217 and 234</t>
  </si>
  <si>
    <t>The auditorium is accessible and is located on the first floor. Stage access is not provided. Accessible seating is provided. The cafeteria is not accessible due to a change in elevation and is located in the basement. The gymnasium is not accessible and is located on the first floor. Assistive listening systems have been provided in the auditorium.</t>
  </si>
  <si>
    <t>Change of elevation (15 steps) prevents access.</t>
  </si>
  <si>
    <t>Entry doors do not provide clear path.</t>
  </si>
  <si>
    <t>Rooms 114, 214 and 314</t>
  </si>
  <si>
    <t>Rooms 118, 218 and 318</t>
  </si>
  <si>
    <t>64-35 102 Street, Queens, NY 11374</t>
  </si>
  <si>
    <t xml:space="preserve">The nearest accessible subway station is the Forest Hills–71 Avenue Station (E and F trains), 0.8 miles distant. MTA bus service (Q23, QM12, and QM42) is also nearby. The accessible entrance to Q175 is not the same as the main entrance; the accessible entrance is located on 65th Avenue (Exit 9). The accessible entrance does not include a doorbell or security cameras. Visitors may need to contact site in advance to gain access to this facility through the accessible entrance.  </t>
  </si>
  <si>
    <t xml:space="preserve">Doors: 47 inches, Cab: 77 inches wide, 62 inches deep. </t>
  </si>
  <si>
    <t>Rooms 321 and 323</t>
  </si>
  <si>
    <t xml:space="preserve">The auditorium is accessible and is located in the basement. Stage access is not provided. Accessible seating is provided. The cafeteria is accessible and is located in the basement. The gymnasium is accessible and is located on the second floor. Assistive listening systems have not been provided in the public assembly spaces. </t>
  </si>
  <si>
    <t xml:space="preserve">There are accessible student bathrooms (boys and girls) available in the basement, first, and third floors. There are accessible single-user (unisex) bathrooms (for student and staff use) available in rooms in some first-floor classrooms.   </t>
  </si>
  <si>
    <t>Rooms B28, 124, and 325</t>
  </si>
  <si>
    <t xml:space="preserve">Rooms B24, 112, and 305 </t>
  </si>
  <si>
    <t>Rooms 105, 126, and 133</t>
  </si>
  <si>
    <t>120-45 235 Street, Queens, NY 11411</t>
  </si>
  <si>
    <t>The nearest accessible subway station is the Jamaica Center – Parsons/Archer Station (E, J, and Z trains), 4.5 miles distant. MTA bus service (Q84) is also nearby. The main entrance of Q176 is accessible, located on 235th Street (Exit 4). The accessible entrance includes a doorbell, reception, and security cameras. The doorbell is within reach range (height 44 inches).</t>
  </si>
  <si>
    <t xml:space="preserve">E1 and E2
Doors: 47 inches, Cabs: 63 inches wide, 79 inches deep. 
E3
Doors: 48 inches, Cab: 70 inches wide, 76 inches deep. </t>
  </si>
  <si>
    <t>The auditorium is accessible and is located on the first floor. Stage access is provided via lift. Accessible seating is provided. The cafeteria is accessible and is located on the first floor. The gymnasium is accessible and is located on the first floor. The multi-purpose room is accessible and is located in the basement. Assistive listening systems have been provided in the auditorium, cafeteria, gymnasium, and multi-purpose room.</t>
  </si>
  <si>
    <t>Room B22 (Dance Room)</t>
  </si>
  <si>
    <t>There are accessible student bathrooms (boys and girls) available on all floors. There are accessible staff bathrooms (male and female) available on the first floor. There are accessible single-user (unisex) bathrooms (for student and staff use) available the second and third floors. There are accessible single-user (unisex) bathrooms (for student and staff use) available within certain classrooms on the first and second floors.</t>
  </si>
  <si>
    <t>Rooms B24, 132, 141, 210, 241, and 341</t>
  </si>
  <si>
    <t>Rooms B32, 133, 144, 211, 244, and 344</t>
  </si>
  <si>
    <t>Male - Room 108</t>
  </si>
  <si>
    <t>Female - Room 106</t>
  </si>
  <si>
    <t>Rooms 238 and 338</t>
  </si>
  <si>
    <t>Classrooms 123A, 125A, 136A, 137A, 252A, 254A, 256A, and 258A</t>
  </si>
  <si>
    <t>Fire alarm system has been upgraded and includes a strobe light feature. Holding rooms have been specifically designated as rooms B20, 136, 148, 236, 259, and 359.</t>
  </si>
  <si>
    <t>This site includes central air within the 2016 addition. Temperature control units have been provided in the classrooms of the 2016 addition. This site does not include central air in the original building. Air-conditioning units have been provided in the classrooms of the original building.</t>
  </si>
  <si>
    <t>56-37 188 Street, Queens, NY 11365</t>
  </si>
  <si>
    <t>The nearest accessible subway station is Main Street Station, (7 train) 2.8 miles distant. MTA bus station (Q17, Q30, and Q88) is also nearby. The main entrance is accessible, located on 188 Street (Exit 1). The accessible entrance includes a ramp, doorbell, reception, and security cameras. The doorbell is within reach range (height 45 inches).</t>
  </si>
  <si>
    <t>This site occupies floors first through second in the building. This site does not include an elevator, preventing access to floors other than the ground floor.</t>
  </si>
  <si>
    <t>Art Room – Room 114</t>
  </si>
  <si>
    <t>Classrooms – Second Floor</t>
  </si>
  <si>
    <t>Computer Rooms – Room 253A</t>
  </si>
  <si>
    <t>The auditorium is accessible and is located on the first floor. Accessible seating is provided. Stage access is provided via lift. The cafeteria is accessible and is located on the first floor. The gymnasium is accessible and is located on the first floor. Assistive listening systems have not been provided in auditorium, cafeteria, gymnasium.</t>
  </si>
  <si>
    <t>There are accessible student bathrooms (boys and girls) available on the first floor. There is an accessible single-user (unisex) bathroom (for student and staff use) available on the first floor.</t>
  </si>
  <si>
    <t>196-25 Peck Avenue, Queens, NY 11365</t>
  </si>
  <si>
    <t xml:space="preserve">The nearest accessible subway station is the 179th Street Station (F train), 2.5 miles distant. MTA bus service (Q30 and Q76) is also nearby. The accessible entrance to Q179 is not the same as the main entrance; the accessible entrance is located on Peck Avenue (Exit 6). The accessible entrance does not include a doorbell, reception, and security cameras. Visitors may need to contact site in advance to gain access to this facility through the accessible entrance. </t>
  </si>
  <si>
    <t>Not Accessibl</t>
  </si>
  <si>
    <t xml:space="preserve">This building is prevented from attaining a higher accessibility rating due to lack of accessible bathrooms throughout the building. There are no accessible student bathrooms available. There are no accessible staff bathrooms available.  </t>
  </si>
  <si>
    <t>320 Beach 104Th Street, Queens, NY 11694</t>
  </si>
  <si>
    <t>The nearest accessible subway station is Rockaway Park Station (A, S trains), 0.9 miles distant; MTA Bus service (M14D, M21) is also nearby and stops in front of the school. The accessible entrance to Q180 is not the same as the main entrance; the accessible entrance is located on Seaside Ave. via a ramp leading to the side entrance of the cafeteria. There is some sidewalk deterioration at the start of the ramp that may present difficulty for some. This site does not include a doorbell, visitors will need to call in advance to gain access to the facility.</t>
  </si>
  <si>
    <t>Access is limited to the ground floor due to a lack of elevators or lifts.</t>
  </si>
  <si>
    <t>This site does not have an elevator, access is limited to the ground floor.</t>
  </si>
  <si>
    <t>This site is moderately accessible; and is prevented from having a higher accessibility rating because it does not have an elevator to provide access to the upper floors in the building.</t>
  </si>
  <si>
    <t>Art Room – Room 140</t>
  </si>
  <si>
    <t>Computer Rooms – Room 300</t>
  </si>
  <si>
    <t>Computer Rooms – Rooms 103, 145, 152, and 162</t>
  </si>
  <si>
    <t>Nurse’s Office – Room 147</t>
  </si>
  <si>
    <t>Science Lab – Rooms 317, and 327</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</si>
  <si>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not been provided in the public assembly areas.</t>
  </si>
  <si>
    <t>Stage access is provided via lift. Accessible seating is</t>
  </si>
  <si>
    <t>There are accessible student bathrooms (boys and girls) available on the first and second floors. There are accessible staff bathrooms (male and female) available on the first floor.</t>
  </si>
  <si>
    <t>Boys Bathrooms – Rooms 138 and 216</t>
  </si>
  <si>
    <t>Boys Bathroom –Third and Fourth Floors</t>
  </si>
  <si>
    <t>Girls Bathrooms – Rooms 135 and 212</t>
  </si>
  <si>
    <t>Girls Bathroom –Third and Fourth Floors</t>
  </si>
  <si>
    <t>Staff Bathrooms – Rooms 136 and 137</t>
  </si>
  <si>
    <t>Fire Alarm System has been updated and includes a strobe light feature. Holding rooms have not been specifically</t>
  </si>
  <si>
    <t>148-15 230 Street, Queens, NY 11413</t>
  </si>
  <si>
    <t>The nearest accessible subway station is Jamaica Center Parsons/Archer Station (E, J, and Z trains), 4.4 miles distant. MTA bus service (Q111) is also nearby. The accessible entrance to Q181 is not the same as the main entrance; the accessible entrance is located on 230th Street (Exit 6). The accessible entrance includes a ramp. The accessible entrance does not include a doorbell, reception, or security cameras; Visitors may need to contact site in advance to gain access to this facility through the accessible entrance.</t>
  </si>
  <si>
    <t>This site occupies first through second floors in the building. One passenger elevator provides access to all floors. Elevator includes audible signals on each floor.</t>
  </si>
  <si>
    <t>E1 Doors: 36 inches, Cab: 51 inches wide, 68 inches deep.</t>
  </si>
  <si>
    <t>Nurse’s Office – Room 122</t>
  </si>
  <si>
    <t>This site has a combined gymnasium and auditorium. The gymatorium is accessible and located on the first floor. Stage access is provided via lift. Accessible seating is provided. The cafeteria is accessible and is located on the first floor. The multi-purpose room is accessible and is located on the first floor. Assistive listening systems have been provided in the auditorium.</t>
  </si>
  <si>
    <t>Accessible seating available upon request. Food service area does not provide a clear path of travel.</t>
  </si>
  <si>
    <t>Boys Bathrooms – Rooms 113 and 213</t>
  </si>
  <si>
    <t>Girls Bathrooms – Rooms 123 and 223</t>
  </si>
  <si>
    <t>Staff Bathrooms – Rooms 129, and 131</t>
  </si>
  <si>
    <t>Single-User (Unisex) Bathrooms – Rooms 101, and 201</t>
  </si>
  <si>
    <t>Single-User (Unisex) Bathrooms – Classrooms 151, 153, 155, 160, 162, 230, 232, 235, 237, 238, 240 and 244</t>
  </si>
  <si>
    <t>Fire alarm system has been upgraded and includes a strobe light feature. Holding rooms or areas of refuge have been specifically designated as rooms 210 and 212.</t>
  </si>
  <si>
    <t>This site includes central air within the 2001 addition. Air-conditioning units have been provided the original building in classrooms.</t>
  </si>
  <si>
    <t>147-26 25 Drive, Queens, NY 11354</t>
  </si>
  <si>
    <t xml:space="preserve">The nearest accessible subway station is Main Street Station (7 train), 1.5 miles distant. MTA bus service (QM20 and Q34) is also nearby. The main entrance of Q185 is accessible, located on 25th Drive (Exit 1). The accessible entrance includes a doorbell, reception, and security cameras. The doorbell is not within reach range (height 58 inches). </t>
  </si>
  <si>
    <t xml:space="preserve">This site is moderately accessible; all classrooms located on the ground floor are accessible and located on accessible routes. </t>
  </si>
  <si>
    <t>Room G7</t>
  </si>
  <si>
    <t>Room G40</t>
  </si>
  <si>
    <t xml:space="preserve">The auditorium is accessible and is located on the first floor. Stage access is provided via a lift. Accessible seating is provided. The cafeteria is accessible and is located on the ground floor. The gymnasium is accessible and is located on the ground floor. Assistive listening systems have not been provided in the public assembly spaces. </t>
  </si>
  <si>
    <t>252-12 72 Avenue, Queens, NY 11426</t>
  </si>
  <si>
    <t xml:space="preserve">The nearest accessible subway station is the 179 Street Station (E and F trains), 4.8 miles distant. MTA bus service (Q36, QM5, QM8, and QM35) is also nearby. The accessible entrance to Q186 is not the same as the main entrance; the accessible entrance is located on 72nd Avenue (Exit 3).  The accessible entrance includes a ramp. The accessible entrance does not include a doorbell and security cameras. Visitors will need to call in advance to gain access. </t>
  </si>
  <si>
    <t xml:space="preserve">Doors: 48 inches, Cab: 62 inches wide, 72 inches deep. </t>
  </si>
  <si>
    <t>Rooms 213 and 233</t>
  </si>
  <si>
    <t>Rooms 101 and 103</t>
  </si>
  <si>
    <t>Rooms 109 (26Q186) and 102 (75Q224)</t>
  </si>
  <si>
    <t>Rooms 106 (26Q186) and 322 (75Q224)</t>
  </si>
  <si>
    <t xml:space="preserve">The auditorium is accessible and is located on the first floor. Stage access is provided from the corridor and includes an automatic door opener. Accessible seating is provided. The cafeteria is accessible and is located on the first floor. The gymnasium is accessible and is located on the first floor. Assistive listening systems have not been provided in the public assembly spaces. </t>
  </si>
  <si>
    <t xml:space="preserve">Stage access from the corridor. Accessible seating is provided. </t>
  </si>
  <si>
    <t xml:space="preserve">There are accessible student bathrooms (boys and girls) available on the first and third floors. There are accessible single-user (unisex) bathrooms (for student and staff use) available on the first, and second floors.   </t>
  </si>
  <si>
    <t>Rooms 156 and 316</t>
  </si>
  <si>
    <t>Rooms 155 and 324</t>
  </si>
  <si>
    <t>Lobby Bathrooms and Room 236</t>
  </si>
  <si>
    <t xml:space="preserve">Fire alarm system has been upgraded and includes a strobe light feature. Areas of rescue have been specifically designated as rooms 214 and 322A. </t>
  </si>
  <si>
    <t>218-12 Hartland Avenue, Queens, NY 11364</t>
  </si>
  <si>
    <t>The nearest accessible subway station is Jamaica Center Station (J, M, and Z trains), 4.2 miles distant. MTA bus service (Q46, QM6, and QM36) is also nearby. The main entrance (Exit 1) is accessible, located on Harland Avenue. The accessible entrance includes a ramp, a doorbell, security cameras, and reception. The doorbell is within reach range (height 41 inches).</t>
  </si>
  <si>
    <t>Doors: 36 inches, Cab: 50 inches wide, 70 inches deep.</t>
  </si>
  <si>
    <t>Art Rooms – Room 119</t>
  </si>
  <si>
    <t>The auditorium is accessible and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t>
  </si>
  <si>
    <t>This site includes exterior recreational spaces. The exterior recreational spaces is not accessible due to changes of elevation. The recreational equipment is not accessible.</t>
  </si>
  <si>
    <t>Fire alarm system has not been upgraded and does not include a strobe light feature. Holding rooms or areas of refuge have not been specifically designated at this site.</t>
  </si>
  <si>
    <t>68-17 Austin Street, Queens, NY 11375</t>
  </si>
  <si>
    <t xml:space="preserve">The nearest accessible subway station is the Forest Hills – 71st Avenue Station (E and F trains), 0.40 miles distant. MTA bus service (Q23, QM12, and QM42) is also nearby. The main entrance of Q190 is accessible, located on 68th Avenue (Exit 1). The accessible entrance includes a ramp, a doorbell, reception, and security cameras. The doorbell is not within reach range (Height 55 inches).  </t>
  </si>
  <si>
    <t>Main lobby</t>
  </si>
  <si>
    <t xml:space="preserve">Rooms 240 and 241 </t>
  </si>
  <si>
    <t>Room 148 (J.H.S. 190)</t>
  </si>
  <si>
    <t xml:space="preserve">The auditorium is accessible and is located on the first floor. Stage access is not provided. Accessible seating is provided. The cafeteria is accessible and is located in the basement. The gymnasium is accessible and is located on the first floor. Assistive listening systems have been provided in the auditorium. </t>
  </si>
  <si>
    <t xml:space="preserve">There are accessible student bathrooms (boys and girls) available on the first and third floors. There is an accessible single-user (unisex) bathroom (for student and staff use) available on the third floor.   </t>
  </si>
  <si>
    <t>Rooms 132 and 332</t>
  </si>
  <si>
    <t>Rooms B11 and 232</t>
  </si>
  <si>
    <t>Rooms 116 and 316</t>
  </si>
  <si>
    <t>Rooms B17 and 216</t>
  </si>
  <si>
    <t>Rooms B9, 112, and 223A</t>
  </si>
  <si>
    <t xml:space="preserve">Fire alarm system has been upgraded and includes a strobe light feature. Holding rooms have been specifically designated as rooms 101, 201, and 301. </t>
  </si>
  <si>
    <t>85-15 258 Street, Queens, NY 11001</t>
  </si>
  <si>
    <t xml:space="preserve">The nearest accessible subway station is Jamaica Center Station (J, M, and Z Trains), 5.7 miles distant. MTA bus service (Q43, X68, N22, and N26) is also nearby. The accessible entrance to Q191 is not the same as the main entrance; the accessible entrance is located on East Williston Avenue (Exit 7). The accessible entrance includes a ramp, doorbell, and security cameras. The doorbell is not within reach range (height 67 inches). </t>
  </si>
  <si>
    <t xml:space="preserve">This site is moderately accessible; all classrooms located on the first floor are accessible and are on accessible routes.  </t>
  </si>
  <si>
    <t>Room 112 (26Q191)</t>
  </si>
  <si>
    <t>Room 220 (75Q993)</t>
  </si>
  <si>
    <t>Room 115 (75Q993)</t>
  </si>
  <si>
    <t>Room 215 (26Q191)</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</si>
  <si>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t>
  </si>
  <si>
    <t>253-50 149 Avenue, Queens, NY 11422</t>
  </si>
  <si>
    <t xml:space="preserve">The nearest accessible subway station is the Sutphin Boulevard – Archer Avenue - JFK Station (E, J and Z trains), 7.6 miles distant. MTA bus service (X63) is also nearby. The accessible entrance to Q195 is not the same as the main entrance; the accessible entrance is located on 149th Road (Exit 7).  The accessible entrance includes a ramp and doorbell. The doorbell is not within reach range (height 56 inches). </t>
  </si>
  <si>
    <t>Some water fountains and other wall-mounted objects protrude into the corridors more than 4 inches, which may present difficulties for individuals with visual disabilities. Braille signs are included throughout the 2001 addition. Braille signs are not included throughout the original building.</t>
  </si>
  <si>
    <t xml:space="preserve">E1 
Doors: 36 inches, Cabs: 65 inches wide, 49 inches deep. </t>
  </si>
  <si>
    <t>Room 122AE</t>
  </si>
  <si>
    <t>This site does not include a gymnasium; the auditorium fulfills this function. The auditorium is accessible and is located on the first floor. Stage access is not provided. Accessible seating is provided. The cafeteria is accessible and is located on the first floor. The multi-purpose room is accessible and located on the first floor. Assistive listening systems have been provided in the auditorium and multi-purpose room.</t>
  </si>
  <si>
    <t>There are accessible staff bathrooms (male and female) available on the second floor. There are accessible single-user (unisex) bathrooms (for student and staff use) available on the second floor. There are accessible single-user (unisex) bathrooms (for student and staff use) available in all the classrooms of the 2001 addition.</t>
  </si>
  <si>
    <t>Rooms 113 and 213</t>
  </si>
  <si>
    <t>Rooms 207-1 and 207-2</t>
  </si>
  <si>
    <t>Classrooms 136, 138, 140, 142, 144, 232, 234, 236, 238, 240, 242, 244, 243, 245, and 247</t>
  </si>
  <si>
    <t>Fire alarm system has been upgraded and includes a strobe light feature. Holding rooms have been specifically designated as room 247.</t>
  </si>
  <si>
    <t>This site includes central air in the addition constructed in 2001. The original building does not include central air. Air-conditioning units have been provided in classrooms.</t>
  </si>
  <si>
    <t>71-25 113 Street, Queens, NY 11375</t>
  </si>
  <si>
    <t>The nearest accessible subway station is the Forest Hills–71st Avenue Station (E and F trains), 0.3 miles distant. MTA bus service (Q64, Q60, and QM18) is also nearby. The main entrance is accessible, located on 113th Street (Exit 14). The accessible entrance includes a doorbell, security cameras, and reception. The doorbell is within reach range (height 46 inches).</t>
  </si>
  <si>
    <t>Four passenger elevators provide access to all floors. Elevators include audible signals on each floor.</t>
  </si>
  <si>
    <t>E1 and E2: Doors: 48 inches, Cabs: 66 inches wide, 92 inches deep. E3: Doors: 81 inches, Cab: 81 inches wide, 83 inches deep. E4: - Doors: 48 inches, Cab: 62 inches wide, 90 inches deep.</t>
  </si>
  <si>
    <t>Art Room – Room 222</t>
  </si>
  <si>
    <t>Computer Rooms – Room 219</t>
  </si>
  <si>
    <t>Library – Room B1</t>
  </si>
  <si>
    <t>Science Lab – Room 332</t>
  </si>
  <si>
    <t>The auditorium is accessible and is located on the first floor. Stage access is not provided. Accessible seating is not provided. The cafeteria is accessible and is located on the ground floor. The gymnasium is accessible and is located on the ground floor. Assistive listening systems have been provided in the cafeteria.</t>
  </si>
  <si>
    <t>There are accessible student bathrooms (boys and girls) available on all floors. Accessible single-user (unisex) bathrooms (available for students and staff) are available in the basement and first through third floors. There are accessible single-user (unisex) bathrooms (available for students) available in some classrooms in the basement, and on first and second floors.</t>
  </si>
  <si>
    <t>Boys Bathrooms – Rooms B7, 27, 65, 165, 227, 265, and 325</t>
  </si>
  <si>
    <t>Girls Bathrooms – Rooms B9, B69, 29, 169, 229, 269, and 327</t>
  </si>
  <si>
    <t>Single-User (Unisex) Bathrooms – Rooms B68, 63, 126, and 263</t>
  </si>
  <si>
    <t>Single-User (Unisex) Bathrooms – Classrooms B26, B66, B67, B68, 122, 132, 133, 134, 135, 235, 236, and 241</t>
  </si>
  <si>
    <t>This site does include exterior recreational spaces. The exterior recreational spaces are accessible. The recreational equipment is not accessible.</t>
  </si>
  <si>
    <t>Fire alarm system has been upgraded and includes a strobe light feature. Holding rooms or areas of refuge have been specifically designated as rooms B62, 22, 162, 241, 262, and 341.</t>
  </si>
  <si>
    <t>The site includes central air in the 2011 and 2022 additions. This site does not include central air in the original building. Air-conditioning units have been provided in classrooms in the original building.</t>
  </si>
  <si>
    <t>825 Hicksville Road, Queens, NY 11691</t>
  </si>
  <si>
    <t>The nearest accessible subway station is the Far Rockaway Mott Avenue Station (A trains), 0.7 miles distant. MTA bus service (Q114) is also nearby. The accessible entrance to Q197 is not the same as the main entrance; the accessible entrance is located on Beach 8th street (Exit #XX).  The accessible entrance does not include a doorbell or security camera feature.</t>
  </si>
  <si>
    <t xml:space="preserve">Located in rear of building. </t>
  </si>
  <si>
    <t>This site does not include an elevator.</t>
  </si>
  <si>
    <t xml:space="preserve">This site offers limited accessibility, no classrooms are located on accessible routes.  </t>
  </si>
  <si>
    <t>The auditorium is not accessible and is located on the first floor. Stage access is not provided. Accessible seating is not provided. The cafeteria is accessible and is located on the Basement floor. The gymnasium is not accessible and is located on the first floor. Assistive listening systems have not been provided in the public assembly spaces.</t>
  </si>
  <si>
    <t xml:space="preserve">There are no accessible bathrooms (student and staff) on all floors. </t>
  </si>
  <si>
    <t xml:space="preserve">Fire alarm system has not been upgraded and does not include a strobe light feature. Holding rooms or areas of refuge have not been specifically designated. </t>
  </si>
  <si>
    <t>Christopher Mangiero</t>
  </si>
  <si>
    <t>3-65 Beach 56 Street, Queens, NY 11692</t>
  </si>
  <si>
    <t xml:space="preserve">The nearest accessible subway station is Far Rockaway Mott Avenue Station (A train), 2.1 miles distant. MTA bus service (Q22 and QM17) is also nearby. The accessible entrance to Q198 is not the same as the main entrance; the accessible entrance is located on Beach 56th Street. The accessible entrance includes security cameras and a ramp. The accessible entrance does not include a doorbell. Visitors may need to contact site in advance to gain access to the facility through the accessible entrance. </t>
  </si>
  <si>
    <t>Room 209A</t>
  </si>
  <si>
    <t xml:space="preserve">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spaces. </t>
  </si>
  <si>
    <t xml:space="preserve">There are accessible student bathrooms (girls and boys) available on the first floor. There are accessible staff bathrooms (men and women) available on the first floor. </t>
  </si>
  <si>
    <t>39-20 48 Avenue, Queens, NY 11104</t>
  </si>
  <si>
    <t>The nearest accessible subway station is 61st Street - Woodside Station (7 train), 1.3 miles distant. MTA bus service (Q39 and B24) is also nearby. The accessible entrance of Q199 is not the same as the main entrance; the accessible entrance is located on 39th Street (Exit 6). The accessible entrance includes security cameras. The accessible entrance does not include a doorbell. Visitors may need to contact the site prior in order to gain access into the facility.</t>
  </si>
  <si>
    <t>Door: 42 inches, Cab: 40 inches wide, 65 inches deep.</t>
  </si>
  <si>
    <t>The auditorium is accessible and is located on the first floor. Stage access is not provided. Accessible seating is provided. The gymnasium is accessible and is located on the first floor. The cafeteria is accessible and is located on the first floor. Assistive listening systems have been provided in the auditorium.</t>
  </si>
  <si>
    <t>Stage access is not provided. Accessible seating is provided. Assistive listening system have been provided.</t>
  </si>
  <si>
    <t>There are accessible student bathrooms (boys and girls) available on the first and second floors. There are accessible single-user (unisex) bathrooms (for student and staff use) available on all floors.</t>
  </si>
  <si>
    <t>Boys Bathrooms – Rooms 101 and 201</t>
  </si>
  <si>
    <t>Boys Bathrooms – Room 301</t>
  </si>
  <si>
    <t>Girls Bathrooms – Rooms 113 and 213</t>
  </si>
  <si>
    <t>Staff Bathrooms – Rooms 111, 114, 119, 159, and 202</t>
  </si>
  <si>
    <t>Single-User Bathrooms – Second Floor and Room 304</t>
  </si>
  <si>
    <t>Fire alarm system has been upgraded and includes a strobe light feature. Holding rooms have been specifically designated as rooms 216B and 316B.</t>
  </si>
  <si>
    <t>138-30 Lafayette Street, Queens, NY 11417</t>
  </si>
  <si>
    <t xml:space="preserve">The nearest accessible subway station is Aqueduct Racetrack Station (A train), 0.7 miles distant. MTA bus service (Q41, Q7, and Q11) is also nearby. The main entrance to building Q202 is accessible, located on Lafayette Street (Exits 1 and 2). The accessible entrance includes a ramp, a doorbell, and security cameras. The doorbell is not within reach range (height 50 Inches). Once inside the building, a stair lift provides access to the main corridor level over a change in elevation (9 steps). Be advised that the front desk will need to call for assistance from the custodial engineers in order to operate the lift; visitors should call in advance for access to this facility. </t>
  </si>
  <si>
    <t>A passenger elevator on site provides access to all floors in the building. Elevators include audible signals on each floor.</t>
  </si>
  <si>
    <t>Doors: 42 Inches, Cab: 93 Inches deep, 84 Inches wide.</t>
  </si>
  <si>
    <t>This site is moderately accessible, all classrooms are accessible and located on accessible routes. There are no accessible student bathrooms in the building, but there are accessible staff bathrooms on the first and second floors.</t>
  </si>
  <si>
    <t>Rooms B35, 235, and 237</t>
  </si>
  <si>
    <t>Rooms 130 (27Q202), and 144 (27Q308)</t>
  </si>
  <si>
    <t>Clear path of travel obstructed by furniture.</t>
  </si>
  <si>
    <t>The auditorium is accessible and is located on the first floor. The auditorium provides stage access from the corridor and accessible seating. The cafeteria in the basement is accessible. The gymnasium located on the first floor is accessible. Assistive listening systems have not been provided in the public assembly areas.</t>
  </si>
  <si>
    <t>Accessible seating is provided. Access to stage from corridor.</t>
  </si>
  <si>
    <t>There are no accessible student bathrooms in the building, but there are accessible staff bathrooms on the first and second floors.</t>
  </si>
  <si>
    <t>Basement, and Third Floors</t>
  </si>
  <si>
    <t>Fire Alarm System is a legacy system that does not include a strobe light feature. No fire safety rooms have been specifically designated.</t>
  </si>
  <si>
    <t>61-02 98 Street, Queens, NY 11374</t>
  </si>
  <si>
    <t>The nearest accessible subway station is the Forest Hills – 71 Ave Station (E, F, M and R trains), 1.3 miles distant. MTA bus service (Q88, Q38, QM12, and QM42) is also nearby. The accessible entrance to Q206 is not the same as the main entrance; the accessible entrance is located on 98th street (Exit 8). The accessible entrance includes a ramp. The accessible entrance does not include a doorbell, reception, or security cameras; visitors may need to contact the site in advance to gain access to this facility through the accessible entrance.</t>
  </si>
  <si>
    <t>Located at the accessible entrance (Exit 8).</t>
  </si>
  <si>
    <t>This site occupies floors first through third in the building. This site does not include an elevator, preventing access to floors other than the first floor.</t>
  </si>
  <si>
    <t>Classrooms – All Other Floors</t>
  </si>
  <si>
    <t>Computer Rooms – Rooms 200</t>
  </si>
  <si>
    <t>Does not Exist</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</si>
  <si>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been provided in the auditorium, and cafeteria.</t>
  </si>
  <si>
    <t>There are accessible student bathrooms (boys and girls) available on the first floor. There are accessible single-user (unisex) bathrooms (for student and staff use) available on the first floor.</t>
  </si>
  <si>
    <t>Boys Bathrooms – Room 110</t>
  </si>
  <si>
    <t>Boys Bathrooms – Rooms 210, and 310</t>
  </si>
  <si>
    <t>Bathrooms are ADA accessible but not on an accessible route due to lack of elevator in building.</t>
  </si>
  <si>
    <t>Girls Bathrooms – Room 122</t>
  </si>
  <si>
    <t>Girls Bathrooms – Room 212, and 312</t>
  </si>
  <si>
    <t>Staff Bathrooms – Rooms 114, and 208</t>
  </si>
  <si>
    <t>Single-User (Unisex) Bathrooms – Rooms 100, and 102</t>
  </si>
  <si>
    <t>This site includes exterior recreational spaces. The exterior recreational spaces are not accessible. The</t>
  </si>
  <si>
    <t>recreational equipment is not accessible.</t>
  </si>
  <si>
    <t>159-15 88 Street, Queens, NY 11414</t>
  </si>
  <si>
    <t>The nearest accessible subway station is Howard Beach JFK Airport Station (A train), 1.3 miles distant. MTA bus service (Q21 and Q41) is also nearby. The accessible entrance to Q207 is not the same as the main entrance; the accessible entrance is located on 89th Street (Exit 4). The accessible entrance includes security cameras, doorbell, and a ramp. The doorbell is not within reach range (height 58 inches).</t>
  </si>
  <si>
    <t>Non- compliant door hardware present throughout building.</t>
  </si>
  <si>
    <t>This site is moderately accessible; all classrooms on the first floor are accessible and are located on accessible routes.</t>
  </si>
  <si>
    <t>Art Room – Room 325</t>
  </si>
  <si>
    <t>Classrooms – Second through Third Floors</t>
  </si>
  <si>
    <t>Computer Rooms – Room 317</t>
  </si>
  <si>
    <t>Library – Room 229</t>
  </si>
  <si>
    <t>Nurse’s Office – Room 115</t>
  </si>
  <si>
    <t>Boys Bathroom – Room 110</t>
  </si>
  <si>
    <t>Boys Bathrooms – Rooms 140, 216, and 310</t>
  </si>
  <si>
    <t>Girls Bathroom – Room 116</t>
  </si>
  <si>
    <t>Girls Bathrooms – Rooms 136, 222, and 322</t>
  </si>
  <si>
    <t>Staff Bathrooms – Rooms 130, 132, 142, 203, 303, and 307</t>
  </si>
  <si>
    <t>Single-User (Unisex) Bathroom – Room 115</t>
  </si>
  <si>
    <t>Room 115 is located in the nurse’s office.</t>
  </si>
  <si>
    <t>Single-User (Unisex) Bathrooms – Classrooms 102, 104, 106, and 108</t>
  </si>
  <si>
    <t>74-30 Commonwealth Blvd, Queens, NY 11426</t>
  </si>
  <si>
    <t xml:space="preserve">The nearest accessible subway station is the Jamaica Center – Parsons/Archer Station (F, J, and Z trains), 5.5 miles distant. MTA bus service (Q46) is also nearby. The main entrance of Q208 is accessible, located off Commonwealth Street within educational campus building Primary/Intermediate 208 (Exit 1). The accessible entrance includes a doorbell, reception, and security cameras. The doorbell is located within reach range (Height 47 inches). </t>
  </si>
  <si>
    <t xml:space="preserve">Two passenger elevator provides access to all floors. Elevators include audible signals on each floor.  </t>
  </si>
  <si>
    <t xml:space="preserve">E1 and E2 
Doors: 42 inches, Cabs: 79 inches wide, 64 inches deep. </t>
  </si>
  <si>
    <t>Rooms 311 and 313</t>
  </si>
  <si>
    <t>Rooms 130 (75Q993), and 113 (29Q208)</t>
  </si>
  <si>
    <t>Rooms 110 and 223</t>
  </si>
  <si>
    <t>Rooms 315, 319, and 323</t>
  </si>
  <si>
    <t xml:space="preserve">The auditorium is accessible and is located on the first floor. Stage access is provided via lift and ramp. Accessible seating is provided. The cafeteria is accessible and is located on the first floor. The gymnasium is accessible and is located on the first floor. Assistive listening systems have been provided in the cafeteria.  </t>
  </si>
  <si>
    <t xml:space="preserve">Stage access is provided via lift and ramp. Accessible seating is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</si>
  <si>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some classrooms on the first and second floors. </t>
  </si>
  <si>
    <t>Rooms 114A, 124, 224, and 324</t>
  </si>
  <si>
    <t>Rooms 114B, 126, 226, and 326</t>
  </si>
  <si>
    <t>Rooms 110, 122, 128, 222, and 322</t>
  </si>
  <si>
    <t xml:space="preserve">Room 110 is located in the nurse’s office. </t>
  </si>
  <si>
    <t>Classrooms 101, 102 and 106, 103, 105, 107, 117, 119, 121. 123, 140, 145, 147, 148, 201, 202, and 203</t>
  </si>
  <si>
    <t xml:space="preserve">Fire alarm system has been upgraded and includes a strobe light feature. Holding rooms have been specifically designated as rooms 202 and 302. </t>
  </si>
  <si>
    <t>16-10 Utopia Parkway, Queens, NY 11357</t>
  </si>
  <si>
    <t>The nearest accessible subway station is the Main Street Station (7 train), 2.9 miles distant. MTA bus service (Q16 and QM20) is also nearby. The main entrance of Q209 is accessible, located on 16 Avenue (Exit 1). The accessible entrance does not include a doorbell and security cameras. Visitors may need to contact site in advance to gain access to this facility through the accessible entrance.</t>
  </si>
  <si>
    <t>Doorway is 31.5 Feet Wide.</t>
  </si>
  <si>
    <t>Rooms 301 and 306B</t>
  </si>
  <si>
    <t>Room 126 and 318</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</si>
  <si>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cafeteria and gymnasium. </t>
  </si>
  <si>
    <t xml:space="preserve">This building is prevented from receiving a higher accessibility rating due to lack of accessible bathrooms throughout the building. There are no accessible student bathrooms available on all floors. There are no accessible staff bathrooms available on all floors. </t>
  </si>
  <si>
    <t>Room 120, and 122</t>
  </si>
  <si>
    <t>This site includes exterior recreational spaces. The exterior recreational spaces are accessible. The recreational equipment is not accessible</t>
  </si>
  <si>
    <t>93-11 101 Avenue, Queens, NY 11416</t>
  </si>
  <si>
    <t xml:space="preserve">The nearest accessible subway station is Aqueduct Racetrack Station (A train), 1.2 miles distant. MTA bus service (Q11 and Q8) is also nearby. The main entrance of Q210 is accessible, located on 101st Street (Exit 6). The accessible entrance includes reception and security cameras. The accessible entrance does not include a doorbell. </t>
  </si>
  <si>
    <t xml:space="preserve">Doors: 47 inches, Cabs: 69 inches wide, 111 inches deep. </t>
  </si>
  <si>
    <t>Rooms 140 and 144</t>
  </si>
  <si>
    <t>Rooms 227 and 230</t>
  </si>
  <si>
    <t xml:space="preserve">There are accessible student bathrooms (girls) available on the first and third floors. There are accessible single-user (unisex) bathrooms (for student and staff use) available on the first and second floors. </t>
  </si>
  <si>
    <t>34-25 82 Street, Queens, NY 11372</t>
  </si>
  <si>
    <t xml:space="preserve">The nearest accessible subway station is the Junction Boulevard Station (7 train), 1.1 miles distant. MTA bus service (Q49, and Q32) is also nearby. The main entrance of Q212 is accessible, located on 82nd Street (Exit # 1). The accessible entrance does include a doorbell, and security cameras. The doorbell is within reach range (Height 48 Inches). </t>
  </si>
  <si>
    <t xml:space="preserve">E1; Doors: 42 Inches, Cabs: 77 Inches wide, 50 Inches deep. 
E2; Doors: 42 Inches, Cabs: 77 Inches wide, 50 Inches deep. </t>
  </si>
  <si>
    <t>Room B03</t>
  </si>
  <si>
    <t>Room B05</t>
  </si>
  <si>
    <t>Room B34</t>
  </si>
  <si>
    <t xml:space="preserve"> Includes an accessible single-user restroom. </t>
  </si>
  <si>
    <t xml:space="preserve">The auditorium is accessible and is located on the first floor. Stage access is provided via the corridor. Accessible seating is provided. The cafeteria is accessible and is located on the first floor. The gymnasium is accessible and is in the sub-basement. Assistive listening systems have been provided in the auditorium, cafeteria, and gymnasium. </t>
  </si>
  <si>
    <t xml:space="preserve">There are accessible student bathrooms (boys and girls) available on all floors. There are accessible single-user (unisex) bathrooms (for student and staff use) available in classrooms 219, 216, 207, 209, and 201. There are accessible single-user (unisex) bathrooms (for student and staff use) available on all floors.   </t>
  </si>
  <si>
    <t>Rooms 406, 311, In Cafeteria, In Gymnasium, and B16</t>
  </si>
  <si>
    <t>Rooms 408, 313, In Cafeteria, In Gymnasium, and B20</t>
  </si>
  <si>
    <t>Rooms 420, 323, 215, 120, and B14</t>
  </si>
  <si>
    <t>Classrooms 219, 216, 207, 209, and 201</t>
  </si>
  <si>
    <t xml:space="preserve">Fire alarm system has been upgraded and includes a strobe light feature. Holding rooms have been specifically designated as rooms 413, 318, 219, 109, C06, and SB-25. </t>
  </si>
  <si>
    <t>231-02 67 Avenue, Queens, NY 11364</t>
  </si>
  <si>
    <t>The nearest accessible subway station is Jamaica Center Station (J, M, and Z trains), 5.2 miles distant. MTA bus service (Q30, QM5, QM8, and QM35) is also nearby. The accessible entrance to Q213 is not the same as the main entrance; the accessible entrance is located on 230th Street (Exit 6). The accessible entrance includes a doorbell and security cameras. The doorbell is within reach range (height 44 inches). Visitors may need to contact site in advance to gain access to this facility through the accessible entrance.</t>
  </si>
  <si>
    <t>Braille signs are included throughout the building. Some water fountains and other wall-mounted objects may protrude into the corridors more than 4 inches, which may present difficulties for individuals with visual disabilities.</t>
  </si>
  <si>
    <t>Art Room – Room 205</t>
  </si>
  <si>
    <t>Computer Room – Room 104</t>
  </si>
  <si>
    <t>Library – Room 212 and 214</t>
  </si>
  <si>
    <t>Main Office – Rooms 126 and 325</t>
  </si>
  <si>
    <t>Nurse’s Office – Rooms 103 and 303</t>
  </si>
  <si>
    <t>The auditorium is accessible is located on the first floor. Stage access is provided via a lift. Accessible seating is provided. The cafeteria is accessible and is located on the first floor. The gymnasium is accessible and is located on the first floor. Assistive listening systems have been provided in the auditorium.</t>
  </si>
  <si>
    <t>Stage access is provided via a lift. Accessible seating is provided. Assistive listening systems have been provided.</t>
  </si>
  <si>
    <t>There are accessible student bathrooms (boys) available on the first and third floors. There are accessible student bathrooms (girls) available on the first floor. There are no accessible staff bathrooms (male and female) available.</t>
  </si>
  <si>
    <t>Boys Bathrooms – Rooms 115 and 315</t>
  </si>
  <si>
    <t>Boys Bathroom – Room 215</t>
  </si>
  <si>
    <t>Girls Bathroom – Room 121</t>
  </si>
  <si>
    <t>535 Briar Place, Queens, NY 11691</t>
  </si>
  <si>
    <t xml:space="preserve">The nearest accessible subway station is Far Rockaway Mott Avenue Station (A train), 0.5 miles distant. MTA bus service (Q22) is also nearby. The accessible entrance to Q215 is not the same as the main entrance; the accessible entrance is located on Brookhaven Avenue (Exit 4), adjacent to the main entrance. The accessible entrance includes a ramp. The accessible entrance does not include reception or security cameras. The doorbell is within reach range (height 36 inches). </t>
  </si>
  <si>
    <t xml:space="preserve">One passenger elevator provides access throughout the building. Elevator does not include audible signals on each floor. </t>
  </si>
  <si>
    <t>Doors: 41 inches, Cab: 54 inches wide, 80 inches deep.</t>
  </si>
  <si>
    <t>64-20 175 Street, Queens, NY 11365</t>
  </si>
  <si>
    <t>The nearest accessible subway station is the Main St (7 train), 2.90 miles distant. MTA bus service (Q17 and Q88) is also nearby. The main entrance to Q216 is not the same as the accessible entrance; the accessible entrance is located on 174th Street (Exit 6). The accessible entrance includes a ramp, but no doorbell. Visitors may need to contact site prior to gain access to this facility through the accessible entrance.</t>
  </si>
  <si>
    <t>Room 248</t>
  </si>
  <si>
    <t>Room 316</t>
  </si>
  <si>
    <t>The auditorium is located on the first floor and is accessible. Stage access is not provided. Accessible seating is provided. The cafeteria is located in the basement and is not accessible due to a change in elevation. The gymnasium is accessible and located on the first floor. Assistive listening systems have not been provided in the public assembly spaces.</t>
  </si>
  <si>
    <t>Change of elevation (14 Steps)</t>
  </si>
  <si>
    <t>Rooms 134, 234 and 334</t>
  </si>
  <si>
    <t>Rooms 105, 205 and 305</t>
  </si>
  <si>
    <t>85-05 144 Street, Queens, NY 11435</t>
  </si>
  <si>
    <t xml:space="preserve">The nearest accessible subway station is the Sutphin Boulevard–Archer Avenue–JFK station (E and J trains), 0.8 miles distant. MTA bus service (Q20A, Q20B, and Q60) is also nearby. The main entrance of Q217 is accessible, located on 144th Street (Exit 16). The accessible entrance includes a ramp, doorbell, and security cameras. The doorbell is within reach range (height 37 inches). </t>
  </si>
  <si>
    <t xml:space="preserve">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  </t>
  </si>
  <si>
    <t xml:space="preserve">Doors: 42 inches, Cab: 57 inches wide, 81 inches deep. </t>
  </si>
  <si>
    <t>Room B29</t>
  </si>
  <si>
    <t xml:space="preserve">There are accessible student bathrooms (boys and girls) available on all floors. </t>
  </si>
  <si>
    <t>Rooms 113, 213, and 319</t>
  </si>
  <si>
    <t>Rooms 112, 219, and 313</t>
  </si>
  <si>
    <t xml:space="preserve">Fire alarm system has been upgraded and includes a strobe light feature. Holding rooms have been specifically designated as rooms 203 and 308. </t>
  </si>
  <si>
    <t>62-10 108 Street, Queens, NY 11375</t>
  </si>
  <si>
    <t>https://nycdoe.sharepoint.com/:w:/s/BAP/EZcxbJdLXbBGtGvwqRnVwggB3_xHoWQz5ShVP92HcrWJYg</t>
  </si>
  <si>
    <t>57-40 Marathon Parkway, Queens, NY 11362</t>
  </si>
  <si>
    <t>The nearest accessible subway station is the Flushing – Main Street Station (7 trains), 5.15 miles distant. MTA bus service (Q30, QM5, QM8, and QM35) is also nearby. The accessible entrance to Q221 is not the same as the main entrance; the accessible entrance is located on 60th Avenue (Exit 2). The accessible entrance includes a ramp. The accessible entrance does not include a doorbell, reception, or security cameras; visitors may need to contact the site in advance to gain access to this facility through the accessible entrance.</t>
  </si>
  <si>
    <t>Ramp located at the accessible entrance-Exit 2.</t>
  </si>
  <si>
    <t>This site occupies floors basement through second in the building. This site does not include an elevator, preventing access to floors other than the first floor.</t>
  </si>
  <si>
    <t>Art Rooms – Rooms G-10</t>
  </si>
  <si>
    <t>Computer Rooms – Rooms 112</t>
  </si>
  <si>
    <t>Library – Room 114</t>
  </si>
  <si>
    <t>The auditorium is accessible and is located on the first floor. Stage access is provided via the corridor. Accessible seating is provided. The cafeteria is accessible and is located on the first floor. The gymnasium is accessible and is located on the first floor. Assistive listening systems have been provided in the auditorium, gymnasium, and cafeteria.</t>
  </si>
  <si>
    <t>Stage access is provided via the corridor. Accessible seating is provided. Assistive listening systems have been provided.</t>
  </si>
  <si>
    <t>There are accessible student bathrooms (boys and girls) available on the first floor. There are no accessible staff bathrooms in the building.</t>
  </si>
  <si>
    <t>Boys Bathrooms – Room 121</t>
  </si>
  <si>
    <t>Boys Bathrooms – Room 221</t>
  </si>
  <si>
    <t>Girls Bathrooms – Room 115</t>
  </si>
  <si>
    <t>Staff Bathrooms – Rooms 126 and 128</t>
  </si>
  <si>
    <t>86-15 37 Avenue, Queens, NY 11372</t>
  </si>
  <si>
    <t xml:space="preserve">The nearest accessible subway station is the Jackson Boulevard Station (7 train), 0.56 miles distant. MTA bus service (Q49) is also nearby. The main entrance of Q222 is accessible, located on 37th Avenue (Exit 1). The accessible entrance includes a doorbell and reception. The doorbell is within reach range (Height 47 inches). The accessible entrance does not include security cameras. </t>
  </si>
  <si>
    <t xml:space="preserve">E1 and E2 
Doors: 36 inches, Cabs: 66 inches wide, 51 inches deep. </t>
  </si>
  <si>
    <t xml:space="preserve">This site does not include an auditorium or gymnasium; the cafeteria fulfills these functions. The cafeteria is accessible and is located on the first floor. Assistive listening systems have been provided in the cafeteria. </t>
  </si>
  <si>
    <t xml:space="preserve">There are accessible student bathrooms (boys and girls) available on the first floor. There are accessible single-user (unisex) bathrooms (for student and staff use) available on all floors. There are accessible single-user (unisex) bathrooms (for student and staff use) available in some classrooms on the third and fourth floors. </t>
  </si>
  <si>
    <t>Room 104B</t>
  </si>
  <si>
    <t>Rooms C15, 103, 111, 204, 205A, 304, 308, and 404</t>
  </si>
  <si>
    <t xml:space="preserve">Available to students and staff. Room 111 is located in the nurse’s office. </t>
  </si>
  <si>
    <t>Classrooms 201 and 203, 202 and 204, Third-floor and Fourth-floor Classrooms</t>
  </si>
  <si>
    <t xml:space="preserve">Fire alarm system has been upgraded and includes a strobe light feature. Holding rooms have been specifically designated as rooms 201 and 301. </t>
  </si>
  <si>
    <t>125-20 Sutphin Boulevard, Queens, NY 11434</t>
  </si>
  <si>
    <t>The nearest accessible subway station is Sutphin Boulevard Station (E and J trains), 2.1 miles distant. MTA bus service (Q7, and Q6) is also nearby. The main entrance is accessible, located on Sutphin Boulevard (Exit 1). The accessible entrance includes a doorbell and security cameras. The doorbell is within reach range (height 32 inches).</t>
  </si>
  <si>
    <t>Doors: 42 inches, Cab: 56 inches wide, 61 inches deep.</t>
  </si>
  <si>
    <t>Main Office – Room 101 and 203</t>
  </si>
  <si>
    <t>Nurse’s Office- Room 103</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</si>
  <si>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not been provided in the public assembly spaces.</t>
  </si>
  <si>
    <t>Access is provided via corridor. Accessible seating is provided.</t>
  </si>
  <si>
    <t>There are accessible student bathrooms (boys and girls) available on the first and second floors.</t>
  </si>
  <si>
    <t>Boys Bathrooms – Rooms 111 and 218</t>
  </si>
  <si>
    <t>Boys Bathrooms – Rooms 318</t>
  </si>
  <si>
    <t>Girls Bathrooms – Room 110 and 216</t>
  </si>
  <si>
    <t>Girls Bathrooms – Rooms 316</t>
  </si>
  <si>
    <t>Fire alarm system has been upgraded and includes a strobe light feature. Holding rooms have been specifically designated as rooms 302 and 202.</t>
  </si>
  <si>
    <t>This site does not include central air; Air-conditioning units are provided in classrooms.</t>
  </si>
  <si>
    <t>121-10 Rockaway Boulevard, Queens, NY 11420</t>
  </si>
  <si>
    <t>The nearest accessible subway station is Aqueduct Racetrack Station. (A train), 1.3 miles distant. MTA bus service (Q7 and Q10) is also nearby. The main entrance is accessible, located on Rockaway Boulevard. The accessible entrance includes security cameras, a doorbell, and reception. The doorbell is within reach range (height 32 inches).</t>
  </si>
  <si>
    <t>Braille signs are provided throughout the addition.</t>
  </si>
  <si>
    <t>Two passenger elevators provide access to all floors. Elevator A provides access from first floor to fourth floor of the original building. Elevator B provides access from the first floor to the third floor of the 2000 addition. Elevators include audible signals on each floor. Interior ramps connect the second and third floors of the original building to the 2000 addition.</t>
  </si>
  <si>
    <t>Elevator A: Door: 40 inches; Cab: 67 inches wide, 55 inches deep. Elevator B: Door: 35 inches; Cab: 55 inches wide, 67 inches deep.</t>
  </si>
  <si>
    <t>Ramps are located on the second and third floors connecting the original building to the 2000 addition.</t>
  </si>
  <si>
    <t>Art Rooms – Rooms 239 and 441</t>
  </si>
  <si>
    <t>Computer Rooms – Rooms 282 and 439</t>
  </si>
  <si>
    <t>Main Office – Rooms 103, 381, 286 and 403</t>
  </si>
  <si>
    <t>Nurse’s Office – Rooms 117A and 378</t>
  </si>
  <si>
    <t>Science Lab – Rooms 205, 207, 305, 307, 405, and 407</t>
  </si>
  <si>
    <t>The auditorium is accessible and is located on the first floor. The auditorium provides access to the stage from the corridor. Accessible seating is provided. The cafeteria is accessible and is located on the first floor. The gymnasium is accessible and is located on the second floor. Assistive listening systems have not been provided in the public assembly areas.</t>
  </si>
  <si>
    <t>Accessible seating is provided. Stage access is provided via corridor.</t>
  </si>
  <si>
    <t>There are accessible student (girls and boys) bathrooms available on the first through third floors. There are accessible staff bathrooms (male and female) available on the first floor. There are accessible single-user (unisex) bathrooms (for student and staff use) available on the first floor.</t>
  </si>
  <si>
    <t>Staff Bathrooms – Rooms 157, and 159</t>
  </si>
  <si>
    <t>Fire alarm system has been upgraded and includes a strobe light feature. Holding rooms have been specifically designated as rooms 245, 347, and 445.</t>
  </si>
  <si>
    <t>32-02 Junction Boulevard, Queens, NY 11369</t>
  </si>
  <si>
    <t>The nearest accessible subway station is Junction Boulevard Station (7 train), 0.6 miles distant. MTA bus service (Q72 and Q66) is also nearby. The main entrance of Q227 is accessible, located on 32nd Avenue (Exit 3). The accessible entrance includes a ramp, doorbell, reception, and security cameras. The doorbell is not within reach range (height 65 inches).</t>
  </si>
  <si>
    <t>Rounded Ramp, with minor sidewalk degradation. A secondary entrance is provided from yard to second floor gymnasium.</t>
  </si>
  <si>
    <t>Doors: 41 inches, Cab: 78 inches wide, 48 inches deep.</t>
  </si>
  <si>
    <t>First floor ramp provides access from lobby to back of building for access to auditorium and band rooms. Second floor ramp provides access to gymnasium.</t>
  </si>
  <si>
    <t>Art Rooms – Rooms 125, 129, and 131</t>
  </si>
  <si>
    <t>Main Office – Room 137</t>
  </si>
  <si>
    <t>Nurse’s Office – Room 149</t>
  </si>
  <si>
    <t>Science Lab – Rooms 246, 248, 346, 348, 446, and 448</t>
  </si>
  <si>
    <t>There are accessible student bathrooms (girls and boys) available on the first, third, and fourth floors. There are accessible single-user (unisex) bathrooms (for student and staff use) available on the first, third, and fourth floors.</t>
  </si>
  <si>
    <t>Boys Bathroom – Rooms 114, 338, and 438</t>
  </si>
  <si>
    <t>Boys Bathroom – Rooms 128, 243, 343, and 443</t>
  </si>
  <si>
    <t>Girls Bathroom – Rooms 118, 236, 336, and 436</t>
  </si>
  <si>
    <t>Girls Bathroom – Rooms 126, 245, 345, and 445</t>
  </si>
  <si>
    <t>Staff Bathroom – Rooms 136F, 140M, 331M, and 331F</t>
  </si>
  <si>
    <t>Single-User (Unisex) Bathroom – Rooms 106, 108, 209, 211, 229, 431F, and 431M</t>
  </si>
  <si>
    <t>Room 106 and 431M include adult size changing tables. Room 431F includes a child size changing table.</t>
  </si>
  <si>
    <t>Fire alarm system has been upgraded and includes a strobe light feature. Holding rooms have been specifically designated as rooms 217, 241, 317, 341, 417, and 441.</t>
  </si>
  <si>
    <t>32-63 93 Street, Queens, NY 11369</t>
  </si>
  <si>
    <t xml:space="preserve">The nearest accessible subway station is the Junction Boulevard Station (7 train), 0.7 miles distant. MTA bus service (Q66 and Q72) is also nearby. The main entrance of Q228 is accessible, located on 93rd Street (Exit 1). The accessible entrance does include a doorbell, and security cameras. The doorbell is not within reach range (Height 51 Inches). </t>
  </si>
  <si>
    <t xml:space="preserve">E1; Doors: 41 Inches, Cabs: 80 Inches wide, 60 Inches deep. 
E2; Doors: 41 Inches, Cabs: 60 Inches wide, 75 Inches deep. </t>
  </si>
  <si>
    <t xml:space="preserve">This site does not include an auditorium; the multi-purpose room fulfills this function. The multi-purpose room is accessible and is located on the third floor. Stage access is provided via lift. Accessible seating is provided. The cafeteria is accessible and is located on the first floor. Assistive listening systems have been provided in the multi-purpose room, and cafeteria. </t>
  </si>
  <si>
    <t xml:space="preserve">There are accessible single-user (unisex) bathrooms (for student and staff use) available in the classrooms. There are accessible single-user (unisex) bathrooms (for student and staff use) available on the first floor.   </t>
  </si>
  <si>
    <t>Rooms 113 and 115, 203 and 201, 214 and 212, 211 and 209, 311 and 310, 308 and 307, 302 and 301</t>
  </si>
  <si>
    <t>Classrooms 118, 121, 123, 208, 309, and 312</t>
  </si>
  <si>
    <t xml:space="preserve">Fire alarm system has been upgraded and includes a strobe light feature. Holding rooms have been specifically designated as rooms 214, and 311. </t>
  </si>
  <si>
    <t>67-25 51 Road, Queens, NY 11377</t>
  </si>
  <si>
    <t xml:space="preserve">The nearest accessible subway station is Roosevelt Avenue–Jackson Station (7, E, F, and R trains), 1.1 miles distant. MTA bus service (Q18 and Q47) is also nearby. The main entrance is accessible, located on Maurice Avenue. The accessible entrance includes a ramp, security cameras, and reception. The accessible entrance does not include security cameras or a doorbell.  </t>
  </si>
  <si>
    <t>Major sidewalk degradation and ramp does not include a level landing area.</t>
  </si>
  <si>
    <t>Doors: 41 inches, Cabs: 79 inches wide, 56 inches deep.</t>
  </si>
  <si>
    <t>Rooms 125, 225, and 258</t>
  </si>
  <si>
    <t xml:space="preserve">The auditorium is accessible and is located on the ground floor. Stage access is provided via lift. Accessible seating is provided. The cafeteria is accessible and is located on the ground floor. The gymnasium is accessible and is located on the ground floor. The multi-purpose room is accessible and is located on the ground floor. Assistive listening systems have not been provided in the public assembly areas. </t>
  </si>
  <si>
    <t xml:space="preserve">There are accessible student bathrooms (girls and boys) available on the ground floor. There are accessible single-user (unisex) bathrooms (for student and staff use) available in some classrooms on the ground through second floors.  </t>
  </si>
  <si>
    <t>Room G30</t>
  </si>
  <si>
    <t>Room G32</t>
  </si>
  <si>
    <t>Ground through Second Floors</t>
  </si>
  <si>
    <t xml:space="preserve">Located inside classrooms in the 1999 addition.  </t>
  </si>
  <si>
    <t>Fire alarm system has been upgraded and includes a strobe light feature. Holding rooms have been specifically designated as rooms 222 and 322.</t>
  </si>
  <si>
    <t>73-10 34 Avenue, Jackson Heights, NY 11372</t>
  </si>
  <si>
    <t xml:space="preserve">The nearest accessible subway station is the Roosevelt Avenue – Jackson Heights Station (7, E, F, M, and R trains), 0.42 miles distant. MTA bus service (Q47) is also nearby. The main entrance of Q230 is accessible, located on 34th Avenue (Exit 1). The accessible entrance includes a ramp, a doorbell, security cameras, and reception. The doorbell is slightly not within reach range (Height 49 inches). </t>
  </si>
  <si>
    <t xml:space="preserve">Ramp is 35 inches wide, which may pose difficulties for some. </t>
  </si>
  <si>
    <t xml:space="preserve">The auditorium is accessible and is located on the first floor. Stage access is provided via ramp. Accessible seating is provided. The cafeteria is accessible and is located on the first floor. The gymnasium is accessible and is located on the fourth floor. Assistive listening systems have been provided in the auditorium. </t>
  </si>
  <si>
    <t xml:space="preserve">There are accessible student bathrooms (boys and girls) available on the second through fourth floors. There are accessible single-user (unisex) bathrooms (for student and staff use) available in the cellar, and on the first, third, and fourth floors.   </t>
  </si>
  <si>
    <t>Rooms 211, 319, 410, and 421A</t>
  </si>
  <si>
    <t xml:space="preserve"> Rooms 212, 320, 406A, and 411</t>
  </si>
  <si>
    <t>Rooms C14, C15, 121, 136, 137, 302, 422, and 423</t>
  </si>
  <si>
    <t xml:space="preserve">Room 121 is located in the nurse’s office, Room 120. </t>
  </si>
  <si>
    <t xml:space="preserve">Fire alarm system has been upgraded and includes a strobe light feature. Holding rooms have been specifically designated as rooms 222 and 230. </t>
  </si>
  <si>
    <t>145-00 Springfield Boulevard, Queens, NY 11413</t>
  </si>
  <si>
    <t xml:space="preserve">The nearest accessible subway station is the Aqueduct Racetrack Station (A train), 4.70 miles distant. MTA bus service (S Counduit Av/221 St and Springfield Bl/145 Av) is also nearby. Building Q231 is tandem with building Q251. The accessible entrance to Q231 is not the same as the main entrance; the accessible entrance is located at the main entrance of Q251 on Arthur Street (Exit 1). The accessible entrance includes a ramp and reception.  </t>
  </si>
  <si>
    <t>A change of elevation occurs in the corridor located on the first floor where building Q231 connects with building Q251 and this prevents access to some program areas located in building Q251. Braille signs are not included throughout the building.</t>
  </si>
  <si>
    <t>A change in elevation (9 steps) on the first floor prevents access to some program areas and public assembly areas.</t>
  </si>
  <si>
    <t>This site offers limited accessibility; all classrooms are not accessible due to lack of accessible entrance at this site.</t>
  </si>
  <si>
    <t>Room 231/233</t>
  </si>
  <si>
    <t>Room 126 (29Q356) and Room 226 (29Q355)</t>
  </si>
  <si>
    <t>Rooms 102, 108, 209 and 309</t>
  </si>
  <si>
    <t>The auditorium is located on the first floor and is not accessible. Stage access is not provided. Accessible seating is provided. The cafeteria is accessible and located on the first floor. The gymnasium is located on the first floor and is not accessible. Assistive listening systems have not been provided in the public assembly spaces.</t>
  </si>
  <si>
    <t>Accessible via Exit 4 only; change in elevation in the corridor (11 steps) prevents internal access. Accessible seating available upon request.</t>
  </si>
  <si>
    <t>Rooms 179 and 279</t>
  </si>
  <si>
    <t>Rooms 173 and 273</t>
  </si>
  <si>
    <t>Rooms 175, 177, 275 and 277</t>
  </si>
  <si>
    <t>153-23 83 Street, Queens, NY 11414</t>
  </si>
  <si>
    <t xml:space="preserve">The nearest accessible subway station is Aqueduct Racetrack Station (A train), 1.4 miles distant. MTA bus service (Q21 and Q41) is also nearby. The main entrance is accessible, located on 83rd Street (Exit 1). The accessible entrance includes reception and security cameras. The accessible entrance does not include a doorbell. </t>
  </si>
  <si>
    <t xml:space="preserve">Some water fountains and other wall-mounted objects may protrude in the corridors more than 4 inches, which may present difficulties for individuals with visual disabilities. Braille signs are not included throughout the building.  </t>
  </si>
  <si>
    <t>This site is moderately accessible, all classrooms located on the first floor are accessible and located on accessible routes.</t>
  </si>
  <si>
    <t>Room 117B</t>
  </si>
  <si>
    <t>Rooms 302 and 324</t>
  </si>
  <si>
    <t xml:space="preserve">The auditorium is accessible and is located on the first floor. Stage access is provided via corridor. Accessible seating is not provided. The cafeteria is accessible and is located on the first floor. The gymnasium is accessible and is located on the first floor. Assistive listening systems have not been provided in the public assembly spaces. </t>
  </si>
  <si>
    <t>Stage access is provided via corridor. Accessible seating is not provided.</t>
  </si>
  <si>
    <t xml:space="preserve">There are accessible single-user (unisex) bathrooms (for student and staff use) located on the first floor.  </t>
  </si>
  <si>
    <t>30-15 29 Street, Queens, NY 11102</t>
  </si>
  <si>
    <t xml:space="preserve">The nearest accessible subway station is the 21st Street – Queensbridge Station (F train), 1.34 miles distant. MTA bus service (Q18 and Q102) is also nearby. The main entrance of Q234 is accessible, located on 29th Street (Exit 1). The accessible entrance includes a ramp, a doorbell, security cameras, and reception. The doorbell is within reach range Height 47 Inches). </t>
  </si>
  <si>
    <t xml:space="preserve">Some door saddles are high, which may be difficult for some users to navigate. Braille signs are not included throughout the building. </t>
  </si>
  <si>
    <t xml:space="preserve">E1 and E2 
Doors: 42 Inches, Cabs: 80 Inches wide, 50 Inches deep. </t>
  </si>
  <si>
    <t>Rooms 315 and 422</t>
  </si>
  <si>
    <t xml:space="preserve">Room 138 (P.S. 234); Room 428 (I.S. 235) </t>
  </si>
  <si>
    <t xml:space="preserve">The auditorium is accessible and is located on the first floor. Stage access is provided at grade. Accessible seating is provided. The cafeteria is accessible and is located on the first floor. The gymnasium is accessible and is located in the basement. Assistive listening systems have been provided in the cafeteria. </t>
  </si>
  <si>
    <t xml:space="preserve">Stage access is provided at grade. Accessible seating is provided.  </t>
  </si>
  <si>
    <t xml:space="preserve">There are accessible student bathrooms (boys and girls) available in the basement, and on the first, third, and fourth floors. There are accessible staff bathrooms (male and female) available on the first floor. There are accessible single-user (unisex) bathrooms (for student and staff use) available on the first through fourth floors, and in several classrooms on the second and third floors. There are accessible multi-user bathrooms available in several classrooms on the first and second floors. </t>
  </si>
  <si>
    <t>Rooms C05A, 153D, 327, and 427</t>
  </si>
  <si>
    <t>Rooms C05B, 153C, 323, and 423</t>
  </si>
  <si>
    <t>Rooms 105 and 109</t>
  </si>
  <si>
    <t>Rooms 100/102A, 202/204A, 247/251A, 200A, 253A</t>
  </si>
  <si>
    <t xml:space="preserve">Multi-user, available to students and staff. Rooms ending with “A” are located inside corresponding classrooms.  </t>
  </si>
  <si>
    <t>110, 112, 146A, 210, 212, 232A, 238A, 239A, 320A, 332A, 338A. 339A, 344A, 310, 312, 320A, 410, and 412</t>
  </si>
  <si>
    <t xml:space="preserve">Rooms ending with “A” are located inside corresponding classrooms. Room 146A is located in the nurse’s office. </t>
  </si>
  <si>
    <t>46-21 Colden Street, Queens, NY 11355</t>
  </si>
  <si>
    <t xml:space="preserve">The nearest accessible subway station is Main Street Station, (7 train) 0.9 miles distant. MTA bus (Q17, Q25, Q27, and Q34) is also nearby. The accessible entrance to Q237 is not the same as the main entrance; the accessible entrance is located on Juniper Avenue. The accessible entrance includes a ramp and a doorbell. The doorbell is within reach range (height 44 inches).  </t>
  </si>
  <si>
    <t xml:space="preserve">Door: 46 inches, Cab: 56 inches deep, 72 inches wide. </t>
  </si>
  <si>
    <t>Rooms 110 and 318</t>
  </si>
  <si>
    <t>Rooms 113 (25Q237) and 426 (25Q281)</t>
  </si>
  <si>
    <t>Rooms 210, 212, 310, 312, 410, and 412</t>
  </si>
  <si>
    <t xml:space="preserve">The auditorium is accessible and is located on the first floor. Stage access is provided from the corridor. Accessible seating is not provided. The cafeteria is accessible and is located on the first floor. The gymnasium is accessible and is located on the first floor. The multi-purpose room is accessible and is located on the first floor. Assistive listening systems have not been provided in the public assembly areas. </t>
  </si>
  <si>
    <t xml:space="preserve">Stage access is provided from the corridor. Accessible seating is not provided. </t>
  </si>
  <si>
    <t xml:space="preserve">There are accessible student bathrooms (girls and boys) available on the second through fourth floors. There is an accessible staff bathroom (female) available on the first floor. </t>
  </si>
  <si>
    <t>88-15 182 Street, Queens, NY 11423</t>
  </si>
  <si>
    <t xml:space="preserve">The nearest accessible subway station is Jamaica Center Station (E, J, and Z trains), 1.5 miles distant. MTA bus service (Q1, Q2, Q3, Q17, and Q36) is also nearby. The accessible entrance to Q238 is not the same as the main entrance; the accessible entrance is located on 89th Avenue (Exit 3). The accessible entrance includes security cameras and a doorbell. The doorbell is not within reach range (height 57 inches). </t>
  </si>
  <si>
    <t>Doors: 43 inches, Cab: 64 inches wide, 76 inches deep.</t>
  </si>
  <si>
    <t>Rooms 131 and 227</t>
  </si>
  <si>
    <t xml:space="preserve">The auditorium is accessible and is located on the second floor. Accessible seating is provided. Stage access is not provided. The cafeteria is accessible and is located on the ground floor. The gymnasium is accessible and is located on the ground floor. Assistive listening systems have been provided in the auditorium. </t>
  </si>
  <si>
    <t xml:space="preserve">There are accessible student bathrooms (girls and boys) available on the first through third floors. </t>
  </si>
  <si>
    <t>Fire alarm system has been upgraded and includes a strobe light feature. Fire holding rooms or areas of refuge have been specifically designated as rooms 217 and 317.</t>
  </si>
  <si>
    <t>17-15 Weirfield Street, Queens, NY 11385</t>
  </si>
  <si>
    <t>The nearest accessible subway station is the Myrtle – Wyckoff Avenues Station (L and M trains), 0.40 miles distant. MTA bus service (B38 and Q55) is also nearby. The main entrance of Q239 is accessible, located on Weirfield Street (Exit 2). The accessible entrance includes a doorbell, reception, and security cameras. The doorbell is within reach range (Height 48 inches)</t>
  </si>
  <si>
    <t xml:space="preserve">E1 and E2 
Doors: 36 inches, Cabs: 67 inches wide, 50 inches deep. </t>
  </si>
  <si>
    <t>Rooms 310 and 310B</t>
  </si>
  <si>
    <t>Room 104 (P.S. 239); Room 204 (P75Q)</t>
  </si>
  <si>
    <t>Room 214A</t>
  </si>
  <si>
    <t xml:space="preserve">The auditorium is accessible and is located on the first floor. Stage access is provided at floor-level. Accessible seating is provided. The cafeteria is accessible and is located on the first floor. The gymnasium is accessible and is located on the second floor. Assistive listening systems have been provided in the auditorium, cafeteria, and gymnasium. </t>
  </si>
  <si>
    <t xml:space="preserve">Stage access at floor-level.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</si>
  <si>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second- and third-floor classrooms.  There are accessible multi-user (unisex) bathrooms (for student use) available in some first- and second-floor classrooms. </t>
  </si>
  <si>
    <t>Rooms 121, 221, and 321</t>
  </si>
  <si>
    <t>Rooms 120, 220, 322, and 420</t>
  </si>
  <si>
    <t>Rooms 103C, 121A, 223, 324, and 423</t>
  </si>
  <si>
    <t xml:space="preserve">Available to students and staff. Room 103C is located in the nurse’s office. </t>
  </si>
  <si>
    <t>Classrooms 201A, 203A, 205A, 207A, 209A, 210A, 301A, 303A, 305A, 307A, 309A, 313A, 314A, 315A, and 316A</t>
  </si>
  <si>
    <t xml:space="preserve">Located inside corresponding classrooms. Available to students and staff. </t>
  </si>
  <si>
    <t xml:space="preserve">Classrooms 107 and 109, 211 and 213, and 216 and 218 </t>
  </si>
  <si>
    <t xml:space="preserve">Fire alarm system has been upgraded and includes a strobe light feature. Holding rooms have been specifically designated as rooms 109, 201, 216, 301, 316, 401, and 416. </t>
  </si>
  <si>
    <t>29-66 137 Street, Queens, NY 11354</t>
  </si>
  <si>
    <t>The nearest accessible subway station is the Main Street Station (7 train), 0.7 miles distant. MTA bus service (Q24, Q34, A50, QM2, and QM20) is also nearby. The main entrance to building Q242 is accessible, located on 137th Street (Exit 1). The accessible entrance includes ramps, a doorbell and security cameras. The doorbell is not within reach range (height 49 inches).</t>
  </si>
  <si>
    <t>Slight cross slope</t>
  </si>
  <si>
    <t>Doors: 36 Inches; Cabs: 68 Inches wide, 51 Inches deep.</t>
  </si>
  <si>
    <t>Art Room – Room 106</t>
  </si>
  <si>
    <t>This site does not include an auditorium or a gymnasium; the cafeteria fulfills these functions. The cafeteria is accessible and is located on the first floor. The cafeteria does not include a stage. Assistive listening systems have been provided in the cafeteria.</t>
  </si>
  <si>
    <t>Accessible student bathrooms (boys and girls) are available on all floors. Accessible single-user (unisex) bathrooms (students and staff) are available on all floors.</t>
  </si>
  <si>
    <t>Girls Bathroom - First Floor</t>
  </si>
  <si>
    <t>Fire Alarm System includes a strobe light feature. Holding rooms are designated at this site (Rooms 201, and 301).</t>
  </si>
  <si>
    <t>137-20 Franklin Avenue, Queens, NY 11355</t>
  </si>
  <si>
    <t xml:space="preserve">The nearest accessible subway station is the Main Street Station (7 train), 0.5 miles distant. MTA bus service (Q20A and Q20B) is also nearby. The main entrance is accessible, located on Franklin Avenue (Exit 1). The accessible entrance includes security cameras and reception. The accessible entrance does not include a doorbell. </t>
  </si>
  <si>
    <t xml:space="preserve">Doors: 48 inches, Cabs: 77 inches wide, 67 inches deep. </t>
  </si>
  <si>
    <t xml:space="preserve">This site does not include an auditorium or a gymnasium; the multi-purpose room fulfills these functions. The multi-purpose room is accessible and is located on the first floor. The multi-purpose room does not include a stage. Accessible seating is provided. The cafeteria is accessible and is located in the basement. Assistive listening systems have been provided in the multi-purpose room. </t>
  </si>
  <si>
    <t xml:space="preserve">The multi-purpose room does not include a stage. Accessible seating is provided. Assistive listening systems have been provided. </t>
  </si>
  <si>
    <t xml:space="preserve">There are accessible student bathrooms (boys and girls) available in all classrooms on all floors. There are accessible single-user (unisex) bathrooms (for student and staff use) available on all floors.  </t>
  </si>
  <si>
    <t>Rooms 103, 211, 311, and 411</t>
  </si>
  <si>
    <t xml:space="preserve">Fire alarm system has been upgraded and includes a strobe light feature. Holding rooms or areas of refuge have been specifically designated as rooms 108, 208, 308 and 408. </t>
  </si>
  <si>
    <t>378 Seneca Avenue, Queens, NY 11385</t>
  </si>
  <si>
    <t xml:space="preserve">The nearest accessible subway station is the Myrtle – Wyckoff Avenues Station (L and M trains), 0.53 miles distant. MTA bus service (B38) is also nearby. The main entrance of Q245 is accessible, located on Seneca Avenue (Exit 1). The accessible entrance includes a lift, a doorbell, reception, and security cameras. The doorbell is not within reach range (Height 55 inches). </t>
  </si>
  <si>
    <t xml:space="preserve">The basement is the ground floor at this site. First floor is located above-ground. Braille signs are included throughout the building but are mounted outside of acceptable reach range and require remediation. </t>
  </si>
  <si>
    <t xml:space="preserve">E1 and E2 
Doors: 42 inches, Cabs: 78 inches wide, 56 inches deep. </t>
  </si>
  <si>
    <t>Rooms B05 and 207</t>
  </si>
  <si>
    <t xml:space="preserve">This site does not include an auditorium; the cafeteria fulfills this function. The cafeteria is accessible and is located in the basement. Stage access is not provided. Accessible seating is provided. The multi-purpose room is accessible and is located on the first floor. Assistive listening systems have been provided in the cafeteria and multi-purpose room. </t>
  </si>
  <si>
    <t xml:space="preserve">Accessible seating available upon request. Stage access not provided. Assistive listening systems have been provided. </t>
  </si>
  <si>
    <t xml:space="preserve">There are accessible single-user (unisex) bathrooms (for student and staff use) available on all floors. There are accessible single-user (unisex) bathrooms (for student and staff use) available in some classrooms on the first through third floors. There are accessible multi-user (unisex) bathrooms (for student use) available in some first- and second-floor classrooms.   </t>
  </si>
  <si>
    <t>Rooms B02A, B02B, 105, 107, 113, 115B, 207A, and 310</t>
  </si>
  <si>
    <t xml:space="preserve">Available to students and staff. Room 115B is located in the nurse’s office. </t>
  </si>
  <si>
    <t xml:space="preserve">Classrooms 101A, 207A, 209A, 211A, 213A, 216A, 301A, 302A, 303A, 304A, 305A, 308A, 311A, 313A, 315A, 316A, 102 and 108, 201 and 205, and 202 and 210 </t>
  </si>
  <si>
    <t xml:space="preserve">Located inside corresponding classrooms. Available to students and staff. Room 311A is located in the library. </t>
  </si>
  <si>
    <t xml:space="preserve">Fire alarm system has been upgraded and includes a strobe light feature. Holding rooms have been specifically designated as rooms 216 and 316. </t>
  </si>
  <si>
    <t>69-10 65Th Drive, Queens, NY 11379</t>
  </si>
  <si>
    <t>The nearest accessible subway station is Middle Village – Metropolitan Avenue Station (M train), 0.24 miles distant. MTA bus service (Q38 and Q67) is also nearby. The main entrance of Q247 is accessible, located on 69th Place (Exit 1). The accessible entrance includes a doorbell and reception. The accessible entrance does not include security cameras. The doorbell is slightly not within reach range (height 49 inches).</t>
  </si>
  <si>
    <t xml:space="preserve">Some door saddles are high, which may be difficult for some users to navigate. Braille signs are included throughout the building. </t>
  </si>
  <si>
    <t>E1 and E2; Doors: 47 inches, Cab: 73 inches wide, 64 inches deep.</t>
  </si>
  <si>
    <t>Rooms 105 (24Q128) and 206 (75Q255)</t>
  </si>
  <si>
    <t>Rooms 202 and 403A</t>
  </si>
  <si>
    <t>The auditorium is accessible and is located in the cellar. Stage access is provided via corridor. Accessible seating is provided. The cafeteria is accessible and is located in the cellar. The gymnasium is accessible and is located on the second floor. Assistive listening systems have been provided in the auditorium and gymnasium.</t>
  </si>
  <si>
    <t>Rooms C10A, 117, 133B, 217, 233B, 317, 333B, 417, and 433B</t>
  </si>
  <si>
    <t>Rooms C10B, 109, 133G, 207, 233B, 307, 333G, 407, 433G</t>
  </si>
  <si>
    <t>Rooms C11, C13, 107, 119, 123A, 205, 219, 305, 319, 405 and 419</t>
  </si>
  <si>
    <t xml:space="preserve">Room 123A is located in the nurse’s office. </t>
  </si>
  <si>
    <t xml:space="preserve">Fire alarm system has been upgraded and includes a strobe light feature. Holding rooms have been specifically designated as rooms C07, 112, 216, 316, and 416. </t>
  </si>
  <si>
    <t>144-51 Arthur Street, Queens, NY 11413</t>
  </si>
  <si>
    <t>The nearest accessible subway station is the Aqueduct Racetrack Station (A train), 4.70 miles distant. MTA bus service (Q85) is also nearby. Building Q251 is tandem with building Q231. The main entrance to building Q251 is accessible, located on Arthur Street (Exit 1). The accessible entrance includes a ramp and reception. The accessible entrance does not include a doorbell or security cameras.</t>
  </si>
  <si>
    <t>A change of elevation in the first-floor corridor prevents access to some program areas located in building Q231. Braille signs are not included throughout the building.</t>
  </si>
  <si>
    <t>A change in elevation (9 steps) on the first floor prevents access to some program areas.</t>
  </si>
  <si>
    <t>Doors: 42 inches; Cab: 47 inches wide, and 78 inches deep.</t>
  </si>
  <si>
    <t>Art Rooms – Room 282</t>
  </si>
  <si>
    <t>Classrooms – First and Second Floors</t>
  </si>
  <si>
    <t>Computer Room – Room 256</t>
  </si>
  <si>
    <t>Library – Room 272</t>
  </si>
  <si>
    <t>Main Office – Room 154</t>
  </si>
  <si>
    <t>Nurse’s Office – Room 260</t>
  </si>
  <si>
    <t>This site does not include an auditorium or gymnasium; the auditorium and gymnasium located in building Q231 fulfill these functions. The cafeteria is accessible and is located in the basement. Assistive listening systems have not been provided in the public assembly spaces.</t>
  </si>
  <si>
    <t>Cafeteria – Room 176/178</t>
  </si>
  <si>
    <t>Accessible seating available upon request. Accessible from Exit 4 only.</t>
  </si>
  <si>
    <t>Boys Bathrooms – Rooms B23, 111, 211, and 311</t>
  </si>
  <si>
    <t>Girls Bathrooms – Rooms B21, 115, 215, and 315</t>
  </si>
  <si>
    <t>Staff Bathrooms – Rooms 134, 138, 333, and 335</t>
  </si>
  <si>
    <t>Single-User (Unisex) – Rooms 210, and 223</t>
  </si>
  <si>
    <t>1307 Central Avenue, Queens, NY 11691</t>
  </si>
  <si>
    <t xml:space="preserve">The nearest accessible subway station is the Far Rockaway - Mott Av Station (A train), 0.5 miles distant. Nassau bus service (N31 and N32) is also nearby. The main entrance of Q253 is accessible, located on 13-07 Central Ave Street (Exit 1). The accessible entrance includes a doorbell and reception. The doorbell is within reach range (Height 46 inches). </t>
  </si>
  <si>
    <t xml:space="preserve">E1  
Doors: 42 inches, Cabs: 48 inches wide, 72 inches deep. 
E2 
Doors: 48 inches, Cabs: 60 inches wide, 96 inches deep. </t>
  </si>
  <si>
    <t>Room 108 and 212</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</si>
  <si>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floor.   </t>
  </si>
  <si>
    <t>Classrooms 114A and 116A</t>
  </si>
  <si>
    <t xml:space="preserve">Fire alarm system has been upgraded and includes a strobe light feature. Holding rooms have been specifically designated as rooms 222 and 314. </t>
  </si>
  <si>
    <t>84-40 101 Street, Queens, NY 11418</t>
  </si>
  <si>
    <t xml:space="preserve">The nearest accessible subway station is the Union Turnpike – Kew Gardens Station (E and F trains), 1.45 miles distant. MTA bus service (Q56) is also nearby. The main entrance of Q254 is accessible, located on 101st Street (Exit 1). The accessible entrance includes a doorbell and reception. The doorbell is within reach range (Height 48 inches). The accessible entrance does not include security cameras. </t>
  </si>
  <si>
    <t xml:space="preserve">E1 and E2 
Doors: 48 inches, Cabs: 91 inches wide, 62 inches deep. </t>
  </si>
  <si>
    <t>Rooms 229 and 415</t>
  </si>
  <si>
    <t>Rooms 104 and 231</t>
  </si>
  <si>
    <t>Rooms 221 and 301</t>
  </si>
  <si>
    <t xml:space="preserve">The auditorium is accessible and is located on the first floor. Stage access is provided via corridor. Accessible seating is provided. The cafeteria is accessible and is located on the first floor. The gymnasium is accessible and is located on the second floor. Assistive listening systems have been provided in the auditorium. </t>
  </si>
  <si>
    <t xml:space="preserve">There are accessible student bathrooms (boys and girls) available on all floors. There are accessible staff bathrooms (male and female) available on the first floor. There are accessible single-user (unisex) bathrooms (for student and staff use) available on the third and fourth floors. There are accessible single-user (unisex) bathrooms (for student and staff use) available in the classrooms on the second and third floors.  </t>
  </si>
  <si>
    <t>Rooms 101B, Second Floor Next To Gym 201, Third Floor Next To Medical Office 301, and Fourth Floor Next To Library</t>
  </si>
  <si>
    <t>Rooms 101C, Second Floor next to Gym 201, Third Floor next to Medical Office 301, and Fourth Floor Next To Library</t>
  </si>
  <si>
    <t>Rooms Next To First Floor Cafeteria, and Room 101I</t>
  </si>
  <si>
    <t>Room 301C, Third Floor Next To Room 331, and Fourth Floor Next To Room 431</t>
  </si>
  <si>
    <t xml:space="preserve">Room 301C is located in the nurse’s office. </t>
  </si>
  <si>
    <t>Classrooms 17, 125, 201, 212A, 214, 216, 218, 225, 229, 302, 306, 310, 312, 314, 317, 319, and 325</t>
  </si>
  <si>
    <t xml:space="preserve">Fire alarm system has been upgraded and includes a strobe light feature. Holding rooms have been specifically designated as rooms 118, 218, 318, and 418. </t>
  </si>
  <si>
    <t>40-20 100Th Street, Queens, NY 11368</t>
  </si>
  <si>
    <t xml:space="preserve">The nearest accessible subway station is the Junction Boulevard Station (7 train), 0.2 miles distant. MTA bus service (Q72, and Q23) is also nearby. The main entrance of Q260 is accessible, located on 100th Street (Exit 3). The accessible entrance includes a doorbell and security cameras. The doorbell is within reach range (Height 46 inches). </t>
  </si>
  <si>
    <t xml:space="preserve">E1; Doors: 72 Inches, Cab: 89 Inches wide, 71 Inches deep. 
E2; Doors: 47 Inches, Cab: 66 Inches wide, 71 Inches deep. </t>
  </si>
  <si>
    <t>Rooms 109 (P.S. 307), and 201 (P.S. Q255)</t>
  </si>
  <si>
    <t>Rooms 308, 408, and 508</t>
  </si>
  <si>
    <t xml:space="preserve">The auditorium is accessible and is located on the first floor. Stage access is provided via ramp. Accessible seating is provided. The cafeteria is accessible and is located on the first floor. The gymnasium is accessible and is located on the second floor. Assistive listening systems have not been provided in the public assembly spaces.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</si>
  <si>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first-floor classrooms. </t>
  </si>
  <si>
    <t>Rooms 128A, 102, 202, 230C, 302, 402, and 502</t>
  </si>
  <si>
    <t>Rooms 128B, 104, 204, 230D, 204, 404, and 504</t>
  </si>
  <si>
    <t>Rooms 105, 222, 301A, 401A, and 501B</t>
  </si>
  <si>
    <t>Classrooms 106A, 108A, and 110</t>
  </si>
  <si>
    <t xml:space="preserve">This site does include exterior recreational spaces. The exterior recreational spaces are accessible. The recreational equipment is accessible. </t>
  </si>
  <si>
    <t xml:space="preserve">Fire alarm system has been upgraded and includes a strobe light feature. Holding rooms have been specifically designated as rooms 201B, 303, 403, and 503. </t>
  </si>
  <si>
    <t>95-16 89Th Avenue, Queens, NY 11421</t>
  </si>
  <si>
    <t xml:space="preserve">The nearest accessible subway station is the Lefferts Boulevard Station (A train), 1.26 miles distant. MTA bus service (Q11, Q21, Q56, Q52-SBS, and Q53-SBS) is also nearby. The main entrance of Q262 is accessible, located on 89th Avenue (Exit 1). The accessible entrance includes a doorbell and reception. The doorbell is slightly not within reach range (Height 50 inches). The accessible entrance does not include security cameras. </t>
  </si>
  <si>
    <t xml:space="preserve">E1 and E2 
Doors: 42 inches, Cabs: 76 inches wide, 53 inches deep. </t>
  </si>
  <si>
    <t xml:space="preserve">This site does not include an auditorium or gymnasium; the multi-purpose room fulfills these functions. The multi-purpose room is accessible and is located on the first floor. Stage access is not provided. Accessible seating is provided. The cafeteria is accessible and is located in the cellar. Assistive listening systems have been provided in the multi-purpose room. </t>
  </si>
  <si>
    <t xml:space="preserve">Stage access not provided. Accessible seating is provided. Assistive listening systems have been provided. </t>
  </si>
  <si>
    <t xml:space="preserve">There are accessible single-user (unisex) bathrooms (for student and staff use) available on all floors. There are accessible single-user (unisex) bathrooms (for student and staff use) available in classrooms on the first through third floors.  </t>
  </si>
  <si>
    <t>Rooms C02A, C02B, 109, 111, 114B, 207A, and 310</t>
  </si>
  <si>
    <t xml:space="preserve">Room 114B is located in the nurse’s office. </t>
  </si>
  <si>
    <t xml:space="preserve">Classrooms 101A, 102A, 105, 201A, 202A, 209A, 213A, 216A, 301A, 302A, 303A, 304A, 305A, 308A, 311A, 313A, 315A, 316A </t>
  </si>
  <si>
    <t>222-14 Jamaica Avenue, Queens, NY 11428</t>
  </si>
  <si>
    <t xml:space="preserve">The nearest accessible subway station is the Jamaica Center – Parsons/Archer Station (E, J, and Z trains), 3.9 miles distant. MTA bus service (Q36 and n24) is also nearby. The main entrance of Q263 is accessible, located on Jamaica Avenue (Exit 3). The accessible entrance includes a doorbell, reception, and security cameras. The doorbell is located within reach range (Height 45 inches). </t>
  </si>
  <si>
    <t xml:space="preserve">E1 and E2 
Doors: 48 inches, Cabs: 78 inches wide, 88 inches deep. </t>
  </si>
  <si>
    <t xml:space="preserve">Room 401 </t>
  </si>
  <si>
    <t>Room 104 (29Q295) and 220 (75Q177)</t>
  </si>
  <si>
    <t>Room 102 (29Q295) and 219 (75Q177)</t>
  </si>
  <si>
    <t xml:space="preserve">The auditorium is accessible and is located on the first floor. Stage access is provided via a ramp. Accessible seating is provided. The cafeteria is accessible and is located in the basement. The gymnasium is accessible and is located on the first floor. Assistive listening systems have been provided in the auditorium, cafeteria, and gymnasium.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</si>
  <si>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some classrooms on the first and second floors.     </t>
  </si>
  <si>
    <t>Rooms B21B, 103, 209, 309, and 409</t>
  </si>
  <si>
    <t>Rooms B21A, 105, 215, 315, and 415</t>
  </si>
  <si>
    <t>Rooms B19A, B19B, 112, 114, 211, 213, 311, 313, 411, and 413</t>
  </si>
  <si>
    <t>Classrooms 106 and 108, 113, 115, 117 and 119, 206, 208, 210, 221, 223, and 225</t>
  </si>
  <si>
    <t xml:space="preserve">Fire alarm system has been upgraded and includes a strobe light feature. Holding rooms have been specifically designated as rooms 206, 302, and 406. </t>
  </si>
  <si>
    <t>74-10 Commonwealth Boulevard, Queens, NY 11426</t>
  </si>
  <si>
    <t xml:space="preserve">The nearest accessible subway station is the Jamaica Center – Parsons/Archer Station (F, J, and Z trains), 5.5 miles distant. MTA bus service (Q46) is also nearby. The main entrance of Q266 is accessible, located off Commonwealth Street within educational campus building Primary/Intermediate School 266 (Exit 1). The accessible entrance includes a doorbell, reception, and security cameras. The doorbell is located within reach range (Height 48 inches). </t>
  </si>
  <si>
    <t xml:space="preserve">E1 and E2 
Doors: 42 inches, Cabs: 64 inches wide, 80 inches deep. </t>
  </si>
  <si>
    <t>Rooms 113 (26Q266) and 134 (75Q224)</t>
  </si>
  <si>
    <t>Rooms 321 and 325</t>
  </si>
  <si>
    <t xml:space="preserve">The auditorium is accessible and is located on the first floor. Stage access is provided via both lift and ramp. Accessible seating is provided. The cafeteria is accessible and is located on the first floor. The gymnasium is accessible and is located on the first floor. Assistive listening systems have been provided in the auditorium and cafeteria. </t>
  </si>
  <si>
    <t xml:space="preserve">Stage access is provided via lift and ramp.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</si>
  <si>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classrooms on the first and second floors.     </t>
  </si>
  <si>
    <t>Rooms 110A, 122, 222, and 322</t>
  </si>
  <si>
    <t>Rooms 110B, 124, 224, and 324</t>
  </si>
  <si>
    <t>Rooms 120, 126, 218, 220, 318, and 320</t>
  </si>
  <si>
    <t>Classrooms 101 and 105, 102 and 104, 121, 123, 125, 127, 129, 140, 201 and 205, 202 and 204, 207 and 209, and 228</t>
  </si>
  <si>
    <t xml:space="preserve">Fire alarm system has been upgraded and includes a strobe light feature. Holding rooms have been specifically designated as rooms 229 and 329. </t>
  </si>
  <si>
    <t>92-07 175 Street, Queens, NY 11433</t>
  </si>
  <si>
    <t xml:space="preserve">The nearest accessible subway station is the Jamiaca-179th Street Station (E, and F trains), 0.4 miles distant. MTA bus service (Q110, Q42, and Q83) is also nearby. The main entrance of 268 is accessible, located on 175th Street (Exit # 1). The accessible entrance does include a doorbell and security camera feature. The doorbell is located within reach range (Height 48 Inches). </t>
  </si>
  <si>
    <t xml:space="preserve">E1; Doors: 35 Inches, Cabs: 50 Inches wide, 66 Inches deep. 
E2; Doors: 35 Inches, Cabs: 50 Inches wide, 66 Inches deep. </t>
  </si>
  <si>
    <t>Room 101 (P.S. 289), and 104 (P009 – Queens)</t>
  </si>
  <si>
    <t xml:space="preserve">The auditorium is accessible and is located on the second floor. Stage access is provided via the corridor. Accessible seating is provided. The cafeteria is accessible and is located on the first floor. The gymnasium is accessible and is located on the fourth floor. Assistive listening systems have been provided in the auditorium, gymnasium, and cafeteria.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</si>
  <si>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are accessible single-user (unisex) bathrooms (for student and staff use) available in certain classrooms on first, second, and third floors.   </t>
  </si>
  <si>
    <t xml:space="preserve"> First, Second, Third, and Fourth Floors</t>
  </si>
  <si>
    <t xml:space="preserve">All Floors </t>
  </si>
  <si>
    <t xml:space="preserve">Located in the Nurse’s Office (Room 101).  </t>
  </si>
  <si>
    <t>Classrooms 103, 105, 107, 109, 111, 117, 201, 203, 205, 207, 209, 211, 301, 303, 305, 307, 309, 311, 313, 316, and 314</t>
  </si>
  <si>
    <t xml:space="preserve">Fire alarm system has been upgraded and includes a strobe light feature. Holding rooms have been specifically designated as rooms 411, 311, and 211. </t>
  </si>
  <si>
    <t>233-15 Merrick Boulevard, Queens, NY 11422</t>
  </si>
  <si>
    <t xml:space="preserve">The nearest accessible subway station is the Jamaica Center – Parsons/Archer (E, and J trains), 4.2 miles distant. MTA bus service (Q5, QX63, and N4) is also nearby. The main entrance of Q270 is accessible, located on Merrick Boulevard (Exit # 1). The accessible entrance does include a doorbell and security camera feature. The doorbell is located within reach range (Height 48 Inches). </t>
  </si>
  <si>
    <t xml:space="preserve">The main entrance bevel is over tolerance and may provide difficulty for some (Height 1 Inch). </t>
  </si>
  <si>
    <t>(P.S./I.S. 270), and 108 (P.S. Q004)</t>
  </si>
  <si>
    <t xml:space="preserve"> Accessible bathroom included. </t>
  </si>
  <si>
    <t xml:space="preserve">The auditorium is accessible and is in the basement. Stage access is provided via lift. Accessible seating is provided. The cafeteria is accessible and is located on the first floor. The gymnasium is accessible and is located on the second floor. Assistive listening systems have been provided in the auditorium, cafeteria, and gymnasium.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</si>
  <si>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third, second, and first floor classrooms. </t>
  </si>
  <si>
    <t>Rooms B130, 133, 233, 333, and 433</t>
  </si>
  <si>
    <t>Rooms B133, 130, 330, and 430</t>
  </si>
  <si>
    <t>Rooms 132, 232, 230, 332, and 432</t>
  </si>
  <si>
    <t>Classrooms 301, 303, 302, 304, 309, 311, 312, 314, 204, 202, 201, 203, 102, 104, 108, 103, and 101</t>
  </si>
  <si>
    <t xml:space="preserve">Fire alarm system has been upgraded and includes a strobe light feature. Holding rooms have been specifically designated as rooms 207, 210, 308, and 407. </t>
  </si>
  <si>
    <t>88-07 102Nd Street, Queens, NY 11418</t>
  </si>
  <si>
    <t xml:space="preserve">The nearest accessible subway station is the Lefferts Boulevard Station (A train), 1.11 miles distant. MTA bus service (Q24 and Q56) is also nearby. The main entrance of Q237 is accessible, located on 102nd Street (Exit 1). The accessible entrance includes a doorbell and reception. The doorbell is slightly not within reach range (Height 50 inches). The accessible entrance does not include security cameras. </t>
  </si>
  <si>
    <t xml:space="preserve">Some hallway doors are heavy, which may be difficult for some users to navigate. Braille signs are included throughout the building.  </t>
  </si>
  <si>
    <t xml:space="preserve">E1 and E2 
Doors: 48 inches, Cabs: 79 inches wide, 62 inches deep. </t>
  </si>
  <si>
    <t xml:space="preserve">This site does not include an auditorium or gymnasium; the multi-purpose room fulfills this function. The multi-purpose room is accessible and is located on the first floor. The multi-purpose room does not include a stage. Accessible seating is provided. The cafeteria is accessible and is located in the cellar. Assistive listening systems have not been provided in the public assembly spaces. </t>
  </si>
  <si>
    <t xml:space="preserve">There are accessible student bathrooms (boys and girls) available in the cellar. There are accessible single-user (unisex) bathrooms (for student and staff use) available on the first through fourth floors. There are accessible single-user (unisex) bathrooms (for student and staff use) available in the classrooms of the third and fourth floors.  </t>
  </si>
  <si>
    <t>Rooms C04A</t>
  </si>
  <si>
    <t>Rooms C04B</t>
  </si>
  <si>
    <t>Rooms 102A, 108, 112, 208B, 211A, 315, and 415</t>
  </si>
  <si>
    <t xml:space="preserve">Room 208B is located in the nurse’s office. </t>
  </si>
  <si>
    <t>Classrooms 101 and 107, 202 and 204, 201 and 207, 301, 302, 304, 306, 307, 313, 401, 402, 404, 406, 407, and 413</t>
  </si>
  <si>
    <t>108-29 155 Street, Queens, NY 11433</t>
  </si>
  <si>
    <t xml:space="preserve">The nearest accessible subway station is the Sutphin Boulevard-Archer Av-JFK Station (E train), 0.9 miles distant. MTA bus service (Q60 and Q112) is also nearby. The main entrance of Q276 is accessible, located on 155 Street (Exits 4 and 5). The accessible entrance includes a doorbell, reception, and security cameras. The doorbell is located within reach range (Height 47 inches). </t>
  </si>
  <si>
    <t xml:space="preserve">E1 and E2 
Doors: 47 inches, Cabs: 79 inches wide, 62 inches deep. </t>
  </si>
  <si>
    <t>Room 508</t>
  </si>
  <si>
    <t xml:space="preserve">Room 118 (The William Wordsworth  Educational Complex); Room 337 (P.75Q  @ P.276Q) </t>
  </si>
  <si>
    <t>Room 130 and 332</t>
  </si>
  <si>
    <t>Room 512 (Alternate Use), Rooms 414</t>
  </si>
  <si>
    <t xml:space="preserve">The auditorium is accessible and is located on the fourth floor. Stage access is provided via corridor. Accessible seating is provided. The cafeteria is accessible and is located on the first floor. The gymnasium is accessible and is located on the second floor. Assistive listening systems have been provided in the auditorium. </t>
  </si>
  <si>
    <t xml:space="preserve">There are accessible student bathrooms (boys and girls) available on all floors. There are accessible staff bathrooms (male and female) available on all floors. There are accessible single-user (unisex) bathrooms (for student and staff use) available on the first through fourth floors.  There are accessible single-user (unisex) bathrooms (for student and staff use) available in some classrooms on the first through third floors.   </t>
  </si>
  <si>
    <t>Rooms 114, 218, 312, 412, and 506</t>
  </si>
  <si>
    <t>Rooms 110, 214, 308, 408, and 502</t>
  </si>
  <si>
    <t>Rooms 133, 231, 233, 331, 333, 343, 431, and 433</t>
  </si>
  <si>
    <t>Classrooms 132A, 220A, 232A, 234A, 236A, 238A, 239A, 241A, and 330A</t>
  </si>
  <si>
    <t xml:space="preserve">Fire alarm system has been upgraded and includes a strobe light feature. Holding rooms have been specifically designated as rooms 241, 345, 441, and 511. </t>
  </si>
  <si>
    <t>153-27 88Th Avenue, Queens, NY 11432</t>
  </si>
  <si>
    <t xml:space="preserve">The nearest accessible subway station is the Jamaica Center – Parsons - Archer Station (E and F trains), 0.4 miles distant. MTA bus service (Q65, Q113, and Q114) is also nearby. The main entrance of Q277 is accessible, located on 88th Street (Exit 3). The accessible entrance includes a doorbell, reception, and security cameras. The doorbell is located within reach range (Height 47 inches). </t>
  </si>
  <si>
    <t xml:space="preserve">E1 and E2 
Doors: 42 inches, Cabs: 63 inches wide, 79 inches deep. </t>
  </si>
  <si>
    <t>Room 105(Q277), Room 215(P9 Q277)</t>
  </si>
  <si>
    <t>Rooms 317 and 409</t>
  </si>
  <si>
    <t xml:space="preserve">The auditorium is accessible and is located on the first floor. Stage access is provided via corridor. Accessible seating is provided. The cafeteria is accessible and is located in the cellar. The gymnasium is accessible and is located on the third floor. Assistive listening systems have been provided in the auditorium and gymnasium. </t>
  </si>
  <si>
    <t xml:space="preserve">There are accessible student bathrooms (boys and girls) available on the first through fourth floors. There are accessible single-user (unisex) bathrooms (for student and staff use) available on all floors.  There are accessible single-user (unisex) bathrooms (for student and staff use) available in some classrooms in the cellar, and on the first through third floors.   </t>
  </si>
  <si>
    <t>Rooms 127, 221, 316, and 416</t>
  </si>
  <si>
    <t>Rooms 129, 223, 320 and 418</t>
  </si>
  <si>
    <t>Rooms C32, 139, 216, 218, 323, and 421</t>
  </si>
  <si>
    <t>Classrooms C010, 106A, 202A, and 312A</t>
  </si>
  <si>
    <t xml:space="preserve">Fire alarm system has been upgraded and includes a strobe light feature. Holding rooms have been specifically designated as rooms 101, 201, 301, and 401. </t>
  </si>
  <si>
    <t>110-08 Northern Boulevard, Queens, NY 11368</t>
  </si>
  <si>
    <t xml:space="preserve">The nearest accessible subway station is the Junction Boulevard Station (7 train), 1.1 miles distant. MTA bus service (Q66, and Q48) is also nearby. The main entrance of Q287 is accessible, located on Northern Boulevard (Exit # 1). The accessible entrance does include a doorbell, and security cameras. The doorbell is located within reach range (Height 46 Inches). </t>
  </si>
  <si>
    <t xml:space="preserve">E1; Doors: 47 Inches, Cabs: 78 Inches wide, 64 Inches deep. 
E2; Doors: 47 Inches, Cabs: 78 Inches wide, 64 Inches deep. </t>
  </si>
  <si>
    <t>Room C06</t>
  </si>
  <si>
    <t xml:space="preserve"> Includes a single-user accessible restroom. </t>
  </si>
  <si>
    <t xml:space="preserve">This site does not include an auditorium; the gymnasium fulfills this function. The gymnasium is accessible and is in the basement. Stage access is provided via ramp. Accessible seating is provided. The cafeteria is accessible and is located on the first floor. Assistive listening systems have been provided in the cafeteria, and gymnasium. </t>
  </si>
  <si>
    <t xml:space="preserve">There are accessible student bathrooms (boys and girls) available on all floors. There are accessible staff bathrooms (male and female) available on all floors. There are accessible single-user (unisex) bathrooms (for student and staff use) available within corresponding classrooms.   </t>
  </si>
  <si>
    <t>Rooms 415, 315, 213, 105B, and C010</t>
  </si>
  <si>
    <t>Rooms 411, 311, 211, 105A, and C010</t>
  </si>
  <si>
    <t>Rooms 417, 305, 221, 114, C17B, and C17</t>
  </si>
  <si>
    <t>Classrooms 202A, 206A, and 210A</t>
  </si>
  <si>
    <t xml:space="preserve">Fire alarm system has been upgraded and includes a strobe light feature. Holding rooms have been specifically designated as rooms 416, 316, 216, and C19. </t>
  </si>
  <si>
    <t>55-20 Metropolitan Avenue, Queens, NY 11385</t>
  </si>
  <si>
    <t xml:space="preserve">1.0 mile distant. MTA bus service (Q39 and Q54) is also nearby. The main entrance of Q290 is accessible, located on Metropolitan Avenue (Exit 1). The accessible entrance includes a ramp, doorbell, and reception. The doorbell is within reach range (Height 46 inches). The accessible entrance does not include security cameras. </t>
  </si>
  <si>
    <t>Rooms 110 and 227</t>
  </si>
  <si>
    <t>Rooms 504 and 510</t>
  </si>
  <si>
    <t xml:space="preserve">This site does not include an auditorium; the cafeteria and multi-purpose room fulfill this function. The cafeteria is accessible and is located on the first floor. The multi-purpose room is accessible and is located on the second floor. The multi-purpose room does not include a stage. Accessible seating is provided. The gymnasium is accessible and is located on the fourth floor. Assistive listening systems have been provided in the cafeteria and multi-purpose room. </t>
  </si>
  <si>
    <t xml:space="preserve">Does not include a stage. Accessible from the second and third floors.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</si>
  <si>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second and third floors. </t>
  </si>
  <si>
    <t>Rooms 02B, 213, 313, 413, and 513</t>
  </si>
  <si>
    <t>Rooms 102C, 215, 315, 415, and 515</t>
  </si>
  <si>
    <t>Rooms C13, 120, 122, 210B, 234, 236, 334, 336, 434, 436, 534, and 536</t>
  </si>
  <si>
    <t xml:space="preserve">Available to students and staff. Room 210B is located in the nurse’s office. </t>
  </si>
  <si>
    <t>Classrooms 226, 238, 304, 310, 314, 317, 321, 326, 327, 338, and 412</t>
  </si>
  <si>
    <t xml:space="preserve">Available to students and staff. </t>
  </si>
  <si>
    <t>Classrooms 117, 121 and 127, and 126 and 138</t>
  </si>
  <si>
    <t xml:space="preserve">Fire alarm system has been upgraded and includes a strobe light feature. Holding rooms have been specifically designated as rooms 238, 338, 438, and 538. </t>
  </si>
  <si>
    <t>99-01 34 Avenue, Queens, NY 11368</t>
  </si>
  <si>
    <t xml:space="preserve">The nearest accessible subway station is the Junction Boulevard Station (7 train), 0.49 miles distant. MTA bus service (Q72) is also nearby. The main entrance of Q292 is accessible, located on 100th Street (Exit 17). The accessible entrance includes a doorbell, reception, and security cameras. The doorbell is within reach range (Height 46 inches). </t>
  </si>
  <si>
    <t xml:space="preserve">E1 
Doors: 42 inches, Cab: 85 inches wide, 63 inches deep. 
E2 
Doors: 41 inches, Cab: 80 inches wide, 65 inches deep. </t>
  </si>
  <si>
    <t>Room A401</t>
  </si>
  <si>
    <t>Room 401-402</t>
  </si>
  <si>
    <t>Room A109</t>
  </si>
  <si>
    <t>Room A301</t>
  </si>
  <si>
    <t xml:space="preserve">The auditorium is accessible and is located on the second floor. Stage access is provided via ramp. Accessible seating is provided. The cafeteria is accessible and is located on the first floor. The gymnasium is accessible and is located on the first floor. The multi-purpose room is accessible and is located in the basement. Assistive listening systems have been provided in the auditorium, cafeteria, and gymnasium. </t>
  </si>
  <si>
    <t xml:space="preserve">There are accessible student bathrooms (boys and girls) available on the first through fourth floors. There are accessible staff bathrooms (male and female) available on the first floor. There are accessible single-user (unisex) bathrooms (for student and staff use) available on all floors. There are accessible single-user (unisex) bathrooms (for student use) available in some classrooms on the first and second floors. </t>
  </si>
  <si>
    <t>Rooms 122, 219, A309, 311, A409, and 411</t>
  </si>
  <si>
    <t>Rooms 121, A313, 314, A413, and 414</t>
  </si>
  <si>
    <t>Rooms AC02B, AC02C, 102A, 105, 109C, 124, 125, A202A, 205, 208A, 209, 210, 211, 313, 412, and A415A</t>
  </si>
  <si>
    <t xml:space="preserve">Room 109C is located in the nurse’s office. </t>
  </si>
  <si>
    <t>Classrooms 102 and 103, 104, 105 and 106, 107 and 108, A102, A104, A106, A111, A202, A204, A206, A215, 201, 202, 203, 204, 205, 206, 207, and 208</t>
  </si>
  <si>
    <t xml:space="preserve">Fire alarm system has been upgraded and includes a strobe light feature. Holding rooms have been specifically designated as rooms AC02, A202, A302, and A402. </t>
  </si>
  <si>
    <t>33-55 74Th Street, Queens, NY 11372</t>
  </si>
  <si>
    <t xml:space="preserve">The nearest accessible subway station is Roosevelt Avenue – Jackson Heights Station (7, E, F, M and R trains), 0.4 miles distant. MTA bus service (Q47 and Q66) is also nearby. The main entrance of Q297 is accessible, located on 34th Avenue (Exit 1). The accessible entrance includes a doorbell, reception, and security cameras. The doorbell is not within reach range (height 53 inches). </t>
  </si>
  <si>
    <t xml:space="preserve">E1 and E2 
Doors: 42 inches, Cabs: 78 inches wide, 51 inches deep. </t>
  </si>
  <si>
    <t>Rooms 401 and 414</t>
  </si>
  <si>
    <t>This site does not include an auditorium or gymnasium; the cafeteria fulfills these functions. The cafeteria is accessible and is located on the first floor. Assistive listening systems have been provided in the cafeteria.</t>
  </si>
  <si>
    <t xml:space="preserve">There are accessible student bathrooms (boys and girls) available on all floors. There are accessible single-user (unisex) bathrooms (for student and staff use) available second through fourth floors.   </t>
  </si>
  <si>
    <t>Rooms 102C, 206, 306 and 406</t>
  </si>
  <si>
    <t>Rooms 102B, 204, 304 and 404</t>
  </si>
  <si>
    <t>Rooms 208, 308, and 408</t>
  </si>
  <si>
    <t>50-51 98Th Street, Queens, NY 11368</t>
  </si>
  <si>
    <t xml:space="preserve">The nearest accessible subway station is the Junction Boulevard Station (7 trains), 0.7 miles distant. MTA bus service (Q38 and Q72) is also nearby. The main entrance of Q298 is accessible, located on 98th Street (Exit 1). The accessible entrance includes a doorbell and security cameras. The doorbell is within reach range (Height 48 inches). </t>
  </si>
  <si>
    <t xml:space="preserve">E1 and E2 
Doors: 48 Inches, Cabs: 79 Inches wide, 63 Inches deep. </t>
  </si>
  <si>
    <t>Rooms 217 and 402</t>
  </si>
  <si>
    <t xml:space="preserve">This site does not include an auditorium; the second-floor gymnasium fulfills this function. The second-floor gymnasium is accessible. Stage access is provided from the corridor. Accessible seating is provided. The third-floor gymnasium is accessible. The cafeteria is accessible and is located on the first floor. The multi-purpose room is accessible and is located on the third floor. Assistive listening systems have been provided in the gymnasiums and cafeteria.  </t>
  </si>
  <si>
    <t xml:space="preserve">Stage access corridor.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</si>
  <si>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first-floor classrooms. </t>
  </si>
  <si>
    <t>Rooms 150A, 201, 301, and 401</t>
  </si>
  <si>
    <t>Rooms 150B, 203, 303, and 403</t>
  </si>
  <si>
    <t>Rooms 101, 103, 205, 209, 257, 259, 305, 405, 457, and 459</t>
  </si>
  <si>
    <t>Classrooms 106, 120/118, 110/108, and 116/112</t>
  </si>
  <si>
    <t xml:space="preserve">Fire alarm system has been upgraded and includes a strobe light feature. Holding rooms have been specifically designated as rooms 221, 321, and 421. </t>
  </si>
  <si>
    <t>98-11 44 Avenue, Queens, NY 11368</t>
  </si>
  <si>
    <t xml:space="preserve">The nearest accessible subway station is the Junction Boulevard Station (7 train), 0.4 miles distant. MTA bus service (Q72 and Q23) is also nearby. The main entrance of Q311 is accessible, located on 44th Avenue (Exit 1). The accessible entrance includes a ramp, doorbell, security cameras, and reception. The doorbell is within reach range (height 46 inches). </t>
  </si>
  <si>
    <t xml:space="preserve">Doors: 48 inches, Cabs: 65 inches wide, 79 inches deep. </t>
  </si>
  <si>
    <t>Room 512</t>
  </si>
  <si>
    <t>Room 120 (24Q311) and 104 (75Q277)</t>
  </si>
  <si>
    <t>Room 504</t>
  </si>
  <si>
    <t xml:space="preserve">This site does not include an auditorium; the gymnasium fulfills this function. The gymnasium is accessible and is located on the second floor. Stage access is provided via a lift. Accessible seating is provided. The cafeteria is accessible and is located on the first floor. The multi-purpose room is accessible and is located on the third floor. Assistive listening systems have been provided in the cafeteria, gymnasium, and multi-purpose room. </t>
  </si>
  <si>
    <t xml:space="preserve">There are accessible student bathrooms (boys and girls) available on all floors. Accessible single-user (unisex) bathrooms (available for students and staff) are available on all floors.  </t>
  </si>
  <si>
    <t>Rooms 111B, 209B, 309B, 409B, and 509B</t>
  </si>
  <si>
    <t>Rooms 111G, 209G, 309G, 409G, and 509G</t>
  </si>
  <si>
    <t>Rooms 113, 211, 311, 411, and 511</t>
  </si>
  <si>
    <t xml:space="preserve">Fire alarm system has been upgraded and includes a strobe light feature. Holding rooms or areas of refuge have been specifically designated as rooms 114, 201, 301, 401, and 501. </t>
  </si>
  <si>
    <t>46-08 5Th Street, Queens, NY 11101</t>
  </si>
  <si>
    <t xml:space="preserve">The nearest accessible subway station is Court Square Station (7 train), 0.6 miles distant. MTA bus service (Q103) is also nearby. The main entrance of Q312 is accessible via an inclined sidewalk, located on 5th Street (Exit 1). The accessible entrance includes a doorbell, security cameras, and reception. The doorbell is within range (height 40 inches).  </t>
  </si>
  <si>
    <t>Via sidewalk that is not high slope and does not include handrails.</t>
  </si>
  <si>
    <t xml:space="preserve">Doors: 49 inches; Cab: 88 inches wide, 58 inches deep </t>
  </si>
  <si>
    <t>Rooom 325</t>
  </si>
  <si>
    <t xml:space="preserve">The auditorium is accessible and is located on the first floor. Stage access is provided via corridor. Accessible seating is provided. The cafeteria is accessible and is located on the first floor. The gymnasium is accessible and is located on the fifth floor. Assistive listening systems have been provided in the auditorium, gymnasium, and cafeteria.  </t>
  </si>
  <si>
    <t>Stage access is provided via corridor. Accessible seating provided. Assistive listening systems have been provided.</t>
  </si>
  <si>
    <t xml:space="preserve">There are accessible student bathrooms (boys and girls) available on all floors. There are accessible single-user (unisex) bathrooms (for student and staff use) available on all floors.  </t>
  </si>
  <si>
    <t xml:space="preserve">Rooms 129, 230, 432, and 517 </t>
  </si>
  <si>
    <t>Rooms 127, 232, 430, and 519</t>
  </si>
  <si>
    <t xml:space="preserve">Staff Bathrooms – Rooms 204, 206, 233, 235, 322, 320, 433, and 435 </t>
  </si>
  <si>
    <t xml:space="preserve">Rooms 302D, 304C, 305B, 307B, 312D, 318B and 318C </t>
  </si>
  <si>
    <t xml:space="preserve">Rooms 206 and 320 </t>
  </si>
  <si>
    <t>For student and staff use</t>
  </si>
  <si>
    <t xml:space="preserve">Fire alarm system has been upgraded and includes a strobe light feature. Holding rooms or areas of refuge have been specifically designated as rooms 205, 302, 402, and 502.  </t>
  </si>
  <si>
    <t>45-45 42Nd Street, Queens, NY 11104</t>
  </si>
  <si>
    <t xml:space="preserve">The nearest accessible subway station is the Queens Plaza Station (E, M, and R trains), 0.92 miles distant. MTA bus service (Q24, Q32, and Q60) is also nearby. The main entrance of Q313 is accessible, located on 42nd Street (Exit 1). The accessible entrance includes a doorbell, cameras, and reception. The doorbell is not within reach range (Height 50 inches). </t>
  </si>
  <si>
    <t xml:space="preserve">E1 and E2 
Doors: 42 Inches, Cabs: 64 Inches wide, 75 Inches deep. </t>
  </si>
  <si>
    <t>Room 503</t>
  </si>
  <si>
    <t xml:space="preserve">This site does not include an auditorium; the gymnasium fulfills this function. The gymnasium is accessible and is located in the basement. Stage access is provided via lift. Accessible seating is provided. The cafeteria is accessible and is located on the first floor. Assistive listening systems have been provided in the cafeteria. </t>
  </si>
  <si>
    <t>Rooms C022, 105, 214, 315, 417, and 504</t>
  </si>
  <si>
    <t>Rooms C023, 104, 213, 314, 416, and 505</t>
  </si>
  <si>
    <t>Rooms C003A, C003B, C018A, 112, 115D, 210, 301A, 306A, 312, 414, and 506 </t>
  </si>
  <si>
    <t>Room 115D is located in the nurse’s office.</t>
  </si>
  <si>
    <t xml:space="preserve">Fire alarm system has been upgraded and includes a strobe light feature. Holding rooms have been specifically designated as rooms C003, 207, 307, 408, and 502. </t>
  </si>
  <si>
    <t xml:space="preserve">This site includes central air.   </t>
  </si>
  <si>
    <t>88-08 164Th Street, Queens, NY 11432</t>
  </si>
  <si>
    <t xml:space="preserve">The nearest accessible subway station is the Jamaica Center - Parsons/Archer Station (E, J, and Z trains), 0.7 miles distant. MTA bus service (Q43 and Q65) is also nearby. The main entrance of Q314 is accessible, located on 164th Street (Exit 2). The accessible entrance includes a doorbell, reception, and security cameras. The doorbell is located within reach range (Height 46 inches). </t>
  </si>
  <si>
    <t xml:space="preserve">E1 and E2 
Doors: 47 inches, Cabs: 78 inches wide, 64 inches deep. </t>
  </si>
  <si>
    <t>Rooms 246, 301, and 501</t>
  </si>
  <si>
    <t>Room 326A</t>
  </si>
  <si>
    <t>Rooms 112 (28Q349), 206 (75Q277), 412 (28Q358)</t>
  </si>
  <si>
    <t>Rooms 201, 203, and 209</t>
  </si>
  <si>
    <t xml:space="preserve">This site does not include an auditorium; the gymnasium fulfills this function. The gymnasium is accessible and is located in the cellar. Stage access is provided via lift. Accessible seating is provided. The cafeteria is accessible and is located on the first floor. Assistive listening systems have been provided in the cafeteria and the gymnasium.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</si>
  <si>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 on the first and second floors.    </t>
  </si>
  <si>
    <t>Rooms C021, 116A, 219, 313, and 413</t>
  </si>
  <si>
    <t>Rooms C022, 116B, 323, and 419</t>
  </si>
  <si>
    <t>Rooms C002, 104, 211, 213, 319, 317, 315, 415, and 417</t>
  </si>
  <si>
    <t>Classrooms 101A, 102A, 103A, 105A, 108A, 201A, 203A, and 220A</t>
  </si>
  <si>
    <t xml:space="preserve">Fire alarm system has been upgraded and includes a strobe light feature. Holding rooms have been specifically designated as rooms C030, 201, 301, and 401. </t>
  </si>
  <si>
    <t>43-18 97Th Place, Queens, NY 11368</t>
  </si>
  <si>
    <t xml:space="preserve">The nearest accessible subway station is the Junction Boulevard Station (7 train), 0.3 miles distant. MTA bus service (Q72 and Q58) is also nearby. The main entrance of Q315 is accessible, located on 44th Avenue (Exit 4). The accessible entrance includes a doorbell, reception, and security cameras. The doorbell is within reach range (Height 48 inches). </t>
  </si>
  <si>
    <t xml:space="preserve">E1 and E2 
Doors: 47 Inches, Cabs: 74 Inches wide, 72 Inches deep. 
E3  
Doors: 41 Inches, Cabs: 60 Inches wide, 65 Inches deep. </t>
  </si>
  <si>
    <t>Room 313 </t>
  </si>
  <si>
    <t>Room G08</t>
  </si>
  <si>
    <t>Rooms 106 (24Q110), and 121 (75Q277)</t>
  </si>
  <si>
    <t>Rooms 404, 406, 506, 510, and 516</t>
  </si>
  <si>
    <t xml:space="preserve">The auditorium is accessible and is located on the ground floor; it also doubles as a second gymnasium. Stage access is provided via an elevator. Accessible seating is provided. The cafeteria is accessible and is located on the ground floor. The gymnasium is accessible and is located on the ground floor. The multi-purpose room is accessible and located on the ground floor. Assistive listening systems have been provided in the auditorium, cafeteria, and gymnasium.  </t>
  </si>
  <si>
    <t xml:space="preserve">Stage access via elevator. Accessible seating is provided. Assistive listening systems have been provided.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</si>
  <si>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first- and second-floor classrooms.  </t>
  </si>
  <si>
    <t>Rooms G11, G12, 205, 303, 403, and 503</t>
  </si>
  <si>
    <t>Rooms G13, G14, 105, 309, 409, and 509</t>
  </si>
  <si>
    <t>Rooms G03, G04, 103A, 103B, 305, 307, 405, and 505</t>
  </si>
  <si>
    <t>Classrooms 111, 125, 128, 206, 209, 211, 213, 216, 218, 219, 220, 224, 225, and 226</t>
  </si>
  <si>
    <t xml:space="preserve">Fire alarm system has been upgraded and includes a strobe light feature. Holding rooms have been specifically designated as rooms 111, 202, 306, 406, and 506. </t>
  </si>
  <si>
    <t>90-07 101St Avenue, Queens, NY 11416</t>
  </si>
  <si>
    <t xml:space="preserve">The nearest accessible subway station is the Euclid Station (A &amp; C trains), 1.4 miles distant. MTA bus service (Q7 and Q8) is also nearby. The main entrance of Q136 is accessible, located on 101st Street (Exit 1). The accessible entrance includes a doorbell, security cameras, and reception. The doorbell is located within reach range (height 41 inches.).  </t>
  </si>
  <si>
    <t xml:space="preserve">E1 and E2:  Doors: 48 Inches, Cabs: 66 Inches wide, 92 Inches deep. </t>
  </si>
  <si>
    <t xml:space="preserve">Rooms 301 and 304 </t>
  </si>
  <si>
    <t xml:space="preserve">The multi-purpose room is accessible and is located on the first floor. Stage access is provided via lift and corridor. Accessible seating is provided. The cafeteria is accessible and is located on the first floor. Assistive listening systems have been provided in the cafeteria. </t>
  </si>
  <si>
    <t xml:space="preserve">Stage access via lift and corridor. Accessible seating is provided.  </t>
  </si>
  <si>
    <t xml:space="preserve">There are accessible student bathrooms (boys and girls) available in the basement, and on the first, third, and fourth floors. There are accessible single-user (unisex) bathrooms (for student and staff use) available on all floors. There are accessible single-user (unisex) bathrooms (for student and staff use) available in some basement and second-floor classrooms.   </t>
  </si>
  <si>
    <t>Rooms 004, 107B, 308, and 408</t>
  </si>
  <si>
    <t>Rooms 007, 107C, 311, and 405</t>
  </si>
  <si>
    <t xml:space="preserve">Rooms 005, 015, 102A, 104, 211, 216, 309, and 406   </t>
  </si>
  <si>
    <t xml:space="preserve">Available for students and staff. Room 102A is located in the nurse's office. </t>
  </si>
  <si>
    <t>Rooms 014A, 002A, 204A, 203A, 206A, 214A, 218A, and 219A</t>
  </si>
  <si>
    <t xml:space="preserve">Available for students and staff. Located inside corresponding classrooms. </t>
  </si>
  <si>
    <t xml:space="preserve">This site includes exterior recreational spaces. The exterior recreational spaces are accessible. The recreational is not accessible. </t>
  </si>
  <si>
    <t xml:space="preserve">Fire alarm system has been upgraded and includes a strobe light feature. Holding rooms have been specifically designated as rooms 014, 218, 319, and 416. </t>
  </si>
  <si>
    <t>360 Seneca Avenue, Queens, NY 11385</t>
  </si>
  <si>
    <t xml:space="preserve">The nearest accessible subway station is Myrtle – Wyckoff Avenue Station (L and M trains), 0.8 miles distant. MTA bus service (B38) is also nearby. The main entrance is accessible, located on Seneca Avenue (Exit 1). The accessible entrance includes a doorbell, reception, and security cameras. The doorbell is within reach range (height 46 inches). </t>
  </si>
  <si>
    <t xml:space="preserve">E1 and E2: 
Doors: 42 inches, Cabs: 65 inches wide, 71 inches deep. </t>
  </si>
  <si>
    <t>Room 103A</t>
  </si>
  <si>
    <t xml:space="preserve">This site does not include a gymnasium; the auditorium fulfills this function. The auditorium is accessible and is located on the fourth floor. Stage access is provided via a ramp. Accessible seating is provided. The cafeteria is accessible and is located in the basement. Assistive listening systems have been provided in the auditorium and cafeteria. </t>
  </si>
  <si>
    <t xml:space="preserve">Stage access is provided via ramp. Accessible seating is provided. Assistive listening systems have been provided. </t>
  </si>
  <si>
    <t xml:space="preserve">There are accessible student bathrooms (boys and girls) available in the cellar, and on the second through fourth floors. There are accessible single-user (unisex) bathrooms (for student and staff use) available on all floors. There are accessible single-user (unisex) bathrooms (for student and staff use) available within some classrooms on the first and second floors. </t>
  </si>
  <si>
    <t xml:space="preserve">Rooms C04A, 224, 310 and 410 </t>
  </si>
  <si>
    <t xml:space="preserve">Rooms C04B, 222, 308 and 408 </t>
  </si>
  <si>
    <t xml:space="preserve">Rooms C07, 104, 106, 111, 206, 306 and 406  </t>
  </si>
  <si>
    <t xml:space="preserve">Room 106 is located in the nurse’s office. </t>
  </si>
  <si>
    <t>Classrooms 109, 113, 116, 117, 120, 122, 202, 210A and 211A</t>
  </si>
  <si>
    <t xml:space="preserve">Fire alarm system has been upgraded and includes a strobe light feature. Holding rooms have been specifically designated as rooms 009, 207, 305, and 403. </t>
  </si>
  <si>
    <t>89-11 43Rd Avenue, Queens, NY 11373</t>
  </si>
  <si>
    <t>The nearest accessible subway station is Junction Blvd Station (7 train), 0.7 miles distant. MTA bus service (Q29 and Q58) is also nearby. Building Q322 is the secondary location for primary building Q014. The main entrance of Q322 is not accessible, located on 43rd street (Exit 1). Q322 does not include any accessible entrances.</t>
  </si>
  <si>
    <t>Braille signs are not included throughout the building. A change of elevation on the first floor prevents access to all areas located in building Q322.</t>
  </si>
  <si>
    <t>Site offers no accessibility.</t>
  </si>
  <si>
    <t>Classrooms – First to Second Floors</t>
  </si>
  <si>
    <t>Library – Room 111</t>
  </si>
  <si>
    <t>This site does not include an auditorium; the cafeteria fulfills this function. The cafeteria is not accessible and is located in the basement. Stage access is provided via ramp. Accessible seating is provided. Assistive listening systems have not been provided in the public assembly spaces.</t>
  </si>
  <si>
    <t>Not on accessible route. Accessible seating available upon request. Stage access is provided via ramp. Accessible seating is provided.</t>
  </si>
  <si>
    <t>Boys Bathrooms – Rooms B12, 213 and 313</t>
  </si>
  <si>
    <t>Girls Bathrooms – Rooms B6, 215, 315</t>
  </si>
  <si>
    <t>Single-User (Unisex) Bathrooms – Classrooms 105, 107, 109, 113</t>
  </si>
  <si>
    <t>210-21 48 Avenue, Queens, NY 11364</t>
  </si>
  <si>
    <t xml:space="preserve">The nearest accessible subway station is the Main Street Station (7 trains), 3.5 miles distant. MTA bus service (Q27 and Q31) is also nearby. The main entrance of Q332 is accessible, located on 48th Avenue (Exit 1). The accessible entrance includes a doorbell, reception, and security cameras. The doorbell is located within reach range (Height 44 Inches). </t>
  </si>
  <si>
    <t xml:space="preserve">E1 and E2 
Doors: 48 inches, Cabs: 78 inches wide, 84 inches deep. </t>
  </si>
  <si>
    <t>Room C19A</t>
  </si>
  <si>
    <t xml:space="preserve">This site does not include an auditorium; the gymnasium fulfills this function. The gymnasium is accessible and is in the basement. Stage access is provided via lift. Accessible seating is provided. The cafeteria is accessible and is located on the first floor. Assistive listening systems have been provided in the cafeteria and gymnasium. </t>
  </si>
  <si>
    <t>There are accessible student bathrooms (boys and girls) available on all floors. There are accessible single-user (unisex) bathrooms (for student and staff use) available on all floors. There are accessible single-user (unisex) bathrooms (for student and staff use) available within some classrooms on the second and third floors.</t>
  </si>
  <si>
    <t>Rooms C04, 119, 217, 309, and 409</t>
  </si>
  <si>
    <t>Rooms C045, 121, 219, 311, and 411</t>
  </si>
  <si>
    <t>Rooms 105, 107, 202A, 202B, 223, 334, 336, 406, and 408</t>
  </si>
  <si>
    <t>Classrooms 204, 205, 206, 207, 208, 212, 218, 303, 305, and 307</t>
  </si>
  <si>
    <t>150-15 Raleigh Street, Queens, NY 11417</t>
  </si>
  <si>
    <t xml:space="preserve">The nearest accessible subway station is the Howard Beach - JFK Subway Station (A train), 0.8 miles distant. MTA bus service (Q7 and Q11) is also nearby. The main entrance of Q335 is accessible, located on Raleigh Street (Exit 4). The accessible entrance includes security cameras, reception desk, and doorbell. The doorbell is not within reach range (Height 49 inches). </t>
  </si>
  <si>
    <t xml:space="preserve">Doors: 47 Inches, Cabs: 91 Inches wide, 64 Inches deep. </t>
  </si>
  <si>
    <t xml:space="preserve">Room 406 (P.S. 233) and (P.S. 377) 230 </t>
  </si>
  <si>
    <t>Rooms 420</t>
  </si>
  <si>
    <t xml:space="preserve">The multi-purpose room is accessible and is located on the first floor. Stage access is provided via lift. Accessible seating is provided. The cafeteria is accessible and is located on the first floor. Assistive listening systems have been provided in the cafeteria and multi-purpose room.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</si>
  <si>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and second floors. </t>
  </si>
  <si>
    <t xml:space="preserve">Rooms 117B, 127B, 229B, 317B, and 417B </t>
  </si>
  <si>
    <t xml:space="preserve">Rooms 117G, 127G, 229G, 327G, and 417G </t>
  </si>
  <si>
    <t>Rooms 119, 225A, 232D, 319, and 419</t>
  </si>
  <si>
    <t xml:space="preserve">Classroom 103A, 109A, 203A, 206A, 207A, 210A, 211A, and 216A </t>
  </si>
  <si>
    <t xml:space="preserve">Fire alarm system has been upgraded and includes a strobe light feature. Holding rooms have been specifically designated as rooms 202, 240, 308, 402. </t>
  </si>
  <si>
    <t>124-06 14 Avenue, Queens, NY 11356</t>
  </si>
  <si>
    <t>The nearest accessible subway station is the Main Street Station (7 train), 2.3 miles distant. MTA bus service (Q20B and Q25) is also nearby. The main entrance of Q336 is accessible, located on 14th Avenue (Exit 1). The accessible entrance includes a doorbell, security cameras, and a ramp. The doorbell is within reach range (height 48 Inches).</t>
  </si>
  <si>
    <t>One passenger elevator provides access to all floors. Elevators does not include audible signals on each floor.</t>
  </si>
  <si>
    <t xml:space="preserve">Provides access over change in elevation on first floor. </t>
  </si>
  <si>
    <t xml:space="preserve">Doors: 36 inches  </t>
  </si>
  <si>
    <t xml:space="preserve">Located on the third floor. </t>
  </si>
  <si>
    <t xml:space="preserve">Room 206 </t>
  </si>
  <si>
    <t xml:space="preserve">This site does not include an auditorium; the cafeteria fulfills this function. The cafeteria is accessible and is located in the basement. Stage access is not provided. Accessible seating is provided. The gymnasium is accessible and is located in the basement. Assistive listening systems have been provided in the cafeteria and gymnasium. </t>
  </si>
  <si>
    <t xml:space="preserve">There are accessible student bathrooms (boys) available on the first and second floors. There are accessible single-user (unisex) bathrooms (for student and staff use) available on all floors.   </t>
  </si>
  <si>
    <t>Rooms 110 and 222</t>
  </si>
  <si>
    <t>Rooms B36, 108, 122, 127C, 129A, 203, and 303</t>
  </si>
  <si>
    <t xml:space="preserve">This site includes exterior recreational spaces. The recreational equipment is accessible. </t>
  </si>
  <si>
    <t xml:space="preserve">Fire alarm system has been upgraded and includes a strobe light feature. Holding rooms have been specifically designated as rooms 109, 209, and 309. </t>
  </si>
  <si>
    <t>39-07 57Th Street, Queens, NY 11377</t>
  </si>
  <si>
    <t xml:space="preserve">The nearest accessible subway station is the Roosevelt Avenue – Jackson Heights Station (7, E, F, M, and R trains), 0.80 miles distant. MTA bus service (Q18) is also nearby. The main entrance of Q339 is accessible, located on 57th Street (Exit 1). The accessible includes a doorbell, cameras, and reception. The doorbell is within reach range (Height 48 inches). </t>
  </si>
  <si>
    <t xml:space="preserve">E1 and E2 
Doors: 48 inches, Cabs: 80 inches wide, 64 inches deep. </t>
  </si>
  <si>
    <t>Rooms 502 and 502A</t>
  </si>
  <si>
    <t>Rooms 516 and 516A</t>
  </si>
  <si>
    <t xml:space="preserve">This site does not include an auditorium; the gymnasium fulfills this function. The gymnasium is accessible and is located in the cellar. Stage access is provided via lift. Accessible seating is provided. The cafeteria is accessible and is located on the first floor. The multi-purpose room is accessible and is located on the fifth floor. Assistive listening systems have been provided in the cafeteria and gymnasium. </t>
  </si>
  <si>
    <t xml:space="preserve">There are accessible student bathrooms (boys and girls) available in the cellar, and on the first, fourth, and fifth floors. There are accessible single-user (unisex) bathrooms (for student and staff use) available on the first through fifth floors. There are accessible single-user (unisex) bathrooms (for student and staff use) available in the classrooms of the second and third floors.   </t>
  </si>
  <si>
    <t>Rooms C13, 106A, 405, and 505</t>
  </si>
  <si>
    <t>Rooms C15, 106B, 401, and 501</t>
  </si>
  <si>
    <t>Rooms 101, 107C, 204, 303, 315, 409A, and 513</t>
  </si>
  <si>
    <t xml:space="preserve">Available to students and staff. Room 107C is located in the nurse’s office. </t>
  </si>
  <si>
    <t>Classrooms 202, 205, 211, 212, 215, 216, 305, 306, 309, 311, 312, 315, and 316</t>
  </si>
  <si>
    <t xml:space="preserve">Fire alarm system has been upgraded and includes a strobe light feature. Holding rooms have been specifically designated as rooms C17, 215, 315, 415, and 515. </t>
  </si>
  <si>
    <t>56-10 214 Street, Queens, NY 11364</t>
  </si>
  <si>
    <t>The nearest accessible subway station is the Sutphin Boulevard – Archer Avenue Station (E, J, and Z trains), 5.3 miles distant. MTA bus service (Q30 and Q27) is also nearby. The main entrance of Q361 is accessible, located on 213th Street (Exit 1). The accessible entrance includes a ramp, doorbell, reception, and security cameras. The doorbell is within reach range (height 43 inches).</t>
  </si>
  <si>
    <t>This site does not include an elevator, access is restricted to the ground floor.</t>
  </si>
  <si>
    <t>Lift provides access to cafeteria.</t>
  </si>
  <si>
    <t>This site offers limited accessibility; all classrooms located on the ground floor are accessible and are located along accessible routes.</t>
  </si>
  <si>
    <t>This site does not include an auditorium; the cafeteria fulfills this function. Stage access is not provided. Accessible seating is provided. The cafeteria is accessible and is located on the first floor. The gymnasium is not accessible and is located on the second floor. Assistive listening systems have been provided in the cafeteria.</t>
  </si>
  <si>
    <t>There are accessible student bathrooms (girls) available on the ground floor. There are no accessible student bathrooms (boys) available. There are accessible single-user (unisex) bathrooms (for student and staff use) available on the ground floor.</t>
  </si>
  <si>
    <t>Rooms B19, 109, and 206</t>
  </si>
  <si>
    <t>Room B18</t>
  </si>
  <si>
    <t>Rooms 108 and 207</t>
  </si>
  <si>
    <t xml:space="preserve">Not located on an accessible route. </t>
  </si>
  <si>
    <t>Fire alarm system has been upgraded and includes a strobe light feature. Holding rooms have been specifically designated as rooms 101 and 208.</t>
  </si>
  <si>
    <t>54-25 101St Street, Queens, NY 11368</t>
  </si>
  <si>
    <t xml:space="preserve">The nearest accessible subway station is the Junction Boulevard Station (7 train), 0.86 miles distant. MTA bus service (Q23 and Q72) is also nearby. The main entrance of Q368 is accessible, located on Corona Avenue (Exit 1). The accessible entrance includes a doorbell, reception, and security cameras. The doorbell is within reach range (height 48 inches). </t>
  </si>
  <si>
    <t xml:space="preserve">This site occupies the first floor in a commercial building. One passenger elevator provides access to all floors. Elevator provides audible signals on all floors. </t>
  </si>
  <si>
    <t>Elevator is not used by the DOE.</t>
  </si>
  <si>
    <t xml:space="preserve">This site does not include public assembly spaces. </t>
  </si>
  <si>
    <t xml:space="preserve">There are accessible single-user (unisex) bathrooms (for student and staff use) available on the first floor. There are accessible single-user (unisex) bathrooms (for student and staff use) available in some classrooms on the first floor.  </t>
  </si>
  <si>
    <t>Classrooms 102, 112, and 113A</t>
  </si>
  <si>
    <t>104-04 Corona Avenue, Queens, NY 11368</t>
  </si>
  <si>
    <t xml:space="preserve">The nearest accessible subway station is the Junction Boulevard Station (7 train), 0.67 miles distant. MTA bus service (Q23) is also nearby. The main entrance of Q373 is accessible, located on Corona Avenue (Exit 1). The accessible entrance includes a ramp, a doorbell, reception, and security cameras. The doorbell is within reach range (height 45 inches). </t>
  </si>
  <si>
    <t xml:space="preserve">This site is a single-floor structure and does not include an elevator. Lack of elevator does not prevent access throughout the building. </t>
  </si>
  <si>
    <t>This site does not include an auditorium, a cafeteria, or a gymnasium; the multi-purpose room fulfills these functions. The multi-purpose room is accessible and is located on the first floor. Assistive listening systems have not been provided in the public assembly spaces.</t>
  </si>
  <si>
    <t xml:space="preserve">Site does not include a stage. Accessible seating is provided. </t>
  </si>
  <si>
    <t>Rooms 108 and 109</t>
  </si>
  <si>
    <t>Room 108 is located inside room 101.</t>
  </si>
  <si>
    <t xml:space="preserve">This site does not include central air. Air conditioning units have been provided in classrooms.  </t>
  </si>
  <si>
    <t>1-35 57 Avenue, Queens, NY 11101</t>
  </si>
  <si>
    <t>The nearest accessible subway station is Court Square Station (7 train), 1.2 miles distant. MTA bus service (Q103) is also nearby. The main entrance of Q375 is accessible, located on Center Boulevard (Exit 1). The accessible entrance includes a doorbell, reception, and security cameras. The doorbell is within reach range (height 48 inches).</t>
  </si>
  <si>
    <t xml:space="preserve">E1 and E2 
Doors: 42 inches, Cabs: 78 inches wide, 62 inches deep. </t>
  </si>
  <si>
    <t>This site does not include an auditorium; the gymnasium fulfills this function. The cafeteria is accessible and is located on the first floor. The gymnasium is accessible and is located on the second floor. Stage access is provided via lift. Accessible seating is provided. Assistive listening systems have been provided in the cafeteria and gymnasium.</t>
  </si>
  <si>
    <t>Rooms 102C, 210, 310, and 410</t>
  </si>
  <si>
    <t>Rooms 102D, 208, 308, and 408</t>
  </si>
  <si>
    <t>Rooms 109B, 111, 114, 212, 312 and 412</t>
  </si>
  <si>
    <t>Room 109B is located in the nurse’s office.</t>
  </si>
  <si>
    <t>This site include exterior recreational spaces. The exterior recreational spaces are accessible. The recreational equipment is accessible.</t>
  </si>
  <si>
    <t>Fire alarm system has been upgraded and includes a strobe light feature. Holding rooms have been specifically designated as rooms 205, 305, and 405.</t>
  </si>
  <si>
    <t>109-55 128 Street, Queens, NY 11420</t>
  </si>
  <si>
    <t>The nearest accessible subway station is the Lefferts Boulevard (A trains), 0.8 miles distant. MTA bus service (Q41 and Q9) is also nearby. Q390 does not contain an accessible entrance, all entrances contain changes of elevation.</t>
  </si>
  <si>
    <t>The auditorium is not accessible and is located on the first floor. Stage access is not provided. Accessible seating is not provided. The cafeteria is not accessible and is located in the basement. Assistive listening systems have not been provided in the public assembly spaces.</t>
  </si>
  <si>
    <t>Rooms 1005B, 109, 213, and 311</t>
  </si>
  <si>
    <t>Rooms 1008, 108, 209, and 309</t>
  </si>
  <si>
    <t>Rooms 2106A and 2107C</t>
  </si>
  <si>
    <t>69-01 34Th Avenue, Queens, NY 11377</t>
  </si>
  <si>
    <t xml:space="preserve">The nearest accessible subway station is the Roosevelt Avenue – Jackson Heights Station (7, E, F, M and R trains), 0.6 miles distant. MTA bus service (Q47 and Q66) is also nearby. The main entrance of Q398 is accessible, located on 34th Avenue (Exit 1). The accessible entrance includes a doorbell, reception, and security cameras. The doorbell is within reach range (height 48 inches). </t>
  </si>
  <si>
    <t>Two passenger elevator provides access to all floors. Elevator includes audible signals on each floor.</t>
  </si>
  <si>
    <t xml:space="preserve">E1 and E2 
Doors: 42 inches, Cabs: 78 inches wide, 61 inches deep. </t>
  </si>
  <si>
    <t>This site does not include an auditorium; the gymnasium fulfills this function. The gymnasium is accessible and is located on the fourth floor. Stage access is provided via lift. Accessible seating is provided. The cafeteria is accessible and is located on the first floor. Assistive listening systems have been provided in the gymnasium and cafeteria.</t>
  </si>
  <si>
    <t>There are accessible student bathrooms (boys and girls) available on all floors. There are accessible single-user (unisex) bathrooms (for student and staff use) available on all floors. There are accessible single-user (unisex) bathrooms (for student and staff use) available within certain classrooms on the first and second floors.</t>
  </si>
  <si>
    <t>Rooms 104B, 208, 310, 408, and 505</t>
  </si>
  <si>
    <t>Rooms 104A, 207, 309, 406, and 506</t>
  </si>
  <si>
    <t>Rooms 119, 206, 311, and 407</t>
  </si>
  <si>
    <t>Classrooms 113, 114, 115, 116, 201, 202, and 203</t>
  </si>
  <si>
    <t>Fire alarm system has been upgraded and includes a strobe light feature. Holding rooms have been specifically designated as rooms 214, 316, and 414.</t>
  </si>
  <si>
    <t>156-10 Baisley Boulevard, Queens, NY 11434</t>
  </si>
  <si>
    <t xml:space="preserve">The nearest accessible subway station is the Sutphin Boulevard – Archer Avenue - JFK Station (E, J, and Z trains), 2.5 miles distant. MTA bus service (Q6, Q111, Q113, and Q114) is also nearby. The main entrance of Q400 is accessible, located on Baisley Boulevard (Exit 1). The accessible entrance does not include a doorbell. The accessible entrance includes a ramp, security cameras, and reception.  </t>
  </si>
  <si>
    <t xml:space="preserve">E1 
Doors: 60 inches, Cabs: 82 inches wide, 100 inches deep. </t>
  </si>
  <si>
    <t>Rooms 251 and 324</t>
  </si>
  <si>
    <t>Rooms B6, 270, 285, and 287</t>
  </si>
  <si>
    <t>Room 195</t>
  </si>
  <si>
    <t>Room 111 (27Q400), B76 (75Q752), 253 (27Q261), and (84Q320)</t>
  </si>
  <si>
    <t>Room 107 and 109</t>
  </si>
  <si>
    <t>Rooms B88, B98, 188, and 198</t>
  </si>
  <si>
    <t xml:space="preserve">The auditorium is accessible and is located on the first floor. Stage access is provided via corridor. Accessible seating is provided. The cafeteria is accessible and is located in the basement. The gymnasiums are accessible and are located on the first floor. Assistive listening systems have not been provided in the public assembly spaces. </t>
  </si>
  <si>
    <t xml:space="preserve">There are accessible student bathrooms (boys and girls) available in the basement and on the first floor. There are accessible staff bathrooms (male and female) available in the basement and on the third floor. There are accessible single-user (unisex) bathrooms (for student and staff use) available within the first-floor medical clinic. </t>
  </si>
  <si>
    <t>Rooms 101 and B1</t>
  </si>
  <si>
    <t>Rooms 101C and B1C</t>
  </si>
  <si>
    <t>Rooms 366 and B8</t>
  </si>
  <si>
    <t>Rooms 368 and B7</t>
  </si>
  <si>
    <t>First Floor Medical Clinic</t>
  </si>
  <si>
    <t>1-50 51St Avenue, Queens, NY 11101</t>
  </si>
  <si>
    <t xml:space="preserve">The nearest accessible subway station is the Queens Plaza Station (E, M, and R trains), 1.23 miles distant. MTA bus service (B62 and Q103) is also nearby. The main entrance of Q404 is accessible, located on 51st Avenue (Exit 1). The accessible entrance includes a doorbell, cameras, and reception. The doorbell is not within reach range (Height 51 Inches). </t>
  </si>
  <si>
    <t xml:space="preserve">Doors: 47 Inches, Cabs: 67 Inches wide, 95 Inches deep. </t>
  </si>
  <si>
    <t>Rooms 105 and 540</t>
  </si>
  <si>
    <t>Room 206 (277Q Riverdale School), Room 311 (Hunter's Point Comm MS), Room 411 (Academy for Careers TV/Film)</t>
  </si>
  <si>
    <t>Rooms 319, 323, 519, 523, and 525</t>
  </si>
  <si>
    <t xml:space="preserve">The auditorium is accessible and is located on the third floor. Stage access is provided via lift. The auditorium contains a separate accessible AV room, located on the fourth floor. Accessible seating is provided. The cafeteria is accessible and is located on the fifth floor. The gymnasiums are accessible and are located on the first and second floors. Assistive listening systems have been provided in the auditorium AV room and both cafeterias.  </t>
  </si>
  <si>
    <t xml:space="preserve">Stage access is provided via lift. Accessible seating is provided. Assistive listening systems have been provided in AV room 406. </t>
  </si>
  <si>
    <t>Fifth Floor North, Fifth Floor South</t>
  </si>
  <si>
    <t>Rooms 131, 144, 231, 331, 431, and 531</t>
  </si>
  <si>
    <t>Rooms 134, 137, 237, 337, 437, and 537</t>
  </si>
  <si>
    <t>Rooms 120, 145A, 208, 220, 246B, 246F, 320, 420, 520, and 533</t>
  </si>
  <si>
    <t xml:space="preserve">For student and staff use. Rooms 246B and 246F are located in the nurse’s office.  </t>
  </si>
  <si>
    <t xml:space="preserve">Fire alarm system has been upgraded and includes a strobe light feature. Holding rooms have been specifically designated as rooms 213, 317, 417, and 517. </t>
  </si>
  <si>
    <t>32-24 Corporal Kennedy Street, Queens, NY 11361</t>
  </si>
  <si>
    <t>The nearest accessible subway station is Main Street Station (7 train), 3.1 miles distant. MTA bus service (Q28 and Q31) is also nearby. The accessible entrance to building Q405 is not the same as the main entrance; the accessible entrance is located on 32nd Avenue (Exits 8 and 9). The accessible entrance includes a ramp. The accessible entrance does not include a doorbell or security cameras; visitors may need to contact site in advance to gain access to this facility through the accessible entrance.</t>
  </si>
  <si>
    <t>One passenger elevator provides access to all floors. Elevator provides audible signals on each floor. Interior lift remediates changes in elevation in the basement.</t>
  </si>
  <si>
    <t>Lift provides access to classrooms B27 through B39</t>
  </si>
  <si>
    <t>Doors: 48 inches; Cab: 72 inches wide, 42 inches deep</t>
  </si>
  <si>
    <t>Classrooms – Basement, First through Third Floors</t>
  </si>
  <si>
    <t>Classrooms - Rooms B27 through B39</t>
  </si>
  <si>
    <t>Computer Rooms – Rooms 106, 108, 204, 206, 232, 322, and 335</t>
  </si>
  <si>
    <t>Main Office – Rooms 131 and 216B</t>
  </si>
  <si>
    <t>Nurse’s Office – Room B21</t>
  </si>
  <si>
    <t>Science Lab – Rooms 140, 240, 241, and 340</t>
  </si>
  <si>
    <t>The auditorium is accessible and is located on the first floor. Accessible seating is provided. Stage access is not provided. The cafeteria is accessible and is located in the basement. The gymnasiums are accessible and are located on the first and second floors. The pool is not accessible and is located in the basement. Assistive listening systems have not been provided in the public assembly spaces.</t>
  </si>
  <si>
    <t>Gymnasium – First and Second Floors</t>
  </si>
  <si>
    <t>Change in elevation (16 steps) prevents access.</t>
  </si>
  <si>
    <t>There are accessible student bathrooms (boys) available on the second and third floors. There are accessible student bathrooms (girls) available in the basement. There are accessible staff bathrooms (male and female) available on the first and second floors. There is a single-user (unisex) bathroom (for student and staff use) available on the first floor.</t>
  </si>
  <si>
    <t>Boys Bathrooms – Rooms 244, and 345A</t>
  </si>
  <si>
    <t>Boys Bathrooms – Rooms B1A, 209, and 309</t>
  </si>
  <si>
    <t>Staff Bathrooms – Rooms 118B and 236</t>
  </si>
  <si>
    <t>Staff Bathrooms – Rooms B6A, B7A, 100A, 136B, 144, 145, 218, 236, 245, 318B, 336A, and 344</t>
  </si>
  <si>
    <t>Single-User (Unisex) Bathrooms – Room 136A</t>
  </si>
  <si>
    <t>This site includes exterior recreational spaces. The recreational equipment is accessible.</t>
  </si>
  <si>
    <t>Fire alarm system does not include a strobe light feature. Holding rooms have been designated as rooms 231, 233, 331, and 333.</t>
  </si>
  <si>
    <t>100-00 Beach Channel Drive, Queens, NY 11694</t>
  </si>
  <si>
    <t xml:space="preserve">The nearest accessible subway station is the Rockaway Park Station (A and S trains), 0.9 miles distant; MTA Bus service (M14D and M21) is also nearby. The main entrance to Q410 is accessible. The accessible entrace includes a ramp, a doorbell, and security cameras.  </t>
  </si>
  <si>
    <t>Passenger elevators provide service to all floors in the building. Elevator includes audible signals on each floor.</t>
  </si>
  <si>
    <t>This site is moderately accessible; all classrooms are accessible and located on accessible routes. There are additional accommodations for students with disabilities, such as a sensory gym with adaptive equipment located on the ground floor.</t>
  </si>
  <si>
    <t>Rooms D224, C334, C336, C338, and B364</t>
  </si>
  <si>
    <t>Rooms C141B, C244, C339, D283, E297, and E303</t>
  </si>
  <si>
    <t>Room D180</t>
  </si>
  <si>
    <t>Rooms F272 (27Q351), F171 (27Q262), D131 (27Q324), and E199 (75Q256)</t>
  </si>
  <si>
    <t>Rooms D121, E290, and B355</t>
  </si>
  <si>
    <t>Rooms D318, E112, E204, E212, E304, E316, and E106</t>
  </si>
  <si>
    <t>The auditorium is accessible and is located on the first floor. The auditorium provides stage access via a lift, and accessible seating is provided. The cafeteria is accessible and is located on the first and second floors. The gymnasiums are accessible and located on the first floors. The multi-purpose room is accessible and is located on the second floor. The pool is accessible and is located on the first floor. Assistive listening systems have not been provided in the public assembly spaces.</t>
  </si>
  <si>
    <t>Accessible seating and stage access (via lift) are provided.</t>
  </si>
  <si>
    <t>First Floor - Gyms A/B/C</t>
  </si>
  <si>
    <t>First Floor - Gyms F/G</t>
  </si>
  <si>
    <t>Includes adaptive and sensory equipment.</t>
  </si>
  <si>
    <t>There are accessible bathrooms for students (girls and boys) on all floors. There are accessible staff bathrooms located on all floors.</t>
  </si>
  <si>
    <t>Fire Alarm System has been updated and includes a strobe light feature. Fire holding rooms have been designated: E201, E301, B262, B253, and B353. Holding rooms include fire extinguishers, an intercom system and landline phones.</t>
  </si>
  <si>
    <t>57-00 223Rd Street, Bayside, NY 11364</t>
  </si>
  <si>
    <t xml:space="preserve">The nearest accessible subway station is Sutphin Boulevard (E train), 5.7 miles distant. MTA bus service (Q30 and Q27) is also nearby. The main entrance is accessible, located on 223 Street (Exit 1). The accessible entrance includes a doorbell, reception, and security cameras. The doorbell is not within reach range (height 65 inches). </t>
  </si>
  <si>
    <t xml:space="preserve">Doors: 42 inches, Cab: 80 inches wide, 52 inches deep. </t>
  </si>
  <si>
    <t>Rooms 311, 315, and 317</t>
  </si>
  <si>
    <t>Rooms B37, 243, 265, 346, 347, 348 and 353</t>
  </si>
  <si>
    <t xml:space="preserve">Rooms 109 (26Q415), and 167 (75Q993) </t>
  </si>
  <si>
    <t>Room B58</t>
  </si>
  <si>
    <t>Clear path of travel not provided.</t>
  </si>
  <si>
    <t>Rooms B35, B39, 251, 253, 255, and 257</t>
  </si>
  <si>
    <t xml:space="preserve">The auditorium is accessible and is located on the first floor. Stage access is provided via a lift. Accessible seating is provided. The cafeteria is accessible and is located on the first floor. The gymnasium is accessible and is located on the first floor. Assistive listening systems have not been provided in the public assembly areas. </t>
  </si>
  <si>
    <t xml:space="preserve">This building is prevented from attaining a higher accessibility rating due to lack of accessible bathrooms throughout the building. There are accessible staff bathrooms available on the first floor. </t>
  </si>
  <si>
    <t xml:space="preserve">Maneuvering clearances are narrow and may present difficulty for some. </t>
  </si>
  <si>
    <t xml:space="preserve">The site includes central air in the auditorium, cafeteria, and some classroom spaces. Temperature control units have been provided in these areas. This site does not include central air throughout the rest of the building. Air-conditioning units have been provided in these classrooms. </t>
  </si>
  <si>
    <t>111-10 Astoria Boulevard, Queens, NY 11369</t>
  </si>
  <si>
    <t>The nearest accessible subway station is Junction Blvd Station (7 train), 1.3 miles distance. MTA bus service (Q48 and Q66) is also nearby. The main entrance is accessible, located on Astoria Blvd (Exit 1). The accessible entrance includes a doorbell, reception, and security cameras. The doorbell is within reach range (height 47 inches).</t>
  </si>
  <si>
    <t>This site occupies floors cellar through fifth in the building. Two passenger elevators provide access to all floors. Elevators include audible signals on each floor.</t>
  </si>
  <si>
    <t>E1 and E2 Doors: 42 inches, Cabs: 79 inches wide, 63 inches deep</t>
  </si>
  <si>
    <t>Art Rooms – Room 120</t>
  </si>
  <si>
    <t>Library – Room 105</t>
  </si>
  <si>
    <t>Science Lab – Rooms 119</t>
  </si>
  <si>
    <t>The auditorium is accessible and is located on the third floor. Stage access is provided via lift. Accessible seating is provided. The cafeteria is accessible and is located in the cellar. The gymnasium is accessible and is located on the third floor. Assistive listening systems have been provided in the auditorium, gymnasium, and cafeteria.</t>
  </si>
  <si>
    <t>Boys Bathrooms – Rooms C30B, 114B, 214B, 314B, 414B, and 514B</t>
  </si>
  <si>
    <t>Girls Bathrooms – Rooms C30G, 114G, 214G, 314G, 414G, and 514G</t>
  </si>
  <si>
    <t>Single-User (Unisex) Bathrooms – Rooms C12, 108A, 108E, 206, 212, 220, 306, 312, 406, 412, and 518</t>
  </si>
  <si>
    <t>Room 215 is located in nurse’s office. Room 220 is designated as a changing room.</t>
  </si>
  <si>
    <t>Fire alarm system has been upgraded and includes a strobe light feature. Holding rooms or areas of refuge have been specifically designated as rooms C17, 201, 301, 401, and 501.</t>
  </si>
  <si>
    <t>143-10 Springfield Boulevard, Queens, NY 11413</t>
  </si>
  <si>
    <t>The nearest accessible subway station is Aqueduct Racetrack Station (A train), 4.1 miles distant. MTA bus service (Q77 and Q85) is also nearby. The main entrance is accessible. The accessible entrance a lift, security cameras, and a doorbell. The doorbell is within reach range (height 48 inches).</t>
  </si>
  <si>
    <t>Some water fountains and other wall-mounted objects protrude into the corridors more than 4 inches, which may present difficulties for individuals with visual disabilities. Braille signs are not provided throughout the building.</t>
  </si>
  <si>
    <t>A few doors in the building have old hardware that needs replacing.</t>
  </si>
  <si>
    <t>Door 43 inches; Cab: 89 inches wide, 65 inches deep.</t>
  </si>
  <si>
    <t>Art Room – Rooms B5, B6, B8, 219, 229 and 335</t>
  </si>
  <si>
    <t>Computer Rooms – Rooms B7 and 124</t>
  </si>
  <si>
    <t>Main Office – Rooms 102 (29Q283), 209 (29Q272), 309 (29Q248), and 331 (29Q265)</t>
  </si>
  <si>
    <t>Nurse’s Office – Room 107A</t>
  </si>
  <si>
    <t>Science Lab – Rooms 103, 105, 201, 203, 301 and 308</t>
  </si>
  <si>
    <t>The auditorium is accessible and is located on the first floor. Stage access is not provided. Accessible seating is not provided. The cafeteria is accessible and is located on the first floor. The gymnasium is accessible and is located on the first floor. Assistive listening systems have been provided in the auditorium and gymnasium.</t>
  </si>
  <si>
    <t>There are accessible boy's bathrooms on the first and second floors. There are accessible girl's bathrooms on the first, second, and third floors. There are no accessible staff bathrooms throughout the building.</t>
  </si>
  <si>
    <t>Boys Bathroom – Rooms 128BT, and 210BT</t>
  </si>
  <si>
    <t>Boys Bathroom – Rooms 113BT, and 337BT</t>
  </si>
  <si>
    <t>Staff Bathrooms – Rooms A12MT, 116WT, and 200</t>
  </si>
  <si>
    <t>108-18 Roosevelt Avenue, Queens, NY 11368</t>
  </si>
  <si>
    <t xml:space="preserve">The nearest accessible subway station is the Junction Boulevard Station (7 train), 0.60 miles distant. MTA bus service (Q23) is also nearby. The main entrance of Q422 is accessible, located on Roosevelt Avenue (Exit 1). The accessible entrance includes a doorbell, reception, and security cameras. The doorbell is within reach range (height 48 inches). </t>
  </si>
  <si>
    <t xml:space="preserve">This site occupies the first floor of a building. One passenger elevator provides access to all floors. Elevator provides audible signals on all floors. </t>
  </si>
  <si>
    <t xml:space="preserve">This site does not include an auditorium, a cafeteria, or a gymnasium; the multi-purpose room fulfills these functions. The multi-purpose room is accessible and is located on the first floor. Assistive listening systems have been provided in the multi-purpose room. </t>
  </si>
  <si>
    <t xml:space="preserve">Site does not include a stage. Accessible seating is provided. Assistive listening systems have been provided. </t>
  </si>
  <si>
    <t xml:space="preserve">There are accessible single-user (unisex) bathrooms (for student and staff use) available in the classrooms on the first floor. There is an accessible single-user (unisex) bathroom (for student and staff use) available on the first floor.   </t>
  </si>
  <si>
    <t>Rooms 106A, 109A, and 111A</t>
  </si>
  <si>
    <t>63-25 Main Street, Queens, NY 11367</t>
  </si>
  <si>
    <t>The nearest accessible subway station is Main Street Station (7 train), 1.5 miles distant. MTA bus service (Q20A, Q20B, and Q44‐SBS) is also nearby. The accessible entrance to building Q425 is not the same as the main entrance to the building. The accessible entrance is located on Main Street down a drive way adjacent to the main entrance. The accessible entrance has security cameras, and doorbell. The doorbell is within reach range (Height 36 Inches).</t>
  </si>
  <si>
    <t>Hallways have objects that protrude more than 4” that may present barriers to individuals with visual disabilities. Braille signs are not provided and are needed throughout the building.</t>
  </si>
  <si>
    <t>There is an elevator on site that provides access to all floors. Elevator include audible signals on each floor.</t>
  </si>
  <si>
    <t>Door: 44 Inches, Cab: 42 Inches deep, 72 Inches wide.</t>
  </si>
  <si>
    <t>Rooms B15, B16 and
351</t>
  </si>
  <si>
    <t xml:space="preserve">Rooms 120, 122, 124, 217, 224A-B, 231, 247, 254, 327, and 354 </t>
  </si>
  <si>
    <t>Room 249</t>
  </si>
  <si>
    <t>Rooms 201, 207, 301, and 313</t>
  </si>
  <si>
    <t>The auditorium is accessible and is located on the first floor. The cafeteria is not considered accessible due to narrow doorways (width 29 Inches) preventing adequate clear width. The gymnasium is accessible and is located on the first floor. This site includes a farm located behind the building, although the pathway has a steep running slope that may be difficult for some to navigate. The farm house includes an accessible bathroom. Assistive listening systems have not been provided in the public assembly areas.</t>
  </si>
  <si>
    <t>Clear path not provided (Width 29 Inches) at cafeteria entrance doors.</t>
  </si>
  <si>
    <t>Accessible student (girls and boys) bathrooms are on the first and third floors. There are no accessible staff bathrooms. The farm house also includes an accessible bathroom.</t>
  </si>
  <si>
    <t>Fire Alarm System includes a strobe light feature. Fire safety rooms or holding areas have not been specifically designated.</t>
  </si>
  <si>
    <t>58-20 Utopia Parkway, Queens, NY 11365</t>
  </si>
  <si>
    <t xml:space="preserve">The nearest accessible subway station is Flushing Main Street (7 train), 2.5 miles distant. MTA bus service (Q39) is also nearby. The main entrance to building Q430 is accessible, located on Utopia Parkway. The accessible entrance includes wayfinding signage and security cameras. The accessible entrance does not include a doorbell. </t>
  </si>
  <si>
    <t>A passenger elevator provides access to all floors in the building. Elevator include audible signals on each floor.</t>
  </si>
  <si>
    <t>Doors: 46 Inches, Cab: 61 Inches deep, 90 Inches wide.</t>
  </si>
  <si>
    <t>Rooms 144A, 144B,
146A/B, 302, 305, 335, 344A, and 344B</t>
  </si>
  <si>
    <t>Rooms 105, and 179</t>
  </si>
  <si>
    <t xml:space="preserve">Room 140A </t>
  </si>
  <si>
    <t>Rooms 304, 307L, 313, and 319</t>
  </si>
  <si>
    <t>The auditorium is accessible and is located on the first floor. The auditorium provides stage access, and accessible seating. The cafeteria is accessible and is located on the first floor. The gymnasium is accessible and is located on the first floor. The only non-accessible spaces within the building are the boy’s and girl’s locker rooms located in the basement. Assistive listening systems have not been provided in the public assembly spaces.</t>
  </si>
  <si>
    <t>Accessible seating and stage access are provided.</t>
  </si>
  <si>
    <t>There is accessible student (girls and boys) on the first, and third floors. There is also accessible single-user (unisex) bathrooms (available for students and staff) on the second and third floors.</t>
  </si>
  <si>
    <t>Fire Alarm System includes a strobe light feature. No fire safety rooms have been specifically designated.</t>
  </si>
  <si>
    <t>The nearest accessible subway station is Flushing Main Street (7 train), 2.5 miles distant. MTA bus service (Q39) is also nearby. Building Q434 is the secondary location for primary building Q430 and is accessed through Q430 primary building at main entrance is on Utopia Parkway. The main entrance of Q434 is accessible, located on 59 Avenue (Exit 1). The accessible entrance into Q434 includes a doorbell. Reception, and security cameras. The doorbell is within reach range (height 47 inches).</t>
  </si>
  <si>
    <t>This site occupies floors first through third in the building. Two elevators provide access to all floors. Elevators include audible signals on each floor.</t>
  </si>
  <si>
    <t>Located in primary building Q430- Room 254</t>
  </si>
  <si>
    <t>Located in primary building Q430 - Rooms 144A, 144B, 164A/164B, 252, 302, 305, 335, 343, 344A, 344B</t>
  </si>
  <si>
    <t>Located in primary building Q430 – Room 209</t>
  </si>
  <si>
    <t>Located in primary building Q430 – Rooms 105, 171</t>
  </si>
  <si>
    <t>Located in primary building Q430- Room 140A</t>
  </si>
  <si>
    <t>Science Lab – Rooms 310</t>
  </si>
  <si>
    <t>This site does not include an auditorium or gymnasium. The auditorium and gymnasium are located in primary building Q430. The cafeteria is accessible and is located on the second floor. Assistive listening systems have not been provided.</t>
  </si>
  <si>
    <t>Boys Bathrooms – Rooms 107, 125, 207, and 307</t>
  </si>
  <si>
    <t>Room 125 is accessible via field.</t>
  </si>
  <si>
    <t>Girls Bathrooms – Rooms 101, 123, 201, and 301</t>
  </si>
  <si>
    <t>Room 123 is accessible via field.</t>
  </si>
  <si>
    <t>Single-User (Unisex) Bathrooms – Rooms 103, 203, and 303</t>
  </si>
  <si>
    <t>recreational equipment is accessible.</t>
  </si>
  <si>
    <t>230-17 Hillside Avenue, Queens, NY 11427</t>
  </si>
  <si>
    <t>The nearest accessible subway station is 179th Street Station (E and F trains), 2.8 miles distant. MTA bus service (Q27, Q43, n22, and n26) is also nearby. The accessible entrance to Q435 is not the same as the main entrance; the accessible entrance is located on 232nd Street (Exits 13 and 14). The accessible entrance does not include a doorbell, reception, or security cameras. Visitors may need to contact site in advance to gain access to this facility through the accessible entrance.</t>
  </si>
  <si>
    <t>Doors: 48 inches, Cab: 62 inches wide, 92 inches deep.</t>
  </si>
  <si>
    <t>Art Rooms – Rooms B70, 156, and 186</t>
  </si>
  <si>
    <t>Computer Rooms – Rooms N183, N187, N189, N287, 320, and S314</t>
  </si>
  <si>
    <t>Library – Room 228</t>
  </si>
  <si>
    <t>Main Office – Rooms 115 and 316A</t>
  </si>
  <si>
    <t>Science Lab – Rooms C234, C252, C254, and C257</t>
  </si>
  <si>
    <t>The auditorium is accessible and is located on the first floor. Stage access is provided via lift. Accessible seating is provided. The cafeteria is accessible and is located in the basement. The gymnasiums are accessible and are located on the first floor. Assistive listening systems have not been provided in the public assembly spaces.</t>
  </si>
  <si>
    <t>Gymnasiums – First Floor (A, B, C and D)</t>
  </si>
  <si>
    <t>There are accessible student bathrooms (boys and girls) available on the first and third floors. There are accessible single-user (unisex) bathrooms (for student and staff use) available on the first and third floors.</t>
  </si>
  <si>
    <t>Boys Bathrooms – Rooms C142 and S303</t>
  </si>
  <si>
    <t>Boys Bathrooms – Rooms C240, C203 and C349</t>
  </si>
  <si>
    <t>Girls Bathrooms – Rooms N180 and S309</t>
  </si>
  <si>
    <t>Staff Bathrooms – Female - Rooms C160, C161, N176, N277 and N382</t>
  </si>
  <si>
    <t>Single-User (Unisex) Bathrooms – Rooms C345, C378 and 122A</t>
  </si>
  <si>
    <t>445 Beach 135 Street, Queens, NY 11694</t>
  </si>
  <si>
    <t>The nearest accessible subway station is the Rockaway Park – Beach 116 Street Station (A and S trains), 1.1 miles distant. MTA bus service (Q35 and Q22) is also nearby. The main entrance of Q438 is accessible, located on Beach 135th Street (Exit 1). The accessible entrance includes a ramp, doorbell, reception, and security cameras. The doorbell is within reach range (height 47 inches).</t>
  </si>
  <si>
    <t xml:space="preserve">E1 
Doors: 41 inches, Cabs: 64 inches wide, 79 inches deep. </t>
  </si>
  <si>
    <t>Room 111 A/B</t>
  </si>
  <si>
    <t>This site does not include an auditorium; the cafeteria fulfills this function. The cafeteria is accessible and is located on the first floor. Accessible seating is provided. The gymnasium is accessible and is located on the third floor. There are also accessible multi-purpose rooms, room 202 provides occupational therapy and room 201 provides physical therapy. Assistive listening systems have been provided in the cafeteria.</t>
  </si>
  <si>
    <t>Exercise Room - Sensory Gym</t>
  </si>
  <si>
    <t>Rooms 202 (Occupational Therapy) and 201 (physical Therapy)</t>
  </si>
  <si>
    <t>There are accessible student bathrooms (boys and girls) available on all floors. There are also accessible changing bathrooms (unisex) available on all floors. There are accessible staff bathrooms (male and female) available on all floors. There are accessible single-user (unisex) bathrooms (for student and staff use) available on all floors.</t>
  </si>
  <si>
    <t>Rooms 114, 216, and 316</t>
  </si>
  <si>
    <t>Rooms 112, 214 and 314</t>
  </si>
  <si>
    <t>Includes shower, changing table, and laundry machines.</t>
  </si>
  <si>
    <t>Rooms 109, 111A, 210, and 310</t>
  </si>
  <si>
    <t>Room 111A is located in the nurse’s office.</t>
  </si>
  <si>
    <t>Fire alarm system has been upgraded and includes a strobe light feature. Holding rooms have been specifically designated as rooms 213, and 313.</t>
  </si>
  <si>
    <t>67-01 110 Street, Queens, NY 11375</t>
  </si>
  <si>
    <t>The nearest accessible subway station is the 75th Avenue Station (E and F trains), 0.9 miles distant. MTA bus service (Q23) is also nearby. The main entrance to Q440 is accessible, located in the entry quad off 110th Street. The accessible entrance includes a ramp and a doorbell. The doorbell is not within reach range (height 54 inches).</t>
  </si>
  <si>
    <t>An interior ramp on the third floor provides access to the music room. Braille signs are provided throughout the building.</t>
  </si>
  <si>
    <t>Noncompliant door hardware in some office areas.</t>
  </si>
  <si>
    <t>Changes of elevation in corridors (3-4 steps) prevent access.</t>
  </si>
  <si>
    <t>One passenger elevator provides service to all floors in the building. Elevator includes audible signals on each floor.</t>
  </si>
  <si>
    <t>E1; Doors: 44 inches, Cab: 74 inches wide, 88 inches deep</t>
  </si>
  <si>
    <t>This site is moderately accessible; most classrooms are accessible and are located along accessible routes. A change in elevation on the second floor prevents access to some classrooms.</t>
  </si>
  <si>
    <t>Classrooms – Rooms 217, 218, 216, 266, and 265</t>
  </si>
  <si>
    <t>Computer Rooms – Rooms 211, 363, and 366</t>
  </si>
  <si>
    <t>Nurse’s Office – Rooms B13 and B15</t>
  </si>
  <si>
    <t>Science Lab – Rooms 111, 152, 162, and 252</t>
  </si>
  <si>
    <t>The auditorium is accessible and is located on the first floor. Stage access is provided via lift. Accessible seating is provided. The cafeteria is accessible and is located in the basement. The gymnasiums are accessible via the auditorium and are located on the first floor. Assistive listening systems have not been provided in the public assembly spaces.</t>
  </si>
  <si>
    <t>Accessible via the auditorium due to a change of elevation (3 steps) in the corridor.</t>
  </si>
  <si>
    <t>There are accessible student bathrooms (boys) available in the basement and on the first floor. There are accessible student bathrooms (girls) available in the basement, and on the first and third floors. There are accessible single-user (unisex) bathrooms (for student and staff use) available on the first, second, and fourth floors.</t>
  </si>
  <si>
    <t>Boys Bathroom – B-62, 255 and 355</t>
  </si>
  <si>
    <t>Girls Bathroom – Basement Lockers and Rooms 106 and 306</t>
  </si>
  <si>
    <t>Single-User (Unisex) Bathrooms – 133, 139, 206, and 410</t>
  </si>
  <si>
    <t>Fire alarm system includes a strobe light feature. Holding rooms have been specifically designated as rooms 209, 253, 309, and 353.</t>
  </si>
  <si>
    <t>48-10 31 Avenue, Queens, NY 11103</t>
  </si>
  <si>
    <t>The nearest accessible subway station is the Queens Plaza Station (E, M, and R trains), 1.6 miles distant. MTA bus service (Q104 and Q18) is also nearby. Q445 does not include an accessible entrance.</t>
  </si>
  <si>
    <t xml:space="preserve">Not on accessible route. 
E1 
Doors: 48 inches, Cabs: 73 inches wide, 79 inches deep. </t>
  </si>
  <si>
    <t>Rooms 201, 405 and 408</t>
  </si>
  <si>
    <t xml:space="preserve">Rooms 402, 421 and 453 </t>
  </si>
  <si>
    <t>Rooms 109, 205 and 311</t>
  </si>
  <si>
    <t>The auditorium is not accessible and is located on the first floor. Stage access is not provided. Accessible seating is not provided. The cafeteria is not accessible and is located in the basement. The gymnasium is not accessible and is located on the first and fourth floors. Assistive listening systems have not been provided in the public assembly spaces.</t>
  </si>
  <si>
    <t>There are accessible student bathrooms (boys) available in the basement and fourth floors, they are not located on an accessible route. There are accessible student bathrooms (girls) available in the basement, first, and fourth floors, they are not located on an accessible route.  There are no accessible staff bathrooms (male and female) available on all floors.</t>
  </si>
  <si>
    <t>Rooms B17 and 448</t>
  </si>
  <si>
    <t>Rooms 146, 241 and 346</t>
  </si>
  <si>
    <t>Rooms B33, 184 and 483</t>
  </si>
  <si>
    <t>Rooms 284 and 384</t>
  </si>
  <si>
    <t>Rooms 126, 132, 244, 271, 279, 344, 379, 412, 426, 444 and 471</t>
  </si>
  <si>
    <t>14-30 Broadway, Queens, NY 11106</t>
  </si>
  <si>
    <t xml:space="preserve">The nearest accessible subway station is the 21st Street – Queensbridge Station (F train), 0.94 miles distant. MTA bus service (Q69, Q100, and Q104) is also nearby. The main entrance of Q452 is accessible, located on Broadway (Exit 2). The accessible entrance includes ramps, a doorbell, security cameras, and reception. The doorbell is within reach range (Height 48 Inches). </t>
  </si>
  <si>
    <t xml:space="preserve">Some door saddles are high,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</si>
  <si>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 xml:space="preserve">Two passenger and one freight elevator provide access to all floors. Elevators include audible signals on each floor.  </t>
  </si>
  <si>
    <t xml:space="preserve">E1 and E2 
Doors: 42 Inches, Cabs: 78 Inches wide, 63 Inches deep. 
E3 
Doors: 60 Inches, Cabs: 98 Inches wide, 91 Inches deep. </t>
  </si>
  <si>
    <t>Rooms 613, 617, and 619</t>
  </si>
  <si>
    <t>Rooms 201, 382, 384, 430, 494, 525, and 594</t>
  </si>
  <si>
    <t>Room 446</t>
  </si>
  <si>
    <t>Room 121 (L.I.C. High School); Room 468 (P993Q); Room 160 (L.Y.F.E. Center); Room 101 (Coop Tech.)</t>
  </si>
  <si>
    <t>Room 546</t>
  </si>
  <si>
    <t>Rooms 608, 668, and 680</t>
  </si>
  <si>
    <t xml:space="preserve">The auditorium is accessible and is located on the first floor. Stage access is provided via corridor. Accessible seating is provided. The cafeteria is accessible and is located on the sixth floor. The gymnasiums are accessible and are located on the second and fourth floors. Assistive listening systems have not been provided in the public assembly spaces. </t>
  </si>
  <si>
    <t xml:space="preserve">Pool Room is accessible. Pool lift not provided. </t>
  </si>
  <si>
    <t xml:space="preserve">There are accessible student bathrooms (boys and girls) available on all floors. There are accessible staff bathrooms (male and female) available on the first and sixth floors. There are accessible single-user (unisex) bathrooms (for student and staff use) available on all floors.   </t>
  </si>
  <si>
    <t>Rooms 145, 177B, 199B 222, 277B, 377B, 422, 477B, 577B, and 641B</t>
  </si>
  <si>
    <t xml:space="preserve">Room 199 is only accessible from the football field via Exit 7, and is not accessible from the building (change in elevation 4 steps). </t>
  </si>
  <si>
    <t>Rooms 147, 177G, 197, 277G, 285, 377G, 477G, 485, 577G, and 641G </t>
  </si>
  <si>
    <t xml:space="preserve">Room 197 is only accessible from the football field via Exit #7, and is not accessible from the building (change in elevation 4 steps). </t>
  </si>
  <si>
    <t>Rooms 143, 153, 677M, and 677W</t>
  </si>
  <si>
    <t>Room 130F</t>
  </si>
  <si>
    <t>Rooms 122M, 122W, 160B, 163D, 163E, 210A, 263A, 310A, 365M, 365W, 363A, 410A, 510A, 546B, 546G, and 610A</t>
  </si>
  <si>
    <t xml:space="preserve">This site includes exterior recreational spaces. The exterior recreational spaces are. The recreational equipment is not accessible. </t>
  </si>
  <si>
    <t>48-01 90 Street, Queens, NY 11373</t>
  </si>
  <si>
    <t>The nearest accessible subway station is Junction Station (7 train), 0.8 miles distant. MTA bus service (Q29 and Q58) is also nearby. The accessible entrance to Q455 is not the same as the main entrance; the accessible entrance is located on 48th Avenue (Exit 4). The accessible entrance does not include a doorbell, reception, or security cameras. Visitors may need to contact site in advance to gain access to this facility through the accessible entrance.</t>
  </si>
  <si>
    <t>A and B Doors: 40 inches, Cabs: 65 inches wide, 69 inches deep.</t>
  </si>
  <si>
    <t>Classrooms – Basement to Fourth</t>
  </si>
  <si>
    <t>356 Accessible Floor Accessible Computer Rooms 156, 159, 259, and 337 Accessible Main Office – Room 147, and 439 Accessible Nurse’s Office – Room B71, and 366 Accessible Science Lab – Rooms 351, and 450 Accessible</t>
  </si>
  <si>
    <t>Accessible via Elevator B</t>
  </si>
  <si>
    <t>Library – Room 131</t>
  </si>
  <si>
    <t>Science Lab – Room 306</t>
  </si>
  <si>
    <t>The auditorium is not accessible and is located in the basement. Stage access is provided via lift. Accessible seating is provided. The cafeteria is accessible and is located in the basement. The gymnasium is accessible and is located on the second floor. The multi-purpose room is accessible and is located on the fourth floor. Assistive listening systems have not been provided in the public assembly spaces.</t>
  </si>
  <si>
    <t>Elevator A must to taken to the second or third floor for connection to Elevator B to access the cafeteria. Accessible seating available upon request.</t>
  </si>
  <si>
    <t>Gymnasium – Second Floor and Forth Floor</t>
  </si>
  <si>
    <t>Staff Bathrooms – Rooms B49, 119, 172, 174, and 214</t>
  </si>
  <si>
    <t>Single-User (Unisex) Bathrooms – Room 366</t>
  </si>
  <si>
    <t>Room 366 is located in the nurse’s office.</t>
  </si>
  <si>
    <t>Single-User (Unisex) Bathroom – Classroom 419</t>
  </si>
  <si>
    <t>This site includes exterior recreational spaces. The exterior recreational spaces are accessible. The recreational equipment is not accessible. The location of the recreational spaces is located 0.4 miles from the main building.</t>
  </si>
  <si>
    <t>35-01 Union Street, Queens, NY 11354</t>
  </si>
  <si>
    <t>The nearest accessible subway station is the Flushing – Main Street Station (7 trains), 0.4 miles distant. MTA bus service (Q16, Q13, and Q28) is also nearby. The accessible entrance to Q460 is not the same as the main entrance; the accessible entrance is located on 35th Avenue (Exit 4 and 5). The accessible entrance does not include a doorbell, reception, or security cameras. Visitors may need to contact site in advance to gain access to this facility through the accessible entrance.</t>
  </si>
  <si>
    <t>Some door saddles are high, which may be difficult for some users to navigate. A change in elevation on the second floor (3 steps) and third floor (9 steps) prevents access to some program areas. Some water fountains and other wall-mounted objects protrude in the corridors more than 4 inches, which may present difficulties for individuals with visual disabilities. Braille signs are not included throughout the building.</t>
  </si>
  <si>
    <t>One passenger elevator provides access from basement to the third floor. There is no elevator access to the fourth and fifth floors. Elevator includes audible signals on each floor.</t>
  </si>
  <si>
    <t>Doors: 47 inches, Cab:83 inches wide, 73 inches deep.</t>
  </si>
  <si>
    <t>This site offers limited accessibility; all classrooms located in the basement to third floors in the original building are accessible and are located along accessible routes.</t>
  </si>
  <si>
    <t>Art Room – Rooms 155 and 301</t>
  </si>
  <si>
    <t>Classrooms – Basement to third Floor</t>
  </si>
  <si>
    <t>Classrooms 233 – 272, 333 – 372 are not on accessible route.</t>
  </si>
  <si>
    <t>Classrooms – Second, Fourth and Fifth Floor</t>
  </si>
  <si>
    <t>Classrooms 233 – 272, 333 – 372, 401- 403, and 501 are not on accessible route.</t>
  </si>
  <si>
    <t>Computer Rooms – Rooms 246, and 258</t>
  </si>
  <si>
    <t>Library – Room B06</t>
  </si>
  <si>
    <t>Change in elevation (7 steps) prevents access.</t>
  </si>
  <si>
    <t>Main Office – Room 118, and 123</t>
  </si>
  <si>
    <t>Nurse’s Office – Room 268</t>
  </si>
  <si>
    <t>Science Lab – Rooms 337, 358, and 368</t>
  </si>
  <si>
    <t>The auditorium is not accessible and is located on the first floor. Stage access is not provided. Accessible seating is not provided. The cafeteria is accessible and is located on the first floor. The gymnasium is not accessible and is located on the first floor. Assistive listening systems have been provided in the auditorium and cafeteria.</t>
  </si>
  <si>
    <t>Change in elevation (6 steps) prevents access. Stage access is not provided. Accessible seating is not provided. Assistive listening systems have been provided.</t>
  </si>
  <si>
    <t>Boys Bathrooms – Rooms 170, 234, 245, and 345</t>
  </si>
  <si>
    <t>Girls Bathrooms – Rooms 170, 211, 247,311, and 347</t>
  </si>
  <si>
    <t>Staff Bathrooms – Rooms B12, B15, 249, 331, and 349</t>
  </si>
  <si>
    <t>Single-User (Unisex) Bathroom – Room 268</t>
  </si>
  <si>
    <t>Room 268 is located in the nurse’s office.</t>
  </si>
  <si>
    <t>8-21 Bay 25 Street, Queens, NY 11691</t>
  </si>
  <si>
    <t>The nearest accessible subway station is the Far Rockaway – Mott Street Station (A train), 0.6 miles distant. MTA bus service (Q22 and QM17) is also nearby. There is no accessible entrance to Q465. Visitors may need to contact site in advance to gain access to this facility through the accessible entrance.</t>
  </si>
  <si>
    <t>Change of elevation prevents access (7 steps on exterior and 7 steps interior).</t>
  </si>
  <si>
    <t>Non-compliant door hardware present throughout building.</t>
  </si>
  <si>
    <t>Changes in elevation present through the building (7 steps on 2nd floor and 14 steps on 3rd floor).</t>
  </si>
  <si>
    <t>Accessible Door:</t>
  </si>
  <si>
    <t>47 inches, Cab: 60 inches wide, 90 inches deep.</t>
  </si>
  <si>
    <t>This site offers no accessibility; all classrooms are accessible but are not located along accessible routes.</t>
  </si>
  <si>
    <t>Computer Rooms- Rooms 247, and 342</t>
  </si>
  <si>
    <t>Library – 3 rd Floor</t>
  </si>
  <si>
    <t>Main Office – Rooms 148, 167, 230, and 352</t>
  </si>
  <si>
    <t>Science Lab – Rooms 244, 245, 339, and 343</t>
  </si>
  <si>
    <t>The auditorium is not accessible and is located on the first floor. Stage access is provided via lift. Accessible seating is provided. The cafeteria is not accessible and is located in the basement. The gymnasium is not accessible and is located on the first floor. Assistive listening systems have not been provided in the public assembly spaces.</t>
  </si>
  <si>
    <t>Not on an accessible route. Stage access via lift. Accessible seating is provided.</t>
  </si>
  <si>
    <t>167-01 Gothic Drive, Jamaica, NY 11432</t>
  </si>
  <si>
    <t>The nearest accessible subway station is the 179th Street Station (E and F trains), 1.25 miles distant. MTA bus service (Q65, Q30, and Q31) is also nearby. The main entrance is not accessible due to changes in elevation (18 steps exterior, 5 steps interior) upon entering school entrance. This site does not include an accessible entrance.</t>
  </si>
  <si>
    <t>Doors: 59 inches, Cab: 107 inches wide, 62 inches deep.</t>
  </si>
  <si>
    <t>Computer Room – Room 110</t>
  </si>
  <si>
    <t>Library – Room 138</t>
  </si>
  <si>
    <t>Main Offices – Rooms 126, 210, 234A, and 336A</t>
  </si>
  <si>
    <t>Room 126 -Jamaica Gateway to the Sciences; Room 210 - Queens Collegiate; Room 234A -Hillside Arts and Letters Academy; Room 336A -High School to the Sciences. Not on accessible route.</t>
  </si>
  <si>
    <t>Science Lab – Rooms 322, 351, 326, 318, and 334</t>
  </si>
  <si>
    <t>The auditorium is not accessible and is located on the first floor. Stage access is provided via lift. Accessible seating is provided. The cafeteria is not accessible and is located in the basement. The gymnasium is not accessible and is located on the first and third floors. The pool is not accessible and is located in the basement. Assistive listening systems have not been provided in the public assembly spaces.</t>
  </si>
  <si>
    <t>Stage access is provided via lift. Accessible seating is provided. Not on an accessible route.</t>
  </si>
  <si>
    <t>Gymnasium – First and third Floors</t>
  </si>
  <si>
    <t>Boys Bathrooms – Rooms 105, 305, and 339</t>
  </si>
  <si>
    <t>Girls Bathrooms – Rooms 139, 205, and 239</t>
  </si>
  <si>
    <t>Staff Bathrooms – Rooms 120, 154, 214A, 259, 314A, and 331</t>
  </si>
  <si>
    <t>89-30 114 Street, Queens, NY 11418</t>
  </si>
  <si>
    <t>The nearest accessible subway station is the Lefferts Boulevard Station (A train), 1.0 miles distant. MTA bus service (Q37 and Q24) is also nearby. The accessible entrance to Q475 is not the same as the main entrance; the accessible entrance is located on 113th Street (Exit 10).  The accessible entrance includes a ramp and security cameras. The accessible entrance does not include a doorbell and reception. Visitors may need to contact site in advance to gain access to this facility through the accessible entrance.</t>
  </si>
  <si>
    <t xml:space="preserve">E1 
Doors: 47 inches, Cabs: 87 inches wide, 86 inches deep. </t>
  </si>
  <si>
    <t>Rooms 502 and 503</t>
  </si>
  <si>
    <t>Rooms 222, 225, 309 and 316</t>
  </si>
  <si>
    <t>Rooms 116, 204, 301 and 416</t>
  </si>
  <si>
    <t>The auditorium is accessible and is located on the first floor. Stage access is not provided. Accessible seating is provided. The cafeteria is not accessible due to a change of elevation and is located in the basement. The gymnasium is accessible and is located on the first floor. The second gymnasium is not accessible due to a change of elevation located on the third floor. Assistive listening systems have not been provided in the public assembly spaces.</t>
  </si>
  <si>
    <t>Change of elevation (4 steps)</t>
  </si>
  <si>
    <t>Change of elevation (5 steps)</t>
  </si>
  <si>
    <t>This building is prevented from attaining a higher accessibility rating due to lack of accessible bathrooms throughout the building. There is an accessible single-user (unisex) bathrooms (for student and staff use) available in the pool area.</t>
  </si>
  <si>
    <t>Rooms 111, 211, 311, and 411</t>
  </si>
  <si>
    <t>Rooms 135, 235, 335, and 445</t>
  </si>
  <si>
    <t>101-01 Rockaway Boulevard, Queens, NY 11417</t>
  </si>
  <si>
    <t>The nearest accessible subway station is Pelham Bay Park Station (6 train), 2.2 miles distant. MTA bus service (Bx23, Bx28, Bx30, Bx38, and Q50) is also nearby. The accessible entrance to building Q480 is not the same as the main entrance to the building; the accessible entrance is located off 101st Street, reached via a sidewalk along an active driveway to an inner courtyard. The main entrance is only reached via a staircase (21 steps), although it includes cameras and a doorbell that is out of reach range (height 66 Inches). Visitors should call ahead to gain access to this building.</t>
  </si>
  <si>
    <t>Hallways have objects that protrude more than 4” and may present barriers to individuals with visual disabilities. Braille signs are not provided throughout the building.</t>
  </si>
  <si>
    <t>There is an elevator on site providing access to all floors in the building. Elevator include audible signals on each floor.</t>
  </si>
  <si>
    <t>Door: 40 Inches, Cab: 70 Inches wide, 55 Inches deep.</t>
  </si>
  <si>
    <t xml:space="preserve">Rooms 203, 204, 219 and 333 </t>
  </si>
  <si>
    <t>Room 131B</t>
  </si>
  <si>
    <t>Room 140, 140, 240, 241 and 334</t>
  </si>
  <si>
    <t>The auditorium is accessible and is located on the first floor. The auditorium provides stage access via a lift, and accessible seating. The cafeteria is accessible and is in the basement. The gymnasium is accessible and is located on the first floor. The pool is accessible and is in the basement. Assistive listening systems have been provided in the auditorium.</t>
  </si>
  <si>
    <t>Accessible seating and stage access (via lift) are provided. Assistive listening systems have been provided.</t>
  </si>
  <si>
    <t>Reached via a lift</t>
  </si>
  <si>
    <t>There is accessible student (girls and boys) bathrooms in the basement, and third floors. There are accessible (Men’s) bathrooms on the first, and third floors. An accessible (unisex) bathrooms (available for students and staff) exist on the basement, and third floors.</t>
  </si>
  <si>
    <t>Basement and Third Floors</t>
  </si>
  <si>
    <t>Fire Alarm System includes a strobe light feature. There are no specifically designated fire safety rooms or holding areas.</t>
  </si>
  <si>
    <t>21-27 Himrod Street, Queens, NY 11385</t>
  </si>
  <si>
    <t>The nearest accessible subway station is Myrtle – Wyckoff Avenue Station (L train), 1.1 miles distant; MTA bus service (Q54) is also nearby. The accessible entrance to building Q485 is not the same as the main entrance; the accessible entrance is located off Grandview Avenue (Exits 8 and 9). The accessible entrance includes security cameras. The accessible entrance does not include reception or a doorbell; visitors should contact the site prior to arrival.</t>
  </si>
  <si>
    <t>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provided throughout the building.</t>
  </si>
  <si>
    <t>Some door hardware in parts of the building are not compliant.</t>
  </si>
  <si>
    <t>Door: 47 inches; Cab: 43 inches wide, 74 inches deep.</t>
  </si>
  <si>
    <t>Art Room – Room 232</t>
  </si>
  <si>
    <t>Computer Rooms – Rooms 104, 107, 203, 332, and 334</t>
  </si>
  <si>
    <t>Main Office – Room 129</t>
  </si>
  <si>
    <t>Nurse’s Office –Room B21</t>
  </si>
  <si>
    <t>Science Lab – Rooms 235, 240, and 241</t>
  </si>
  <si>
    <t>The auditorium is accessible and is located on the first floor. Stage access is not provided. Accessible seating is not provided. The cafeteria is accessible and is located in the basement. The gymnasiums are accessible and are located on the first floor. The pool is not accessible and is located in the basement. Assistive listening systems have not been provided in the public assembly spaces.</t>
  </si>
  <si>
    <t>Accessible seating is not provided. Stage access not provided.</t>
  </si>
  <si>
    <t>Gymnasium – First Floor — Gym One, Two, and Three</t>
  </si>
  <si>
    <t>Pool — Basement</t>
  </si>
  <si>
    <t>There are accessible student bathrooms (boys) available in the basement and on the first and third floors. There are accessible student bathrooms (girls) available in the basement and on the first and second floors. There is a single-user (unisex) bathroom (for student and staff use) available on the first floor.</t>
  </si>
  <si>
    <t>Boys Bathrooms – Rooms 118B, 109, 209, 218, 244, and 318</t>
  </si>
  <si>
    <t>Girls Bathrooms – Basement, First Floor (Gymnasium), Rooms 120 and 220</t>
  </si>
  <si>
    <t>Girls Bathrooms – Room 320</t>
  </si>
  <si>
    <t>Staff Bathrooms – Rooms B6A, B9, 144, 145, 245, 342, and 345M</t>
  </si>
  <si>
    <t>Single-User (Unisex) Bathroom – Auditorium- First Floor</t>
  </si>
  <si>
    <t>Fire alarm system includes a strobe light feature. Holding rooms have been specifically designated as rooms 138, 238, and 338.</t>
  </si>
  <si>
    <t>This site does not include central air; Air conditioning units have been provided in classrooms.</t>
  </si>
  <si>
    <t>207- 01 116Th  Avenue, Queens, NY 11411</t>
  </si>
  <si>
    <t>The nearest accessible subway station is 179th Street Station (F train), 2.8 miles distant. MTA bus service (Q77 and Q27) is also nearby. The accessible entrance to Q490 is not the same as the main entrance; the accessible entrance is located in the inner courtyard of the building, off 208th Street, adjacent to the sports field (Exit 11). The accessible entrance does not include a doorbell, security cameras, or reception. Visitors may need to contact site in advance to gain access to this facility through the accessible entrance.</t>
  </si>
  <si>
    <t>There are three lifts present throughout the building. Two stair lifts provide access to rooms B-27B, B-28, and B-29. The third lift provides access to the pool deck.</t>
  </si>
  <si>
    <t>Door: 36 inches; Cab: 45 inches wide, 76 inches Deep.</t>
  </si>
  <si>
    <t>This site is highly accessible; classrooms are accessible and are located along accessible routes.</t>
  </si>
  <si>
    <t>Art Rooms – Rooms B28 and B29</t>
  </si>
  <si>
    <t>Stair lift provides access to classrooms.</t>
  </si>
  <si>
    <t>Classrooms – Rooms B27B</t>
  </si>
  <si>
    <t>Stair lift provides access to classroom.</t>
  </si>
  <si>
    <t>Computer Rooms – Rooms 222, 321, 325 and 327</t>
  </si>
  <si>
    <t>Main Office – Rooms 114, 137, 204 and 335A</t>
  </si>
  <si>
    <t>Rooms 114 (29Q313), 137 (29Q498), 204 (29Q492) and 335A (29Q243)</t>
  </si>
  <si>
    <t>Nurse’s Office – Room B19</t>
  </si>
  <si>
    <t>Science Lab – Rooms 140, 240, 241, 340 and 347</t>
  </si>
  <si>
    <t>The auditorium is accessible and is located on the first floor. Stage access is provided via lift. Accessible seating is provided. The cafeteria is accessible and is located in the basement. The gymnasium is accessible and is located on the first floor. The multi-purpose room is accessible and is located on the first floor. The pool is accessible and is located in the basement. Assistive listening systems have been provided in the auditorium.</t>
  </si>
  <si>
    <t>Accessible via lifts.</t>
  </si>
  <si>
    <t>There are accessible student bathrooms (boys and girls) available on the first through third floors. There are accessible staff bathrooms (male and female) available on first through third floors.</t>
  </si>
  <si>
    <t>Boys Bathroom – First through Third Floors</t>
  </si>
  <si>
    <t>Boys Bathroom – Basement</t>
  </si>
  <si>
    <t>Girls Bathroom – First through Third Floors</t>
  </si>
  <si>
    <t>Girls Bathroom – Basement</t>
  </si>
  <si>
    <t>Staff Bathrooms – First through Third Floors</t>
  </si>
  <si>
    <t>Staff Bathrooms — Basement</t>
  </si>
  <si>
    <t>The school does not have central air. Air-conditioning units have been provided in classrooms.</t>
  </si>
  <si>
    <t>148-20 Reeves Avenue, Queens, NY 11367</t>
  </si>
  <si>
    <t xml:space="preserve">The nearest accessible subway station is the Main Street Station (7 train), 1.7 miles distant. MTA bus service (Q88, Q20A, Q20B, and Q44-SBS) is also nearby. The main entrance of Q499 is accessible, located on Reeves Avenue (Exit 2). The accessible entrance includes a doorbell, reception, and security cameras. The doorbell is located within reach range (Height 42 inches). </t>
  </si>
  <si>
    <t xml:space="preserve">E1 and E2 
Doors: 36 inches, Cabs: 51 inches wide, 66 inches deep. </t>
  </si>
  <si>
    <t>Room 432</t>
  </si>
  <si>
    <t>Room 112 (25Q499) and 125 (75Q993)</t>
  </si>
  <si>
    <t>Rooms 316</t>
  </si>
  <si>
    <t>The auditorium is accessible and is located on the fourth floor. Stage access is provided via the corridor. Accessible seating is provided. The cafeteria is accessible and is located on the first floor. The gymnasium is accessible and is located on the second floor. Assistive listening systems have been provided in the auditorium, cafeteria, and gymnasium.</t>
  </si>
  <si>
    <t xml:space="preserve">Stage access via the corridor. Accessible seating is provided. Assistive listening systems have been provided. </t>
  </si>
  <si>
    <t>There are accessible student bathrooms (boys and girls) available on all floors. There are accessible single-user (unisex) bathrooms (for student and staff use) available on all floors. There are accessible single-user (unisex) bathrooms (for student and staff use) available within some first-floor classrooms.</t>
  </si>
  <si>
    <t>Rooms Cafe, 201, 323, and 402</t>
  </si>
  <si>
    <t>Rooms Cafe, 205, 325, and 404</t>
  </si>
  <si>
    <t>Rooms 103A, 123A, 127, 211, 211B, 311, 322, 422, and 423</t>
  </si>
  <si>
    <t xml:space="preserve">Room 103A is located in the nurse’s office. </t>
  </si>
  <si>
    <t>Classrooms 118, 120 and 122, 124, 126, 128, 130, and 132</t>
  </si>
  <si>
    <t xml:space="preserve">Fire alarm system has been upgraded and includes a strobe light feature. Holding rooms have been specifically designated as rooms 210, 310, and 410. </t>
  </si>
  <si>
    <t>160-05 Highland Avenue, Queens, NY 11432</t>
  </si>
  <si>
    <t xml:space="preserve">The nearest accessible subway station is 179th Street Station (E and F trains), 1.1 miles distant. MTA bus service (Q25 and Q34) is also nearby. The accessible entrance to building Q505 is not the same as the main entrance; the accessible entrance is located of Utopia Parkway (Exits 11 and 12). The accessible entrance includes security cameras and a doorbell. The doorbell is located within reach range (height 44 Inches). </t>
  </si>
  <si>
    <t>Braille signs are included in the cafeteria and gymnasium but are lacking throughout the rest of the building.</t>
  </si>
  <si>
    <t>Two passenger elevators provide access to all floors in the building. Elevators include audible signals on all floors.</t>
  </si>
  <si>
    <t>(E1 and E2) Doors: 50 Inches; Cabs: 91 Inches deep, 85 Inches wide.</t>
  </si>
  <si>
    <t>Rooms 484, 486, and 490</t>
  </si>
  <si>
    <t>Rooms 244, 246,
256/258, and 466/468</t>
  </si>
  <si>
    <t>Room 206S</t>
  </si>
  <si>
    <t>Rooms 301, 356, 385, 401, and 485</t>
  </si>
  <si>
    <t>The auditorium is accessible and is located in the basement. Stage access is provided via a corridor. Accessible seating is provided via lift. The cafeterias are accessible and are located on the third and fourth floors. The gymnasiums are accessible and are located on the first floor. The multi-purpose room is accessible and is located on the second floor. Assistive listening systems have not been provided in the public assembly areas.</t>
  </si>
  <si>
    <t>Stage access is provided via the corridor. Accessible seating is provided via lift.</t>
  </si>
  <si>
    <t>Third and Fourth Floors (Students and Staff)</t>
  </si>
  <si>
    <t>Room 230C</t>
  </si>
  <si>
    <t>There are accessible student (boys) bathrooms available in the basement and on the second floor. There are accessible student (girls) bathrooms available in the basement, and on the first, second, and fourth floors. There are accessible staff bathrooms available on the first and second floors. There are also accessible single-user (unisex) bathrooms (for student and staff use) available on the second floor.</t>
  </si>
  <si>
    <t>Basement, First, Second, and Fourth Floors</t>
  </si>
  <si>
    <t>Rooms 273 and 375</t>
  </si>
  <si>
    <t>149-11 Melbourne Avenue, Queens, NY 11367</t>
  </si>
  <si>
    <t xml:space="preserve">The nearest accessible subway station is the Main Street Station (7 train), 1.9 miles distant. MTA bus service (Q20A, Q20B, and Q44-SBS) is also nearby. The main entrance of Q515 is accessible, located on 149th Street (Exit 1). The accessible entrance includes a ramp, doorbell, reception, and security cameras. The doorbell is located within reach range (Height 40 inches). </t>
  </si>
  <si>
    <t xml:space="preserve">E1 and E2 
Doors: 43 inches, Cabs: 64 inches wide, 67 inches deep. </t>
  </si>
  <si>
    <t>Rooms 511, and 543</t>
  </si>
  <si>
    <t>Rooms 414, 434, 514, and 634</t>
  </si>
  <si>
    <t>Rooms 604 and 615</t>
  </si>
  <si>
    <t xml:space="preserve">The auditorium is accessible and is located on the second floor. Stage access is provided via the corridor. Accessible seating is provided. The cafeteria is accessible and is located on the first floor. The gymnasium is accessible and is located on the first floor. Assistive listening systems have been provided in the auditorium. </t>
  </si>
  <si>
    <t>Rooms 132, 208, 308, 424, and 524</t>
  </si>
  <si>
    <t>Rooms 134, 202, 302, 422, and 522</t>
  </si>
  <si>
    <t>Rooms 102, 104, 224, 228, 320, 322, 420, 426, 520, 526, 620, and 626</t>
  </si>
  <si>
    <t xml:space="preserve">Fire alarm system has been upgraded and includes a strobe light feature. Holding rooms have been specifically designated as rooms 328, 428, 528, and 628. </t>
  </si>
  <si>
    <t>45-35 Van Dam Street, Queens, NY 11101</t>
  </si>
  <si>
    <t xml:space="preserve">The nearest accessible subway station is the Queens Plaza Station (E, F, R, and M trains), 0.4 miles distant; MTA bus service (Q39) is also nearby. The main entrance to building Q520 is accessible, located on Van Dam Street. The accessible entrance includes an automatic door opener, security cameras, and reception. The accessible entrance does not include a doorbell. </t>
  </si>
  <si>
    <t>Two elevators on site that provides access to all floors. Elevators include audible signals on all floors.</t>
  </si>
  <si>
    <t>Door 42 Inches, Cab: wide 53 Inches, deep 80 Inches.</t>
  </si>
  <si>
    <t>Rooms 208, and 262</t>
  </si>
  <si>
    <t xml:space="preserve">Rooms 109, 210, and 252 </t>
  </si>
  <si>
    <t>Rooms 152 (24Q530), and 105
(24Q520)</t>
  </si>
  <si>
    <t>Rooms 223, 224, 243, 253 and 258</t>
  </si>
  <si>
    <t>The cafeteria is accessible and is located on the first floor. An assistive listening systems have been provided in the cafeteria.</t>
  </si>
  <si>
    <t>There are accessible student (boys and girls) bathrooms on all floors. There are accessible staff bathrooms on all floors.</t>
  </si>
  <si>
    <t>Fire Alarm System include a strobe light feature. There are no specifically designated fire safety rooms or holding areas.</t>
  </si>
  <si>
    <t>74-20 Commonwealth Blvd, Queens, NY 11426</t>
  </si>
  <si>
    <t xml:space="preserve">The nearest accessible subway station is the Jamaica Center – Parsons/Archer Station (F, J, and Z trains), 5.5 miles distant. MTA bus service (Q46) is also nearby. The main entrance of Q566 is accessible, located off Commonwealth Street within educational campus building Queens High School of Teaching, Liberal Arts, and The Science (Exit 1). The accessible entrance includes a doorbell, reception, and security cameras. The doorbell is located within reach range (Height 44 inches). </t>
  </si>
  <si>
    <t xml:space="preserve">E1 and E2 
Doors: 42 inches, Cabs: 62 inches wide, 79 inches deep. </t>
  </si>
  <si>
    <t>Rooms 223 and 228</t>
  </si>
  <si>
    <t>Rooms 117 (26Q566) and 102 (75Q811)</t>
  </si>
  <si>
    <t>Rooms 204 (26Q566) and 112A (75Q811)</t>
  </si>
  <si>
    <t>Rooms 403 and 423</t>
  </si>
  <si>
    <t xml:space="preserve">The auditorium is accessible and is located on the first floor. Stage access is provided via both a lift and ramp. Accessible seating is provided. The cafeteria is accessible and is located on the first floor. The gymnasium is accessible and is located on the first floor. Assistive listening systems have not been provided in the public assembly spaces.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</si>
  <si>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on the first floor inside of some classrooms on the first floor. </t>
  </si>
  <si>
    <t>Rooms 114, 139A, 216, 316, 414, and 516</t>
  </si>
  <si>
    <t>Rooms 116, 139B, 214, 314, 416, and 514</t>
  </si>
  <si>
    <t>Rooms 146, 148, 209, 309, 408, 406, and 509</t>
  </si>
  <si>
    <t>Classrooms 101, 103, 107, 109, 110, 172, 174, 176, and 178</t>
  </si>
  <si>
    <t xml:space="preserve">Fire alarm system has been upgraded and includes a strobe light feature. Holding rooms have been specifically designated as rooms 201, 301, 401, and 501. </t>
  </si>
  <si>
    <t>35-12 35Th Avenue, Queens, NY 11106</t>
  </si>
  <si>
    <t xml:space="preserve">The nearest accessible subway station is the Queens Plaza Station (E, M, and R trains), 0.76 miles distant. MTA bus service (Q66) is also nearby. The main entrance of Q570 is accessible, located on 35th Avenue (Exit 1). The accessible entrance includes a ramp, a doorbell, cameras, and reception. </t>
  </si>
  <si>
    <t xml:space="preserve">Ramped access from the sidewalk to the entrance plaza on the first floor.  </t>
  </si>
  <si>
    <t xml:space="preserve">Two passenger elevators provide access to floors One through Five. One freight elevator provides access to all floors. Elevators include audible signals on each floor.  </t>
  </si>
  <si>
    <t xml:space="preserve">E1 and E2 
Doors: 48 Inches, Cabs: 95 Inches wide, 76 Inches deep. 
E3 
Doors: 54 Inches, Cab: 89 Inches wide, 82 Inches deep. </t>
  </si>
  <si>
    <t>Rooms 501 and 505</t>
  </si>
  <si>
    <t>Room 112 (Frank Sinatra High School), Room 319 (P993 - District 75)</t>
  </si>
  <si>
    <t>Rooms 335 and 321</t>
  </si>
  <si>
    <t>Rooms 415 and 515</t>
  </si>
  <si>
    <t xml:space="preserve">The auditorium is accessible and is located on the first floor. Stage access is provided via two ramped corridors. Orchestra pit access is provided via lift. Accessible seating is provided. The cafeteria spaces are accessible are located on the fifth floor. The gymnasium is accessible and is located on the second floor. Assistive listening systems have not been provided in the public assembly spaces. </t>
  </si>
  <si>
    <t xml:space="preserve">Stage access is provided via corridors. Accessible seating is provided. Orchestra pit access via lift. </t>
  </si>
  <si>
    <t>Black Box Theater and Dance Studios – Third Floor</t>
  </si>
  <si>
    <t>Rooms 139D, 232A, 333B, 439D, and 539D</t>
  </si>
  <si>
    <t>Rooms 139C, 237, 331B, 439C, and 539C</t>
  </si>
  <si>
    <t>Rooms 113A and 113B</t>
  </si>
  <si>
    <t>Rooms B28A, B30A, 231D, 321A, 330A, 335A, 426A, 430A, and 526A</t>
  </si>
  <si>
    <t xml:space="preserve">Rooms 321A and 335A are located inside the two nurses’ offices. </t>
  </si>
  <si>
    <t>Rooms 211A, 213A, 215A, 217A, 221A, 311A, 313A, and 315A</t>
  </si>
  <si>
    <t>40-11 28 Street, Queens, NY 11101</t>
  </si>
  <si>
    <t>The nearest accessible subway station is Queens Plaza Station (E, M, and R trains), 0.2 miles distant. MTA bus service (Q32, Q60, Q101 and Q102) is also nearby. The main entrance is accessible, located on 28th Street (Exit 1). The accessible entrance includes a doorbell, reception, and security cameras. The doorbell is within reach range (height 48 inches).</t>
  </si>
  <si>
    <t>E1 and E2 Doors: 42 inches, Cabs: 62 inches wide, 78 inches deep.</t>
  </si>
  <si>
    <t>Art Rooms – Room 319</t>
  </si>
  <si>
    <t>Classrooms – Floors First to Fourth</t>
  </si>
  <si>
    <t>Library – Room 104</t>
  </si>
  <si>
    <t>Science Lab – Rooms 424, 427, 428, and 431</t>
  </si>
  <si>
    <t>This site does not include an auditorium; the gymnasium fulfils this function. The gymnasium is accessible and is located on the second floor. The gymnasium does not include a stage. The cafeteria is accessible and is located in the cellar. Assistive listening systems have been provided in the cafeteria and gymnasium.</t>
  </si>
  <si>
    <t>Boys Bathrooms – Rooms C02, 122, 222, 223, 322, and 422</t>
  </si>
  <si>
    <t>Room 223 is located in the boys locker room.</t>
  </si>
  <si>
    <t>Girls Bathrooms – Rooms C06, 118, 211, 218, 318, and 418</t>
  </si>
  <si>
    <t>Room 211 is located in the girls locker room.</t>
  </si>
  <si>
    <t>Single-User (Unisex) Bathrooms – Rooms C19, 107A, 115, 117, 215, 217, 315, 317, 415, and 417</t>
  </si>
  <si>
    <t>Fire alarm system has been upgraded and includes a strobe light feature. Holding rooms or areas of C09, 216, 312, and 412.</t>
  </si>
  <si>
    <t>54-40 74Th Street, Queens, NY 11373</t>
  </si>
  <si>
    <t xml:space="preserve">The nearest accessible subway station is the Roosevelt Avenue – Jackson Heights Subway Station (7, E, F, M, and R trains), 1.5 miles distant. MTA bus service (Q58 and Q59) is also nearby. The main entrance of Q585 is accessible, located on 74th Street (Exit 2). The accessible entrance includes a doorbell, reception, and security cameras. The doorbell is located within reach range (Height 44 inches). </t>
  </si>
  <si>
    <t xml:space="preserve">E1 and E2  
Doors: 48 Inches, Cab: 78 Inches wide, 62 Inches deep. </t>
  </si>
  <si>
    <t>Rooms 307, and 407</t>
  </si>
  <si>
    <t>Rooms 239 (75Q721), and 313 (24Q585)</t>
  </si>
  <si>
    <t>Rooms 218, and B27</t>
  </si>
  <si>
    <t xml:space="preserve"> Includes accessible single-user restrooms. </t>
  </si>
  <si>
    <t>Rooms 328, 329, 332, 428, 429, and 432</t>
  </si>
  <si>
    <t xml:space="preserve">The auditorium is accessible and is located on the first floor. Stage access is provided via a ramp. Accessible seating is provided. The cafeteria is accessible and is located on the first floor. The gymnasium is accessible and is located in the basement. Assistive listening systems have been provided in the auditorium, cafeteria, and gymnasium. </t>
  </si>
  <si>
    <t xml:space="preserve">There are accessible student bathrooms (boys and girls) available on all floors. There are accessible staff bathrooms (male and female) available on all floors. There are accessible single-user (unisex) bathrooms (for student and staff use) available on the second through fourth floors.   </t>
  </si>
  <si>
    <t>Rooms B5, 105, 219, 319, and 419</t>
  </si>
  <si>
    <t>Rooms B3, 103, 221, 321, and 421</t>
  </si>
  <si>
    <t>Rooms 212, 305, and 405</t>
  </si>
  <si>
    <t xml:space="preserve">Fire alarm system has been upgraded and includes a strobe light feature. Holding rooms have been specifically designated as rooms B14, 234, 332, and 432. </t>
  </si>
  <si>
    <t>140 Beach 112 Street, Queens, NY 11694</t>
  </si>
  <si>
    <t>The nearest accessible subway station is the Rockaway Park – Beach 116 St Station (A and S trains), 0.3 miles distant. MTA bus service (Q22) is also nearby. The accessible entrance to Q593 is not the same as the main entrance; the accessible entrance is located on Beach 111th St (Exit Cafe). The accessible entrance (is not the same as main entrance) does not include a doorbell, reception, and security cameras. Visitors may need to contact site in advance to gain access to this facility through the accessible entrance.</t>
  </si>
  <si>
    <t xml:space="preserve">E1 
Doors: 35 inches, Cabs: 71 inches wide, 43 inches deep. </t>
  </si>
  <si>
    <t>This site does not include an auditorium; the gymnasium fulfills this function. The cafeteria is accessible and is located on the first floor. The gymnasium is accessible and is located on the first floor. Stage access is not provided. Accessible seating is provided. Assistive listening systems have been provided in the gymnasium.</t>
  </si>
  <si>
    <t>Rooms 102 and 206</t>
  </si>
  <si>
    <t>Rooms 111 and 211</t>
  </si>
  <si>
    <t>37-02 47 Avenue, Queens, NY 11101</t>
  </si>
  <si>
    <t xml:space="preserve">The nearest accessible subway station is the Queens Plaza Station. (E, F, R, and M trains), 0.8 miles distant; MTA bus service (Q39, Q32, and Q60) is also nearby. The main entrance to building Q600 is accessible, located on 38th Street. The accessible entrance includes security cameras and a doorbell. The doorbell is within reach range (height 48 Inches).  </t>
  </si>
  <si>
    <t>Non-Compliant Door Hardware</t>
  </si>
  <si>
    <t>There is a passenger elevator providing access to all floors in the building. Elevator include audible signals on all floors.</t>
  </si>
  <si>
    <t>Door: 48 Inches; Cab: 100 Inches wide, 70 Inches deep.</t>
  </si>
  <si>
    <t>Rooms 105, and 325</t>
  </si>
  <si>
    <t xml:space="preserve">Rooms 325, 404, 407,
411, 412, 416, and 454 </t>
  </si>
  <si>
    <t>Room 455</t>
  </si>
  <si>
    <t>Rooms 201, and 211</t>
  </si>
  <si>
    <t>The auditorium is accessible and is located on the first floor. The auditorium provides stage access via a ramp, and accessible seating. The cafeteria is accessible and is located on the second floor. The gymnasium is accessible and is in the basement. Assistive listening systems have not been provided in the public assembly spaces.</t>
  </si>
  <si>
    <t>Accessible seating. Ramp provides stage access.</t>
  </si>
  <si>
    <t>There is accessible student (boys and girls) bathrooms on all floors. There are accessible staff bathrooms on every floor.</t>
  </si>
  <si>
    <t>Fire Alarm System is a legacy system and does not include a strobe light feature. There are no specifically designated fire safety rooms or holding areas.</t>
  </si>
  <si>
    <t>45-30 36 Street, Queens, NY 11101</t>
  </si>
  <si>
    <t>The nearest accessible subway station is Queens Plaza Station (E, F, R, M trains), 0.4 miles distant; MTA bus service (Q39) is also nearby. The accessible entrance to building Q610 is not the same as the main entrance to the building; the accessible entrance is under construction and is located of 35th Street (Exits 6 and 7). A ramp is currently under construction that will lead from the sidewalk to the accessible entrance.</t>
  </si>
  <si>
    <t>A passenger elevator provides access to all floors in the building. Elevator includes audible signals on all floors.</t>
  </si>
  <si>
    <t>Door: 42 Inches; Cab: 53 Inches wide, 80 Inches deep</t>
  </si>
  <si>
    <t xml:space="preserve">Rooms 530, and 612 </t>
  </si>
  <si>
    <t>Rooms 630, and 634</t>
  </si>
  <si>
    <t>The auditorium is accessible and is located on the second floor. The auditorium provides stage access via a lift, and accessible seating. The cafeteria is accessible and is located on the ground floor. The gymnasium is accessible and is located on the ground floor. Assistive listening systems have been provided in the cafeteria.</t>
  </si>
  <si>
    <t>There are accessible student bathrooms (boys and girls) located on the ground floor. There is also an accessible staff bathroom located on the first floor.</t>
  </si>
  <si>
    <t xml:space="preserve">First Through Sixth Floors </t>
  </si>
  <si>
    <t>165-65 84 Avenue, Queens, NY 11432</t>
  </si>
  <si>
    <t>The nearest accessible subway station is 179th Street Station (E, F trains), 1.0 miles distant. MTA bus service (Q65) is also nearby. The accessible entrance to building Q620 is not the same as the main entrance; the accessible entrance is located off 84th Avenue (Exit 10). The accessible entrance does not include a doorbell, visitors will need to call in advance in order to gain access to the facility.</t>
  </si>
  <si>
    <t>Doors: 46 Inches, Cab: 61 Inches deep, 98 Inches wide.</t>
  </si>
  <si>
    <t>Rooms 205, 217, and 222</t>
  </si>
  <si>
    <t xml:space="preserve">Rooms G07A, G07B, G26A, 103A, 114A, 115, 204B, 213, 220, and 302/304 </t>
  </si>
  <si>
    <t>Rooms 133 (28Q620), and 207 (75Q752)</t>
  </si>
  <si>
    <t>Rooms 113, 203, 205, 313, and 317</t>
  </si>
  <si>
    <t>The auditorium is accessible and is located on the first floor. The auditorium provides access seating, and stage access via a lift. The cafeteria is accessible and is in the basement. The stanchions in the food service line prevent clear width (23” wide). The gymnasium is accessible and is located on the first floor. Assistive listening systems have not been provided in the public assembly spaces.</t>
  </si>
  <si>
    <t>There is only one accessible bathroom single‐user bathroom located in the nurse’s office on the first floor.</t>
  </si>
  <si>
    <t>171-10 Linden Boulevard, Queens, NY 11434</t>
  </si>
  <si>
    <t xml:space="preserve">The nearest accessible subway station is the Jamaica Center – Parsons/Archer Station (E and J trains), 1.7 miles distant. MTA bus service (Q4, Q5, Q84, X63, and n4) is also nearby. The main entrance of Q633 is accessible, located on Linden Boulevard (Exit 1). The accessible entrance includes a doorbell and security cameras. The doorbell is located within reach range (Height 48 inches). </t>
  </si>
  <si>
    <t xml:space="preserve">Doors: 41 Inches, Cab: 75 Inches wide, 50 Inches deep. </t>
  </si>
  <si>
    <t>Rooms 306, and 311A/B</t>
  </si>
  <si>
    <t xml:space="preserve">This site does not include an auditorium; the gymnasium fulfills this function. The gymnasium is accessible and is located in the basement. The gymnasium does not include a stage. The cafeteria is accessible and is located in the basement. Assistive listening systems have not been provided in the public assembly spaces. </t>
  </si>
  <si>
    <t>Rooms 020B, 120B, 221B, and 321B</t>
  </si>
  <si>
    <t xml:space="preserve">Interior partitions do not provide clear floor space </t>
  </si>
  <si>
    <t>Rooms 020A, 120A, 221A, and 321A</t>
  </si>
  <si>
    <t>Rooms 101A, 101B, 220A, 220B, 320A, and 320B</t>
  </si>
  <si>
    <t xml:space="preserve">Fire alarm system has been upgraded and includes a strobe light feature. Holding rooms have been specifically designated as rooms 214 and 316. </t>
  </si>
  <si>
    <t>94-06 104Th Street, Queens, NY 11416</t>
  </si>
  <si>
    <t xml:space="preserve">The nearest accessible subway station is the Union Turnpike - Kew Gardens Station (E and F train), 2.2 miles distant. MTA bus service (Q37 and Q60) is also nearby. The main entrance of Q650 is accessible, located on 104th Street (Exit 1). The accessible entrance includes security cameras, reception, and a doorbell. The doorbell is within reach range (Height 48 inches). </t>
  </si>
  <si>
    <t xml:space="preserve">E1 and E2: Doors: 47 Inches, Cabs: 67 Inches wide, 92 Inches deep. </t>
  </si>
  <si>
    <t>Rooms 280, 224, 352, 356, and 424</t>
  </si>
  <si>
    <t>Rooms 106 (High School), and 143 (P.S. Q233)</t>
  </si>
  <si>
    <t>Room B30A</t>
  </si>
  <si>
    <t>Rooms 320 and 328</t>
  </si>
  <si>
    <t xml:space="preserve">The auditorium is accessible and is located on the first floor. Stage access is provided via corridor and lift. Accessible seating is provided. The cafeteria is accessible and is located in the basement. The gymnasium is accessible and is located in the basement. Assistive listening systems have not been provided in the public assembly spaces. </t>
  </si>
  <si>
    <t xml:space="preserve">Stage access is provided via corridor and lift. Accessible seating is provided. </t>
  </si>
  <si>
    <t xml:space="preserve">There are accessible student bathrooms (boys) available on the first through third floors. There are accessible student bathrooms (girls) available on all floors. There are accessible single-user (unisex) bathrooms (for student and staff use) available on all floors.  There are accessible single-user (unisex) bathrooms (for student and staff use) available in some second-floor classrooms. </t>
  </si>
  <si>
    <t>Rooms 122, 219, and 319</t>
  </si>
  <si>
    <t>Rooms 120, 217, 317, and 417</t>
  </si>
  <si>
    <t>Rooms 128A, 130B, 139, 144A, 114B, 233, 237, 239, 337, 339, 419, 437, and 439</t>
  </si>
  <si>
    <t xml:space="preserve">Rooms 212A, 216A, and 218A </t>
  </si>
  <si>
    <t xml:space="preserve">Available for students and staff. Located in corresponding classrooms. </t>
  </si>
  <si>
    <t xml:space="preserve">Fire alarm system has been upgraded and includes a strobe light feature. Holding rooms have been specifically designated as rooms B30A, 208, 304, and 404. </t>
  </si>
  <si>
    <t xml:space="preserve">This site includes central air; Temperature control units have been provided in classrooms. </t>
  </si>
  <si>
    <t>24-30 Skillman Avenue, Queens, NY 11101</t>
  </si>
  <si>
    <t>The nearest accessible subway station is Court Square Station (G and 7 trains), 0.5 miles distant. MTA bus service (Q67) is also nearby. The accessible entrance to building Q667 is not the same as the main entrance; the accessible entrance is located off of Skillman Avenue (Exit 1). The accessible entrance includes security cameras and a doorbell that is within reach range (Height 48 inches). Upon ringing the doorbell, a custodian will be needed to operate the lift. An additional accessible entrance (Exits 7 and 8) is at grade, although it does not include a doorbell.</t>
  </si>
  <si>
    <t>Door: 55 Inches; 65 Inches wide, 80 Inches deep.</t>
  </si>
  <si>
    <t>This site does not include an auditorium; the cafeteria fulfills this function. The cafeteria is accessible and is located on the first floor. The multi-purpose room is accessible and is located on the first and second floors. Assistive listening systems have not been provided in the public assembly spaces.</t>
  </si>
  <si>
    <t>Rooms 122 and 222</t>
  </si>
  <si>
    <t>There are accessible student bathrooms (boys and girls) located on all floors. There are also accessible staff bathrooms located on all floors.</t>
  </si>
  <si>
    <t>150-91 87 Road, Queens, NY 11432</t>
  </si>
  <si>
    <t xml:space="preserve">The nearest accessible subway station is the 179th Street Station (E and F trains), 1.13 miles distant. MTA bus service (Q25 and Q43) is also nearby. The accessible entrance to Q680 is not the same as the main entrance; the accessible entrance is located on 155th Street (Exit 4).  The accessible entrance includes a ramp. The accessible entrance does not include a doorbell, reception, or security cameras: Visitors have to contact the site prior to arrival. </t>
  </si>
  <si>
    <t xml:space="preserve">Accessible entrance leads directly to the second floor, which is the main floor at this site. </t>
  </si>
  <si>
    <t xml:space="preserve">Located on an inclined street. Contains a cross slope. </t>
  </si>
  <si>
    <t xml:space="preserve">E1  
Doors: 42 inches, Cabs: 81 inches wide, 52 inches deep. </t>
  </si>
  <si>
    <t>Rooms 318 and 322</t>
  </si>
  <si>
    <t xml:space="preserve">This site does not include an auditorium; the cafeteria fulfills this function. The cafeteria is accessible and is located on the second floor. The gymnasium is accessible and is located in the basement. Assistive listening systems have been provided in the gymnasium. </t>
  </si>
  <si>
    <t xml:space="preserve">This site is prevented from attaining a higher accessibility rating due to lack of accessible bathrooms throughout the building. There are accessible single-user (unisex) bathrooms (for student and staff use) available on the third and fourth floors. </t>
  </si>
  <si>
    <t>Rooms B10 and 317</t>
  </si>
  <si>
    <t>Rooms B12, 228, 315, and 415</t>
  </si>
  <si>
    <t>Rooms 312, 314, 412, and 414</t>
  </si>
  <si>
    <t>Rooms 226 and 230</t>
  </si>
  <si>
    <t xml:space="preserve">Fire alarm system has been upgraded and includes a strobe light feature. Holding rooms have been specifically designated as rooms 224, 322, and 424. </t>
  </si>
  <si>
    <t>91-30 Metropolitan Avenue, Queens, NY 11375</t>
  </si>
  <si>
    <t xml:space="preserve">The nearest accessible subway station is the Forest Hills – 71st Avenue Station (E and F trains), 1.07 miles distant. MTA bus service (Q23 and Q54) is also nearby. The main entrance of Q686 is accessible, located on Metropolitan Avenue (Exit 4). The accessible entrance includes a ramp, a doorbell, reception, and security cameras. The doorbell is within reach range (Height 47 Inches). </t>
  </si>
  <si>
    <t xml:space="preserve">E1 and E2 
Doors: 48 inches, Cabs: 89 inches wide, 79 inches deep. </t>
  </si>
  <si>
    <t>Rooms 3077, 3101, and 5010</t>
  </si>
  <si>
    <t>Room 4010</t>
  </si>
  <si>
    <t>Rooms 3096 and 4096</t>
  </si>
  <si>
    <t>Rooms 1001 (Queens Metropolitan H.S.), 1023 (P233Q), and 1109 (Metropolitan Expeditionary Learning School)</t>
  </si>
  <si>
    <t>Rooms 0015, 1110, and 2065</t>
  </si>
  <si>
    <t>Rooms 3009, 3015, 4003, 4009, 4015, 4019, 4073, 4077, 4101, and 4105</t>
  </si>
  <si>
    <t xml:space="preserve">The auditorium is accessible and is located on the first floor. Stage access is provided via both a ramp and a corridor. Accessible seating is provided. The cafeterias are accessible and are located in the basement. The gymnasiums are accessible and are located on the first and third floors. Assistive listening systems have been provided in the auditorium, student cafeterias, and gymnasiums. </t>
  </si>
  <si>
    <t xml:space="preserve">Stage access is provided via corridor and ramp. Accessible seating is provided. Assistive listening systems have been provided. </t>
  </si>
  <si>
    <t xml:space="preserve"> (Four Student, One Staff) – Basement </t>
  </si>
  <si>
    <t xml:space="preserve">There are accessible student bathrooms (boys and girls) available on all floors. There are accessible single-user (unisex) bathrooms (for student and staff use) available on all floors.  There are accessible single-user (unisex) bathrooms located in two classrooms on the second floor. </t>
  </si>
  <si>
    <t>Rooms 0006, 0035, 0060C, 0062C, 0063, 0066, 1018, 1044, 1052A, 1074, 1100, 2018, 2044, 2074, 2100, 3018, 3044, 3074, 3100, 4018, 4044, 4074, 4100, 5018, and 5044</t>
  </si>
  <si>
    <t>Rooms 0010, 0039, 0059, 0060D, 0062D, 0070, 1014, 1022, 1048, 1070, 1104, 2014, 2048, 2070, 2104, 3014, 3048, 3070, 3104, 4014, 4048, 4070, 4104, 5014, and 5048</t>
  </si>
  <si>
    <t>Rooms 0004, 0015A, 0064, 0065, 1016, 1031, 1033, 1037, 1039, 1046, 1072, 1102, 2016, 2046, 2056A, 2065A, 2072, 2078A, 2102, 3016, 3046, 3072, 3102, 4016, 4040A, 4046, 4072, 4102, 5016, and 5046</t>
  </si>
  <si>
    <t xml:space="preserve">Rooms 0015A and 2056A are located in the nurse’s office.  Rooms 2056A and 2078A are located inside corresponding classrooms. </t>
  </si>
  <si>
    <t xml:space="preserve">Fire alarm system has been upgraded and includes a strobe light feature. Holding rooms have been specifically designated as rooms 041, 0093, 1001, 1023, 1109, 2003, 2021, 2071, 2107, 001, 3021, 3107, 3071, 4001, 4021, 4071, 4107, 5001, and 5021. </t>
  </si>
  <si>
    <t>116-25 Guy R Brewer Boulevard, Queens, NY 11434</t>
  </si>
  <si>
    <t xml:space="preserve">The nearest accessible subway station is the Jamaica Center - Parsons/Archer Station (E train), 1.7 miles distant. MTA bus service (Q111 and Q114) is also nearby. The main entrance of Q690 is accessible, located on Guy R Brewer Boulevard (Exit 1). The accessible entrance includes a doorbell, reception, and security cameras. The doorbell is slightly not within reach range (Height 49 inches). </t>
  </si>
  <si>
    <t xml:space="preserve">E1 and E2 
Doors: 48 inches, Cabs: 68 inches wide, 90 inches deep. </t>
  </si>
  <si>
    <t>Room 115 - H.S. for Law Enforcement and Public Safety; Room 173 - Queens Transitional Center- 75 Q752 (District 75)</t>
  </si>
  <si>
    <t xml:space="preserve">The auditorium is accessible and is located on the first floor. Stage access is provided at grade. Accessible seating is provided. The cafeteria is accessible and is located on the fifth floor. The gymnasiums are accessible and are located on the first and third floors. Assistive listening systems have been provided in the auditorium, cafeteria, and gymnasiums.  </t>
  </si>
  <si>
    <t xml:space="preserve">Stage access is provided at grade. Accessible seating is provided. Assistive listening systems have been provided. </t>
  </si>
  <si>
    <t>First and Third Floor</t>
  </si>
  <si>
    <t xml:space="preserve">There are accessible student bathrooms (boys and girls) available all floors. There are accessible single-user (unisex) bathrooms (for student and staff use) available in the cellar, on the first floor, and on the third through fifth floors.   </t>
  </si>
  <si>
    <t>Rooms 5-C03, Across From 109, Across From 210, Next To 310, Next To 410, Next to 437, and Across from 539</t>
  </si>
  <si>
    <t>Rooms Across From 113, Across From 215, Next To 315, Across From 413, Across From 513, and Across From 539</t>
  </si>
  <si>
    <t>Rooms Across From P2-C01, Next To P2-C01, Next To 137, Across From 137, 306A, 306B, Across From 337, Next To 337, Across From 434, Next To 434, Across From 534, Next To 534</t>
  </si>
  <si>
    <t xml:space="preserve">Rooms 306A and 306B are located in the nurse’s office. </t>
  </si>
  <si>
    <t>Room 4-C05</t>
  </si>
  <si>
    <t xml:space="preserve">This site includes recreational spaces. The exterior recreational spaces are not accessible.  </t>
  </si>
  <si>
    <t xml:space="preserve">Fire alarm system has been upgraded and includes a strobe light feature. Holding rooms have been specifically designated as rooms 215, 309, 409, and 509. </t>
  </si>
  <si>
    <t>160-20 Goethals Avenue, Queens, NY 11432</t>
  </si>
  <si>
    <t xml:space="preserve">The nearest accessible subway station is the Union Turnpike - Kew Gardens Station (E and F trains), 1.6 miles distant. MTA bus service (Q25 and Q34) is also nearby. The main entrance of Q695 is accessible, located on Goethals Avenue (Exit 1). The accessible entrance includes include a doorbell, reception, and security cameras. The doorbell is located within reach range (Height 47 inches). </t>
  </si>
  <si>
    <t xml:space="preserve">E1 and E2 
Doors: 48 inches, Cabs: 66 inches wide, 103 inches deep. </t>
  </si>
  <si>
    <t>Rooms 105-Queens Gateway to Health Sciences Secondary School, 245-Queens Transitional Center (District 75)</t>
  </si>
  <si>
    <t>Rooms B17, and 250A</t>
  </si>
  <si>
    <t xml:space="preserve">Rooms   
325, 337, 341, 423, 425, 437, and 441 </t>
  </si>
  <si>
    <t xml:space="preserve">The auditorium is accessible and is located on the first floor. Stage access is provided via lift and at grade. Accessible seating is provided. The cafeteria is accessible and is located on the first floor. The gymnasium is accessible and is located in the basement. Assistive listening systems have been provided in the auditorium and cafeteria. </t>
  </si>
  <si>
    <t xml:space="preserve">Stage access is provided via lift and at grade. Accessible seating is provided. Assistive listening systems have been provided. </t>
  </si>
  <si>
    <t xml:space="preserve">There are accessible student bathrooms (boys and girls) available on all floors. There are accessible staff bathrooms (male and female) available on the second through fourth floors. There are accessible single-user (unisex) bathrooms (for student and staff use) available in the basement and on the first floor. There is an accessible (unisex) bathroom (for student and staff use) available in one second-floor classroom. </t>
  </si>
  <si>
    <t xml:space="preserve">Rooms B50, 115, 240, 340, 418, and 440 </t>
  </si>
  <si>
    <t>Rooms B42, 113, 156, 218, 318, and 418</t>
  </si>
  <si>
    <t>Rooms B61B and 158</t>
  </si>
  <si>
    <t>Classroom 259A</t>
  </si>
  <si>
    <t xml:space="preserve">Located inside the corresponding classroom. </t>
  </si>
  <si>
    <t xml:space="preserve">Fire alarm system has been upgraded and includes a strobe light feature. Holding rooms have been specifically designated as rooms 209, 309, and 409. </t>
  </si>
  <si>
    <t>41-15 104 Street, Queens, NY 11368</t>
  </si>
  <si>
    <t>The nearest accessible subway station is the Junction Boulevard Station (7 train), 0.5 miles distant. MTA bus service (Q23 and Q48) is also nearby. The accessible entrance to Q721 is not the same as the main entrance; the accessible entrance is located on 41st Avenue (Exit 3).  The accessible entrance does include a doorbell and ramp. The doorbell is within reach range (Height 48 inches).</t>
  </si>
  <si>
    <t xml:space="preserve">Moderate sidewalk degradation, which might provide difficulty for some. </t>
  </si>
  <si>
    <t>E1: Doors: 35 inches, Cabs: 77 inches wide, 51 inches deep.
E2: Doors: 35 inches, Cabs: 70 inches wide, 50 inches deep.</t>
  </si>
  <si>
    <t xml:space="preserve"> Includes a single-user bathroom. </t>
  </si>
  <si>
    <t>The auditorium is accessible and is located on the first floor. Stage access is provided via lift. Accessible seating is provided. The cafeteria is accessible and is in the basement. The gymnasium is accessible and is located on the fourth floor. Assistive listening systems have been provided in the auditorium, cafeteria, and gymnasium.</t>
  </si>
  <si>
    <t>There are accessible bathrooms students (boys and girls) available on all floors. There are accessible staff bathrooms (male and female) available on all floors. There are accessible single-user (unisex) bathrooms (for student and staff use) available in classrooms on the first and second floors. There are accessible single-user (unisex) bathrooms (for student and staff use) available in room A105.</t>
  </si>
  <si>
    <t>Rooms 008, 107, 212, 318 and 406</t>
  </si>
  <si>
    <t>Rooms 006, 106, 204, 305 and 402</t>
  </si>
  <si>
    <t>Room A105</t>
  </si>
  <si>
    <t>Classrooms 107, 108, 109, 110, 111, 201, 207, 208, 209, 211, 217, 218, 219, 221, 222, 223, 224 and 220</t>
  </si>
  <si>
    <t>Located inside corresponding rooms</t>
  </si>
  <si>
    <t>Fire alarm system has been upgraded and includes a strobe light feature. Holding rooms have been specifically designated as rooms 203, 303, and 403.</t>
  </si>
  <si>
    <t>This site includes central air. Air-conditioning control units also provided in classrooms.</t>
  </si>
  <si>
    <t>57-12 94 Street, Queens, NY 11373</t>
  </si>
  <si>
    <t xml:space="preserve">The nearest accessible subway station is the Roosevelt Avenue – Jackson Heights Subway Station (7, E, F, M, and R trains), 1.5 miles distant. MTA bus service (Q88, and Q72) is also nearby. The main entrance of Q722 is accessible, located on 94th Avenue Street (Exit 3). The accessible entrance includes a doorbell, reception, and security cameras. The doorbell is not within reach range (Height 52 inches). </t>
  </si>
  <si>
    <t xml:space="preserve">E1: Doors: 42 Inches, Cab: 80 Inches wide, 60 Inches deep. 
E2: Doors: 42 Inches, Cab: 80 Inches wide, 60 Inches deep. </t>
  </si>
  <si>
    <t>Rooms 318 and 330</t>
  </si>
  <si>
    <t>Rooms 105 and 321</t>
  </si>
  <si>
    <t xml:space="preserve">The auditorium is accessible and is located on the first floor. Stage access is provided via ramp. Accessible seating is provided. The cafeteria is accessible and is located on the first floor. The gymnasium is accessible and is located on the first floor. Assistive listening systems have been provided in the auditorium, cafeteria, and gymnasium.  </t>
  </si>
  <si>
    <t xml:space="preserve">There are accessible student bathrooms (boys and girls) available on the second through third floors. There are accessible staff bathrooms (male and female) available on the first floor. There are accessible single-user (unisex) bathrooms (for student and staff use) available on all floors. There are accessible single-user (unisex) bathrooms (for student and staff use) available within some third-floor classrooms.     </t>
  </si>
  <si>
    <t>Rooms 328 and 220</t>
  </si>
  <si>
    <t>Rooms 313 and 213</t>
  </si>
  <si>
    <t>Rooms 106 and 107</t>
  </si>
  <si>
    <t>Rooms 105C, 205, 228, 305, and 335</t>
  </si>
  <si>
    <t>Classrooms 332 and 333</t>
  </si>
  <si>
    <t xml:space="preserve">Fire alarm system has been upgraded and includes a strobe light feature. Holding rooms have been specifically designated as rooms 204, 214, 304, and 314. </t>
  </si>
  <si>
    <t>21-16 44Th Road, Queens, NY 11101</t>
  </si>
  <si>
    <t xml:space="preserve">The nearest accessible subway station is the Court Square Station. (G and 7 trains), 0.2 miles distant. MTA bus service (B32 and Q69) is also nearby. The main entrance to building Q725 is accessible, located on 21st Street (Exit 1). The accessible entrance incudes security cameras, reception, and a doorbell. The doorbell is within reach range (Height 45.5 inches).  </t>
  </si>
  <si>
    <t>Two passenger elevators on site provides access to all floors. Elevators include audible signals on all floors.</t>
  </si>
  <si>
    <t>E1 &amp; E2; Doors: 46 inches, Cab: 69 inches deep, 93 inches wide.</t>
  </si>
  <si>
    <t>Rooms 146, 231, 237, and 312</t>
  </si>
  <si>
    <t>Room 433</t>
  </si>
  <si>
    <t>Rooms 113, and 114</t>
  </si>
  <si>
    <t>Room 311, and 315</t>
  </si>
  <si>
    <t>The cafeteria is accessible and is located on the ground floor. The gymnasium is accessible and is located on the fourth floor. Assistive listening systems have been provided in the cafeteria, and gymnasium.</t>
  </si>
  <si>
    <t>There are accessible bathrooms for students (boys and girls) on all floors. There are accessible single-user bathrooms (for general use and student use) on all floors.</t>
  </si>
  <si>
    <t xml:space="preserve">Fire alarm system has been upgraded and includes a strobe light feature. Holding rooms or areas of rescue have not been specifically designated. </t>
  </si>
  <si>
    <t>The site includes central air; Air-conditioning units provided in classrooms.</t>
  </si>
  <si>
    <t>30-20 Thomson Avenue, Queens, NY 11101</t>
  </si>
  <si>
    <t xml:space="preserve">The nearest accessible subway station is the Queens Plaza Station (E, M, and R trains), 0.4 miles distant. MTA bus service (Q39) is also nearby. The main entrance to building Q735 is accessible, located on 30th Place. The accessible entrance includes ramps and security cameras. The accessible entrance does not include a doorbell. </t>
  </si>
  <si>
    <t>There are three passenger elevators on site that provide access to all floors in the building. Elevators include audible signals on all floors.</t>
  </si>
  <si>
    <t>Doors: 60 inches; Cabs: 90 inches deep, 90 inches wide.</t>
  </si>
  <si>
    <t>Rooms 536, and 736B</t>
  </si>
  <si>
    <t>Rooms 432, 534, and 625</t>
  </si>
  <si>
    <t xml:space="preserve">Rooms 442, and 642 </t>
  </si>
  <si>
    <t>Rooms 413, 513, and 613</t>
  </si>
  <si>
    <t>Room 525</t>
  </si>
  <si>
    <t>Rooms 450, 550, 650, and 750</t>
  </si>
  <si>
    <t>The auditorium is accessible and is located on the eighth floor. The auditorium does not provide stage access, although accessible seating is provided. The cafeteria is accessible and is located on the fifth floor and seventh floor. Assistive listening systems have not been provided in the public assembly areas.</t>
  </si>
  <si>
    <t>Stage access is not provided provided. Accessible seating is provided.</t>
  </si>
  <si>
    <t>Fifth, and Seventh Floor</t>
  </si>
  <si>
    <t>Room - 4th Floor - Room 440, 6th Floor - Room 640</t>
  </si>
  <si>
    <t>There are accessible bathrooms for students on all floors, and accessible single-user bathrooms (for general use and student use) on all floors.</t>
  </si>
  <si>
    <t>Fourth Through Eighth Floors</t>
  </si>
  <si>
    <t>The school does have HVAC/Climate control; A/C units provided in classrooms.</t>
  </si>
  <si>
    <t>23-15 Newtown Avenue, Queens, NY 11102</t>
  </si>
  <si>
    <t>The nearest accessible subway station is Astoria Boulevard Station (N and W trains), 0.4 miles distant. MTA bus service (Q69 and Q100) is also nearby. The accessible entrance to Q739 is not the same as the main entrance; the accessible entrance is located on Newtown Avenue (Exit 2). No doorbell has been installed at the accessible entrance, visitors will need to call in advance in order to gain access to the facility.</t>
  </si>
  <si>
    <t xml:space="preserve">Water fountains and other wall-mounted objects protrude in to the corridors more than 4 inches, which may present difficulties for individuals with visual disabilities. Braille signs are not included throughout the building. </t>
  </si>
  <si>
    <t xml:space="preserve">The accessible entrance leads directly into a main corridor and is adjacent to one of the passenger elevators, providing access to most of the facility and all floors. Elevators does not include audible signals on each floor. </t>
  </si>
  <si>
    <t>Doors: 34 inches, Cabs: 73 inches wide, 43 inches deep.</t>
  </si>
  <si>
    <t>Rooms 511, and 513</t>
  </si>
  <si>
    <t>The cafeteria is accessible and is located on the first floor. Assistive listening systems have not been provided in the public assembly spaces.</t>
  </si>
  <si>
    <t>Accessible bathrooms (girls) are located on the first, fourth, and fifth floors. Accessible staff bathrooms are located on the fourth and fifth floors. There is an accessible single-user bathroom (for general use and student use) on the first floor.</t>
  </si>
  <si>
    <t>First, Fourth and Fifth Floors</t>
  </si>
  <si>
    <t>Second, Third, and Fourth Floors</t>
  </si>
  <si>
    <t>45-10 94Th Street, Queens, NY 11373</t>
  </si>
  <si>
    <t xml:space="preserve">The nearest accessible subway station is the Junction Boulevard Station (7 train), 0.5 miles distant. MTA bus service (Q58 and Q72) is also nearby. The main entrance of Q744 is accessible, located on 94th Street (Exits 1 and 2). The accessible entrance includes a doorbell, reception, and security cameras. The doorbell is within reach range (Height 48 inches). </t>
  </si>
  <si>
    <t xml:space="preserve">E1; Doors: 48 Inches, Cab: 48 Inches wide, 87 Inches deep. 
E2; Doors: 48 Inches, Cab: 48 Inches wide, 87 Inches deep. </t>
  </si>
  <si>
    <t>Rooms 274 and 474</t>
  </si>
  <si>
    <t>Rooms 374 and 401</t>
  </si>
  <si>
    <t>Room B74A</t>
  </si>
  <si>
    <t>Rooms 112 (C.A.S.A); 165 (75Q752); 225 (24Q744); 325 (24Q296); 425 (24Q293)</t>
  </si>
  <si>
    <t>Rooms 231, 239, 245, 331, 339, 345, 431, 439 and 445</t>
  </si>
  <si>
    <t xml:space="preserve">This site does not include an auditorium; the gymnasiums fulfill this function. The gymnasiums are accessible and are located on the second, third, and fourth floors. The cafeterias are accessible and are located on the first floor. The multi-purpose rooms are accessible and are located in the basement. Assistive listening systems have been provided in the gymnasiums, cafeterias, and multi-purpose rooms. </t>
  </si>
  <si>
    <t>Rooms B39 and B29</t>
  </si>
  <si>
    <t xml:space="preserve">There are accessible student bathrooms (boys and girls) available on all floors. There are accessible single-user (unisex) bathrooms (for student and staff use) available on the first floor.   </t>
  </si>
  <si>
    <t>Rooms B48, 118, 128, 238, 338, and 438</t>
  </si>
  <si>
    <t xml:space="preserve">Rooms B50, 120, 140, 242, 342, and 442 </t>
  </si>
  <si>
    <t>Rooms B38, 152, 162, 164, 237, 241, 337, 341, 437, and 441</t>
  </si>
  <si>
    <t xml:space="preserve">Fire alarm system has been upgraded and includes a strobe light feature. Holding rooms have been specifically designated as rooms 212, 270, 312, 370, 412, and 470.  </t>
  </si>
  <si>
    <t>Jfk Airport-Bldg #141, Queens, NY 11422</t>
  </si>
  <si>
    <t>The nearest accessible subway station is the Howard Beach JFK Airport Station (A train), 1.11 miles distant. MTA bus service (Q3 and Q10) is also nearby. Building Q750 is the secondary location for primary building Q610. The main entrance of Q750 is accessible, located on Federal Circle (Exit 1). The accessible entrance includes reception and security cameras.</t>
  </si>
  <si>
    <t>Some door saddles are high, which may be difficult for some users to navigate. Some hallway doors are heavy and without closers, which may be difficult for some users to navigate. Braille signs are not included throughout the building.</t>
  </si>
  <si>
    <t>This site is highly accessible; most classrooms are accessible and are located along accessible routes.</t>
  </si>
  <si>
    <t>Main Office – Room 2004</t>
  </si>
  <si>
    <t>This site does not include public assembly spaces; public assembly spaces are located in primary building Q610.</t>
  </si>
  <si>
    <t>Located in primary building Q610. Assistive listening systems have been provided. Accessible seating available upon request.</t>
  </si>
  <si>
    <t>Located in primary building Q610.</t>
  </si>
  <si>
    <t>Girls Bathrooms – Rooms – First Floor</t>
  </si>
  <si>
    <t>Staff Bathrooms – Rooms – First Floor</t>
  </si>
  <si>
    <t>Single-User (Unisex) Bathroom – Room 207</t>
  </si>
  <si>
    <t>94-50 159 Street, Queens, NY 11433</t>
  </si>
  <si>
    <t xml:space="preserve">The nearest accessible subway station is the Jamaica Center Parsons - Archer Station (E, J, and Z trains), 0.1 miles distant; MTA bus service (Q111, Q112, and Q114) is also nearby. The main entrance to Q744 is accessible, located within the York College Campus on 159th Street. The accessible entrance includes a doorbell and security cameras. The doorbell is within reach range (height 42 inches). </t>
  </si>
  <si>
    <t>There are braille signs throughout the building.</t>
  </si>
  <si>
    <t>A passenger elevator provides access to all floors in the building. Elevator include audible signals on all floors.</t>
  </si>
  <si>
    <t>Door: 44 inches, Cab: 49 inches wide, 80 inches deep.</t>
  </si>
  <si>
    <t>Rooms 203, and 236A</t>
  </si>
  <si>
    <t>Rooms 218, 219, 222, and 224</t>
  </si>
  <si>
    <t>The cafeteria is accessible and is located on the first floor. The gymnasium is accessible and is located on the fourth floor. Assistive listening systems have not been provided in the public assembly areas.</t>
  </si>
  <si>
    <t>34-12 36 Avenue, Queens, NY 11106</t>
  </si>
  <si>
    <t xml:space="preserve">The nearest accessible subway station is the 21st Street – Queensbridge Station (F train), 1.1 miles distant; MTA bus service (Q102) is also nearby. The main entrance to building Q798 is accessible, located on 36th Avenue (Exit 1). The accessible entrance includes security cameras, a doorbell, and reception. The doorbell is not within reach range (Height 52 Inches). Upon entry, there is a sloped approach to the security desk and main corridors.  </t>
  </si>
  <si>
    <t xml:space="preserve">Braille signage is not provided throughout the building. </t>
  </si>
  <si>
    <t>A passenger elevator provides access to all floors. Elevator provides audible signals on each floor.</t>
  </si>
  <si>
    <t>Doors: 35.5 Inches; Cabs: 69 Inches deep, 82 Inches wide.</t>
  </si>
  <si>
    <t xml:space="preserve">This site is highly accessible; all classrooms and educational areas are accessible and are located along accessible routes. </t>
  </si>
  <si>
    <t>Rooms 307, and 310</t>
  </si>
  <si>
    <t>This site does not include an auditorium or a gymnasium. The cafeteria is accessible and is located on the first floor. Assistive listening systems have not been provided in the public assembly spaces.</t>
  </si>
  <si>
    <t>Accessible student bathrooms (boys’ and girls’) are available on all floors. Accessible staff bathrooms (male and female) are available on all floors.</t>
  </si>
  <si>
    <t>Fire Alarm System includes a strobe light feature. No holding rooms or areas of refuge are designated.</t>
  </si>
  <si>
    <t>221-21 Corbett Road, Queens, NY 11361</t>
  </si>
  <si>
    <t xml:space="preserve">The nearest accessible subway station is the 179th Street Station (F train), 5.4 miles distant. MTA bus service (Q13 and Q31) is also nearby. The main entrance is accessible, located on Corbett Road (Exit 1). The main entrance includes reception. The main entrance does not include security cameras or a doorbell. Building Q809 is a secondary site, specifically an annex, to primary building Q041 and is not connected to or located in the same area as building Q041.  </t>
  </si>
  <si>
    <t xml:space="preserve">This site offers limited accessibility; all classrooms located on the first floor are accessible and are located along accessible routes.  </t>
  </si>
  <si>
    <t xml:space="preserve">This site does not include an auditorium or a gymnasium; the multi-purpose room fulfills this function. The multi-purpose room is not accessible and is located in the basement. The multi-purpose room does not include a stage. Accessible seating is provided. The cafeteria is not accessible and is located in the basement. Assistive listening systems have not been provided in the public assembly spaces. </t>
  </si>
  <si>
    <t>61-25 Marathon Parkway, Queens, NY 11362</t>
  </si>
  <si>
    <t>The nearest accessible subway station is 179th Street Station (F train), 4.9 miles distant. MTA bus service (Q30, QM5, QM8 and QM35) is also nearby. The accessible entrance to Q811 is not the same as the main entrance; the accessible entrance is located at the rear of the school off of the auditorium (Exit 8). Sidewalk entrances to this pathway are on 61st and 63rd Avenues. This entrance is reached via a ramp and includes a doorbell that is out of reach range (height 54 inches). Visitors may need to contact site in advance in order to gain access to the facility through the accessible entrance.</t>
  </si>
  <si>
    <t>Door: 48 inches; Cab: 84 inches wide, 108 inches deep.</t>
  </si>
  <si>
    <t>Rooms 117 and 205C</t>
  </si>
  <si>
    <t>The auditorium is accessible and is located on the first floor. Stage access is provided via lift. Accessible seating is provided. The cafeteria is accessible and is located on the first floor. The gymnasium is accessible and is located on the first floor. Assistive listening systems have not been provided in the public assembly spaces.</t>
  </si>
  <si>
    <t>There is an accessible single‐user girl’s bathroom (for general use and student use) available on the second floor. There are no accessible student boy’s bathrooms or staff bathrooms available.</t>
  </si>
  <si>
    <t>e Alarm System includes a strobe light feature. The holding room has been specifically designated as room 222.</t>
  </si>
  <si>
    <t>109-36 204Th Street, Queens, NY 11412</t>
  </si>
  <si>
    <t>The nearest accessible subway station is 179 Street Station (E and F trains), 1.80 miles distant. MTA bus service (Q77 and Q2) is also nearby. Building Q835 is a secondary mini-building and is adjacent to primary building Q134. The main entrance is accessible, located on 204th Street (Exit 1). The accessible entrance includes a ramp and reception. The accessible entrance does not include a doorbell or security cameras.</t>
  </si>
  <si>
    <t>This site occupies a single-floor structure and does not include an elevator. Lack of elevator does not impede access.</t>
  </si>
  <si>
    <t>This site is highly accessible; all program areas are located on accessible routes.</t>
  </si>
  <si>
    <t>Located in Q134.</t>
  </si>
  <si>
    <t>Room 4</t>
  </si>
  <si>
    <t>Room 6</t>
  </si>
  <si>
    <t>This site does not include public assembly spaces; public assembly spaces located in building Q134 fulfill these functions.</t>
  </si>
  <si>
    <t>976 Seneca Avenue, Queens, NY 11385</t>
  </si>
  <si>
    <t>The nearest accessible subway station is the Myrtle – Wyckoff Avenue Station (L and M trains), 0.5 miles distant. MTA bus service (Q55 and B20) is also nearby. The accessible entrance to Q849 is not the same as the main entrance; the accessible entrance is located on Centre Street (Exits 4 and 5).  The accessible entrance does not include a doorbell, reception, or security cameras; Visitors may need to contact site in advance to gain access to this facility through the accessible entrance.</t>
  </si>
  <si>
    <t>Some water fountains and other wall-mounted objects protrude into the corridors more than 4 inches, which may present difficulties for individuals with visual disabilities. Braille signs are included throughout the 2003 addition, but are not included throughout the original building.</t>
  </si>
  <si>
    <t>E1 and E2 
Doors: 35 inches, Cabs: 50 inches wide, 67 inches deep.</t>
  </si>
  <si>
    <t>Room 003</t>
  </si>
  <si>
    <t>Rooms 372, and 376</t>
  </si>
  <si>
    <t>The auditorium is accessible and is located on the ground floor. Stage access is provided via corridor. Accessible seating is provided. The cafeteria is accessible and is located on the ground floor. The gymnasium is accessible and is located on the second floor. Assistive listening systems have not been provided in the public assembly spaces.</t>
  </si>
  <si>
    <t>There are accessible student bathrooms (boys and girls) available on the ground through third floors. There are accessible single-user (unisex) bathrooms (for student and staff use) available on the first through third floors.</t>
  </si>
  <si>
    <t>Rooms 009B, 104A, 260B, 268A, and 362B</t>
  </si>
  <si>
    <t>Rooms 104A and 204B</t>
  </si>
  <si>
    <t>Rooms 009A, 162A, 260A, 268B, and 362A</t>
  </si>
  <si>
    <t>Rooms 104B and 204C</t>
  </si>
  <si>
    <t>Rooms G9, G10, 104C, 452, 355, and 452</t>
  </si>
  <si>
    <t>Rooms 162C, 260C, and 362G</t>
  </si>
  <si>
    <t>Fire alarm system has been upgraded and includes a strobe light feature. Holding rooms have been specifically designated as rooms 167, 265, and 365.</t>
  </si>
  <si>
    <t>This site includes central air within the addition. Temperature control units have been provided in the classrooms of the addition. This site original building does not include central air. Air-conditioning units have been provided in classrooms of the original building.</t>
  </si>
  <si>
    <t>86-02 127 Street, Queens, NY 11418</t>
  </si>
  <si>
    <t>The nearest accessible subway station is the Jamaica – Van Wyck Station (E train), 0.5 miles distant. MTA bus service (Q56 and Q54) is also nearby. Building Q864 is the secondary mini school location for primary building Q054. The main entrance of Q864 is accessible, located on 127th Street (Exit 10). The accessible entrance includes a ramp, a doorbell, and reception. The accessible entrance does not include security cameras. The doorbell is not within reach range (height 56 inches).</t>
  </si>
  <si>
    <t>Building Q864 is connected to building Q054 on the first floor. Braille signs are included throughout the building.</t>
  </si>
  <si>
    <t>This site does not include an elevator. Lack of elevator does not prevent access.</t>
  </si>
  <si>
    <t>Single floor structure. Lack of elevator does not prevent access.</t>
  </si>
  <si>
    <t>This site is a mini school and does not include its own public assembly spaces. The public assembly spaces are located in the primary building, Q054. The connection between Q864 and Q054 provides access to the cafeteria. The cafeteria is accessible and is located on the first floor. Assistive listening systems have not been provided in the public assembly spaces.</t>
  </si>
  <si>
    <t>Accessible seating available upon request. Located in Q054.</t>
  </si>
  <si>
    <t>There are accessible student bathrooms (boys and girls) available on the first floor and within the cafeteria. There are accessible staff bathrooms (male and female) available on the first floor. There are accessible single- user (unisex) bathrooms (for student and staff use) available within certain classrooms on the first floor.</t>
  </si>
  <si>
    <t>Boys Bathrooms – Rooms 111A and Cafeteria</t>
  </si>
  <si>
    <t>Girls Bathrooms – Rooms 111B, Cafeteria</t>
  </si>
  <si>
    <t>Single-User (Unisex) Bathrooms – Rooms 108A and 108B</t>
  </si>
  <si>
    <t>Located across from room 108.</t>
  </si>
  <si>
    <t>Single-User (Unisex) Bathrooms – Classrooms 106 and 107, 108 and 109</t>
  </si>
  <si>
    <t>This site includes exterior recreational spaces. The exterior recreational spaces are not accessible due to uneven floor surface. The recreational equipment is accessible.</t>
  </si>
  <si>
    <t>The nearest accessible subway station is Sutphin Boulevard – Archer Avenue - JFK Station (E, J, and Z trains), 0.8 miles distant. Building Q865 is a secondary building and is connected on the first floor to primary building Q055. The accessible entrance to Q865 is not the same as the main entrance; the accessible entrance is located on 131st Street (Exit 10).  The accessible entrance includes a ramp and doorbell. The doorbell is within reach range (height 47 inches).</t>
  </si>
  <si>
    <t>This site occupies a single floor and does not require elevator access. An internal ramp connects to primary building Q055.</t>
  </si>
  <si>
    <t>Located in Primary Building Q055.</t>
  </si>
  <si>
    <t>This site does not include an auditorium or gymnasium; the multi-purpose room fulfills this function. The multi-purpose room is accessible and is located on the first floor. Accessible seating is provided. The cafeteria located in primary building Q055 is accessible and is located on the first floor. Assistive listening systems have been provided in the multi-purpose room and cafeteria.</t>
  </si>
  <si>
    <t xml:space="preserve">Located in building Q055. Accessible seating available upon request. Assistive listening systems have been provided. </t>
  </si>
  <si>
    <t>Room 141</t>
  </si>
  <si>
    <t>Room 143</t>
  </si>
  <si>
    <t>Rooms 134 and 136</t>
  </si>
  <si>
    <t>48-09 Center Boulevard, Queens, NY 11109</t>
  </si>
  <si>
    <t xml:space="preserve">The nearest accessible subway station is the Court Square Station (7, E, G, and M trains, only 7 is accessible), 0.66 miles distant. MTA bus service (B32, B57, B62, and Q103) is also nearby. The main entrance of Q868 is accessible, located on Center Boulevard (Exit 1). The accessible entrance includes a ramp, a doorbell, and reception. The doorbell is not within reach range (Height 60 Inches). </t>
  </si>
  <si>
    <t xml:space="preserve">Ramped access from the sidewalk to the first floor, via courtyard. </t>
  </si>
  <si>
    <t xml:space="preserve">Change of elevation on the first floor. </t>
  </si>
  <si>
    <t xml:space="preserve">Doors: 36 Inches, Cab: 68 Inches wide, 51 Inches deep. </t>
  </si>
  <si>
    <t xml:space="preserve">This site does not include an auditorium or gymnasium; the multi-purpose room fulfills these functions. The multi-purpose room is accessible and is located on the first floor. Accessible seating is provided. The multi-purpose room does not include a stage. The cafeteria is accessible and is located on the second floor. Assistive listening systems have not been provided in the public assembly spaces. </t>
  </si>
  <si>
    <t xml:space="preserve">No stage at this site. Accessible seating is provided.  </t>
  </si>
  <si>
    <t xml:space="preserve">There are accessible single-user (unisex) bathrooms (for student and staff use) available on all floors.   </t>
  </si>
  <si>
    <t>Rooms 124A, 127A, and 206A</t>
  </si>
  <si>
    <t xml:space="preserve">Available to students and staff. Room 206A is located in the nurse’s office.   </t>
  </si>
  <si>
    <t>All Classrooms</t>
  </si>
  <si>
    <t>Multi-user. Clear opening prevents access.  Stalls are accessible.</t>
  </si>
  <si>
    <t xml:space="preserve">Fire alarm system has been upgraded and includes a strobe light feature. A holding room has been specifically designated as room 223 </t>
  </si>
  <si>
    <t>The nearest accessible subway station is Roosevelt-Jackson Avenue Station (7, E, F, and R trains), 1.4 miles distant. MTA bus service (Q58) is also nearby. Building Q873 is the secondary location for Q073. The main entrance for Q073 is not accessible. The accessible entrance to both Q873 and Q073 is located on 54th Street (Exit 16). The accessible entrance includes a ramp. The accessible entrance does not include a doorbell or security cameras; visitors should contact the site prior to arrival.</t>
  </si>
  <si>
    <t>Some water fountains and other wall-mounted objects protrude into the corridors more than 4 inches, which may present difficulties for individuals with visual disabilities. Braille signs are not included throughout the building. The passenger elevator only provides access between the first and third floor of the addition, changes of elevation prevent access above the first floor of the original building. Connection between the two buildings on the second floor is not accessible due to a change in elevation (10 Steps).</t>
  </si>
  <si>
    <t>One passenger elevator provides access in the addition between the first and third floors. Elevator includes audible signals on each floor.</t>
  </si>
  <si>
    <t>designated; Rooms S207 and S307.</t>
  </si>
  <si>
    <t>114-43 142 Street, Queens, NY 11436</t>
  </si>
  <si>
    <t>The nearest accessible subway station is the Lefferts Boulevard Station (A train), 1.6 miles distant. MTA bus service (Q40 and X63) is also nearby. Building Q875 is the secondary mini school location for primary building Q142. The main entrance of Q875 is accessible, located on 142nd Street (Exits 1 and 2). The accessible entrance includes a doorbell and reception. The accessible entrance does not include security cameras. The doorbell is not within reach range (height 57 inches).</t>
  </si>
  <si>
    <t>This site does not include an elevator. Lack of elevator does not impede access.</t>
  </si>
  <si>
    <t>This site does not include an auditorium or gymnasium; the cafeteria fulfills this function. The cafeteria is accessible and is located on the first floor. Assistive listening systems have not been provided in the public assembly spaces.</t>
  </si>
  <si>
    <t>There are accessible student bathrooms (boys and girls) available on the first floor. There are accessible staff bathrooms available on the first floor.</t>
  </si>
  <si>
    <t>869 Cypress Avenue, Queens, NY 11385</t>
  </si>
  <si>
    <t>The nearest accessible subway station is the Myrtle – Wyckoff Avenue Station (L and M trains), 0.3 miles distant. MTA bus service (Q55 and B26) is also nearby. The main entrance of Q876 is accessible, located on Cypress Avenue (Exit 1). The accessible entrance includes a doorbell, reception, and security cameras. The doorbell is not within reach range (height 50 inches).</t>
  </si>
  <si>
    <t>One passenger elevator exists although is not accessible. There is a gap from the floor to the start of the elevator that is larger than 2 inches. The elevator does not include audible signals on each floor.</t>
  </si>
  <si>
    <t>Doors: 33 inches, Cabs: 47 inches wide, 45 inches deep.</t>
  </si>
  <si>
    <t>This site does not include an auditorium; the cafeteria fulfills this function. The cafeteria is accessible and is located on the first floor. Assistive listening systems have not been provided in the public assembly spaces.</t>
  </si>
  <si>
    <t xml:space="preserve">This building is prevented from attaining a higher accessibility rating due to lack of accessible bathrooms throughout the building. There are accessible single-user (unisex) bathrooms (for student and staff use) available on the first floor. </t>
  </si>
  <si>
    <t>Rooms 102 and 208</t>
  </si>
  <si>
    <t>Rooms 105 and 207</t>
  </si>
  <si>
    <t>Bathrooms – Rooms 103 and 104</t>
  </si>
  <si>
    <t>76-05 51 Avenue, Queens, NY 11373</t>
  </si>
  <si>
    <t>The nearest accessible subway station is the Jackson Heights Roosevelt Ave Station (E, F, M, and R trains), 1.00 miles distant. MTA bus service (Q60) is also nearby. Building Q877 is the secondary location for primary building Q007. The accessible entrance to Q877 is not the same as the main entrance; the accessible entrance is located on Ireland Street (Exit 2). The accessible entrance does not include a doorbell, reception, and security cameras. Visitors may need to contact the site in advance to gain access to this facility through the accessible entrance.</t>
  </si>
  <si>
    <t>Q877 is a single floor building. This site does not include an elevator; lack of elevator does not prevent</t>
  </si>
  <si>
    <t>Art Rooms – Rooms 135, and 317</t>
  </si>
  <si>
    <t>Located in primary building Q007.</t>
  </si>
  <si>
    <t>Computer Room- Room 422</t>
  </si>
  <si>
    <t>Library – Room 43</t>
  </si>
  <si>
    <t>Nurse’s Office – Room 150</t>
  </si>
  <si>
    <t>This site does not include public assembly spaces; public assembly spaces are located in primary building Q007. The cafeteria is accessible and is located on the first floor. Assistive listening systems have not been provided in the public assembly spaces.</t>
  </si>
  <si>
    <t>There are accessible student bathrooms (boys and girls) available on the first floor. There are accessible staff bathrooms (male and female) available on the first floor.</t>
  </si>
  <si>
    <t>Boys Bathrooms – Room 103</t>
  </si>
  <si>
    <t>Girls Bathrooms – Room 119</t>
  </si>
  <si>
    <t>Staff Bathrooms – Rooms 115, and 116</t>
  </si>
  <si>
    <t>63-25 69 Street, Queens, NY 11379</t>
  </si>
  <si>
    <t>The nearest accessible subway station is the Metropolitan Avenue Station (M train), 0.4 miles distant. MTA bus service (Q38 and Q67) is also nearby. Building Q878 is the secondary location for primary building Q128 and is accessed via 69th Place. The main entrance of Q878 is accessible, located on 69th Street (Exit 1). The accessible entrance includes a ramp, doorbell, reception, and security cameras. The doorbell is not within reach range (height 57 inches).</t>
  </si>
  <si>
    <t>Exit 2 on 69th Place provides access to the basement.</t>
  </si>
  <si>
    <t>This site occupies two floors and does not include an elevator. Lack of elevator prevents interior access between floors.</t>
  </si>
  <si>
    <t>This site is moderately accessible; all classrooms located on the first floor are accessible by the main entrance (Exit 1) and are located along accessible routes. All classrooms located in the basement are accessible by the secondary entrance (Exit 2) and are located along accessible routes.</t>
  </si>
  <si>
    <t>Art Room – Room 119</t>
  </si>
  <si>
    <t>Basement is only accessible through the secondary entrance (Exit 2).</t>
  </si>
  <si>
    <t>Nurse’s Office – Room 020</t>
  </si>
  <si>
    <t>This site does not include an auditorium; the auditorium is located in primary building Q128. The cafeteria is accessible by the secondary entrance (Exit 2) and is located in the basement. This site does not include a gymnasium; the multi-purpose room fulfills this function. The multi-purpose room is accessible and is located on the first floor. Assistive listening systems have not been provided in the public assembly spaces.</t>
  </si>
  <si>
    <t>Located in primary building Q128.</t>
  </si>
  <si>
    <t>Accessible only from the outside via Exit 2. Accessible seating available upon request.</t>
  </si>
  <si>
    <t>Boys Bathrooms – Rooms 012 and 107</t>
  </si>
  <si>
    <t>Girls Bathrooms – Rooms 011 and 107</t>
  </si>
  <si>
    <t>Single-User (Unisex) Bathrooms – Rooms 013, 014, 104, and 105</t>
  </si>
  <si>
    <t>90-36 150 Street, Queens, NY 11435</t>
  </si>
  <si>
    <t>The nearest accessible subway station is the Jamaica Center- Parsons/Archer Station (E, J, and Z trains), 0.2 miles distant. MTA bus service (Q6 and Q83) is also nearby. The main entrance of Q882 is not accessible due to changes in elevation upon entering school entrance. The main entrance includes security cameras and reception. This building is a tandem building connected to Building Q883 through a corridor in basement with a change in elevation (2 steps). This site does not include an accessible entrance.</t>
  </si>
  <si>
    <t>Change of elevation (3 steps) present at entrance.</t>
  </si>
  <si>
    <t>This site offers no accessibility; all classrooms are not accessible or located along accessible routes.</t>
  </si>
  <si>
    <t>Art Room – Room 504</t>
  </si>
  <si>
    <t>Computer Room – Room 403</t>
  </si>
  <si>
    <t>Main Office – Room 105</t>
  </si>
  <si>
    <t>Nurse’s Office – Rooms 107, and 108</t>
  </si>
  <si>
    <t>This site does not include an auditorium; the gymnasium fulfills this function. The gymnasium is not accessible and is located on the fourth floor. Stage access has not been provided. Accessible seating is provided. The cafeteria is not accessible and is located in the basement. Assistive listening systems have been provided in the gymnasium.</t>
  </si>
  <si>
    <t>Not on accessible route. Accessible seating is provided. Assistive listening systems have been provided.</t>
  </si>
  <si>
    <t>Boys Bathrooms – Rooms 400, 300, 200, and 006</t>
  </si>
  <si>
    <t>Girls Bathrooms – Rooms 401, 301, 201, and 005</t>
  </si>
  <si>
    <t>Staff Bathrooms – Rooms 104, and 105</t>
  </si>
  <si>
    <t>90-40 150 Street, Queens, NY 11435</t>
  </si>
  <si>
    <t>The nearest accessible subway station is the Jamaica Center - Parsons/Archer Station (E, J, and Z trains), 0.2 miles distant. MTA bus service (Q6 and Q83) is also nearby. The main entrance of Q882 is not accessible due to changes in elevation upon entering school entrance. The main entrance includes security cameras, doorbell, and reception. This building is a tandem building connected to Building Q882 through a corridor in basement with a change in elevation (2 steps). This site does not include an accessible entrance.</t>
  </si>
  <si>
    <t>Change of elevation (2 steps exterior, 7steps interior) present at entrance.</t>
  </si>
  <si>
    <t>This site offers no accessibility; all classrooms are not accessible or located along non-accessible routes.</t>
  </si>
  <si>
    <t>Art Room – Room 307</t>
  </si>
  <si>
    <t>This site does not include an auditorium or a cafeteria; the multi-purpose room fulfills these functions. The multi-purpose room is not accessible and is located in the basement. Stage access has not been provided. Accessible seating is provided. Assistive listening systems have not been provided in the public assembly spaces.</t>
  </si>
  <si>
    <t>Not on accessible route. Accessible seating available upon request. Stage access has not been provided.</t>
  </si>
  <si>
    <t>Boys Bathrooms – Rooms 209, and 303</t>
  </si>
  <si>
    <t>Girls Bathrooms – Rooms 203, and 309</t>
  </si>
  <si>
    <t>Staff Bathrooms – Rooms 103, and 109</t>
  </si>
  <si>
    <t>103-22 99 Street, Queens, NY 11417</t>
  </si>
  <si>
    <t>The nearest accessible subway station is Aqueduct Racetrack Station (A train), 1.0 miles distant. MTA bus service (Q112 and Q8) is also nearby. The main entrance of Q884 is accessible, located on 99th Street (Exit 4). At the accessible entrance there is a doorbell, reception, and security cameras. The doorbell is not within reach range (Height 73 inches).</t>
  </si>
  <si>
    <t>Braille signs are included throughout the building. The changes of elevation in the first floor sub-level have accessible lifts to successfully navigate.</t>
  </si>
  <si>
    <t>Doors: 36 inches, Cabs: 59 inches wide, 72 inches deep.</t>
  </si>
  <si>
    <t>The cafeteria is accessible and is located on the first floor. The multi-purpose room is accessible and is located on the first floor. Assistive listening systems have not been provided in the public assembly spaces.</t>
  </si>
  <si>
    <t>There are accessible student bathrooms (girls and boys) in the basement, first sub-level, and first floor. There is also an accessible single-user (unisex) bathroom (available for students and staff) on all floors.</t>
  </si>
  <si>
    <t>Basement, First Sub-level, and First Floor</t>
  </si>
  <si>
    <t>35-59 81St Street, Queens, NY 11372</t>
  </si>
  <si>
    <t xml:space="preserve">The nearest accessible subway station is the Roosevelt Avenue – Jackson Heights Station (7, E, F, M, and R trains), 0.4 miles distant. MTA bus service (Q32, and Q33 M2) is also nearby. The main entrance of Q885 is accessible, located on 81st Street (Exit 1). The accessible entrance includes a doorbell, security cameras, and a security desk. The doorbell is within reach range (Height 48 Inches).  </t>
  </si>
  <si>
    <t xml:space="preserve">Two passenger elevators provide service to all floors. Elevators include audible signals on each floor. </t>
  </si>
  <si>
    <t>Doors: 42 Inches, Cabs: 50 Inches wide, 81 Inches deep.</t>
  </si>
  <si>
    <t>Room C007</t>
  </si>
  <si>
    <t>This site does not include an auditorium. The cafeteria is accessible, and is located in the basement. The gymnasium is accessible, and is located on the sixth floor. Assistive listening systems have not been provided in the public assembly spaces.</t>
  </si>
  <si>
    <t>47-07 30Th Place, Queens, NY 11101</t>
  </si>
  <si>
    <t xml:space="preserve">The nearest accessible subway station is the Queens Plaza Station (E and R trains), 0.35 miles distant. MTA bus service (Q39) is also nearby. The main entrance of Q891 is accessible, located on 48th Avenue. The accessible entrance includes a doorbell, security cameras, and a security desk. The doorbell is within reach range (Height 32 Inches). </t>
  </si>
  <si>
    <t xml:space="preserve">Ramped access from the sidewalk to the main level. Minor concrete degradation. </t>
  </si>
  <si>
    <t>This site occupies the first and second floors of a building. Some water fountains and other wall-mounted objects protrude into the corridors more than 4 inches, which may present difficulties for individuals with visual disabilities. Braille signs are included throughout the building.</t>
  </si>
  <si>
    <t xml:space="preserve">One passenger elevator provides access to the first and second floors. Elevator includes audible signals on each floor.  </t>
  </si>
  <si>
    <t xml:space="preserve">Doors: 36 Inches, Cabs: 68 Inches wide, 51 Inches deep. </t>
  </si>
  <si>
    <t>Room 268</t>
  </si>
  <si>
    <t>Rooms 202, 203, and 206</t>
  </si>
  <si>
    <t>Rooms 233, and 235</t>
  </si>
  <si>
    <t xml:space="preserve">The auditorium is accessible and is located on the first floor. The auditorium stage is portable. Stage access is not provided. Accessible seating is provided. The cafeteria is accessible and is located on the first floor. The gymnasium is accessible and is located on the second floor. Assistive listening systems have not been provided in the public assembly spaces. </t>
  </si>
  <si>
    <t xml:space="preserve">Portable stage. Stage access is not provided. Accessible seating is provided.  </t>
  </si>
  <si>
    <t xml:space="preserve">There are accessible student bathrooms (boys) available on all floors. There are accessible student bathrooms (girls) available on the second floor. Accessible staff bathrooms are available on the second floor.  </t>
  </si>
  <si>
    <t>Rooms 108 and 218</t>
  </si>
  <si>
    <t xml:space="preserve">Interior privacy partition restricts clear opening, preventing access. </t>
  </si>
  <si>
    <t>Rooms 246 and 247</t>
  </si>
  <si>
    <t>199-10 112 Avenue, Queens, NY 11412</t>
  </si>
  <si>
    <t>The nearest accessible subway station is the Jamaica – 179 Street Station (E and F trains), 1.48 miles distant. MTA bus service (Q83 and Q03) is also nearby. The main entrance is not accessible due to changes in elevation upon entering school entrance. This site includes an accessible side ramp with doorbell but is not accessible due to changes in elevation on the interior of the building.</t>
  </si>
  <si>
    <t>Ramp leads into Exit 4 (staircase). Change of elevation (4 steps) present on the interior of building.</t>
  </si>
  <si>
    <t>Doors: 35 inches, Cabs: 69 inches wide, 43 inches deep.</t>
  </si>
  <si>
    <t>Science Lab – Room 210</t>
  </si>
  <si>
    <t>This site does not include an auditorium; the gymnasium fulfills this function. The auditorium is not accessible and is located on the third floor. Stage access is not provided. Accessible seating is provided. The cafeteria not accessible and is located on the first floor. The gymnasium is not accessible and is located on the third floor. Assistive listening systems have been provided in the gymatorium, and cafeteria.</t>
  </si>
  <si>
    <t>Not on an accessible route. Assistive listening system has been provided.</t>
  </si>
  <si>
    <t>Boys Bathroom – Rooms C23B</t>
  </si>
  <si>
    <t>Boys Bathrooms – Rooms 218B, and 318B</t>
  </si>
  <si>
    <t>Girls Bathrooms – Rooms C23G</t>
  </si>
  <si>
    <t>Girls Bathroom – Rooms 302</t>
  </si>
  <si>
    <t>Single-User (Unisex) Bathrooms – Rooms C22, 112, 204 and 304</t>
  </si>
  <si>
    <t>Room 112 is located in the nurse’s office. Not on an accessible route.</t>
  </si>
  <si>
    <t>Single-User (Unisex) Bathrooms – Classrooms 104, 105,111, 214, and 216</t>
  </si>
  <si>
    <t>Located inside corresponding classrooms. Not on an accessible route.</t>
  </si>
  <si>
    <t>This site includes exterior recreational spaces. The exterior recreational spaces are not accessible.</t>
  </si>
  <si>
    <t>12 Marvin Street, Queens, NY 11691</t>
  </si>
  <si>
    <t>The nearest accessible subway station is the Far Rockaway/Mott Ave Station (A train), 0.9 miles distant. MTA bus service (Q22 and QM17) is also nearby. The main entrance of Q907 is accessible, located on Marvin Street (Exit 1). The accessible entrance includes a doorbell, reception, and security cameras. The doorbell is within reach range (height 48 inches).</t>
  </si>
  <si>
    <t>E1 and E2 Doors: 35 inches, Cab: 48 inches wide, 50 inches deep.</t>
  </si>
  <si>
    <t>This site does not include an auditorium; the multi-purpose room fulfills this function. Assistive listening systems have not been provided in the public assembly spaces.</t>
  </si>
  <si>
    <t>There are accessible student bathrooms (boys and girls) available on all floors. There are accessible single-user (unisex) bathrooms (for student and staff use) available on the first floor.</t>
  </si>
  <si>
    <t>Single-User (Unisex) Bathrooms – Rooms 101A, 102A, 203A, and 204A</t>
  </si>
  <si>
    <t>Single-User (Unisex) Bathroom – Room 103A</t>
  </si>
  <si>
    <t>27-35 Jackson Avenue, Queens, NY 11101</t>
  </si>
  <si>
    <t xml:space="preserve">The nearest accessible subway station is the Queens Plaza Station (E, M, and R trains), 0.16 miles distant. MTA bus service (B62, Q39, and Q67) is also nearby. The main entrance of Q972 is accessible, located on Jackson Avenue (Exit 1). The accessible entrance includes a doorbell, security cameras, and reception. The doorbell is not within reach range (Height 50 Inches). </t>
  </si>
  <si>
    <t xml:space="preserve">Doors: 54 Inches, Cabs: 96 Inches wide, 97 Inches deep. </t>
  </si>
  <si>
    <t>Rooms 314, 316, 318, 320, and 322</t>
  </si>
  <si>
    <t>Rooms 218 and 236</t>
  </si>
  <si>
    <t xml:space="preserve">This site does not include an auditorium or gymnasium; the multi-purpose rooms fulfil this function. The multi-purpose rooms are accessible and are located on the first and second floors. The multi-purpose rooms do not include a stage. Accessible seating is provided. The cafeteria is accessible and is located on the second floor. Assistive listening systems have not been provided in the public assembly spaces. </t>
  </si>
  <si>
    <t xml:space="preserve">Accessible seating is provided.  </t>
  </si>
  <si>
    <t xml:space="preserve">There are accessible single-user (unisex) bathrooms (for student and staff use) available on the second floor. No bathrooms exist on the first floor.   </t>
  </si>
  <si>
    <t>Rooms 211, 216A, 230, 232, and 236A</t>
  </si>
  <si>
    <t xml:space="preserve">Room 216A is located in the multi-purpose room. Room 236A is located in the nurse’s office.  </t>
  </si>
  <si>
    <t>Rooms 207A, 215A, 217A, 225A, 227A, 228A, 229A, 231A, and 234A</t>
  </si>
  <si>
    <t xml:space="preserve">Fire alarm system has been upgraded and includes a strobe light feature. A holding room has been specifically designated as room 231. </t>
  </si>
  <si>
    <t xml:space="preserve">This site includes central air. Temperature control units provided in classrooms.  </t>
  </si>
  <si>
    <t>The nearest accessible subway station is Sutphin Boulevard–Archer Avenue–JFK station (E and J trains), 0.8 miles distant. MTA bus service (Q20A, Q20B, and Q60) is also nearby. Building Q994 is the secondary location for primary building Q217 and is accessed on 144th Street (Exit 16). The accessible entrance includes a ramp, doorbell, and security cameras. The doorbell is within reach range (height 37 inches).</t>
  </si>
  <si>
    <t>Art Rooms – B29</t>
  </si>
  <si>
    <t>Located in building Q217.</t>
  </si>
  <si>
    <t>Computer Room – Room 220</t>
  </si>
  <si>
    <t>Library – Room 212</t>
  </si>
  <si>
    <t>Main Office – Room 100</t>
  </si>
  <si>
    <t>Science Lab – Rooms 312</t>
  </si>
  <si>
    <t>This site does not include public assembly spaces; public assembly spaces are located in primary building Q217. The auditorium is accessible and is located on the first floor. Stage access is provided via lift. Accessible seating is provided. The cafeteria is accessible and is located in the basement. The gymnasium is accessible and is located on the first floor. Assistive listening systems have not been provided in the public assembly spaces.</t>
  </si>
  <si>
    <t>Located in primary building Q217. Stage access is provided via lift. Accessible seating is provided.</t>
  </si>
  <si>
    <t>Located in primary building Q217. Accessible seating available upon request.</t>
  </si>
  <si>
    <t>Located in primary building Q217.</t>
  </si>
  <si>
    <t>There are accessible student bathrooms (boys and girls) available on the first floor. There are accessible single- user (unisex) bathrooms (for student and staff use) available on the first floor.</t>
  </si>
  <si>
    <t>Boys Bathroom – Room T15</t>
  </si>
  <si>
    <t>Girls Bathroom – Room T11</t>
  </si>
  <si>
    <t>Single-User (Unisex) Bathroom – Room T9</t>
  </si>
  <si>
    <t>333 Midland Avenue, Staten Island, NY 10306</t>
  </si>
  <si>
    <t>The nearest accessible subway station is Dongan Hills Station (SIR trains), 0.78 miles distant. MTA bus service (S51, S78, S79-SBS, S81, SIM1, SIM1C, and SIM5) is also nearby. The accessible entrance to R002 is not the same as the main entrance; the accessible entrance is located on Midland Avenue (Exit 8), and is accessed via an inclined, curved walkway.  The accessible entrance does not include a doorbell, reception, or security cameras.</t>
  </si>
  <si>
    <t xml:space="preserve">Inclined walkway from Midland Avenue. </t>
  </si>
  <si>
    <t>This site offers limited accessibility; all first-floor classrooms are accessible and are located along accessible routes.</t>
  </si>
  <si>
    <t>Rooms 134, 228, and 328</t>
  </si>
  <si>
    <t>Rooms 132, 226, and 326</t>
  </si>
  <si>
    <t>Male - Rooms 159, 252, and 356</t>
  </si>
  <si>
    <t>Female - Rooms 153, 249, and 349</t>
  </si>
  <si>
    <t>Rooms 104 and 341</t>
  </si>
  <si>
    <t>Both are located in the nurses’ offices.</t>
  </si>
  <si>
    <t>80 South Goff Avenue, Staten Island, NY 10309</t>
  </si>
  <si>
    <t xml:space="preserve">The nearest accessible subway station is the Arthur Kill Station (SIR train), 1.62 miles distant. MTA bus service (S78 and SIM2) is also nearby. The accessible entrance to R003 is not the same as the main entrance; the accessible entrance is located Everett Place (Exit 3). The accessible entrance includes a ramp. The accessible entrance does not include security or a doorbell. Visitors may need to contact site in advance to gain access to this facility through the accessible entrance. </t>
  </si>
  <si>
    <t>Doors: 41 inches, Cab: 64 inches wide, 78 inches deep.</t>
  </si>
  <si>
    <t>Room 145</t>
  </si>
  <si>
    <t xml:space="preserve">The auditorium is accessible and is located on the first floor. Stage access is provided via lift. Accessible seating is provided. The cafeteria is accessible and is located on the first floor. The gymnasium is accessible and is located in the basement. Assistive listening systems have been provided in the auditorium. </t>
  </si>
  <si>
    <t>Food service doors do not provide clear width. Accessible seating available upon request.</t>
  </si>
  <si>
    <t>Room 170 and Cafeteria</t>
  </si>
  <si>
    <t>200 Nedra Lane, Staten Island, NY 10312</t>
  </si>
  <si>
    <t xml:space="preserve">The nearest accessible subway station is the Great Kills Station, 3.0 miles distant. MTA bus service (S56 and SIM4C) is also nearby. The accessible entrance to building R004 is not the same as the main entrance; the accessible entrance is located around the side of the building from the main entrance on Nedra Lane (Exit 5). The accessible entrance does not include a doorbell, security cameras, or reception. Visitors may need to contact site in advance to gain access to this facility through the accessible entrance. </t>
  </si>
  <si>
    <t>One passenger elevator on site provides access to all floors of the building. Elevator provides audible signals.</t>
  </si>
  <si>
    <t>Doors: 41 inches, Cab: 58 inches wide, 76 inches deep.</t>
  </si>
  <si>
    <t>Rooms 107 and 109R</t>
  </si>
  <si>
    <t>Reception counter high (42 inches).</t>
  </si>
  <si>
    <t>Food service area does not provide clear path. Accessible seating available upon request.</t>
  </si>
  <si>
    <t>There is an accessible single-user (unisex) bathroom (for student and staff use) available on the first floor.</t>
  </si>
  <si>
    <t>Fire alarm system has been updated and includes strobe light feature. Holding rooms have been designated as rooms 210 and 310.</t>
  </si>
  <si>
    <t>348 Deisius Street, Staten Island, NY 10312</t>
  </si>
  <si>
    <t xml:space="preserve">The nearest accessible subway station is Great Kills Station (SIR train), 2.37 miles distant. MTA bus service (SIM2 and S55) is also nearby. The accessible entrance to R005 is not the same as the main entrance; the accessible entrance is located on Kingdom Avenue (Exit 2). The accessible entrance includes a ramp. The accessible entrance does not include security cameras or a doorbell. Visitors may need to contact site in advance to gain access to this facility through the accessible entrance. </t>
  </si>
  <si>
    <t>Water fountains and other wall-mounted objects protrude in the corridors more than 4 inches, which may present difficulties for individuals with visual disabilities. Braille signs are not included throughout the building.</t>
  </si>
  <si>
    <t>This site is moderately accessible. Four classrooms located on the first floor of the 1999 addition are accessible and are located on accessible routes.</t>
  </si>
  <si>
    <t>Only four accessible classrooms located within the 1999 addition on the ground floor of the building.</t>
  </si>
  <si>
    <t xml:space="preserve">This site does not include an auditorium or a gymnasium; the multi-purpose room fulfills these functions. The multi-purpose room is accessible and is located on the first floor. Stage access is not provided. Accessible seating is provided. The cafeteria accessible and is located on the first floor. Assistive listening systems have been provided in the multi-purpose room. </t>
  </si>
  <si>
    <t>555 Page Avenue, Staten Island, NY 10307</t>
  </si>
  <si>
    <t xml:space="preserve">The nearest accessible subway station is the Arthur Kill Station (SIR train), 0.61 miles distant. MTA bus service (SIM26) is also nearby. The main entrance of R006 is accessible, located on Page Avenue (Exit 1). The accessible entrance includes a ramp, a doorbell, cameras and reception. The doorbell is within reach range (Height 48 inches). </t>
  </si>
  <si>
    <t xml:space="preserve">Minor concrete degradation on surface. </t>
  </si>
  <si>
    <t xml:space="preserve">Second floor is the main street-level floor of this building: First and second floors have street access. Braille signs are lacking on the upper floors.  </t>
  </si>
  <si>
    <t xml:space="preserve">E1 and E2 
Doors: 42 inches, Cabs: XX inches wide, XX inches deep. </t>
  </si>
  <si>
    <t xml:space="preserve">The auditorium is accessible and is located on the second floor. Stage access is provided via lift. Accessible seating is provided. The cafeteria is accessible and is located on the first floor. The gymnasium is accessible and is located on the second floor. Assistive listening systems have been provided in the auditorium AV room, cafeteria, and gymnasium. </t>
  </si>
  <si>
    <t xml:space="preserve">Stage access is provided via lift. Accessible seating is provided. Assistive listening systems have been provided in the AV room. </t>
  </si>
  <si>
    <t xml:space="preserve">There are accessible student bathrooms (boys and girls) available on all floors. There are accessible staff bathrooms (male and female) available on the second floor. There are accessible single-user (unisex) bathrooms (for student and staff use) available on the third and fourth floors.   </t>
  </si>
  <si>
    <t>Rooms 161, 218, 318, and 418</t>
  </si>
  <si>
    <t>Rooms 159, 214, 314, and 414</t>
  </si>
  <si>
    <t>Second Floor Auditorium Lobby</t>
  </si>
  <si>
    <t xml:space="preserve">Second floor is the street-level floor at this site. </t>
  </si>
  <si>
    <t>Rooms 342, 343, 442, and 443</t>
  </si>
  <si>
    <t xml:space="preserve">Fire alarm system has been upgraded and includes a strobe light feature. Holding rooms have been specifically designated as rooms 301 and 401. </t>
  </si>
  <si>
    <t>1270 Huguenot Avenue, Staten Island, NY 10312</t>
  </si>
  <si>
    <t>The nearest accessible subway station is the Great Kills Station (SIR trains), 2.63 miles distant. MTA bus service (S55, S59, S78, SIM2) is also nearby. The accessible entrance to R007 is not the same as the main entrance; the accessible entrance is located on Irvington Street, accessed via the rear courtyard.  The accessible entrance includes a ramp. The accessible entrance does not include a doorbell, reception, and security cameras; visitors may need to contact site in advance to gain access to this facility through the accessible entrance.</t>
  </si>
  <si>
    <t>Lack of clear path at doorway prevents access</t>
  </si>
  <si>
    <t>This site does not include an elevator, preventing access to all floors other than the basement.</t>
  </si>
  <si>
    <t>This site offers limited accessibility; most classrooms are not accessible and are not located along accessible routes.</t>
  </si>
  <si>
    <t>Room B42</t>
  </si>
  <si>
    <t>The auditorium is not accessible and is located on the first floor. Stage access is not provided. Accessible seating is provided. The cafeteria is accessible and is located in the basement. The gymnasium is not accessible and is located on the first floor. Assistive listening systems have not been provided in the public assembly spaces.</t>
  </si>
  <si>
    <t xml:space="preserve">Not on Accessible Route. </t>
  </si>
  <si>
    <t>Rooms B11, 127, 227, and 321</t>
  </si>
  <si>
    <t>Lack of clear path at entry prevents access. Interior partitions prevent access.</t>
  </si>
  <si>
    <t>Rooms B9, 121, 221, and 327</t>
  </si>
  <si>
    <t>(Male) – Rooms 117, 219, and 319</t>
  </si>
  <si>
    <t>(Female) – Rooms 115, 215, and 315</t>
  </si>
  <si>
    <t>85 Garretson Avenue, Staten Island, NY 10304</t>
  </si>
  <si>
    <t>The nearest accessible subway station is the Dongan Hills Station (SIR trains), 0.16 miles distant. MTA bus service (S74, S76, S86, and SIM15) is also nearby. The accessible entrance is not the same as the main entrance; the accessible entrance is reached via a courtyard located on Garretson Avenue (Exit 2). The accessible entrance does not include a doorbell, reception, or security cameras. Visitors may need to contact site in advance to gain access to this facility through the accessible entrance.</t>
  </si>
  <si>
    <t>Concrete degradation at Garretson Avenue courtyard.</t>
  </si>
  <si>
    <t>First-floor corridors are accessible. Some water fountains and other wall-mounted objects protrude in the corridors more than 4 inches, which may present difficulties for individuals with visual disabilities. Braille signs are not included throughout the building.</t>
  </si>
  <si>
    <t>Only the first-floor corridors are accessible. All others are not on accessible routes.</t>
  </si>
  <si>
    <t>Does Not Ecist</t>
  </si>
  <si>
    <t>Rooms 101-104</t>
  </si>
  <si>
    <t>Room 256</t>
  </si>
  <si>
    <t>The auditorium is not accessible and is located on the second floor. Stage access is not provided. Accessible seating is provided. The cafeteria is accessible and is located on the first floor. The gymnasium is not accessible and is located on the third floor. Assistive listening systems have not been provided in the public assembly spaces.</t>
  </si>
  <si>
    <t xml:space="preserve">Not on accessible route. Stage access is not provided. Accessible seating is provided. </t>
  </si>
  <si>
    <t xml:space="preserve">This building is prevented from attaining a higher accessibility rating due to lack of accessible bathrooms throughout the building. There are accessible student bathrooms (boys) available on the first floor. There are accessible single-user (unisex) bathrooms (for student and staff use) available on the first floor.  </t>
  </si>
  <si>
    <t>Room 304A</t>
  </si>
  <si>
    <t>Not on accessible route. Lack of clear path at entry prevents access.</t>
  </si>
  <si>
    <t>Rooms 155 and 304B</t>
  </si>
  <si>
    <t>Room 155A</t>
  </si>
  <si>
    <t>Rooms 105A, 358 and 359</t>
  </si>
  <si>
    <t>191 Vermont Avenue, Staten Island, NY 10305</t>
  </si>
  <si>
    <t xml:space="preserve">The nearest accessible subway station is the Dongan Hills Station (SIR trains), 2.00 miles distant. MTA bus service (S51, S5, and S81) is also nearby. The main entrance of R013 is accessible, located on Vermont Avenue (Exit 4).The accessible entrance includes a doorbell, a ramp, and reception. The accessible entrance does not include security cameras. The doorbell is not within reach range (Height 66 inches). </t>
  </si>
  <si>
    <t xml:space="preserve">Minor concrete degradation  </t>
  </si>
  <si>
    <t xml:space="preserve">Doors: 36 Inches, Cabs: 67 Inches wide, 52 Inches deep. </t>
  </si>
  <si>
    <t xml:space="preserve">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been provided in the auditorium and cafeteria. </t>
  </si>
  <si>
    <t>Rooms 110, 120, 210, and 310</t>
  </si>
  <si>
    <t>Rooms 118, 123, 218, and 318</t>
  </si>
  <si>
    <t>Rooms 112, 116, 145, 216, 212, 312, and 316</t>
  </si>
  <si>
    <t xml:space="preserve">Available for students and staff.  </t>
  </si>
  <si>
    <t xml:space="preserve">Fire alarm system has been upgraded and includes a strobe light feature. No holding rooms have been specifically designated. </t>
  </si>
  <si>
    <t>35 Hill Street, Staten Island, NY 10304</t>
  </si>
  <si>
    <t>The nearest accessible subway station is Saint George Station (SIR train), 2.49 miles distant. MTA bus service (S52, S74, S78, S84, and SIM30) is also nearby. The accessible entrance to R014 is not the same as the main entrance. The accessible entrances one is located on Hill Street (Exit 14). The accessible entrance does include security cameras. There is no doorbell at the accessible entrance, visitors will need to call in advance to gain access to the facility.</t>
  </si>
  <si>
    <t>No elevator is provided in R014, access is limited to the first floor.</t>
  </si>
  <si>
    <t>Provides access where change in elevation on first floor exist.</t>
  </si>
  <si>
    <t xml:space="preserve">This site is moderately accessible, some classrooms are accessible and located on accessible routes. Because there is no elevator, access is restricted to the first floor. </t>
  </si>
  <si>
    <t>Second to Third Floors</t>
  </si>
  <si>
    <t xml:space="preserve">No elevator in building, preventing access to other floors. </t>
  </si>
  <si>
    <t>The auditorium is accessible and is located on the first floor. Stage access is provided via corridor. Accessible seating is not provided in the auditorium. The cafeteria is accessible and is located on the first floor. Accessible cafeteria seating is available on request. The gymnasium is accessible and located on the first floor. Assistive listening systems have been provided in the auditorium.</t>
  </si>
  <si>
    <t>There are accessible student bathrooms (girls) available on the first floor. There are accessible student bathrooms (boys) available on the third floor. There is an accessible single-user (unisex) bathroom (for student and staff use) available on the first floor.</t>
  </si>
  <si>
    <t>Room 168</t>
  </si>
  <si>
    <t>221 Broadway, Staten Island, NY 10310</t>
  </si>
  <si>
    <t>The nearest accessible subway station is St George Station (SIR) 3.0 miles distant. MTA bus service (S53, S54, and S46) is also nearby. The accessible entrance to R018 is not the same as the main entrance; the accessible entrance is located on Campbell Avenue. The accessible entrance includes a ramp and security cameras. The accessible entrance does not include a doorbell. Visitors may need to contact site in advance to gain access to this facility through the accessible entrance.</t>
  </si>
  <si>
    <t xml:space="preserve">This site offers limited accessibility; all classrooms and educational spaces located on the first floor are accessible and are located along accessible routes. </t>
  </si>
  <si>
    <t>The auditorium is not accessible and is located in the basement. Stage access is provided. Accessible seating is provided. The cafeteria is accessible and is located on the first floor. The gymnasium is not accessible and is located in the basement. Assistive listening systems have not been provided in the public assembly spaces.</t>
  </si>
  <si>
    <t xml:space="preserve">There are accessible student bathrooms (boys and girls) available on the first floor. There are accessible staff bathrooms (male and female) available on the first floor. </t>
  </si>
  <si>
    <t>780 Post Avenue, Staten Island, NY 10310</t>
  </si>
  <si>
    <t>The nearest accessible subway station is Saint George Station (SIR trains), 2.96 miles distant. MTA bus service (S44, S54, and S94) is also nearby. The accessible entrance to R019 is not the same as the main entrance; the accessible entrance is located on Greenleaf Avenue and is accessed via the play yard (Exit 5). The accessible entrance includes a ramp and security cameras. The accessible entrance does not include a doorbell or reception: Visitors may want to contact the site prior to arrival in order to gain access through the accessible entrance.</t>
  </si>
  <si>
    <t>There is a cross slope at the ramp at exit 5.</t>
  </si>
  <si>
    <t>Nurse’s Office – Room 262</t>
  </si>
  <si>
    <t>Science Lab – Room 315</t>
  </si>
  <si>
    <t>The auditorium is not accessible and is located on the first floor. Stage access is not provided. Accessible seating is provided. The cafeteria is accessible and is located on the first floor. The gymnasium is not accessible and is located on the third floor. Assistive listening systems have been provided in the cafeteria.</t>
  </si>
  <si>
    <t>Entry doors do not provide clear path. Stage access is not provided. Accessible seating is provided.</t>
  </si>
  <si>
    <t>Boys Bathrooms – Rooms 162 and 260</t>
  </si>
  <si>
    <t>Girls Bathrooms – Rooms 163, 260A, and 360</t>
  </si>
  <si>
    <t>Staff Bathrooms – Rooms 102, 106, 258, and 358</t>
  </si>
  <si>
    <t>Fire alarm system has been upgraded and includes a strobe light feature. Holding rooms have been specifically designated as rooms 201 and 301</t>
  </si>
  <si>
    <t>161 Park Avenue, Staten Island, NY 10302</t>
  </si>
  <si>
    <t xml:space="preserve">The nearest accessible subway station is the Saint George Station (SIR train), 3.6 miles distant. MTA bus service (S53, S57, S59, and S66) is also nearby. The accessible entrance to R020 is not the same as the main entrance; the accessible entrance is located on Park Avenue (Exit 8). The accessible entrance includes security cameras. The accessible entrance does not include a doorbell. Visitors may need to contact site in advance to gain access to this facility through the accessible entrance. </t>
  </si>
  <si>
    <t>This site does not include an elevator. Access is limited to the first-floor addition constructed in 1999. Access to the ground floor of the original building is provided via lift.</t>
  </si>
  <si>
    <t xml:space="preserve">This site is moderately accessible; all classrooms located on the ground floor of the original building and on the first floor of the 1999 addition are accessible and are located on accessible routes. </t>
  </si>
  <si>
    <t>Rooms 245, 247, and 249</t>
  </si>
  <si>
    <t>Ground and First Floor of the 1999 Addition</t>
  </si>
  <si>
    <t>Rooms 330 and 331</t>
  </si>
  <si>
    <t xml:space="preserve">The auditorium is not accessible and is located on the first floor. Stage access is not provided. Accessible seating is not provided. The cafeteria is accessible and is located on the ground floor. The multi-purpose room is accessible and is located on the ground floor. Assistive listening systems have not been provided in the public assembly areas. </t>
  </si>
  <si>
    <t>There are accessible single-user (unisex) bathrooms (for student and staff use) available in the 1999 addition classrooms.</t>
  </si>
  <si>
    <t>1999 Addition classrooms</t>
  </si>
  <si>
    <t>The site does not include central air; Air-conditioning have been units provided in classrooms.</t>
  </si>
  <si>
    <t>168 Hooker Place, Staten Island, NY 10302</t>
  </si>
  <si>
    <t>The nearest accessible subway station is the Saint George Station (SIR trains), 3.80 miles distant. MTA bus service (S44, S59, S89, and S94) is also nearby. The main entrance is accessible and is accessed via a courtyard from Hooker Place (Exit 6). The accessible entrance includes a ramp, reception, and security cameras. The accessible entrance does not include a doorbell or intercom.</t>
  </si>
  <si>
    <t>Handrails require remediation</t>
  </si>
  <si>
    <t xml:space="preserve">The 1997 Pre-K addition is fully accessible. It is separated from the original building by a change in elevation (4 steps). In the original building, some door saddles are high. In the original building, some hallway doors are heavy and without closers, which may be difficult for some users to navigate. In the original building, some water fountains and other wall-mounted objects protrude into the corridors more than 4 inches, which may present difficulties for individuals with visual disabilities. Braille signs are included throughout the 1997 addition but are in need of upgrade. Braille signs are not included throughout the original building.  </t>
  </si>
  <si>
    <t>This site does not include an elevator, preventing access to floors other than the first floor in the original building. Lack of elevator does not prevent access in the 1997 addition.</t>
  </si>
  <si>
    <t>Lack of elevator does not prevent access in the 1997 addition.</t>
  </si>
  <si>
    <t>This site provides limited accessibility; all classrooms in the 1997 addition are accessible and are located along accessible routes. Classrooms located in the original building are not accessible and are not located along accessible routes.</t>
  </si>
  <si>
    <t>First Floor, 1997 Addition</t>
  </si>
  <si>
    <t>First Floor, Original Building</t>
  </si>
  <si>
    <t>Classrooms in the original building are not accessible due to changes in elevation and non-compliant door hardware.</t>
  </si>
  <si>
    <t>Room by Stair A2</t>
  </si>
  <si>
    <t>This site does not include an auditorium or a gymnasium; the multi-purpose room fulfills these functions. The multi-purpose room is not accessible and is located on the first floor of the main building. Accessible seating is provided. Stage access is not provided. The cafeteria is not accessible and is located in the basement of the original building. Assistive listening systems have not been provided in the public assembly spaces.</t>
  </si>
  <si>
    <t>Basement, Original Building</t>
  </si>
  <si>
    <t xml:space="preserve">This site is prevented from obtaining a higher accessibility rating due to lack of accessible bathrooms throughout the building. There are accessible student bathrooms (boys and girls) available on the first floor of the 1997 addition. There are accessible single-user (unisex) bathrooms (for student and staff use) available on the first floor of the 1997 addition.  </t>
  </si>
  <si>
    <t>Room Across From Classroom A12, 1997 Addition</t>
  </si>
  <si>
    <t>All Others, Original Building</t>
  </si>
  <si>
    <t>Room Across From Classroom A5, 1997 Addition</t>
  </si>
  <si>
    <t>Original Building</t>
  </si>
  <si>
    <t>1860 Forest Avenue, Staten Island, NY 10303</t>
  </si>
  <si>
    <t>The nearest accessible subway station is the Saint George Station (SIR trains), 4.05 miles distant. MTA bus service (S44, S48, S59, S89, S94, and S98) is also nearby. The accessible entrance is not the same as the main entrance; the accessible entrance is located on Monsey Place (Exit 12). The accessible entrance includes security cameras. The accessible entrance does not include a doorbell, reception, or intercom.</t>
  </si>
  <si>
    <t>Ramped access to courtyard and track field. Handrails require remediation. Moderate concrete degradation at ramp surface.</t>
  </si>
  <si>
    <t>The 1999 addition is fully accessible. Some door saddles are high, which may be difficult for some users to navigate. Some water fountains and other wall-mounted objects protrude in the corridors more than 4 inches, which may present difficulties for individuals with visual disabilities. Braille signs are included in the 1999 addition but are needed throughout the 1914 original building, or in the 1930 and 1955 additions.</t>
  </si>
  <si>
    <t>Door hardware is accessible in the new addition only</t>
  </si>
  <si>
    <t>Corridors themselves are accessible but some are not located on accessible routes due to lack of elevator access.</t>
  </si>
  <si>
    <t>One passenger elevator provides access to first through second floors. Elevator includes audible signals on each floor.</t>
  </si>
  <si>
    <t>Hallway connection to 1999 addition.</t>
  </si>
  <si>
    <t>This site is moderately accessible; Most classrooms are accessible and are located along accessible routes.</t>
  </si>
  <si>
    <t>Art Rooms – Room 125</t>
  </si>
  <si>
    <t>Classrooms – First and Second Floors, 1999 Addition</t>
  </si>
  <si>
    <t>Library – Room 210</t>
  </si>
  <si>
    <t>Not on an accessible route. Stage access is not provided. Accessible seating is not provided. Assistive listening systems have been provided.</t>
  </si>
  <si>
    <t>There are accessible student bathrooms (boys and girls) available on the first and second floors of the addition. There are accessible staff bathrooms (male and female) available on the first floor.</t>
  </si>
  <si>
    <t>Boys Bathrooms – First Floor Room Across from Gymnasium, A124, A224</t>
  </si>
  <si>
    <t>Boys Bathrooms – Basement Playroom, First Floor Next to Room 126, Room 202</t>
  </si>
  <si>
    <t>Girls Bathrooms – Room Next to Classroom 102, Room A121 A223</t>
  </si>
  <si>
    <t>Staff Bathrooms – Rooms 108, 119, 219, and First Floor Room Across from Gymnasium</t>
  </si>
  <si>
    <t>Single-User (Unisex) Bathrooms – Room 107A</t>
  </si>
  <si>
    <t>Located inside nurse’s office</t>
  </si>
  <si>
    <t>Single-User (Unisex) Bathrooms – Rooms A122 and A207</t>
  </si>
  <si>
    <t>This site includes central air in the 1999 addition. This site does not include central air in the pre-1999 buildings; Air- conditioning units have been provided in classrooms.</t>
  </si>
  <si>
    <t>750 Durant Avenue, Staten Island, NY 10308</t>
  </si>
  <si>
    <t>The nearest accessible subway station is Great Kills Station (SIRR train), 0.6 miles distant. MTA bus service (X7, X8, and S54) is also nearby. The main entrance of building R024 is accessible, located on Durant Avenue (Exit 1). The accessible entrance includes a doorbell, security cameras, and reception. The doorbell is within reach range (height 48 inches).</t>
  </si>
  <si>
    <t>This site occupies floors first though fourth. One passenger elevator provides access to all floors. Elevator provides audible signals on all floors.</t>
  </si>
  <si>
    <t>Door: 41 inches; Cab: 55 inches wide, 79 inches deep.</t>
  </si>
  <si>
    <t>Art Rooms – Room 106</t>
  </si>
  <si>
    <t>Computer Rooms – Room S5</t>
  </si>
  <si>
    <t>Main Office – Rooms 238 (31R024) and S1 (75R721)</t>
  </si>
  <si>
    <t>Includes single-user accessible bathroom.</t>
  </si>
  <si>
    <t>Science Lab – Rooms 319, 401, 403, 405, 407, 417, 419, 421, 426, and 428</t>
  </si>
  <si>
    <t>Food service line does not provide a clear path. Accessible seating available upon request.</t>
  </si>
  <si>
    <t>There are accessible student bathrooms (boys and girls) available on all floors. Accessible staff bathrooms are available on the first floor. There are accessible single-user (unisex) bathrooms (for student and staff use) available on all floors.</t>
  </si>
  <si>
    <t>Staff Bathrooms – 118, and 120</t>
  </si>
  <si>
    <t>Fire alarm system has been updated and includes a strobe light feature. Holding rooms have been specifically designated as rooms 230, 330, and 430.</t>
  </si>
  <si>
    <t>4210 Arthur Kill Road, Staten Island, NY 10309</t>
  </si>
  <si>
    <t>The nearest accessible subway station is Arthur Kill Station (SIR trains), 1.75 miles distant. MTA bus service (S74 and S84) is also nearby. This site does not include an accessible entrance.</t>
  </si>
  <si>
    <t xml:space="preserve">There are accessible staff bathrooms (male and female) available on the first floor, but they are not located along accessible routes. </t>
  </si>
  <si>
    <t>First Floor (Male)</t>
  </si>
  <si>
    <t>First Floor (Female)</t>
  </si>
  <si>
    <t>200 Wardwell Avenue, Staten Island, NY 10314</t>
  </si>
  <si>
    <t>The nearest accessible subway station is Dongan Hills Station (SIR trains), 2.87 miles distant. MTA bus service (S66) is also nearby. The main entrance of is accessible, located on Wardwell Avenue (Exit 1). The accessible entrance includes a ramp. The accessible entrance does not include a doorbell, reception, or security cameras.</t>
  </si>
  <si>
    <t>Ramp lacks level landing at entry.</t>
  </si>
  <si>
    <t xml:space="preserve">Some hallway doors are heavy and without closers, which may be difficult for some users to navigate. Some water fountains and other wall-mounted objects protrude into the corridors more than 4 inches, which may present difficulties for individuals with visual disabilities. Braille signs are not included throughout the building. </t>
  </si>
  <si>
    <t>The auditorium is accessible and is located on the first floor. Stage access is not provided. Accessible seating is provided. The cafeteria is accessible and is located on the first floor. The gymnasium is accessible and is located on the first floor.  Assistive listening systems have not been provided in the public assembly spaces.</t>
  </si>
  <si>
    <t xml:space="preserve">This site is prevented from attaining a higher accessibility rating due to lack of accessible bathrooms throughout the building. There are accessible student bathrooms (boys and girls) available on the first floor. </t>
  </si>
  <si>
    <t>Rooms 259 and 459</t>
  </si>
  <si>
    <t>Rooms 103, 359, and Gym</t>
  </si>
  <si>
    <t>Male - Room 256</t>
  </si>
  <si>
    <t>Female - Rooms 253, 353, and 453</t>
  </si>
  <si>
    <t>This site includes exterior recreational spaces. The exterior recreational spaces are. The recreational equipment is not accessible.</t>
  </si>
  <si>
    <t>Fire alarm system is old and has not been upgraded to include a strobe light feature. Holding rooms or areas of refuge have not been specifically designated.</t>
  </si>
  <si>
    <t>232 Barlow Avenue, Staten Island, NY 10308</t>
  </si>
  <si>
    <t>The nearest accessible subway station is Dongan Hills Station (SIR trains), 3.73 miles distant. MTA bus service (S54) is also nearby. The accessible entrance to R032 is not the same as the main entrance; the accessible entrance is located on Stieg Avenue (Exits 2 and 3).  The accessible entrance includes a doorbell. The accessible entrance does not include reception or security cameras. The doorbell is not within reach range (height 67 inches).</t>
  </si>
  <si>
    <t>Rooms 147, 232, and 332</t>
  </si>
  <si>
    <t>Rooms 149, 228, and 328</t>
  </si>
  <si>
    <t>(Male) – Rooms 135, 233, and 333</t>
  </si>
  <si>
    <t>(Female) – Rooms 133, 235, and 335</t>
  </si>
  <si>
    <t>Room 225A is located in the nurse’s office.</t>
  </si>
  <si>
    <t>This site includes exterior recreational spaces. The exterior recreational spaces are accessible via an inclined sidewalk from Stieg Avenue. The recreational equipment is not accessible.</t>
  </si>
  <si>
    <t>528 Academy Avenue, Staten Island, NY 10307</t>
  </si>
  <si>
    <t xml:space="preserve">The nearest accessible subway station is the Tottenville Station (SIR trains), 0.55 miles distant. MTA bus service (S78 and SIM26) is also nearby. The accessible entrance to R034 is not the same as the main entrance; the accessible entrance is located on Academy Avenue (Exit 5).  The accessible entrance includes a doorbell, automatic door openers, a ramp, reception, and security cameras. The doorbell is within reach range (Height 40 inches). </t>
  </si>
  <si>
    <t xml:space="preserve">One passenger elevator provides access the first through third floors. One LULA lift provides access to the basement.  </t>
  </si>
  <si>
    <t xml:space="preserve">LULA Lift: Located in Room 132  
Doors: 36 inches. Cab: 72 inches wide, 99 inches deep. </t>
  </si>
  <si>
    <t xml:space="preserve">E1 
Doors: 47 inches. Cab: 72 inches wide, 106 inches deep. </t>
  </si>
  <si>
    <t xml:space="preserve">Connects LULA landing to basement corridor </t>
  </si>
  <si>
    <t xml:space="preserve"> Rooms 101, 201, 202, 203, 207, and 209</t>
  </si>
  <si>
    <t xml:space="preserve">The auditorium is accessible and is located on the first floor. Stage access is provided via lift. Accessible seating is provided. The cafeteria is accessible and is located in the cellar. The gymnasium spaces are accessible and are located on the third floor. Assistive listening systems have been provided in the auditorium, cafeteria, and both gymnasiums. </t>
  </si>
  <si>
    <t xml:space="preserve">Accessible seating available upon request.  Serving line not accessible (does not provide clear width). Assistive listening systems have been provided. </t>
  </si>
  <si>
    <t>Boys’ and Girls’ -Third Floor</t>
  </si>
  <si>
    <t xml:space="preserve">Boys’ gym is accessible via lift. Assistive listening systems have been provided in the Girls’ Gym weight room and in the Boys’ Gym. </t>
  </si>
  <si>
    <t>Rooms C10, 113B, 122, 216, 318, and in the Boys’ Gym</t>
  </si>
  <si>
    <t xml:space="preserve">Room 113B includes automatic door openers. Room 122 is gender-neutral, multi-stall. </t>
  </si>
  <si>
    <t>Rooms C11, 113A, 122, 222, 324, and in the Boys’ Gym</t>
  </si>
  <si>
    <t xml:space="preserve">Room 113A includes automatic door openers. Room 122 is gender-neutral, multi-stall. </t>
  </si>
  <si>
    <t>Rooms 218, 220, 320, and 322</t>
  </si>
  <si>
    <t xml:space="preserve">Fire alarm system has been upgraded and includes a strobe light feature. Areas of Rescue have been specifically designed as Rooms C100, 100, 200, and 300 (Staircase B), as well as second and third-floor landings (Stair E), and the OT office (Staircase F). </t>
  </si>
  <si>
    <t>255 Ionia Avenue, Staten Island, NY 10312</t>
  </si>
  <si>
    <t>The nearest accessible subway station is Great Kills Station (SIR trains), 2.2 miles distant. MTA bus service (S55 and S56) is also nearby. The main entrance of R036 is accessible, located on Ionia Avenue (Exit 1). The accessible entrance includes security cameras. The accessible entrance does not include a doorbell; visitors may need to contact site in advance to gain access to this facility through the accessible entrance.</t>
  </si>
  <si>
    <t>This site provides limited accessibility; all classrooms located on the first floor are accessible and are located along accessible routes.</t>
  </si>
  <si>
    <t>Classrooms – Second Through Third Floors</t>
  </si>
  <si>
    <t>Computer Rooms – Rooms 201 and 203</t>
  </si>
  <si>
    <t>Nurse’s Office - Room 107</t>
  </si>
  <si>
    <t>Science Lab – Room 105</t>
  </si>
  <si>
    <t>Boys Bathroom – All Others</t>
  </si>
  <si>
    <t>Single-User (Unisex) Bathroom – Room 113</t>
  </si>
  <si>
    <t>99 Macfarland Avenue, Staten Island, NY 10305</t>
  </si>
  <si>
    <t>The nearest accessible subway station is the Old Town Station (SIR trains), 0.91 miles distant. MTA bus service (S52, S53, and S78) is also nearby. The accessible entrance is not the same as the main entrance; the accessible entrance is located on MacFarland Avenue (Exit 8).  The accessible entrance does not include a doorbell, reception, or security cameras. Visitors may need to contact site in advance to gain access to this facility through the accessible entrance.</t>
  </si>
  <si>
    <t>Accessible via an inclined walkway through the courtyard.</t>
  </si>
  <si>
    <t>Only the first-floor corridors are on an accessible path. Some water fountains and other wall-mounted objects protrude in the corridors more than 4 inches, which may present difficulties for individuals with visual disabilities. Braille signs are not included throughout the building.</t>
  </si>
  <si>
    <t>Only the first-floor corridors are on an accessible path</t>
  </si>
  <si>
    <t xml:space="preserve">This site offers limited accessibility; some first-floor classrooms are accessible and are located along accessible routes. </t>
  </si>
  <si>
    <t>Rooms 112-117</t>
  </si>
  <si>
    <t>The auditorium is not accessible and is located on the first floor. Stage access is provided via lift. Accessible seating is provided. The cafeteria is accessible and is located on the first floor. The gymnasium is accessible and is located on the first floor. Assistive listening systems have not been provided in the public assembly spaces.</t>
  </si>
  <si>
    <t>Change in elevation (2 steps) prevents access. Stage access is provided via lift. Accessible seating is provided.</t>
  </si>
  <si>
    <t xml:space="preserve">This building is prevented from attaining a higher accessibility rating due to lack of accessible bathrooms throughout the building.  There are accessible single-user (unisex) bathrooms (for student and staff use) available on the first floor. There are accessible single-user (unisex) bathrooms (for student and staff use) available in some classrooms on the first floor.    </t>
  </si>
  <si>
    <t>Lack of clear path at entry prevents access</t>
  </si>
  <si>
    <t>Not on accessible path.</t>
  </si>
  <si>
    <t>Room 106B</t>
  </si>
  <si>
    <t>Rooms 124 and 125</t>
  </si>
  <si>
    <t>Rooms 112A, 113A, 114A 155A, 116A, and 117A</t>
  </si>
  <si>
    <t>91 Henderson Avenue, Staten Island, NY 10301</t>
  </si>
  <si>
    <t>The nearest accessible subway station is Saint George Station (SIR train), 1.18 miles distant. MTA bus service (S94, S44, and S42) is also nearby. The main entrance accessible and is located on Henderson Avenue (Exit 1). The accessible entrance includes a ramp, doorbell, security cameras, and reception. The doorbell is not within reach range (height 60 inches).</t>
  </si>
  <si>
    <t>This site is offers limited accessibility; some classrooms are accessible and are located on accessible routes.</t>
  </si>
  <si>
    <t>Art Rooms – 111</t>
  </si>
  <si>
    <t>Classrooms – Second and Third Floor</t>
  </si>
  <si>
    <t>Computer Rooms – 311</t>
  </si>
  <si>
    <t>Main Office – Room 257</t>
  </si>
  <si>
    <t>Nurse’s Office- Room 155</t>
  </si>
  <si>
    <t>The auditorium is not accessible due to change in elevation and is located on the first floor. Stage access is not provided. Accessible seating is not provided. The cafeteria is accessible and is located on the first floor. The multi- purpose room is accessible and is located on the first floor. Assistive listening systems have not been provided in the public assembly spaces.</t>
  </si>
  <si>
    <t>Change in elevation (2 steps) prevents access.</t>
  </si>
  <si>
    <t>There are accessible student bathrooms (girls and boys) available in the cafeteria.</t>
  </si>
  <si>
    <t>Boys Bathroom – Cafeteria</t>
  </si>
  <si>
    <t>Boys Bathroom – Second and Third Floor</t>
  </si>
  <si>
    <t>Girls Bathroom - Cafeteria</t>
  </si>
  <si>
    <t>Single-User (Unisex) Bathrooms – Rooms 110 and 214</t>
  </si>
  <si>
    <t>380 Genesee Avenue, Staten Island, NY 10312</t>
  </si>
  <si>
    <t xml:space="preserve">The nearest accessible subway station is the Great Kills Station (SIR trains), 1.2 miles distant. MTA bus service (S59, and S79-SBS) is also nearby. The accessible entrance to R042 is not the same as the main entrance; the accessible entrance is located on Wainwright Avenue (Exit #7).  The accessible entrance includes a ramp, and security cameras. No doorbell has been installed at the accessible entrance; visitors should call in advance to gain access. </t>
  </si>
  <si>
    <t xml:space="preserve">Access is limited to the first floor; no elevator is present in R042. </t>
  </si>
  <si>
    <t xml:space="preserve">This site provides limited accessibility; all classrooms located on the first floor are accessible and are located along accessible routes.  </t>
  </si>
  <si>
    <t>Rooms 316, and 318</t>
  </si>
  <si>
    <t xml:space="preserve">No elevator in building, preventing access to other floors.  </t>
  </si>
  <si>
    <t xml:space="preserve">The auditorium is accessible and is located on the first floor. The auditorium does not provide stage access, although accessible seating is provided. The cafeteria is accessible and is located on the first floor. The gymnasium is accessible and is located on the first floor. Assistive listening systems have not been provided in the public assembly areas. </t>
  </si>
  <si>
    <t xml:space="preserve">Stage access is not provided is provided via lift. Accessible seating is provided. </t>
  </si>
  <si>
    <t xml:space="preserve">This site is prevented from attaining a higher accessibility rating due to lack of accessible bathrooms throughout the building. There are no accessible student bathrooms (boys and girls) available in the building. There are no accessible staff restrooms.  </t>
  </si>
  <si>
    <t>100 Essex Drive, Staten Island, NY 10314</t>
  </si>
  <si>
    <t>The nearest accessible subway station is Great Kills Station (SIR trains), 2.14 miles distant. MTA bus service (S46, S61, S89, S91, S96, and SIM8) is also nearby. The main entrance of R043 is accessible, located on Essex Drive. The accessible entrance includes a doorbell, security cameras, and reception. The doorbell is within reach range (Height 44 inches).</t>
  </si>
  <si>
    <t>E1 and E2 Doors: 48 Inches, Cabs: 66 Inches wide, 82 Inches deep. E3 Doors: 71 Inches, Cab: 91 Inches wide, 71 Inches deep.</t>
  </si>
  <si>
    <t>Art Rooms – Rooms 269, 401, and 440</t>
  </si>
  <si>
    <t>Computer Rooms - Rooms 169 and 301</t>
  </si>
  <si>
    <t>Library - Room 131</t>
  </si>
  <si>
    <t>Main Office - Rooms 062, 102, 201, and 244</t>
  </si>
  <si>
    <t>Nurse’s Office - Rooms 107, 144, and 152</t>
  </si>
  <si>
    <t>Assistive listening systems have been provided in room 152.</t>
  </si>
  <si>
    <t>Science Lab – Rooms 262, 266, 402, 403, 406, 432, 437, and 441</t>
  </si>
  <si>
    <t>The auditorium is accessible and is located on the first floor. Stage access is provided at grade. Accessible seating is provided. The auditorium AV room is located on the first floor and is accessible via lift. The cafeteria is accessible and is located in the basement. The gymnasium is accessible and is located on the first floor. Assistive listening systems have been provided in the cafeteria, and multi-purpose rooms.</t>
  </si>
  <si>
    <t>Stage access at grade. Accessible seating is provided. AV room accessible via lift.</t>
  </si>
  <si>
    <t>Multi-Purpose Room – Rooms 252 and 253</t>
  </si>
  <si>
    <t>Boys Bathrooms – Rooms 005, 072B, 156, 172B, 211, 236, 272B, 311, 336, 411A, and 436</t>
  </si>
  <si>
    <t>Girls Bathrooms – Rooms 006, 070B, 154, 170B, 231, 234, 270B, 313, 334, 413A, and 434A</t>
  </si>
  <si>
    <t>Staff Bathrooms – (Male) - Room 120</t>
  </si>
  <si>
    <t>Staff Bathrooms – (Female) - Room 119</t>
  </si>
  <si>
    <t>Single-User (Unisex) Bathrooms – Rooms 070A, 072A, 146A, 148A, 152A, 170A, 172A, 211B, 231B, 234B, 236B, 270A, 272A, 311B, 313B, 334B, 336B, 11B, 413B, 434B, and 436B</t>
  </si>
  <si>
    <t>Available for students and staff. Rooms 146A and 148A are located in the nurse’s office, Room 144.</t>
  </si>
  <si>
    <t>Fire alarm system has been upgraded and includes a strobe light feature. Holding rooms have been specifically designated as rooms 163, 212, 237, 263, 337, 415, 432, and 437.</t>
  </si>
  <si>
    <t>80 Maple Parkway, Staten Island, NY 10303</t>
  </si>
  <si>
    <t xml:space="preserve">The nearest accessible subway station is Saint George Station (SIR trains), 5.3 miles distant. MTA bus service (S46 and S96) is also nearby. The accessible entrance to R044 is not the same as the main entrance; the accessible entrance is located on Maple parkway (Exit 16). The accessible entrance includes a ramp and security cameras. The accessible entrance does not include a doorbell. Visitors may need to contact site in advance to gain access to this facility through the accessible entrance. </t>
  </si>
  <si>
    <t>Room 312/313</t>
  </si>
  <si>
    <t>The auditorium is accessible and is located on the first floor. Stage access is not provided. Accessible seating is not provided. The cafeteria is accessible and is located on the first floor. The gymnasiums are not accessible and are located on the third and fourth floors. Assistive listening systems have been provided in the auditorium.</t>
  </si>
  <si>
    <t xml:space="preserve">Stage access is not provided. Accessible seating is not provided Assistive listening systems have been provided. </t>
  </si>
  <si>
    <t>Third and Fourth Floor</t>
  </si>
  <si>
    <t>There are accessible single-user (unisex) bathrooms (for student and staff use) available in the classrooms of the 2000 and 2004 additions.</t>
  </si>
  <si>
    <t>Classrooms of the 2000 and 2004 addition</t>
  </si>
  <si>
    <t>Available to students and staff.</t>
  </si>
  <si>
    <t>58 Lawrence Avenue, Staten Island, NY 10310</t>
  </si>
  <si>
    <t xml:space="preserve">The nearest accessible subway station is the Saint George Station (SIR train), 2.08 miles distant. MTA bus service (S48 and SIM30) is also nearby. The accessible entrance to R045 is not the same as the main entrance; the accessible entrance is located on Lawrence Street (Exit 10). The accessible entrance does not include security cameras or a doorbell. Visitors may need to contact site in advance to gain access to this facility through the accessible entrance. </t>
  </si>
  <si>
    <t xml:space="preserve">This site is moderately accessible; all classrooms located on the first floor are accessible and located on accessible routes. </t>
  </si>
  <si>
    <t>Rooms 253</t>
  </si>
  <si>
    <t xml:space="preserve">The auditorium is accessible and is located on the first floor. Stage access is not provided. Accessible seating is provided. The cafeteria is accessible and is located on the first floor. The gymnasium is not accessible due to a change in elevation and is located on the third floor. Assistive listening systems have been provided in the auditorium.  </t>
  </si>
  <si>
    <t>Change in elevation (8 steps) prevents access from corridor</t>
  </si>
  <si>
    <t>There are accessible student bathrooms (boys) available on the first through third floors. There are accessible student bathrooms (girls) available on the first and third floors. There is an accessible staff bathroom located on the first floor.</t>
  </si>
  <si>
    <t>Rooms 111, 258, and 352</t>
  </si>
  <si>
    <t>Rooms 158 and 356</t>
  </si>
  <si>
    <t>Room 108A</t>
  </si>
  <si>
    <t>1055 Targee Street, Staten Island, NY 10304</t>
  </si>
  <si>
    <t>The nearest accessible subway station is Dongan Hills Station (SIR trains), 0.97 miles distant. MTA bus service (S74, S76, and SIM15) is also nearby. The main entrance is accessible, located on Targee Street (Exit 3). The accessible entrance includes a ramp and security cameras. The accessible entrance does not include a doorbell.</t>
  </si>
  <si>
    <t>Ramp at main entrance is curved and steep. Minor concrete degradation is present at ramp surface. Ramp lacks level landing at entry.</t>
  </si>
  <si>
    <t>This site does not include an elevator, preventing access to floors other than the first floor. Interior ramp remediates change of elevation between new wing and the original building.</t>
  </si>
  <si>
    <t>Interior ramp slope is steep and may pose difficulty for some.</t>
  </si>
  <si>
    <t>This site does not include an auditorium; the multi-purpose room fulfills this function. The cafeteria is accessible and is located on the first floor. The cafeteria does not include a stage. This site does not include a gymnasium: The multi- purpose room fulfills this function. The multi-purpose room is accessible and is located on the first floor. Accessible seating is provided. Assistive listening systems have not been provided in the public assembly spaces.</t>
  </si>
  <si>
    <t>Located inside the cafeteria. The multi-purpose room does not include a stage. Accessible seating is provided.</t>
  </si>
  <si>
    <t>Boys Bathrooms – Basement Through Third Floors</t>
  </si>
  <si>
    <t>Girls Bathrooms – Basement Through Third Floors</t>
  </si>
  <si>
    <t>Staff Bathrooms – Basement Through Third Floors</t>
  </si>
  <si>
    <t>Single-User (Unisex) Bathrooms – Rooms 106 and 106A</t>
  </si>
  <si>
    <t>Located in the cafeteria. Room 106A includes a child changing table.</t>
  </si>
  <si>
    <t>Single-User (Unisex) Bathrooms – Rooms 112A, 112B, 113A, 113B, 114A, and 114B</t>
  </si>
  <si>
    <t>Located inside corresponding classrooms. Interior partitions prevent access.</t>
  </si>
  <si>
    <t>80 Willowbrook Road, Staten Island, NY 10302</t>
  </si>
  <si>
    <t xml:space="preserve">The nearest accessible subway station is St. George Station (SIR trains), 4.7 miles distant. MTA bus service (S57, S48, S59 and S98) is also nearby. The accessible entrance to R050 is not the same as the main entrance; the accessible entrance is located on Willowbrook Road (Exit 9). The accessible entrance is reached via a ramp and includes security cameras. The accessible entrance does not include a doorbell; visitors will need to call in advance to gain access to the facility. </t>
  </si>
  <si>
    <t>Doors: 35 Inches, Cabs: 54 Inches wide, 56 Inches deep.</t>
  </si>
  <si>
    <t>Rooms B8, and B12</t>
  </si>
  <si>
    <t>Room B2</t>
  </si>
  <si>
    <t>Rooms 105, 203, 205, and 215</t>
  </si>
  <si>
    <t xml:space="preserve">The auditorium is accessible and is located on the first floor. Accessible seating is provided. Stage access is provided via lift. The cafeteria is accessible and is located in the basement. The gymnasium is accessible and is located on the first floor. Assistive listening systems have been provided in the auditorium </t>
  </si>
  <si>
    <t xml:space="preserve">Fire alarm system has been upgraded and includes a strobe light feature. Holding rooms have been specifically designated as rooms 127 and 227. </t>
  </si>
  <si>
    <t>450 Buel Avenue, Staten Island, NY 10305</t>
  </si>
  <si>
    <t>The nearest accessible subway station is Dongan Hills Station (SIR train), 0.6 miles distant. MTA bus service (SIM1C) is also nearby. The accessible entrance is not the same as the main entrance. The accessible entrance is located on Buel Ave (Exit 9). The accessible entrance does not include security cameras or a doorbell; visitors may need to contact site in advance to gain access to this facility through the accessible entrance.</t>
  </si>
  <si>
    <t>Doors: 35 inches, Cab: 55 inches wide, 78 inches deep.</t>
  </si>
  <si>
    <t>Nurse’s Office - Room 120</t>
  </si>
  <si>
    <t>The auditorium is accessible and is located on the first floor. Accessible seating is provided. Stage access is provided via a corridor through the gymnasium. The cafeteria is accessible and is located on the first floor. The gymnasium is accessible and is located on the first floor. Assistive listening systems have been provided in the gymnasium.</t>
  </si>
  <si>
    <t>Stage access is provided via corridor in the gymnasium. Accessible seating is provided.</t>
  </si>
  <si>
    <t>Serving line doors do not provide clear path. Accessible seating available upon request.</t>
  </si>
  <si>
    <t>There are accessible student bathrooms (boys) available on the first through third floors. There are accessible student bathrooms (girls) available on the second and third floors. There is a single-user (unisex) bathroom (for student and staff use) available on the first floor.</t>
  </si>
  <si>
    <t>Boys Bathroom – Room 131, 217, and 317</t>
  </si>
  <si>
    <t>Girls Bathroom – 121, 221, and 321</t>
  </si>
  <si>
    <t>designated as rooms 205 and 305.</t>
  </si>
  <si>
    <t>This site includes central air in the 2004 addition; temperature control units have been provided in the classrooms of the 2004 addition. This site does not include central air in the original building. Air- conditioning units have been provided in the classrooms of the original building.</t>
  </si>
  <si>
    <t>54 Osborne Street, Staten Island, NY 10312</t>
  </si>
  <si>
    <t xml:space="preserve">The nearest accessible subway station is the Great Kills Station (SIR trains), 1.5 miles distant. MTA bus service (S59, S89, and SIM22) is also nearby. The main entrance located on Osborn Street is accessible (Exit 1). The accessible entrance includes a ramp, a doorbell, and reception. The accessible entrance does not include security cameras. The doorbell is not within reach range (height 70 inches). </t>
  </si>
  <si>
    <t>This site is moderately accessible; all classrooms and educational spaces are accessible and are located on accessible routes.</t>
  </si>
  <si>
    <t xml:space="preserve">The auditorium is accessible and is located on the first floor. Stage access is not provided. Accessible seating is not provided. The cafeteria is accessible and is located in the basement. The gymnasium is accessible and is located on the first floor. Assistive listening systems have been provided in the cafeteria. </t>
  </si>
  <si>
    <t>There are accessible student bathrooms (girls and boys) in the basement. Accessible stalls are in the boys and girl’s bathroom on the first floor, although they are not accessible because clear path is not provided at the doorway (Doorway under 32 inches). There are no accessible staff bathrooms in the building.</t>
  </si>
  <si>
    <t xml:space="preserve">Fire alarm system has been upgraded and includes a strobe light feature. Holding rooms have been specifically designated; Room 235. </t>
  </si>
  <si>
    <t>250 Kramer Avenue, Staten Island, NY 10309</t>
  </si>
  <si>
    <t xml:space="preserve">The nearest accessible subway station is the Huguenot Station (SIR train), 1.30 miles distant. MTA bus service (S74, and S84) is also nearby. The main entrance of R056 is accessible, located on Kramer Avenue. The accessible entrance includes security cameras and a reception desk. The accessible entrance does not include a doorbell. Access is provided from street level via a sloped sidewalk on approach. </t>
  </si>
  <si>
    <t xml:space="preserve">Access via sloped sidewalk on approach. </t>
  </si>
  <si>
    <t xml:space="preserve">E1 and E2 
Doors: 42 Inches, Cabs: 79 Inches wide, 51 Inches deep. </t>
  </si>
  <si>
    <t xml:space="preserve">The auditorium is accessible and is located on the second floor. Stage access is provided via lift. Accessible seating is provided. The cafeteria is accessible and is located on the first floor. The gymnasium is accessible and is located on the second floor. Assistive listening systems have been provided in the auditorium, cafeteria, and gymnasium. </t>
  </si>
  <si>
    <t xml:space="preserve">There are accessible student bathrooms (boys and girls) available on all floors. There are accessible staff bathrooms (male and female) available on the second floor. There are accessible single-user (unisex) bathrooms (for student and staff use) available on the second through fourth floors. </t>
  </si>
  <si>
    <t>Rooms 162, 214, 314, and 414</t>
  </si>
  <si>
    <t>Rooms 161, 214, 318, and 418</t>
  </si>
  <si>
    <t>Rooms 226, 252, 278, 326, 342, and 442</t>
  </si>
  <si>
    <t>140 Palma Drive, Staten Island, NY 10304</t>
  </si>
  <si>
    <t>The nearest accessible subway station is Saint George Station (SIR train), 2.7 miles distant. MTA bus service (S74 and S76) is also nearby. The main entrance of R057 is accessible, located on Palma Drive (Exit 1). The accessible entrance includes a ramp, doorbell, reception, and security cameras. The doorbell is not within reach range (Height 58 inches).</t>
  </si>
  <si>
    <t>Doors: 39 inches, Cab: 54 inches wide, 43 inches deep.</t>
  </si>
  <si>
    <t>Computer Rooms – Rooms 219 and 337J</t>
  </si>
  <si>
    <t>Nurse’s Office - Room 139</t>
  </si>
  <si>
    <t>Lacks clear path at entry</t>
  </si>
  <si>
    <t>The auditorium is accessible and is located on the first floor. Stage access is not provided. Accessible seating is not provided. The cafeteria is accessible and is located on the first floor. The gymnasium is not accessible and is located on the first floor. Assistive listening systems have been provided in the auditorium, cafeteria, and gymnasium.</t>
  </si>
  <si>
    <t>Lacks clear path at entry. Assistive listening systems have been provided.</t>
  </si>
  <si>
    <t>There are accessible student bathrooms (girls) available on the first floor.</t>
  </si>
  <si>
    <t>Girls Bathroom – Café - First Floor</t>
  </si>
  <si>
    <t>77 Marsh Avenue, Staten Island, NY 10314</t>
  </si>
  <si>
    <t>The nearest accessible subway station is the Great Kills Station (SIR trains), 2.27 miles distant. MTA bus service (S55, S56, and S79-SBS) is also nearby. The main entrance of R058 is accessible, located on Marsh Avenue (Exit 2). The accessible entrance includes a doorbell, security cameras, and reception. The doorbell is slightly not within reach range (height 50 inches).</t>
  </si>
  <si>
    <t>E1 and E2 Doors: 42 Inches, Cabs: 67 Inches wide, 49 Inches deep.</t>
  </si>
  <si>
    <t>Auditorium Hallway</t>
  </si>
  <si>
    <t>Library - Room 402</t>
  </si>
  <si>
    <t>Main Office - Room 112</t>
  </si>
  <si>
    <t>Nurse’s Office - Room 108</t>
  </si>
  <si>
    <t>The auditorium is accessible and is located on the second floor. Stage access is provided via corridor ramp. Accessible seating is provided. The cafeteria is accessible and is located on the first floor. The gymnasium spaces are accessible and are located on the first floor. Assistive listening systems have been provided in the auditorium, cafeteria, gymnasiums and the multi-purpose room.</t>
  </si>
  <si>
    <t>Stage access via ramp. Accessible seating is provided. Assistive listening systems have been provided.</t>
  </si>
  <si>
    <t>Multi-Purpose Room – Auxiliary Gym, Second Floor</t>
  </si>
  <si>
    <t>There are accessible student bathrooms (boys and girls) available on all floors. There are accessible single-user (unisex) bathrooms (for student and staff use) available on all floors. There are accessible single-user (unisex) bathrooms (for student and staff use) available in two North Wing classrooms on the second floor, and in the East Wing classrooms on the third and fourth floors.</t>
  </si>
  <si>
    <t>Boys Bathrooms – Rooms 144, 231, 323 and 423</t>
  </si>
  <si>
    <t>Girls Bathrooms – Rooms 142, 232, 321 and 421</t>
  </si>
  <si>
    <t>Single-User (Unisex) Bathrooms – Rooms 143, 214A, 325B, 327A, 416A and 424A</t>
  </si>
  <si>
    <t>Single-User (Unisex) Bathrooms – Classrooms 206, 208, 324, 326, 328, 329, 424, 426, 428 and 429</t>
  </si>
  <si>
    <t>300 Richmond Terrace, Staten Island, NY 10301</t>
  </si>
  <si>
    <t xml:space="preserve">The nearest accessible subway station is the St. George Station (SIR trains), 0.7 miles distant. MTA bus service (S40, and S44) is also nearby. The accessible entrance to R059 is not the same as the main entrance; the accessible entrance is located on St. Peters Place (Exit 4). The accessible entrance includes a lift and security cameras. The accessible entrance does not include a doorbell; visitors should contact the site prior to arrival. </t>
  </si>
  <si>
    <t xml:space="preserve">Non-Compliant door hardware </t>
  </si>
  <si>
    <t>This site is moderately accessible; all classrooms located on the first floor are accessible, and are located on an accessible route.</t>
  </si>
  <si>
    <t>The auditorium is not accessible and is located on the second floor. Stage access is not provided. Accessible seating is not provided. The cafeteria is not accessible and is located in the cellar. The gymnasium is not accessible and is located in the sub-cellar. Assistive listening systems have not been provided in the public assembly areas.</t>
  </si>
  <si>
    <t xml:space="preserve">Stage access is not provided. Accessible seating is not provided. 
</t>
  </si>
  <si>
    <t>Sub-Cellar</t>
  </si>
  <si>
    <t xml:space="preserve">Accessible single-user (unisex) bathrooms (for student and staff use) are available in the cellar, and on the first and third floors. </t>
  </si>
  <si>
    <t>Rooms C18, 110, 113A, and 306</t>
  </si>
  <si>
    <t>55 Merrill Avenue, Staten Island, NY 10314</t>
  </si>
  <si>
    <t xml:space="preserve">The nearest accessible subway station is the Dongan Hills Station (SIR trains), 3.78 miles distant. MTA bus service (S44, S59, S89, S94, SIM4, SIM4C, and SIM8) is also nearby. The accessible entrance to R060 is not the same as the main entrance; the accessible entrance is located on Merrill Avenue (Exit 3) and is accessed via an inclined walkway.  The accessible entrance includes a ramp, a doorbell, reception, and security cameras. </t>
  </si>
  <si>
    <t xml:space="preserve">Inclined walkway from Merrill Avenue </t>
  </si>
  <si>
    <t xml:space="preserve">Interior ramp at accessible entrance. </t>
  </si>
  <si>
    <t xml:space="preserve">Accessible seating available upon request. Serving line does not provide clear width. </t>
  </si>
  <si>
    <t>First Floor (Dance)</t>
  </si>
  <si>
    <t>Rooms 110C 118C, 139, 207C, 219C, 225C, and 224</t>
  </si>
  <si>
    <t>Rooms 110B, 118B, 124B, 147, 207B, 219B, 225B, and 230</t>
  </si>
  <si>
    <t>(Male) – Rooms 101 and 218</t>
  </si>
  <si>
    <t>(Female) – Rooms 156 and 217</t>
  </si>
  <si>
    <t>Rooms 124C and 134C</t>
  </si>
  <si>
    <t xml:space="preserve">Room 134C is located in the nurse’s office. Room 124C is the designated gender-neutral bathroom. </t>
  </si>
  <si>
    <t>Pre-K Multi-User Bathrooms - Classrooms 105A/107A, 109A/111A, 119A/121A, 129A/131A, 135A/137A</t>
  </si>
  <si>
    <t>445 Castleton Avenue, Staten Island, NY 10301</t>
  </si>
  <si>
    <t>The nearest accessible subway station is Saint George Station (SIR), 1.6 miles distant. MTA bus service (S46 and S96) is also nearby. The main entrance is accessible, located on Brighton Avenue. The accessible entrance includes a doorbell, reception, and security cameras.</t>
  </si>
  <si>
    <t>Braille signage is not provided throughout the building. A lift remediates a change in elevation in the cellar.</t>
  </si>
  <si>
    <t>One passenger elevator serves all floors in the building. Elevator provides audible signals on all floors.</t>
  </si>
  <si>
    <t>Doors: 41 inches; Cab: 81.5 inches wide, 51 inches deep.</t>
  </si>
  <si>
    <t>Art Room – Room 318</t>
  </si>
  <si>
    <t>Classrooms – Cellar Through Third Floor</t>
  </si>
  <si>
    <t>Computer Rooms – Rooms 116, 216, and 314</t>
  </si>
  <si>
    <t>Library – Cellar</t>
  </si>
  <si>
    <t>Nurse’s Office – Room C23</t>
  </si>
  <si>
    <t>Nurse’s Office – Room 211</t>
  </si>
  <si>
    <t>Science Lab – Rooms 106, 110, 206, 210, 306, and 310</t>
  </si>
  <si>
    <t>The auditorium is accessible and is located on the second floor. Stage access is provided via lift. Accessible seating is not provided. The cafeteria is accessible and is located on the first floor. The gymnasium is accessible and is located in the cellar. Assistive listening systems have not been provided in the public assembly spaces.</t>
  </si>
  <si>
    <t>Stage access provided via lift. Accessible seating is not provided.</t>
  </si>
  <si>
    <t>Gymnasium – Cellar</t>
  </si>
  <si>
    <t>Lift to the side of the gym stairs remediates changes in elevation and provides access.</t>
  </si>
  <si>
    <t>There are accessible student bathrooms (boys) available on the first through third floors. There are accessible student bathrooms (girls) available on the first and second floors. There are accessible staff bathrooms (male and female) available on the first and third floors.</t>
  </si>
  <si>
    <t>Boys Bathroom – 129B, 254, and across from Room 316</t>
  </si>
  <si>
    <t>Girls Bathroom – 127B and 253</t>
  </si>
  <si>
    <t>Staff Bathroom – Rooms 148, 149, 347, and 348</t>
  </si>
  <si>
    <t>Staff Bathrooms – Rooms 230 and 229</t>
  </si>
  <si>
    <t>Fire alarm system has been updated and includes strobe light feature. Fire holding rooms have been designated as rooms 124, 224, and 314.</t>
  </si>
  <si>
    <t>644 Bloomingdale Road, Staten Island, NY 10309</t>
  </si>
  <si>
    <t xml:space="preserve">The nearest accessible subway station is Arthur Kill Station (SIR train), 2.1 miles distant. MTA bus service (S55, S74, S84, and SIM26) is also nearby. The main entrance of R062 is accessible, located on Bloomingdale Road (Exit 2). The accessible entrance includes a doorbell, security cameras, and reception. The doorbell is not within reach range (height 49 inches). </t>
  </si>
  <si>
    <t xml:space="preserve">E1 and E2 
Doors: 42 inches, Cabs: 80 inches wide, 51 inches deep. </t>
  </si>
  <si>
    <t>Rooms 205 and 207</t>
  </si>
  <si>
    <t xml:space="preserve">This site does not include an auditorium; the gymnasium fulfills this function. The gymnasium is accessible and is located on the first floor. Stage access is provided via lift. Accessible seating is provided. The cafeteria spaces are accessible and are located on the first and second floors. The multi-purpose rooms are accessible and are located on the first floor. Assistive listening systems have been provided in the gymnasium and cafeteria. </t>
  </si>
  <si>
    <t>First Floor (Students); First and Second Floors (Teachers)</t>
  </si>
  <si>
    <t>Rooms 143, 174, 208, and 251</t>
  </si>
  <si>
    <t>Rooms 135, 172, 202, and 253</t>
  </si>
  <si>
    <t>Rooms 101A, 101B, 108A, 137, 141, 204, and 206</t>
  </si>
  <si>
    <t xml:space="preserve">Room 108A is located in the nurse’s office. </t>
  </si>
  <si>
    <t>1625 Forest Avenue, Staten Is, NY 10302</t>
  </si>
  <si>
    <t>The nearest accessible subway station is the St. George Station (SIR train), 4.60 miles distant. MTA bus service (S48, S59 and S98) is also nearby. The main entrance of R066 is accessible, located on Forest Avenue (Exit 1). The accessible entrance includes a ramp, doorbell, reception, and security cameras. The doorbell is within reach range (height 48 inches).</t>
  </si>
  <si>
    <t>This site occupies floors first through third in the building.Two passenger elevators provide access to all floors within the building. Elevators include audible signals on each floor.</t>
  </si>
  <si>
    <t>E1 and E2 Doors: 43 inches, Cabs: 64 inches wide, 79 inches deep.</t>
  </si>
  <si>
    <t>Art Rooms – Room 320</t>
  </si>
  <si>
    <t>Nurse’s Office – Room 324</t>
  </si>
  <si>
    <t>This site does not include an auditorium or gymnasium; the cafeteria fulfills these functions. The cafeteria is accessible and is located on the first floor. Stage access is not provided. Accessible seating is provided. Assistive listening systems have been provided in the auditorium, gymnasium, and cafeteria.</t>
  </si>
  <si>
    <t>The auditorium does not include a stage. Accessible seating is provided. Assistive listening systems have been provided.</t>
  </si>
  <si>
    <t>There are accessible student bathrooms (boys and girls) available on the second and third floors. There are accessible single-user (unisex) bathrooms (for student and staff use) available on all floors.</t>
  </si>
  <si>
    <t>Boys Bathrooms – Rooms 207 and 313</t>
  </si>
  <si>
    <t>Girls Bathrooms – Rooms 209 and 310</t>
  </si>
  <si>
    <t>Single-User (Unisex) Bathrooms – Rooms 106, 123, 216, 319 and 322A</t>
  </si>
  <si>
    <t>Room 322A is located in the nurse’s office.</t>
  </si>
  <si>
    <t>Single-User (Unisex) Bathrooms – Rooms 104, 112, 113, 114, 115, 205, 206, 211, 217 and 219</t>
  </si>
  <si>
    <t>Fire alarm system has been upgraded and includes a strobe light feature. Holding rooms have been specifically designated as rooms 205 and 305.</t>
  </si>
  <si>
    <t>144 Keating Place, Staten Island, NY 10314</t>
  </si>
  <si>
    <t>The nearest accessible subway station is Great Kills Station (SIR trains), 4.0 miles distant. MTA bus service (S61 and S91) is also nearby. The main entrance is accessible and is located on 137th Avenue. The accessible entrance includes a ramp, security cameras, doorbell, and reception. The doorbell is not within reach range (height 54 inches).</t>
  </si>
  <si>
    <t>Doors: 41 inches, Cab: 71 inches wide, 55 inches deep.</t>
  </si>
  <si>
    <t>Computer Rooms – Room 301</t>
  </si>
  <si>
    <t>Nurse’s Office- Room 106</t>
  </si>
  <si>
    <t>Science Lab – Room 203, and 205</t>
  </si>
  <si>
    <t>No clear path at entry to food service area. Assistive listening systems have been provided.</t>
  </si>
  <si>
    <t>There are accessible student bathrooms (girls and boys) available on all floors. There is an accessible single-user (unisex) bathroom (for students and staff) available on the first floor.</t>
  </si>
  <si>
    <t>Fire alarm system has been upgraded and includes a strobe light feature. Holding rooms have been specifically designated as rooms 215B and 315B.</t>
  </si>
  <si>
    <t>45 Waverly Place, Staten Island, NY 10304</t>
  </si>
  <si>
    <t>The nearest accessible subway station is the St. George Station (SIR train), 2.10 miles distant. MTA bus service (S74, S76 and S86) is also nearby. The main entrance of R070 is accessible, located on Waverly Place (Exit 3). The accessible entrance includes a doorbell, reception, and security cameras. The doorbell is within reach range (height 48 inches).</t>
  </si>
  <si>
    <t>This site occupies floors first through fourth. Two passenger elevators provide access to all floors in the building. Elevators includes audible signals on each floor.</t>
  </si>
  <si>
    <t>E1 and E2 Doors: 42 inches, Cabs: 64 inches wide, 79 inches deep.</t>
  </si>
  <si>
    <t>Art Room – Room 319</t>
  </si>
  <si>
    <t>Computer Room – Room 313</t>
  </si>
  <si>
    <t>Library – Room 315</t>
  </si>
  <si>
    <t>Main Office – Rooms 117 (31R084), 225 (75R373), 309 (31R085)</t>
  </si>
  <si>
    <t>Science Lab – Room 415</t>
  </si>
  <si>
    <t>This site includes a combined auditorium and gymnasium that is accessible and located on the third floor. Stage access is provided via lift. Accessible seating is provided. The cafeteria is accessible and is located on the first floor. Assistive listening systems have been provided in the auditorium, cafeteria, and gymnasium.</t>
  </si>
  <si>
    <t>Boys Bathrooms – Rooms 142, 218, 316 and 418</t>
  </si>
  <si>
    <t>Girls Bathrooms – Rooms 143, 222, 320 and 422</t>
  </si>
  <si>
    <t>Single-User (Unisex) Bathrooms – Rooms 118, 120, 217, 224A, 235, 233, 317, 417 and 421</t>
  </si>
  <si>
    <t>Room 224A is located in the nurse’s office.</t>
  </si>
  <si>
    <t>Single-User (Unisex) Bathrooms – Classrooms 101, 102, 103, 104, 105, 107, 113, 203, 204, 205, 206, 207, 208 and 211</t>
  </si>
  <si>
    <t>Fire alarm system has been upgraded and includes a strobe light feature. Holding rooms have been specifically designated as rooms 201, 301 and 401.</t>
  </si>
  <si>
    <t>1050 Targee Street, Staten Island, NY 10304</t>
  </si>
  <si>
    <t>The nearest accessible subway station is the Dongan Hills Station (SIR trains), 1.3 miles distant. MTA bus service (S74, S76 and S86) is also nearby. The main entrance of R071 is accessible and is located on Targee Street (Exit 1). The accessible entrance includes a ramp, doorbell, and security camera feature. The doorbell is within reach range (Height 48 inches).</t>
  </si>
  <si>
    <t>Doors: 47 inches, Cab: 62 inches wide, 79 inches deep.</t>
  </si>
  <si>
    <t>Library – Room 415</t>
  </si>
  <si>
    <t>Main Office – Rooms 101, and 415A</t>
  </si>
  <si>
    <t>Nurse’s Office- Room 318</t>
  </si>
  <si>
    <t>Science Lab – Rooms 313, 314, 315, and 316</t>
  </si>
  <si>
    <t>The auditorium is accessible and is located on the first floor. Accessible seating is provided. The student cafeteria on the first floor is accessible. The gymnasium is accessible and is located on the first floor. An assistive listening system has been installed in the auditorium.</t>
  </si>
  <si>
    <t>Accessible seating is provided. Assistive listening system provided.</t>
  </si>
  <si>
    <t>There is an accessible student bathroom (boys and girls) are available on all floors. Accessible single-user (unisex) bathrooms (available for students and staff) are available on all floors.</t>
  </si>
  <si>
    <t>Boys Bathroom – Room 420, 320, 220 and 120</t>
  </si>
  <si>
    <t>Girls Bathroom – Rooms 424, 324, 224 and 124</t>
  </si>
  <si>
    <t>Single-User (Unisex) Bathroom – Room 422, 322, 222 and 122</t>
  </si>
  <si>
    <t>Fire alarm system has been upgraded and includes a strobe light feature. Holding rooms or areas of refuge have been specifically designated as rooms 428, 329 and 229.</t>
  </si>
  <si>
    <t>The site does include central air; Air-conditioning unit controls provided in classrooms.</t>
  </si>
  <si>
    <t>33 Ferndale Avenue, Staten Island, NY 10314</t>
  </si>
  <si>
    <t>The nearest accessible subway station is Dongan Hills Station (SIR trains), 4.6 miles distant. MTA bus service (S61 and S91) is also nearby. The main entrance is accessible and is located on Ferndale Avenue (Exit 1). The accessible entrance includes a ramp, security cameras, doorbell, and reception. The doorbell is not within reach range (height 70 inches).</t>
  </si>
  <si>
    <t>No level maneuvering clearance at main entrance doorway.</t>
  </si>
  <si>
    <t>Doors: 41 inches, Cab: 52 inches wide, 70 inches deep.</t>
  </si>
  <si>
    <t>Computer Rooms – Rooms 305 and 314</t>
  </si>
  <si>
    <t>Library – Room 158</t>
  </si>
  <si>
    <t>Main Office – Room 178 and 180</t>
  </si>
  <si>
    <t>Science Lab – Rooms 127, 128, and 154</t>
  </si>
  <si>
    <t>Accessible seating available upon request. The food servery does not provide clear path.</t>
  </si>
  <si>
    <t>Fire alarm system has been upgraded and includes a strobe light feature. Holding rooms have been specifically designated as rooms 216H, 316H, and 416H.</t>
  </si>
  <si>
    <t>10 Elm Street, Staten Island, NY 10310</t>
  </si>
  <si>
    <t>The nearest accessible subway station is the St. George Station (SIRR trains), 2.6 miles distant. MTA bus service (S40, S54, and S90) is also nearby. The main entrance is accessible, located on Elm Street (Exit 1). The accessible entrance includes a doorbell, reception, and security cameras. The doorbell is within reach range (height 48 inches).</t>
  </si>
  <si>
    <t>This site occupies floors first through third in the building. One passenger elevator provides access to all floors. Elevator includes audible signals on each floor.</t>
  </si>
  <si>
    <t>Doors: 41 inches, Cabs: 78 inches wide, 69 inches deep.</t>
  </si>
  <si>
    <t>This site does not include an auditorium; the multi-purpose room fulfills this function. The multi-purpose room is accessible and is located on the third floor. Assistive listening systems have not been provided in the public assembly spaces.</t>
  </si>
  <si>
    <t>Single-User (Unisex) Bathrooms – Rooms 101B, 107A, 204, and 303</t>
  </si>
  <si>
    <t>Single-User (Unisex) Bathrooms – Classrooms 102, 105, 106, 201, 205, 207, 301, 302, and 305</t>
  </si>
  <si>
    <t>455 Huguenot Avenue, Staten Island, NY 10312</t>
  </si>
  <si>
    <t xml:space="preserve">The nearest accessible subway station is the Great Kills Station (SIR), 3.10 miles distant. MTA bus service (S17, S17J, and S19) is also nearby. The main entrance of R075 is accessible, located on Huguenot Avenue. The accessible entrance includes a doorbell and security cameras. The doorbell is not within reach range. </t>
  </si>
  <si>
    <t xml:space="preserve">Ramp in the G corridor lacks handrails. </t>
  </si>
  <si>
    <t xml:space="preserve">This site is moderately accessible; all classrooms and educational spaces are accessible and are located along accessible routes. </t>
  </si>
  <si>
    <t>Rooms 413, 418, and 422</t>
  </si>
  <si>
    <t>Rooms 141 (31R075) and 211 (75R025)</t>
  </si>
  <si>
    <t>Rooms 201, 251, 301, 351, 401, and 451</t>
  </si>
  <si>
    <t xml:space="preserve">The auditorium is accessible and is located on the first floor. Stage access is provided. Accessible seating is provided. The cafeteria spaces are accessible and are located on the first floor. The gymnasium is accessible and is located on the second floor. Assistive listening systems have been provided in the cafeteria. </t>
  </si>
  <si>
    <t xml:space="preserve">Accessible seating is provided. Stage access is provided. </t>
  </si>
  <si>
    <t xml:space="preserve">Accessible seating is available on request. Food service line does not provide clear path. Assistive listening systems have been provided. </t>
  </si>
  <si>
    <t xml:space="preserve">There are accessible student bathrooms (girls) available on the first floor. There are accessible single-user (unisex) bathrooms (for student and staff use) available on the first floor. </t>
  </si>
  <si>
    <t xml:space="preserve">Fire alarm system includes a strobe light feature. Holding rooms have been specifically designated as rooms 253, 353, and 453. </t>
  </si>
  <si>
    <t>715 L Ocean Terrace, Staten Island, NY 10301</t>
  </si>
  <si>
    <t>The nearest accessible subway station is the Dongan Hills Station (SIR trains), 2.6 miles distant. MTA bus service (S53, S66 and S78) is also nearby. The main entrance is accessible, located on Safety City Boulevard (Exit 1). The accessible entrance includes a doorbell, reception, and security cameras. The doorbell is within reach range (height 48 inches).</t>
  </si>
  <si>
    <t>This site occupies floors first through fourth in the building. Three passenger elevator provides access to the first through fourth floors. Elevator includes audible signals on each floor.</t>
  </si>
  <si>
    <t>E1, E2 and E3 Doors: 59 inches, Cabs: 90 inches wide, 110 inches deep.</t>
  </si>
  <si>
    <t>Ramp located at Gymnatorium. Provides access to stage.</t>
  </si>
  <si>
    <t>This site is highly accessible; all classrooms are accessible and are located along accessible routes. All classrooms include dimmable switches for lighting.</t>
  </si>
  <si>
    <t>Art Rooms – Room 425</t>
  </si>
  <si>
    <t>Computer Rooms - 332</t>
  </si>
  <si>
    <t>Electronics Shop</t>
  </si>
  <si>
    <t>Nurse’s Office – Room 106A and 316</t>
  </si>
  <si>
    <t>Includes a changing table and includes accessible shower.</t>
  </si>
  <si>
    <t>This site includes a combined gymnasium, auditorium that is accessible and located on the second floor. Stage access is provided via ramp. Accessible seating is provided. The cafeteria is accessible and is located on the first floor. The multi-purpose rooms are accessible and is located on all floors. Assistive listening systems have been provided in the Gymnatorium and Cafeteria.</t>
  </si>
  <si>
    <t>Gymnatorium. Stage access is provided via ramp. Accessible seating is provided. Assistive listening systems have been provided.</t>
  </si>
  <si>
    <t>Functions take place in Gymnatorium.</t>
  </si>
  <si>
    <t>Multi-Purpose Room 107, 201, 214, 215, 216A, 301, 315, 419 and 427</t>
  </si>
  <si>
    <t>Physical Therapy Rooms 107, 214, 215, 315 and 419. Occupational Therapy Rooms 201 and 301. Adaptive Physical Education Room 216A. Home economics room 427. Includes adaptive and sensory equipment depending on service provided.</t>
  </si>
  <si>
    <t>Boys Bathrooms – Rooms 132, 208, 308 and 408</t>
  </si>
  <si>
    <t>Girls Bathrooms – Rooms 131, 210, 310 and 410</t>
  </si>
  <si>
    <t>Staff Bathrooms – Rooms 108 M, 112 W, 224 M, 226 W, 326 M, 328 W, 418 M, and 420 W</t>
  </si>
  <si>
    <t>Single-User (Unisex) Bathrooms – Rooms 109, 211, 311, and 411</t>
  </si>
  <si>
    <t>Designated changing space. Includes changing tables.</t>
  </si>
  <si>
    <t>Single-User (Unisex) Bathrooms – Classrooms 115, 122, 124, 221, 225, 231, 233, 323, 327, 333, and 335</t>
  </si>
  <si>
    <t>Fire alarm system has been upgraded and includes a strobe light feature. Holding rooms have been specifically designated as rooms 202, 302 and 402.</t>
  </si>
  <si>
    <t>15A Fairfield Street, Staten Island, NY 10308</t>
  </si>
  <si>
    <t>The nearest accessible subway station is the Great Kills Station (R train), 1.1 miles distant. MTA bus service (S54, S74, and SIM15) is also nearby. Building R089 is the secondary location for primary building R840. The main entrance of R089 is accessible, located on Fairfield Street (Exit 1) and is adjacent to main entrance of R840. The accessible entrance includes a ramp, reception, security cameras, and a doorbell. The doorbell is within reach range (height 38 inches).</t>
  </si>
  <si>
    <t xml:space="preserve">One passenger elevator provide access to all floors. Elevators include audible signals on each floor.  </t>
  </si>
  <si>
    <t xml:space="preserve">Doors: 42 inches, Cab: 77 inches wide, 57 inches deep. </t>
  </si>
  <si>
    <t xml:space="preserve">This site does not include an auditorium; the cafeteria fulfills this function. The cafeteria is accessible and is located on the first floor. The cafeteria does not include a stage. Accessible seating is provided. This site does not include a gymnasium; the multi-purpose room fulfills this function. The multi-purpose room is accessible and is located on the first floor. Assistive listening systems have been provided in the cafeteria and the multi-purpose room. </t>
  </si>
  <si>
    <t xml:space="preserve">Accessible seating available upon request. Assistive listening systems have been provided. The cafeteria does not include a stage. </t>
  </si>
  <si>
    <t xml:space="preserve">Assistive listening systems have been provided. Accessible recreational equipment located inside. </t>
  </si>
  <si>
    <t>Rooms 122, 214, and 314</t>
  </si>
  <si>
    <t>Rooms 120, 212, and 312</t>
  </si>
  <si>
    <t>Rooms 103, 111, 206, and 306</t>
  </si>
  <si>
    <t>Rooms 205 and 305</t>
  </si>
  <si>
    <t>Rooms 110, 207, 208, 209, 211, 216, 307, 308, 309, and 310</t>
  </si>
  <si>
    <t xml:space="preserve">Fire alarm system has been upgraded and includes a strobe light feature. Areas of Rescue rooms have been designated as rooms 118, 218, and 318. </t>
  </si>
  <si>
    <t>30 Wellbrook Avenue, Staten Island, NY 10314</t>
  </si>
  <si>
    <t>The nearest accessible subway station is Dongan Hills Station (SIR trains), 2.17 miles distant. MTA bus service (S57, S61, and S91) is also nearby. The main entrance is accessible, located on Wellbrook Avenue. The accessible entrance includes a doorbell, reception, and security cameras. The doorbell is not within reach range (height 56 inches). This building is physically attached to building RACE (Saint Rita School), a non-DOE school.</t>
  </si>
  <si>
    <t>Inclined hallway from gymnasium to classrooms is steeply-sloped, contains obstructions, and lacks handrails.</t>
  </si>
  <si>
    <t>This site offers limited accessibility; only certain classrooms are accessible and are located along accessible routes.</t>
  </si>
  <si>
    <t>Rooms 101, 102, 103, 104, and 109</t>
  </si>
  <si>
    <t>Rooms 105 and 106</t>
  </si>
  <si>
    <t>This site does not include an auditorium; the gymnasium fulfills this function. The gymnasium is not accessible and is located on the first floor. Stage access is not provided. Accessible seating is provided. The cafeteria is not accessible and is located on the first floor and is accessed through the gymnasium. Assistive listening systems have not been provided in the public assembly spaces.</t>
  </si>
  <si>
    <t>Change in elevation (10 steps) prevents access. Accessible seating available upon request.</t>
  </si>
  <si>
    <t>Change in elevation (10 steps) prevents access. Stage access is not provided. Accessible seating is provided.</t>
  </si>
  <si>
    <t>Accessible from rooms 119, 120, and 121 only. Change in elevation (5 steps) prevents access to other classrooms.</t>
  </si>
  <si>
    <t>(Male) – Room next to utility room downstairs from main lobby</t>
  </si>
  <si>
    <t>Room next to Room 110</t>
  </si>
  <si>
    <t>Not on accessible route. Room 106A is located in the nurse’s office.</t>
  </si>
  <si>
    <t>465 New Dorp Lane, Staten Island, NY 10306</t>
  </si>
  <si>
    <t>The nearest accessible subway station is at Dongan Hills Station, 1.9 miles distant; MTA bus service (S76, S78, S79, S86, X1, X2, X3, and X9) is also nearby. The accessible entrance to R435 is the same as the main entrance, located off New Dorp Lane (Exit 1). The accessible entrance includes a ramp, doorbell, automatic doors, reception, and security cameras.</t>
  </si>
  <si>
    <t>Many of the water fountains protrude into the corridor and may present barriers for some. Consistent Braille signage is not provided throughout the building.</t>
  </si>
  <si>
    <t>Two passenger elevators provide service to all floors in the building. Elevators provide audible signals on all floors.</t>
  </si>
  <si>
    <t>E1 – Door: 46.5 Inches, Cab: 63.5 Inches deep, 91.5 Inches wide E2 - Door: 59.5 Inches, Cab: 86 Inches deep, 92 Inches wide.</t>
  </si>
  <si>
    <t>This site is moderately accessible; all classrooms and educational spaces are accessible and are located along accessible routes.</t>
  </si>
  <si>
    <t>Classrooms – Ground Through Third Floors</t>
  </si>
  <si>
    <t>Computer Rooms – Rooms W101, W106, W115, W119, W123, E204, W204, and E205</t>
  </si>
  <si>
    <t>Library – Room C360</t>
  </si>
  <si>
    <t>Door hardware on the library entrance doors needs to be replaced with compliant models.</t>
  </si>
  <si>
    <t>Main Office – Rooms S132 (New Dorp HS), G13 (Hungerford School), and G39 (South Richmond HS Annex)</t>
  </si>
  <si>
    <t>Nurse’s Office – Rooms G22, and S117</t>
  </si>
  <si>
    <t>Science Lab – Rooms E201, W203, N225, N227, S235, and N320</t>
  </si>
  <si>
    <t>The auditorium is accessible and is located on the first floor. Stage access is provided. Accessible seating is provided. The cafeteria is accessible and is located on the first floor. The gymnasiums are accessible and are located on the ground floor. The multi-purpose rooms are accessible and are located on the first floor. Assistive listening systems have not been provided in the public assembly spaces.</t>
  </si>
  <si>
    <t>Gymnasiums – Ground Floor – North and East</t>
  </si>
  <si>
    <t>Multi-Purpose Rooms First Floor - Dance Room, First Floor - Weight Room</t>
  </si>
  <si>
    <t>This site is prevented from attaining a higher accessibility rating because of a lack of accessible bathrooms throughout the building. Accessible student bathrooms (boys’) are available on the first, second, and third floors. Accessible student bathrooms (girls’) are available on the third floor.</t>
  </si>
  <si>
    <t>Boys Bathroom – Rooms C162B, C262B, and C364B</t>
  </si>
  <si>
    <t>Boys Bathroom – Ground, and Basement Floors</t>
  </si>
  <si>
    <t>Girls Bathroom – Room C373G</t>
  </si>
  <si>
    <t>Girls Bathroom – Ground, First, and Second Floors</t>
  </si>
  <si>
    <t>Fire Alarm System includes a strobe light feature. Two fire holding rooms have been designated:</t>
  </si>
  <si>
    <t>The site does not include central air; Air conditioning units have been provided in classrooms.</t>
  </si>
  <si>
    <t>485 Clawson Street, Staten Island, NY 10306</t>
  </si>
  <si>
    <t>The nearest accessible subway station is at Dongan Hills Station, 1.9 miles distant; MTA bus service (S57, S78, S79, X2, X3, X9, and X24) is also nearby. The main entrance to R440 is accessible. The accessible entrance includes a ramp. The accessible entrance does not include a doorbell or security cameras; visitors should contact the site prior to arrival.</t>
  </si>
  <si>
    <t>Braille signage is not included throughout the building.</t>
  </si>
  <si>
    <t>Two passenger elevators provide access to all floors in the building. Elevators provide audible signals on all floors. A freight elevator provides access to the first through third floors of the building.</t>
  </si>
  <si>
    <t>Accessible wide</t>
  </si>
  <si>
    <t>Doors: 42 inches; Cabs: 64 inches deep; 81 inches</t>
  </si>
  <si>
    <t>Computer Rooms – Rooms 235, 237, and 259</t>
  </si>
  <si>
    <t>Main Office – Room 119</t>
  </si>
  <si>
    <t>Science Lab – Rooms 143, 144, and 241</t>
  </si>
  <si>
    <t>The auditorium is accessible and is located on the first floor. Stage access is provided. Accessible seating is provided. The cafeterias are accessible and are located in the basement. The gymnasiums are accessible and are located on the first and third floors. Assistive listening systems have not been provided in the public assembly spaces.</t>
  </si>
  <si>
    <t>Access to the third-floor gym is provided via lift.</t>
  </si>
  <si>
    <t>Accessible student bathrooms (boys and girls) are available in the basement, and on the first and third floors. Accessible staff bathrooms (male and female) are available on the first through third floors.</t>
  </si>
  <si>
    <t>Boys Bathroom – Basement, First, and Third Floors</t>
  </si>
  <si>
    <t>Girls Bathroom – Basement, First, and Third Floors</t>
  </si>
  <si>
    <t>Staff Bathrooms – First, Second, and Third Floors</t>
  </si>
  <si>
    <t>342, Girls Gym, C36.</t>
  </si>
  <si>
    <t>Fire Alarm System includes a strobe light feature. Fire holding rooms have been designated: Holding rooms include, intercom system and landline phone.</t>
  </si>
  <si>
    <t>85 St Josephs Avenue, Staten Island, NY 10302</t>
  </si>
  <si>
    <t>The nearest accessible subway station is Saint George Station (SIRR train), 4.3 miles distant; MTA bus service (S46 and S96) is also nearby. The main entrance is accessible and is located on Saint Joseph’s Avenue. The accessible entrance includes a doorbell and security cameras.</t>
  </si>
  <si>
    <t>Two passenger elevators provide service to all floors. Elevators provide audible signals on all floors. One lift remediates a change in elevation on the ground floor to the D wing. Another lift provides access over changes in elevation to the library (A wing, fourth floor).</t>
  </si>
  <si>
    <t>E1 and E2: Doors: 45 inches, Cabs: 57.5 inches deep, 81 inches wide.</t>
  </si>
  <si>
    <t>Two interior ramps lack handrails.</t>
  </si>
  <si>
    <t>Art Room – Room B348</t>
  </si>
  <si>
    <t>Computer Rooms – Rooms B323, B327, B333, B337, and B352</t>
  </si>
  <si>
    <t>Library – Room B403</t>
  </si>
  <si>
    <t>Main Office – Room A119</t>
  </si>
  <si>
    <t>Nurse’s Office – Room B232</t>
  </si>
  <si>
    <t>Science Lab – Rooms B415, B432, and B437</t>
  </si>
  <si>
    <t>The auditorium is accessible and is located on the second floor. Stage access is provided via lift. Accessible seating is provided. The cafeteria is accessible and is located on the first floor. The gymnasiums are accessible and are located on the second and fourth floors. Assistive listening systems have not been provided in the public assembly spaces.</t>
  </si>
  <si>
    <t>Accessible seating is provided. Stage access provided via lift.</t>
  </si>
  <si>
    <t>Gymnasium – Second and Fourth Floors</t>
  </si>
  <si>
    <t>This site is prevented from attaining a higher rating due to a lack of accessible bathrooms throughout the building. There is an accessible staff (female) bathroom available on the fourth floor.</t>
  </si>
  <si>
    <t>Girls Bathroom – Second and Third Floors</t>
  </si>
  <si>
    <t>Staff Bathroom – First, and Second Floors (Male and Female)</t>
  </si>
  <si>
    <t>Staff Bathrooms – Fourth Floor (Female)</t>
  </si>
  <si>
    <t>Fire alarm system includes a strobe light feature. Holding rooms have not been specifically designated.</t>
  </si>
  <si>
    <t>The site does not include HVAC/Climate control; A/C units are provided in classrooms.</t>
  </si>
  <si>
    <t>105 Hamilton Avenue, Staten Island, NY 10301</t>
  </si>
  <si>
    <t>The nearest accessible subway station is at Saint George Station (SIR train), 0.46 miles distant. MTA bus service (S42, and S52) is also nearby. The accessible entrance to R450 is not the same as the main entrance; the accessible entrance is adjacent to the main entrance located on Hamilton Avenue. The accessible entrance includes a ramp and security cameras. The accessible entrance does not include a doorbell; visitors should call in advance to gain access.</t>
  </si>
  <si>
    <t>Minor concrete degradation at ramp surface. Ramp at Exit 24 needs is under construction at time of survey.</t>
  </si>
  <si>
    <t>Several changes in elevation prevent access to some classrooms and shared spaces. Hallway doors in older portions of the building are heavy, which may be difficult for some users to navigate. Some water fountains and other wall-mounted objects protrude into the corridors more than 4 inches, which may present difficulties for individuals with visual disabilities. Braille signage is provided throughout the 2017 addition but is inconsistent and needs replacement in earlier portions of the building.</t>
  </si>
  <si>
    <t>Four passenger elevators and one freight elevator provide access to all floors. Elevators provide audible signals on all floors.</t>
  </si>
  <si>
    <t>E1; Door: 48 Inches, Cab: 76 Inches wide, 52 Inches deep E2; Door: 46 Inches, Cab: 78 Inches wide, 64 Inches deep E3; Door: 46 Inches, Cab: 78 Inches wide, 64 Inches deep E4; Door: 48 Inches The 2017 addition elevators were out of order at the time of the most recent survey.</t>
  </si>
  <si>
    <t>This site is moderately accessible; most classrooms are accessible and are located along accessible routes. This site is composed of several conjoined building additions ranging in age from 1901 to 2017. The 2017 addition is fully accessible, while other structures provide varied accessibility.</t>
  </si>
  <si>
    <t>Art Room – Rooms 310 and 410</t>
  </si>
  <si>
    <t>Classrooms – First Floor (Older Additions), All Floors (2017 addition )</t>
  </si>
  <si>
    <t>Classrooms – Rooms 401 through 408, and 301 through 305</t>
  </si>
  <si>
    <t>Not on an accessible route, due to changes of elevation in the corridor.</t>
  </si>
  <si>
    <t>Computer Rooms – Rooms 322, 331, 422, 430, and 431</t>
  </si>
  <si>
    <t>Computer Rooms - Room 188 (2017 addition)</t>
  </si>
  <si>
    <t>Main Office – Room 125</t>
  </si>
  <si>
    <t>Nurse’s Office – Room 116 (Medical Suite)</t>
  </si>
  <si>
    <t>Science Lab – Rooms B4, 205, and 206</t>
  </si>
  <si>
    <t>The auditorium is accessible and is located on the first floor. Accessible seating is not provided. Stage access is not provided. The cafeteria spaces are not accessible due to a change in elevation and are located on the first floor. The 2017 addition gymnasium is accessible and is located on the first floor. The older gymnasiums are not accessible and are located in the basement and on the second floor of the older structures. The pool is accessible to spectators but not to participants, and is located on the first floor. Assistive listening systems have been provided in the cafeteria and the 2017 addition gymnasium.</t>
  </si>
  <si>
    <t>Cafeteria – First Floor (Students and Staff)</t>
  </si>
  <si>
    <t>Not on an accessible route. Assistive listening systems have been provided in the student cafeteria</t>
  </si>
  <si>
    <t>Gymnasium A – First Floor (2017 addition)</t>
  </si>
  <si>
    <t>Assistive listening systems have been provided in room B02.</t>
  </si>
  <si>
    <t>Gymnasium – Basement (Gymnasium 2), and Second Floor (Gymnasium 1)</t>
  </si>
  <si>
    <t>Not on an accessible route. Assistive listening systems have been provided in Gym 1.</t>
  </si>
  <si>
    <t>Accessible to spectators but not to participants.</t>
  </si>
  <si>
    <t>There are accessible student bathrooms (boys and girls) available in the basement, and on the first through third floors. There are accessible staff bathrooms (female) available on the second floor. There are accessible single-user (unisex) bathrooms (for student and staff use) available in the basement, and on the first and second floors.</t>
  </si>
  <si>
    <t>Boys Bathrooms – Rooms 117, 254, and 417</t>
  </si>
  <si>
    <t>Not on an accessible route. Interior partitions do not provide clear floor space.</t>
  </si>
  <si>
    <t>Girls Bathrooms – Rooms B08, B38, 108/108A, 192, 238, 292, and 338</t>
  </si>
  <si>
    <t>Staff Bathroom (Female) – Room 238</t>
  </si>
  <si>
    <t>Staff Bathrooms – Rooms 126, 252, 326, 350, and 438</t>
  </si>
  <si>
    <t>Single-User (Unisex) Bathrooms – Rooms B03, 155, 160, 182, and 282</t>
  </si>
  <si>
    <t>Single-User (Unisex) Bathrooms – Rooms 215A, 317, 326, and 438</t>
  </si>
  <si>
    <t>Fire alarm system includes a strobe light feature. Holding rooms have been specifically designated as rooms B35, 187, 287, 241, and 341.</t>
  </si>
  <si>
    <t>The site includes central air in the 2017 addition, but not in the earlier additions. Temperature control units have been provided in the 2017 addition classrooms. Air conditioning units have been provided in the classrooms of older structures.</t>
  </si>
  <si>
    <t>105B Hamilton Avenue, Staten Island, NY 10301</t>
  </si>
  <si>
    <t>The nearest accessible subway station is at Saint George Station (SIR train), 0.46 miles distant. MTA bus service (S42, and S52) is also nearby. Building R453 is the secondary location for primary building R450 and is accessed via building R450. The accessible entrance to R450 is not the same as the main entrance; the accessible entrance is adjacent to the main entrance located on Hamilton Avenue. The accessible entrance includes a ramp and security cameras. The accessible entrance does not include a doorbell; visitors should call in advance to gain access.</t>
  </si>
  <si>
    <t>Building R453 is physically connected to the main building R450. Braille signs are included throughout building R453 but are missing throughout the original building.</t>
  </si>
  <si>
    <t>2 passenger elevators provide access to all floors. Elevators provide audible signals on all floors.</t>
  </si>
  <si>
    <t>E1 and E2: Doors: 46 inches, Cabs: 78 inches wide, 64 inches deep.</t>
  </si>
  <si>
    <t>This site is highly accessible; all classrooms are accessible and are located along accessible routes. Other structures provide varied accessibility.</t>
  </si>
  <si>
    <t>Located in building R450.</t>
  </si>
  <si>
    <t>Computer Rooms - Room 188</t>
  </si>
  <si>
    <t>This building does not include an auditorium, cafeteria, or a pool; these spaces are located in primary building R450. The gymnasium is accessible and is located on the first floor. Assistive listening systems have been provided in the gymnasium.</t>
  </si>
  <si>
    <t>Located in primary building R450.</t>
  </si>
  <si>
    <t>Gymnasium A – First Floor</t>
  </si>
  <si>
    <t>Single-User (Unisex) Bathrooms – Rooms B03, 182, and 282</t>
  </si>
  <si>
    <t>Fire alarm system includes a strobe light feature. Holding rooms have been specifically designated as rooms 187 and 287.</t>
  </si>
  <si>
    <t>100 Luten Avenue, Staten Island, NY 10312</t>
  </si>
  <si>
    <t xml:space="preserve">The nearest accessible subway station is the Great Kills Station (SIRR train), 2.90 miles distant. MTA bus service (S55, S56, S59, S78, and X23) is also nearby. The accessible entrance to R455 is not the same as the main entrance; the accessible entrance is located at the rear of the building, adjacent to the parking lot. The accessible entrance does not include a doorbell, reception, and security cameras. Visitors may need to contact site in advance to gain access to this facility through the accessible entrance.  </t>
  </si>
  <si>
    <t>Hallway doors are heavy and may present difficulty for some. Braille signage is provided throughout the building.</t>
  </si>
  <si>
    <t>One passenger elevator provides service to all floors in the building. Elevator provides audible signals on all floors.</t>
  </si>
  <si>
    <t>Door: 48 inches, Cab: 91.5 inches deep, 95 inches wide</t>
  </si>
  <si>
    <t>Rooms E226, D305, D307, D313, and D318</t>
  </si>
  <si>
    <t>Rooms A224, B213, D203, D235, D236/238, A324, B301, B313, and C313</t>
  </si>
  <si>
    <t>Room D205</t>
  </si>
  <si>
    <t>Room A124</t>
  </si>
  <si>
    <t>Room A022</t>
  </si>
  <si>
    <t>Rooms A213, A219, A313, A321, and A325; Alt Use: E228, and E234</t>
  </si>
  <si>
    <t>The auditorium is accessible and is located on the first floor. Stage access is not provided. Accessible seating is not provided. The cafeterias are accessible and are located in the basement. The gymnasiums are accessible and are located in the basement. Assistive listening systems have not been provided in the public assembly spaces.</t>
  </si>
  <si>
    <t>Basement (Students A, Students B, and Staff Cafeteria)</t>
  </si>
  <si>
    <t xml:space="preserve">Food service line does not provide clear path. Accessible seating is available on request. </t>
  </si>
  <si>
    <t>Basement (Gymnasia A, B, C, and D)</t>
  </si>
  <si>
    <t xml:space="preserve">Main doors provide openings less than 32 inches: Users can use alternate entrance and enter the gymnasium through the locker room doors which provides clear opening of 33 inches. </t>
  </si>
  <si>
    <t xml:space="preserve">There are accessible student bathrooms (boys) available on the first floor and the third floor. There are accessible student bathrooms (girls) available on the third floor. There are accessible staff bathrooms (male and female) available on the first floor.  </t>
  </si>
  <si>
    <t xml:space="preserve">Fire alarm system includes a strobe light feature. Holding rooms have been specifically designated as rooms C212 and C312. </t>
  </si>
  <si>
    <t>1200 Manor Road, Staten Island, NY 10314</t>
  </si>
  <si>
    <t>The nearest accessible subway station is at Dongan Hills Station (SIRR train), 2.3 miles distant; MTA bus service (S54, S57, S61, and S91) is also nearby. The main entrance is accessible and is located on Brielle Avenue. The accessible entrance includes a ramp and reception. The accessible entrance does not include a doorbell or security cameras.</t>
  </si>
  <si>
    <t>Braille signage is provided throughout the building. Building R462 is an annex connected to building R460.</t>
  </si>
  <si>
    <t>A few interior changes in elevation that may present difficulties for some.</t>
  </si>
  <si>
    <t>(E1) Accessible Door: (E2) Door:</t>
  </si>
  <si>
    <t>44 inches, Cab: 60 inches wide, 90 inches deep; 48 inches, Cab: 69 inches wide, 96.5 inches deep.</t>
  </si>
  <si>
    <t>Noncompliant handrails at basement corridor ramp.</t>
  </si>
  <si>
    <t>Art Room – Rooms 285, 286 and 287</t>
  </si>
  <si>
    <t>Arts Addition - Connected to main building</t>
  </si>
  <si>
    <t>Computer Rooms – Rooms 155A, 155B, 157B, 162, 163, 164 and 355</t>
  </si>
  <si>
    <t>Library – Room 290</t>
  </si>
  <si>
    <t>Main Office – Room A109</t>
  </si>
  <si>
    <t>Nurse’s Office – Room 173</t>
  </si>
  <si>
    <t>Science Lab – Rooms 352, 358, 452 and 458</t>
  </si>
  <si>
    <t>The auditorium is accessible and is located on the first floor. Accessible seating is not provided. Stage access via lift. The cafeteria spaces are accessible and are located on the first floor. The gymnasiums are accessible and are located on the first floor. Assistive listening systems have been provided in the auditorium.</t>
  </si>
  <si>
    <t>Accessible seating is not provided. Stage access is provided via lift. Assistive listening systems have been provided.</t>
  </si>
  <si>
    <t>Food service line does not provide clear path. Accessible seating available upon request.</t>
  </si>
  <si>
    <t>Fire alarm system has been upgraded and includes a strobe light feature. Holding rooms have been specifically designated as rooms A257, A356 and A456.</t>
  </si>
  <si>
    <t>1220 Manor Road, Staten Island, NY 10314</t>
  </si>
  <si>
    <t xml:space="preserve">The nearest accessible subway station is at Dongan Hills Station (SIRR train), 2.3 miles distant; MTA bus service (S54, S57, S61, and S91) is also nearby. Building R462 is an annex connected to building R460. The main entrance to both buildings is accessible and is located on Brielle Avenue. The accessible entrance includes a ramp and reception. The accessible entrance does not include a doorbell or security cameras; visitors should contact the site prior to arrival. </t>
  </si>
  <si>
    <t xml:space="preserve">Braille signage is provided throughout the building.  </t>
  </si>
  <si>
    <t xml:space="preserve">A few interior changes in elevation that may present difficulties for some.   </t>
  </si>
  <si>
    <t xml:space="preserve">Two passenger elevators provide service to all floors. Elevators provide audible signals on all floors. </t>
  </si>
  <si>
    <t xml:space="preserve">(E1)  
Door: 44 Inches, Cab: 60 Inches wide, 90 Inches deep;  
(E2)  
Door: 48 Inches, Cab: 69 Inches wide, 96.5 Inches deep. </t>
  </si>
  <si>
    <t xml:space="preserve">Noncompliant handrails at basement corridor ramp. </t>
  </si>
  <si>
    <t>Rooms 285, 286, and 287</t>
  </si>
  <si>
    <t xml:space="preserve">Arts Addition - Connected to main building </t>
  </si>
  <si>
    <t>Rooms 155A, 155B, 157B, 162, 163, 164, and 355</t>
  </si>
  <si>
    <t>Room 173</t>
  </si>
  <si>
    <t>Rooms 352, 358, 452, and 458</t>
  </si>
  <si>
    <t xml:space="preserve">The auditorium is accessible and is located on the first floor. Accessible seating in in the auditorium is not provided. The auditorium provides stage access via lift. The cafeteria spaces are accessible and are located on the first floor. The gymnasiums are accessible and are located on the first floor. The boys’ and girls’ locker rooms not accessible due to change in elevation (18 steps with a landing) from the gym area. Assistive listening systems have been provided in the auditorium. </t>
  </si>
  <si>
    <t xml:space="preserve">Accessible seating is not provided. Stage access is provided via lift. Assistive listening systems have been provided. </t>
  </si>
  <si>
    <t xml:space="preserve">Food service line does not provide clear path. Accessible seating available upon request. </t>
  </si>
  <si>
    <t xml:space="preserve">The boys’ and girls’ locker rooms not accessible due to change in elevation (18 steps with a landing) from the gym area. </t>
  </si>
  <si>
    <t xml:space="preserve">Fire alarm system has been upgraded and includes a strobe light feature.  Holding rooms have been specifically designated as rooms A257, A356, and A456. </t>
  </si>
  <si>
    <t>101 Belmont Place, Staten Island, NY 10301</t>
  </si>
  <si>
    <t>The nearest accessible subway station is at Saint George Station (SIRR train), 0.4 miles distant. MTA bus service (S42 and S52) is also nearby. The main entrance to R600 is accessible, located on Belmont Place (Exit 1). The accessible entrance includes a doorbell and security cameras. The doorbell is within reach range (Height 48 inches).</t>
  </si>
  <si>
    <t>Braille signs have been provided throughout the building. Some hallway doors are heavy and without closers, which may be difficult for some users to navigate.</t>
  </si>
  <si>
    <t>Change in elevation (10 steps) on third floor prevents access to some classrooms.</t>
  </si>
  <si>
    <t>One passenger elevator and one freight elevator provide service to all floors in the building. Elevators provide audible signals. A lift remediates a change in elevation on the third floor.</t>
  </si>
  <si>
    <t>Remediates a change in elevation on the third floor.</t>
  </si>
  <si>
    <t>(E1) Door: 40 inches, Cab: 79 inches wide, 55 inches deep. Freight Door: 44 inches, Cab: 79 inches wide, 86 inches deep.</t>
  </si>
  <si>
    <t>Art Room – Room 101</t>
  </si>
  <si>
    <t>Computer Rooms – Rooms 209, 211, 227, 302, 324, 409 and 424A</t>
  </si>
  <si>
    <t>Nurse’s Office – Room 406</t>
  </si>
  <si>
    <t>Science Lab – Rooms 103 and 203</t>
  </si>
  <si>
    <t>The auditorium is accessible and is located on the first floor. Accessible seating is provided. Stage access is provided. The cafeteria is accessible and is located on the fourth floor. The gymnasium is accessible and is located on the third floor. Assistive listening systems have not been provided in the public assembly areas.</t>
  </si>
  <si>
    <t>Accessible seating is provided. Stage access is</t>
  </si>
  <si>
    <t>Accessible via lift in the corridor.</t>
  </si>
  <si>
    <t>There are accessible student bathrooms (boys and girls) available on the first, second, and forth floors. There are accessible staff bathrooms (male and female) available on the third floor.</t>
  </si>
  <si>
    <t>Staff Bathrooms – Fifth Floor</t>
  </si>
  <si>
    <t>Fire alarm system includes a strobe light feature. Fire holding rooms have been designate as rooms 227, 327, and</t>
  </si>
  <si>
    <t>155 Tompkins Avenue, Staten Island, NY 10304</t>
  </si>
  <si>
    <t xml:space="preserve">The nearest accessible subway station is at Saint George Station (SIRR train), 1.8 miles distant; MTA bus service (S52, S78, S76, and S86) is also nearby. The main entrance to R722 is accessible, located on Tompkins Avenue. </t>
  </si>
  <si>
    <t>Consistent Braille signage is lacking throughout the building.</t>
  </si>
  <si>
    <t>Doors: 54 Inches, Cabs: 90 Inches wide, 125 Inches deep.</t>
  </si>
  <si>
    <t>This site does not include an auditorium or a gymnasium; the multi-purpose room fulfills these functions. The multi-purpose room is accessible and is located in the basement. The cafeteria is accessible and is located in the basement. Assistive listening systems have been provided in the multi-purpose room.</t>
  </si>
  <si>
    <t>Accessible student bathrooms (boys’ and girls’) are available on the first, second, and third floors. Accessible staff bathrooms (male and female) are available on the first floor.</t>
  </si>
  <si>
    <t>Clear opening is less than 32 Inches.</t>
  </si>
  <si>
    <t>Fire Alarm System includes a strobe light feature. Fire holding rooms have been designated: 229, 329; holding rooms are equipped with intercoms and landlines, and fire extinguishers.</t>
  </si>
  <si>
    <t>6581 Hylan Boulevard, Staten Island, NY 10309</t>
  </si>
  <si>
    <t xml:space="preserve">The nearest accessible subway station is the Arthur Kill Station (SIR train), 1.06 miles distant. MTA bus service (S59 and S78) is also nearby. Building R825 does not include an accessible entrance. This site does include a temporary metal ramp at an entrance located on the rear access road off Cunningham Avenue. The ramp is not accessible. The ramped entrance does not include a doorbell, security cameras, or reception. </t>
  </si>
  <si>
    <t xml:space="preserve">Temporary metal ramp at back of building is non-compliant and shows signs of extensive wear and degeneration. </t>
  </si>
  <si>
    <t xml:space="preserve">Changes in elevation. </t>
  </si>
  <si>
    <t xml:space="preserve">Non-compliant hardware. Clear width prevents access. </t>
  </si>
  <si>
    <t xml:space="preserve">Clear width prevents access. </t>
  </si>
  <si>
    <t xml:space="preserve">This site does not include an elevator, preventing access to the basement. </t>
  </si>
  <si>
    <t xml:space="preserve">This site is not accessible; all classrooms are not located along accessible routes. </t>
  </si>
  <si>
    <t xml:space="preserve">This site does not include an auditorium; the gymnasium fulfills this function. The gymnasium is not accessible and is located on the first floor. Stage access is provided via lift. Accessible seating is provided. The cafeteria is not accessible and is located in the cellar. Assistive listening systems have not been provided in the public assembly spaces. </t>
  </si>
  <si>
    <t xml:space="preserve">No vertical access from first floor. Changes in elevation prevent access from outside. Accessible seating available upon request. </t>
  </si>
  <si>
    <t xml:space="preserve">Entry doors do not provide clear width. Stage access is provided via lift. Accessible seating is provided. </t>
  </si>
  <si>
    <t xml:space="preserve">There are no accessible bathrooms available in the building. </t>
  </si>
  <si>
    <t>Gymnasium Stage Left and Stage Right, Rooms B17, 113, and 142</t>
  </si>
  <si>
    <t xml:space="preserve">Not on an accessible route. Clear opening does not provide access. Interior partitions prevent access in rooms B17 and Gymnasium bathrooms. Interior dimensions prevent access in room 142. </t>
  </si>
  <si>
    <t>Rooms B15 and B138</t>
  </si>
  <si>
    <t xml:space="preserve">Not on an accessible route. Clear opening does not provide access. Interior partitions prevent access in rooms B15.  </t>
  </si>
  <si>
    <t>Rooms 100A and 105A</t>
  </si>
  <si>
    <t xml:space="preserve">Not on an accessible route. Room dimensions prevent access. </t>
  </si>
  <si>
    <t>The nearest accessible subway station is Arthur Kill Station (SIR trains), 1.26 miles distant. MTA bus service (S59 and S78) is also nearby. The accessible entrance to R826 is not the same as the main entrance; the accessible entrance is located at the rear of the building (Exit 2) and is accessed via a parking lot from Kenny Road.  The accessible entrance includes a doorbell. The accessible entrance does not include reception or security cameras. The doorbell is not within reach range (height 60 inches).</t>
  </si>
  <si>
    <t>This site occupies a single-story structure and does not include an elevator. Lack of elevator does not prevent access.</t>
  </si>
  <si>
    <t>This site does not include an auditorium or a gymnasium; the cafeteria fulfills these functions. The cafeteria is accessible and is located on the first floor. Assistive listening systems have not been provided in the public assembly spaces.</t>
  </si>
  <si>
    <t xml:space="preserve">There are accessible single-user (unisex) bathrooms (for student and staff use) available on the first floor.  </t>
  </si>
  <si>
    <t>Room C</t>
  </si>
  <si>
    <t>Located next to Room 8.</t>
  </si>
  <si>
    <t>Room D</t>
  </si>
  <si>
    <t>Located across from Room 8.</t>
  </si>
  <si>
    <t>Rooms A and B</t>
  </si>
  <si>
    <t>98 Grant Street, Staten Island, NY 10301</t>
  </si>
  <si>
    <t xml:space="preserve">The nearest accessible subway station is the Saint George Station (SIR trains), 1.00 miles distant. MTA bus service (S78 and S74) is also nearby. The main entrance of R829 is accessible, located on St Paul’s Avenue. The accessible entrance includes a doorbell, reception, and security cameras. The doorbell is not within reach range (height 57 inches). </t>
  </si>
  <si>
    <t>Doors: 45 inches, Cabs: 78 inches wide, 51 inches deep.</t>
  </si>
  <si>
    <t xml:space="preserve">This site does not include an auditorium. The cafeteria is accessible and is located in the basement. The gymnasium is accessible and is located on the third floor. Assistive listening systems have not been provided in the public assembly spaces. </t>
  </si>
  <si>
    <t xml:space="preserve">Fire alarm system has been upgraded and includes a strobe light feature. Holding rooms have been specifically designated as rooms 217 and 317. </t>
  </si>
  <si>
    <t>15 Fairfield Street, Staten Island, NY 10308</t>
  </si>
  <si>
    <t>The nearest accessible subway station is the Great Kills Station (R train), 1.1 miles distant. MTA bus service (S54, S74, and SIM15) is also nearby. Building 840 is a primary building for this District 75 program and includes an adjacent secondary location, building B089. The main entrance of R840 is accessible, located on Fairfield Street (Exit 1). The accessible entrance includes reception. The accessible entrance does not include a doorbell or security cameras.</t>
  </si>
  <si>
    <t>Art Rooms – Room 110</t>
  </si>
  <si>
    <t>Nurse’s Office – Rooms 137 and 146</t>
  </si>
  <si>
    <t>This site does not include an auditorium; the gymnasium fulfills this function. The gymnasium is accessible and is located on the first floor. Stage access is not provided. Accessible seating is provided. The cafeteria is accessible and is located on the first floor. Assistive listening systems have been provided in the cafeteria and gymnasium.</t>
  </si>
  <si>
    <t>Stage access is not provided. Accessible seating is provided. Accessible recreational equipment located inside. Assistive listening systems have been provided.</t>
  </si>
  <si>
    <t>This site occupies a single-floor structure. There are accessible student bathrooms (boys and girls) available on the first floor. This building is prevented from attaining a higher accessibility rating due to lack of accessible bathrooms throughout the building.</t>
  </si>
  <si>
    <t>Boys Bathrooms – Room 122</t>
  </si>
  <si>
    <t>Staff Bathrooms – Rooms 155, 156, and 174</t>
  </si>
  <si>
    <t>110 Shafter Avenue, Staten Island, NY 10308</t>
  </si>
  <si>
    <t>The nearest accessible subway station is Great Kills Station (SIR trains), 0.5 miles distant. MTA bus service (S54, SIM5, and SIM6) is also nearby. Building R843 is the secondary location for building R840. The main entrance of building R843 is accessible, located on Shafter Avenue. The accessible entrance includes a ramp, a doorbell, security cameras, and reception. The doorbell is not within reach range (height 59 inches).</t>
  </si>
  <si>
    <t>This site is highly accessible; all classrooms are accessible and located on an accessible route.</t>
  </si>
  <si>
    <t>Room CR 8</t>
  </si>
  <si>
    <t>This site does not include an auditorium; the cafeteria fulfills this function. The cafeteria is accessible and is located on the first floor. The gymnasium is accessible and is located on the first floor. Assistive listening systems have not been provided in the public assembly areas.</t>
  </si>
  <si>
    <t xml:space="preserve">There are accessible student bathrooms (boys and girls) available on the first floor. There are accessible single-user (unisex) bathrooms (for student and staff use) available on the first floor. </t>
  </si>
  <si>
    <t>Room Next To Exit 1, Room in Lobby</t>
  </si>
  <si>
    <t>Room Across from Cafeteria, Room Across from Office</t>
  </si>
  <si>
    <t>200 Jefferson Blvd, Staten Island, NY 10312</t>
  </si>
  <si>
    <t>The nearest accessible subway station is Great Kills Station (SIR trains), 2.2 miles distant. MTA bus service (S55, and S56) is also nearby. The accessible entrance to R844 is not the same as the main entrance; the accessible entrance is located off of Ionia Street (Exit 4) through the play yard. Building R844 is the secondary location for primary building R036. The accessible entrance does not include a doorbell, security cameras or reception. Visitors may need to contact site in advance to gain access to this facility through the accessible entrance.</t>
  </si>
  <si>
    <t>Art Rooms – Third Floor</t>
  </si>
  <si>
    <t>This site does not include an auditorium or a gymnasium; the multi-purpose room fulfills these functions. The multi- purpose room is accessible and is located on the first floor. Stage access is not provided. Accessible seating is provided. The cafeteria is accessible and is located on the first floor. Assistive listening systems have not been provided in the public assembly spaces.</t>
  </si>
  <si>
    <t>Boys Bathroom – Room 113</t>
  </si>
  <si>
    <t>Girls Bathroom – Room 111</t>
  </si>
  <si>
    <t>280 Regis Drive, Staten Island, NY 10314</t>
  </si>
  <si>
    <t>The nearest accessible subway station is the Dongan Hills Station (SIR trains), 4.20 miles distant. MTA bus service (S46, S96, and SIM8) is also nearby. The main entrance of R861 is accessible, located on Regis Avenue (Exit 2). The accessible entrance includes a doorbell, security cameras, and reception. The doorbell is within reach range (height 47 inches).</t>
  </si>
  <si>
    <t>Braille signs are included throughout the building but are missing at the public assembly spaces.</t>
  </si>
  <si>
    <t>E1 and E2 Doors: 48 inches, Cabs: 78 inches wide, 61 inches deep.</t>
  </si>
  <si>
    <t>Art Rooms – Rooms 301 and 303</t>
  </si>
  <si>
    <t>Library - Room 110</t>
  </si>
  <si>
    <t>Main Office - Room 113</t>
  </si>
  <si>
    <t>Nurse’s Office - Rooms 109 and 206</t>
  </si>
  <si>
    <t>Science Lab – Rooms 307 and 430</t>
  </si>
  <si>
    <t>The auditorium is accessible and is located on the first floor. Stage access is provided via ramp. Accessible seating is provided. The cafeteria is accessible and is located on the first floor. The gymnasium is accessible and is located on the second floor. Assistive listening systems have been provided in the auditorium, cafeteria, and gymnasium.</t>
  </si>
  <si>
    <t>Boys Bathrooms – Rooms 130, 220, 316, and 416</t>
  </si>
  <si>
    <t>Girls Bathrooms – Rooms 128, 224, 320, and 420</t>
  </si>
  <si>
    <t>Single-User (Unisex) Bathrooms – Rooms 132, 134, 222, 318, and 418</t>
  </si>
  <si>
    <t>715 Ocean Terrace, Staten Island, NY 10301</t>
  </si>
  <si>
    <t>The nearest accessible subway station is Dongan Hills Station, 2.5 miles distant; MTA bus service (S53 and S93) is also nearby. The main entrance of R880 is accessible and accessed through main entry quad (Exit B1). Several of the buildings are connected through exterior walkways; most are covered but some are not. Walkways have large gaps in the surface in some places. The accessible entrance includes a doorbell, security cameras, and reception. The doorbell is within reach range (height 43 inches).</t>
  </si>
  <si>
    <t>Some water fountains and other wall-mounted objects protrude into the corridors more than 4 inches, which may present difficulties for individuals with visual disabilities. Braille signs are not consistently provided throughout all 3 buildings.</t>
  </si>
  <si>
    <t>E1: Doors: 41 inches, Cabs: 60 inches wide, 71 inches deep. E2: Elevator was being serviced at time of visit. E3 (Freight): Doors: 74 inches, Cabs: 110 inches wide, 78 inches deep.</t>
  </si>
  <si>
    <t>First floor corridor to auditorium.</t>
  </si>
  <si>
    <t>Art Room – Room C133</t>
  </si>
  <si>
    <t>Computer Rooms – Rooms A309, A310, C130, and C132</t>
  </si>
  <si>
    <t>Library – Room B157</t>
  </si>
  <si>
    <t>Main Office – Room B113</t>
  </si>
  <si>
    <t>Nurse’s Office – Room B145</t>
  </si>
  <si>
    <t>Science Lab – Rooms B303, B307, and B324</t>
  </si>
  <si>
    <t>The auditorium is accessible and is located on the first floor of Building C. The auditorium provides stage access via a ramp. Accessible seating is not provided. The cafeteria is accessible and is located on the first floor of Building E. The gymnasium is accessible and is located on the first floor of Building D. Assistive listening systems have been provided in the cafeteria.</t>
  </si>
  <si>
    <t>Auditorium – First Floor, Building C</t>
  </si>
  <si>
    <t>Accessible seating is provided. Stage access is provided via corridor or ramp. Orchestra pit access not provided.</t>
  </si>
  <si>
    <t>Cafeteria – First Floor, Building E</t>
  </si>
  <si>
    <t>Gymnasium – First Floor, Building D</t>
  </si>
  <si>
    <t>Includes accessible weight room.</t>
  </si>
  <si>
    <t>There are accessible student bathrooms (boys and girls) available on the first floor of building D. There are no accessible student bathrooms available in building B, which houses the main educational areas (classrooms).</t>
  </si>
  <si>
    <t>Boys Bathroom – C Building – First</t>
  </si>
  <si>
    <t>Boys Bathroom – B Building - All Floors</t>
  </si>
  <si>
    <t>Girls Bathroom – C Building – First</t>
  </si>
  <si>
    <t>The nearest accessible subway station is Saint George Station (SIRR train), 1.7 miles distant. MTA bus service (S44 and S94) is also nearby. Building R973 is the secondary location for primary building R040. The main entrance of building R973 is accessible, located on Lafayette Avenue (Exit 1). The accessible entrance includes a ramp and security cameras. The accessible entrance does not include a doorbell.</t>
  </si>
  <si>
    <t>Hallways are slightly narrow, which may be difficult for some users to navigate. Braille signs are not included throughout the building.</t>
  </si>
  <si>
    <t>This site is highly accessible; all classrooms are accessible and are located along accessible routes. All specialty classrooms are located in primary building R040.</t>
  </si>
  <si>
    <t>This site does not include an auditorium, a cafeteria, or a gymnasium; the multi-purpose room fulfills these functions. The multi-purpose room is accessible and is located on the first floor. The multi-purpose room does not include a stage. Additional public assembly spaces are located in primary building R040. Assistive listening systems have not been provided in the public assembly spaces.</t>
  </si>
  <si>
    <t xml:space="preserve">There are accessible single-user (Unisex) bathrooms (for staff and student use) available in several first-floor classrooms. </t>
  </si>
  <si>
    <t>Single-User (Unisex) Bathrooms – Rooms 1B, 2B, 3B, 4B, Lounge, 6B, 7B, 8B, and Nurse’s Office</t>
  </si>
  <si>
    <t>Fire alarm system has been updated and includes strobe light feature. Holding rooms or areas of refuge have been not been specifically designated.</t>
  </si>
  <si>
    <t>2100 Lafontaine Avenue, Bronx, NY 10457</t>
  </si>
  <si>
    <t>The nearest accessible subway station is Fordham Road Station (4 train), 1.3 miles distant. MTA bus service (Bx36 and Bx15) is also nearby. The main entrance is accessible, located on Lafontaine Avenue (Exit 1). The accessible entrance includes a doorbell, reception, and security cameras.</t>
  </si>
  <si>
    <t>Doors: 41 inches, Cab: 65 inches wide, 60 inches deep.</t>
  </si>
  <si>
    <t>Computer Rooms – Room 311</t>
  </si>
  <si>
    <t>Library – Room 412</t>
  </si>
  <si>
    <t>Nurse’s Office- Room 210</t>
  </si>
  <si>
    <t>Science Lab – Room 212</t>
  </si>
  <si>
    <t>The auditorium is accessible and is located on the second floor. Stage access is provided via lift. Accessible seating is provided. The cafeteria is accessible and is located on the first floor. The gymnasium is accessible and is located on the first floor. Assistive listening systems have not been provided in the public assembly spaces.</t>
  </si>
  <si>
    <t>Boys Bathrooms – Rooms 420, 304, 204, and 137</t>
  </si>
  <si>
    <t>Girls Bathrooms – Rooms 404, 320, 220, and 136</t>
  </si>
  <si>
    <t>Single-User (Unisex) Bathrooms – Rooms 415, 417, 313, 315, 113, and 115</t>
  </si>
  <si>
    <t>230 East 183 Street, Bronx, NY 10458</t>
  </si>
  <si>
    <t>The nearest accessible subway station is Fordham Road Station (4 train), 0.6 miles distant. MTA bus service (Bx1 and Bx2) is also nearby. The accessible entrance to X009 is not the same as the main entrance; the accessible entrance is located on Valentine Avenue (Exit 3A). The accessible entrance includes a doorbell and security cameras.</t>
  </si>
  <si>
    <t>Doors: 48 inches, Cab: 68 inches wide, 76 inches deep.</t>
  </si>
  <si>
    <t>Art Rooms – Room 129</t>
  </si>
  <si>
    <t>Computer Rooms – Room 429</t>
  </si>
  <si>
    <t>Nurse’s Office- Room 121</t>
  </si>
  <si>
    <t>The auditorium is accessible and is located on the first floor. Stage access is provided via lift. Accessible seating is provided. The cafeteria is accessible and is located in the basement. The gymnasium is accessible and is located on the third floor. The multi-purpose room is accessible and is located on the first floor. Assistive listening systems have been provided in the auditorium and cafeteria.</t>
  </si>
  <si>
    <t>There are accessible student bathrooms (boys) available in the basement, and on the first, third, and fourth floors. There are accessible student bathrooms (girls) available on all floors. There are accessible single-user (unisex) bathrooms (for student and staff use) available on all floors.</t>
  </si>
  <si>
    <t>Boys Bathrooms – Rooms 010, 114, 314, and 414</t>
  </si>
  <si>
    <t>Girls Bathrooms – Rooms 008, 120, 218, 320, and 420</t>
  </si>
  <si>
    <t>Single-User (Unisex) Bathrooms – Rooms 012, 118, 206A, 318, 418, 430B, and 431A</t>
  </si>
  <si>
    <t>Fire alarm system has been upgraded and includes a strobe light feature. Holding rooms have been specifically designated as rooms 206, 234, 306, 334, 406, and 434.</t>
  </si>
  <si>
    <t>1257 Ogden Avenue, Bronx, NY 10452</t>
  </si>
  <si>
    <t>The nearest accessible subway station is 161 Yankee Stadium Station (B and D trains), 1.0 miles distant. MTA bus service (Bx11, and Bx13) is also nearby. The accessible entrance to X011 is not the same as the main entrance; the accessible entrance is located on Merriam Avenue (Exit 9). At the accessible entrance there is a doorbell, and security cameras. The doorbell is within reach range (Height 48 inches). Another accessible entrance is located on West 169th Street (Exit 11) and provides access to the second-floor auditorium. No doorbell is installed at the accessible entrance on 169th Street.</t>
  </si>
  <si>
    <t xml:space="preserve">Some water fountains and other wall-mounted objects protrude in to the corridors more than 4 inches, which may present difficulties for individuals with visual disabilities. Changes of elevation prevent access to certain areas of the building. Braille signs are not included throughout the building. </t>
  </si>
  <si>
    <t>No  elevator in the building prevents access to second and third floor classrooms.</t>
  </si>
  <si>
    <t xml:space="preserve">This site is moderately accessible; classrooms located on the first floor are located on accessible routes and are accessible. </t>
  </si>
  <si>
    <t>Two classrooms are accessible and are  located next to cafeteria.</t>
  </si>
  <si>
    <t>The Auditorium is accessible, although in order to access you must enter the school from W 169th street entrance (Exit 13). The auditorium does not provide stage access, although it does provide accessible seating. The Cafeteria is accessible and is located on the first floor. The Gymnasium is located on the third floor and is not accessible due to a change in elevation. The multi-purpose room on the first floor is accessible. Assistive listening systems have not been provided in the public assembly spaces.</t>
  </si>
  <si>
    <t>Second floor</t>
  </si>
  <si>
    <t>Change of elevation</t>
  </si>
  <si>
    <t>3047 Bruckner Boulevard, Bronx, NY 10461</t>
  </si>
  <si>
    <t>The nearest accessible subway station is the Pelham Bay Park Station (6 train), 1.2 miles distant. MTA bus service (Bx5, BxM8, and Q50) is also nearby. The main entrance of X014 is accessible, located on Hollywood Avenue. The accessible entrance includes a ramp, security cameras, and reception. The accessible entrance does not include a doorbell.</t>
  </si>
  <si>
    <t>E1 and E2:
Doors: 41 inches, Cabs: 63 inches wide, 79 inches deep.</t>
  </si>
  <si>
    <t>The auditorium is accessible and is located on the first floor. Stage access is not provided. Accessible seating is not provided. The cafeteria is accessible and is located on the first floor. The gymnasium is accessible and is located on the third floor. Assistive listening systems have not been provided in the public assembly spaces.</t>
  </si>
  <si>
    <t xml:space="preserve">Accessible seating is available on request.  </t>
  </si>
  <si>
    <t>Corridor lift remediates a change in elevation (3 steps) and provides access to the gymnasium.</t>
  </si>
  <si>
    <t>Rooms 328, 228, and 134</t>
  </si>
  <si>
    <t>Rooms 327, 227, and 133</t>
  </si>
  <si>
    <t>Bathroom – 329, 229, and 122</t>
  </si>
  <si>
    <t>Fire alarm system has been upgraded and includes a strobe light feature. Holding rooms or areas of refuge have been specifically designated as rooms 230, 330, and 425.</t>
  </si>
  <si>
    <t>2195 Andrews Avenue, Bronx, NY 10453</t>
  </si>
  <si>
    <t>The nearest accessible subway station is Fordham Road Station (4 train), 0.6 miles distant. MTA bus service (Bx3 and Bx12) is also nearby. The main entrance is accessible, located on Andrews Avenue North (Exit 3). The accessible entrance includes a doorbell, ramp, reception, and security cameras. The doorbell is not within reach range (Height 64 inches).</t>
  </si>
  <si>
    <t>Two elevators provide access to all floors. Elevator one provides access to all floors. Elevator two provides access between the first and second floor. Elevators include audible signals on each floor.</t>
  </si>
  <si>
    <t>E1 and E2 Doors: 42 inches, Cabs: 74 inches wide, 80 inches deep.</t>
  </si>
  <si>
    <t>Computer Rooms – Rooms 308 and 322</t>
  </si>
  <si>
    <t>Library – Room 406</t>
  </si>
  <si>
    <t>Main Office – Rooms 120 (10X015), 214 (10X291), and 238 (75X010)</t>
  </si>
  <si>
    <t>Nurse’s Office – Rooms 148 (75X010) and 219 (10X015 and 10X291)</t>
  </si>
  <si>
    <t>The auditorium is accessible and is located on the second floor. Stage access is provided via lift. Accessible seating is provided. The cafeteria is accessible and is located on the first floor. The gymnasium is accessible and is located on the second floor. Assistive listening systems have not been provided in the public assembly spaces.</t>
  </si>
  <si>
    <t>There are accessible student bathrooms (boys and girls) available on all floors. There are accessible single-user (unisex) bathrooms (for student and staff use) available on the first through third floors. There are accessible single-user (unisex) bathrooms (for student and staff use) available in some classrooms on the first and second floors.</t>
  </si>
  <si>
    <t>Boys Bathrooms – Rooms 112, 245, 331, 301, 401, and 431</t>
  </si>
  <si>
    <t>Girls Bathrooms – Rooms 113, 243, 329, 303, 403, and 429</t>
  </si>
  <si>
    <t>Single-User (Unisex) Bathrooms – Rooms 107, 152, 217, 236, 319, and 313</t>
  </si>
  <si>
    <t>Single-User (Unisex) Bathrooms – Classrooms 102 and 104, 101 and 105, 106 and 108, 126 and 128, 130 and 132, 201, 202, 203, 204, 205, 206, 208, 218, 220, 222, 224, 233, 235, and 237</t>
  </si>
  <si>
    <t>Fire alarm system has been upgraded and includes a strobe light feature. Holding rooms have been specifically designated as rooms 202, 224, 226, 302, 328, 405, and 427.</t>
  </si>
  <si>
    <t>311 East 237 Street, Bronx, NY 10470</t>
  </si>
  <si>
    <t xml:space="preserve">The nearest accessible subway station is the 233rd Street Station (2 and 5 trains), 0.80 miles distant. MTA bus service (Bx31 and Bx34) is also nearby. The main entrance is accessible, located on 237th Street (Exit #8). The accessible entrance includes a doorbell, reception, and security cameras. The doorbell is within reach range (height 47 inches). </t>
  </si>
  <si>
    <t xml:space="preserve">E1 and E2 
Doors: 40 inches, Cabs: 71 inches wide, 63 inches deep. </t>
  </si>
  <si>
    <t>Rooms 311 and 338</t>
  </si>
  <si>
    <t xml:space="preserve">This site does not include an auditorium; the cafeteria fulfills this function. The cafeteria is accessible and is located on the first floor. Stage access is provided via lift. Accessible seating is provided. The gymnasium is accessible and is located on the fourth floor. Assistive listening systems have been provided in the cafeteria and gymnasium. </t>
  </si>
  <si>
    <t xml:space="preserve">Stage access is provided via lift. Accessible seating is provided. Accessible seating available upon request. Assistive listening systems have been provided.  </t>
  </si>
  <si>
    <t xml:space="preserve">Fourth Floor </t>
  </si>
  <si>
    <t>Rooms 106, 121, 222, 322, and 422</t>
  </si>
  <si>
    <t>Rooms 104, 123, 228, 328, and 428</t>
  </si>
  <si>
    <t>Rooms 256, 260, 384, 354, and 360</t>
  </si>
  <si>
    <t xml:space="preserve">Rooms 119, 125, 217, 224, 234B, 317, 324, and 424 </t>
  </si>
  <si>
    <t xml:space="preserve">Room 234B is located in the nurse’s office. </t>
  </si>
  <si>
    <t>Classrooms 227, 229, 231, 236, and 238</t>
  </si>
  <si>
    <t>NK</t>
  </si>
  <si>
    <t>3050 Webster Avenue, Bronx, NY 10467</t>
  </si>
  <si>
    <t>The nearest accessible subway station is Gun Hill Road Station (2 and 5 trains), 1.2 miles distant. MTA bus service (Bx41 and Bx41-SBS) is also nearby. The main entrance is accessible, located on Webster Avenue (Exit 1). The accessible entrance includes a ramp, reception, and security cameras. The accessible entrance does not include a doorbell.</t>
  </si>
  <si>
    <t>Two passenger elevators provide access to all floors. Elevator One provides access to all floors. Elevator Two provides access between the ground floor and second floor. Elevators include audible signals on each floor.</t>
  </si>
  <si>
    <t>E1; Doors: 42 inches, Cab: 80 inches wide, 74 inches deep. E2; Doors: 42 inches, Cab: 80 inches wide, 95 inches deep.</t>
  </si>
  <si>
    <t>Computer Rooms – Rooms 229 and 408</t>
  </si>
  <si>
    <t>Main Office – Rooms 115 (10X020) and 257 (75X168)</t>
  </si>
  <si>
    <t>Nurse’s Office – Rooms 151 and 214</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</si>
  <si>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in the first and second floors.</t>
  </si>
  <si>
    <t>Boys Bathrooms – Rooms 131, 155, 237, 331, 401, and 431</t>
  </si>
  <si>
    <t>Girls Bathrooms – Rooms 129, 157, 235, 303, 329, 403, and 429</t>
  </si>
  <si>
    <t>Single-User (Unisex) Bathrooms – Rooms 109, 255, 212, 216, 312, 314, and 421</t>
  </si>
  <si>
    <t>Single-User (Unisex) Bathrooms – Classrooms 102, 101 and 103, 105 and 107, 117 and 119, 121 and 123, 122, 124, 126, 128, 143, 145, 147, 149, 201, 202, 203, 204, 205, 206, 208, 222, 224, 225, 226 227, 229, 245 and 247, and 249 and 251</t>
  </si>
  <si>
    <t>Fire alarm system has been upgraded and includes a strobe light feature. Holding rooms have been specifically designated as rooms 123, 201, 229, 245, 305, 327, 405, and 427.</t>
  </si>
  <si>
    <t>270 East 167 Street, Bronx, NY 10456</t>
  </si>
  <si>
    <t>The nearest accessible subway station is the 170th Street Station (4 train), 0.70 miles distant. MTA bus service (Bx32 and Bx35) is also nearby. The accessible entrance to X022 is not the same as the main entrance; the accessible entrance is located on Morris Avenue (Exit 3/4). The accessible entrance does not include a doorbell, reception, or security cameras. Visitors may need to contact site in advance to gain access to this facility through the accessible entrance.</t>
  </si>
  <si>
    <t>This site provides limited accessibility; all classrooms located on the first floor are accessible and located on an accessible route.</t>
  </si>
  <si>
    <t>Classrooms – Basement, Second and Third Floors</t>
  </si>
  <si>
    <t>Does Not Exist Not Accessible</t>
  </si>
  <si>
    <t>Main Office – Room 148 (09X022)</t>
  </si>
  <si>
    <t>Main Office – Rooms 207B (84X494) and 329 (09X329)</t>
  </si>
  <si>
    <t>Nurse’s Office- Room 108</t>
  </si>
  <si>
    <t>Science Lab – Rooms 234 and 238</t>
  </si>
  <si>
    <t>The auditorium is not accessible and is located on the first floor. Stage access is not provided. Accessible seating is not provided. The cafeteria is not accessible and is located in the basement. The gymnasiums are not accessible and are located in the basement. Assistive listening systems have not been provided in the public assembly spaces.</t>
  </si>
  <si>
    <t>Doorway does not provide clear width. Stage access is not provided. Accessible seating is not provided.</t>
  </si>
  <si>
    <t>Gymnasium (East and West) – Basement</t>
  </si>
  <si>
    <t>2151 Washington Avenue, Bronx, NY 10457</t>
  </si>
  <si>
    <t>The nearest accessible subway station is Fordham Road Station (4 train), 1.0 mile distant. MTA bus service (Bx36 and Bx15) is also nearby. The main entrance is accessible (Exit 1). The accessible entrance includes reception, security cameras, and doorbell. The doorbell is within reach range (height 44 inches).</t>
  </si>
  <si>
    <t>Braille signs are provided throughout the building, but are degrading and need replacing.</t>
  </si>
  <si>
    <t>There auditorium is accessible and is located on the second floor. Accessible seating is provided. Stage access is provided via lift. The cafeteria is accessible and is located on the first floor. The gymnasium is accessible and is located on the first floor. Assistive listening systems have been provided in the auditorium, cafeteria, and gymnasium.</t>
  </si>
  <si>
    <t>Fire alarm system has been upgraded and includes a strobe light feature. Holding rooms or areas of refuge have been specifically designated; 112, 212, 312, and 412.</t>
  </si>
  <si>
    <t>1930 Andrews Avenue, Bronx, NY 10453</t>
  </si>
  <si>
    <t>The nearest accessible subway station is the Fordham Road Station (4 train), 1.00 miles distant. MTA bus service (Bx3, Bx40, and Bx42) is also nearby. The accessible entrance to X026 is not the same as the main entrance; the accessible entrance is located on Andrews Avenue (Exit 7). The accessible entrance does not include a doorbell, or reception; visitors may need to contact the site in advance to gain access to this facility through the accessible entrance.</t>
  </si>
  <si>
    <t>Ramp located at accessible entrance Exit 7.</t>
  </si>
  <si>
    <t>This site occupies the basement through third floor in the building. One passenger elevator provides access to all floors. Elevator does not include audible signals on each floor.</t>
  </si>
  <si>
    <t>Doors: 29 inches, Cabs: 68 inches wide, 68 inches deep.</t>
  </si>
  <si>
    <t>Ramp located at basement cafeteria.</t>
  </si>
  <si>
    <t>Library – Room 136</t>
  </si>
  <si>
    <t>Main Office – Room 109 (10X390), 112 (10X396), and 301 (75X010)</t>
  </si>
  <si>
    <t>Nurse’s Office – Room 232</t>
  </si>
  <si>
    <t>Science Lab – Room 324C</t>
  </si>
  <si>
    <t>The auditorium is not accessible and is located on the first floor. Stage access is not provided. Accessible seating is provided. The cafeteria is accessible and is located in the basement. The gymnasium is not accessible and is located on the second floor. Assistive listening systems have been provided in the auditorium.</t>
  </si>
  <si>
    <t>Cafeteria – Basement Floor</t>
  </si>
  <si>
    <t>Boys Bathrooms – Rooms B22, 112, 210, 212, and 312</t>
  </si>
  <si>
    <t>Girls Bathrooms – Rooms B22, 110, 213, and 313</t>
  </si>
  <si>
    <t>Staff Bathrooms – Room 238</t>
  </si>
  <si>
    <t>Single-User (Unisex) Bathrooms – Room 213</t>
  </si>
  <si>
    <t>519 St Anns Avenue, Bronx, NY 10455</t>
  </si>
  <si>
    <t>The nearest accessible subway station is the Third Avenue – 149th Street Station (2 and 5 trains), 0.40 miles distant. MTA bus service (Bx2, Bx17, and Bx19) is also nearby. The accessible entrance to X027 is not the same as the main entrance; the accessible entrance is located around the building 148th (Exit 7).  The accessible entrance does not include a doorbell, reception, or security cameras. Visitors may need to contact site in advance to gain access to this facility through the accessible entrance. </t>
  </si>
  <si>
    <t>Some water fountains and other wall-mounted objects protrude in the corridors more than 4 inches, which may present difficulties for individuals with visual disabilities. Braille signs are not included throughout the building. </t>
  </si>
  <si>
    <t>Clear width prevents access. </t>
  </si>
  <si>
    <t>This site does not include an elevator, preventing access to floors other than the first floor. </t>
  </si>
  <si>
    <t>This site offers limited accessibility; all classrooms are not accessible and are located along accessible routes.  </t>
  </si>
  <si>
    <t>Rooms 511 and 513</t>
  </si>
  <si>
    <t>Room 303/305</t>
  </si>
  <si>
    <t>Rooms 212 (07X277) and 311 (75X469)</t>
  </si>
  <si>
    <t>The auditorium is not accessible and is located on the second floor. Stage access is not provided. Accessible seating is not provided. The cafeteria is accessible and is located on the first floor. The gymnasium is not accessible and is located on the fifth floor. Assistive listening systems have not been provided in the public assembly spaces. </t>
  </si>
  <si>
    <t>Not on an accessible route. Stage lift is provided, but stage access is not provided. Accessible seating is not provided. </t>
  </si>
  <si>
    <t>Not on an accessible route. Accessible seating available upon request. </t>
  </si>
  <si>
    <t>This building is prevented from attaining a higher accessibility rating due to lack of accessible bathrooms throughout the building.  </t>
  </si>
  <si>
    <t>Rooms 114 and 318</t>
  </si>
  <si>
    <t>Rooms 109, 316, and 519</t>
  </si>
  <si>
    <t>Rooms 116, 317, and 518</t>
  </si>
  <si>
    <t>Classroom 209</t>
  </si>
  <si>
    <t>Located inside corresponding classroom. </t>
  </si>
  <si>
    <t>This site includes exterior recreational spaces. The exterior recreational spaces are not accessible. The recreational equipment is not accessible. </t>
  </si>
  <si>
    <t>770 Grote Street, Bronx, NY 10460</t>
  </si>
  <si>
    <t xml:space="preserve">The nearest accessible subway station is the Pelham parkway station (2 and 5 trains), 1.3 miles distant. MTA bus service (Bx9 and Bx19) is also nearby. The main entrance of X034 is accessible, located on Grote Street (Exit 4). The accessible entrance includes a doorbell, reception, and security cameras. The doorbell is not located within reach range (Height 52 inches). </t>
  </si>
  <si>
    <t xml:space="preserve">E1 and E2 
Doors: 48 inches, Cabs: 119 inches wide, 124 inches deep. </t>
  </si>
  <si>
    <t xml:space="preserve">The auditorium is accessible and is located on the first floor. Stage access is provided via a ramp. Accessible seating is provided. The cafeteria is accessible and is located on the first floor. The gymnasium is accessible and is located on the third floor. Assistive listening systems have been provided in the auditorium, cafeteria, and gymnasium. </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</si>
  <si>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and second floors.</t>
  </si>
  <si>
    <t>Rooms 129, 229, 329, 408, and 435</t>
  </si>
  <si>
    <t>Rooms 131, 231, 331, 419, and 437</t>
  </si>
  <si>
    <t>Rooms 111, 121, 211, 215, 309, 313, 411, and 415</t>
  </si>
  <si>
    <t xml:space="preserve">Classrooms 112, 202, 203 and 207, 204 and 206, 208 and 210, 217 and 219, and 223 and 227 </t>
  </si>
  <si>
    <t xml:space="preserve">Fire alarm system has been upgraded and includes a strobe light feature. Holding rooms have been specifically designated as rooms 221, 319, and 421. </t>
  </si>
  <si>
    <t>1070 Castle Hill Avenue, Bronx, NY 10472</t>
  </si>
  <si>
    <t>The nearest accessible subway station is Hunts Point Avenue Station (6 train), 2.5 miles distant. MTA bus service (Bx5 and Bx22) is also nearby. The main entrance is accessible, located on Blackrock Avenue (Exit 7A). The accessible entrance includes a ramp, reception, and security cameras. The accessible entrance does not include a doorbell.</t>
  </si>
  <si>
    <t>Some water fountains and other wall-mounted objects protrude into the corridors more than 4 inches, which may present difficulties for individuals with visual disabilities. Braille signs are included in some classrooms that have received accessibility upgrades.</t>
  </si>
  <si>
    <t>Main Office – Room 163</t>
  </si>
  <si>
    <t>Nurse’s Office – Room 102A</t>
  </si>
  <si>
    <t>The auditorium is accessible and is located on the first floor. Stage access is provided via lift. Accessible seating is provided. The cafeteria is accessible and is located in the basement. The gymnasium is accessible and is located on the fourth floor. Assistive listening systems have not been provided in the public assembly spaces.</t>
  </si>
  <si>
    <t>There are accessible student bathrooms (boys) available in the basement and on the third floor. There are accessible student bathrooms (girls) available in the basement and on the second floor. There are accessible single-user (unisex) bathrooms (for student and staff use) available on the first and fourth floors.</t>
  </si>
  <si>
    <t>Boys Bathrooms – Rooms B02 and 352</t>
  </si>
  <si>
    <t>Girls Bathrooms – Rooms B08 and 252</t>
  </si>
  <si>
    <t>Single-User (Unisex) Bathrooms – Rooms 161A and 407B</t>
  </si>
  <si>
    <t>Fire alarm system has been upgraded and includes a strobe light feature. Designated area of rescue assistance are located on each floor, near the elevator bay.</t>
  </si>
  <si>
    <t>360 West 230 Street, Bronx, NY 10463</t>
  </si>
  <si>
    <t>The nearest accessible subway station is the 231th Street Station (1 train), 0.4 miles distant. MTA bus service (Bx1, Bx7, Bx9, and Bx10) is also nearby. The main entrance is accessible, located on West 230th Street (Exit 1). The accessible entrance includes a doorbell and reception. The doorbell is within reach range (height 47 inches).</t>
  </si>
  <si>
    <t>Doors: 42 inches, Cab: 51 inches wide, 79 inches deep.</t>
  </si>
  <si>
    <t>Science Lab – Room 408</t>
  </si>
  <si>
    <t>The auditorium is accessible and is located on the second floor. Stage access is provided via corridor. Accessible seating is provided. The cafeteria is accessible and is located on the first floor. The gymnasium is accessible and is located on the second floor. Assistive listening systems have not been provided in the public assembly spaces.</t>
  </si>
  <si>
    <t>Boys Bathrooms – Rooms 154, 203, 314, and 414</t>
  </si>
  <si>
    <t>Girls Bathrooms – Rooms 155, 204, 415, and 315</t>
  </si>
  <si>
    <t>Single-User (Unisex) Bathrooms – Rooms 111, 217, 312, and 412</t>
  </si>
  <si>
    <t>Single-User (Unisex) Bathrooms – Classrooms 125 and 127, 128 and 130, 131 and 133, 211, 214, 215, 218, 219, and 222</t>
  </si>
  <si>
    <t>Fire alarm system has been upgraded and includes a strobe light feature. Holding rooms have been specifically designated as rooms 203, 301, and 401.</t>
  </si>
  <si>
    <t>468 East 140 Street, Bronx, NY 10454</t>
  </si>
  <si>
    <t>The nearest accessible subway station is Pelham Bay Park Station (2 and 5 trains), 0.6 miles distant. MTA bus service (Bx15 and Bx33) is also nearby. The accessible entrance to X040 is not the same as the main entrance; the accessible entrance is located on East 139th Street (Exit 7). The accessible entrance includes security cameras and a doorbell. The doorbell is not within reach range (height 69 inches).</t>
  </si>
  <si>
    <t xml:space="preserve">This site offers limited accessibility; most classrooms are accessible and are located on accessible routes. </t>
  </si>
  <si>
    <t xml:space="preserve">Rooms 116 (07X179), and 120 (75X352) </t>
  </si>
  <si>
    <t>The auditorium is accessible and is located on the first floor. Stage access is provided. Accessible seating is provided. The cafeteria is accessible and is located on the first floor. The gymnasium is accessible and is located on the first floor. Assistive listening systems have not been provided in the public assembly spaces.</t>
  </si>
  <si>
    <t>This site is prevented from having a higher accessibility rating due to lack of accessible bathrooms throughout the building.</t>
  </si>
  <si>
    <t xml:space="preserve">Fire alarm system includes a strobe light feature. Holding rooms or areas of refuge have not been specifically designated. </t>
  </si>
  <si>
    <t>1537 Washington Avenue, Bronx, NY 10457</t>
  </si>
  <si>
    <t>The nearest accessible subway station is Simpson Street Station (2 and 5 trains), 1.3 miles distant. MTA bus service (Bx11, and Bx15) is also nearby. The accessible entrance to X042 is not the same as the main entrance; the accessible entrance is located on Washington Avenue (Exit 3). No doorbell is installed at the accessible entrance, visitors will need to call in advance to gain access.</t>
  </si>
  <si>
    <t>Braille signs are not included throughout the building. There is no elevator in the building, all classrooms are located on the first through fourth floors, are not accessible.</t>
  </si>
  <si>
    <t>No passenger elevator on site prevents access to floors above the ground floor.</t>
  </si>
  <si>
    <t>This site is minimally accessible; no classrooms are located on accessible routes. There is no elevator in the building, all classrooms are located on the first through fourth floors, are not accessible.</t>
  </si>
  <si>
    <t>No elevator in building, preventing access to other floors.</t>
  </si>
  <si>
    <t>Rooms 106A (09X042), and 412 (75X469)</t>
  </si>
  <si>
    <t>The Cafeteria located on the ground floor is accessible. The multi-purpose room located on the ground floor is accessible. The gymnasium located on the first floor is not accessible. The multi-purpose room located on the second floor is not accessible. Assistive listening systems have not been provided in the public assembly spaces.</t>
  </si>
  <si>
    <t>No elevator in building prevents access.</t>
  </si>
  <si>
    <t>There are accessible student bathrooms (girls and boys) on ground floor. There are no accessible staff bathrooms in the building.</t>
  </si>
  <si>
    <t>2760 Briggs Avenue, Bronx, NY 10458</t>
  </si>
  <si>
    <t xml:space="preserve">The nearest accessible subway station is the Kingsbridge Road Subway Station (B and D trains), 0.1 miles distant. MTA bus service (Bx34) is also nearby. The main entrance of X046 is accessible, located on Briggs Avenue (Exit 1). The accessible entrance includes a doorbell, reception, and security cameras. The doorbell is located within reach range (Height 48 inches). </t>
  </si>
  <si>
    <t xml:space="preserve">Braille signs are included throughout the building. The original building is currently undergoing continued capital upgrades. The new addition opened in 2019 is fully open. Only the second floor of the original building is currently in use. </t>
  </si>
  <si>
    <t xml:space="preserve">E1 and E2 
Doors: 42 inches, Cabs: 68 inches wide, 80 inches deep. </t>
  </si>
  <si>
    <t xml:space="preserve">New addition constructed in 2019 and second floor of original building. </t>
  </si>
  <si>
    <t xml:space="preserve">This auditorium is not accessible and is located on the first floor of the original building. The cafeteria is accessible and is located on the first floor. The gymnasium is accessible and is located on the second floor. The multi-purpose room is accessible and is located on the second floor. Assistive listening systems have been provided in the cafeteria, gymnasium, and multi-purpose rooms. </t>
  </si>
  <si>
    <t xml:space="preserve">Located in the original building that is currently under construction.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</si>
  <si>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 corresponding classrooms on the first and second floors.     </t>
  </si>
  <si>
    <t>Rooms 110B, 122C, 207, 314, 414, and 514</t>
  </si>
  <si>
    <t>Rooms 110C, 122B, 219, 308, 408, and 508</t>
  </si>
  <si>
    <t>Rooms 118, 210, 310, 410, and 510</t>
  </si>
  <si>
    <t>Classrooms 103, 105, 203, and 205</t>
  </si>
  <si>
    <t xml:space="preserve">Fire alarm system has been upgraded and includes a strobe light feature. Holding rooms have been specifically designated as rooms 204, 306, 402, and 506. </t>
  </si>
  <si>
    <t>1290 Spofford Avenue, Bronx, NY 10474</t>
  </si>
  <si>
    <t>The nearest accessible subway station is Hunts Point Avenue Station (6 train), 0.5 miles distant. MTA bus service (Bx6 and Bx46) is also nearby. The accessible entrance to X048 is not the same as the main entrance; the accessible entrance is located on Coster Street (Exit 8). The accessible entrance includes a doorbell. The accessible entrance does not include security cameras or reception. The doorbell is not within reach range (height 73 inches).</t>
  </si>
  <si>
    <t>Doors: 42 inches, Cab: 98 inches wide, 52 inches deep.</t>
  </si>
  <si>
    <t>Computer Rooms – Room 509</t>
  </si>
  <si>
    <t>Main Office – Second Floor</t>
  </si>
  <si>
    <t>Nurse’s Office- Room 116</t>
  </si>
  <si>
    <t>The auditorium is accessible and is located on the first floor. Stage access is not provided. Accessible seating is provided. The cafeteria is accessible and is located in the basement. This site does not include a gymnasium; the multi-purpose room fulfills this function. The multi-purpose room is accessible and is located on the first floor. Assistive listening systems have not been provided in the public assembly areas.</t>
  </si>
  <si>
    <t>There are accessible student bathrooms (girls) available on the first, second, fourth, and fifth floors. There are accessible student bathrooms (boys) available on the first, third, and fifth floors. There are accessible single-user (unisex) bathrooms (for student and staff use) available on the first and second floors.</t>
  </si>
  <si>
    <t>Boys Bathroom – First, Third and Fifth Floors</t>
  </si>
  <si>
    <t>Boys Bathroom – Second and Fourth Floors</t>
  </si>
  <si>
    <t>Girls Bathroom – First, Second, Fourth and Fifth Floors</t>
  </si>
  <si>
    <t>Girls Bathroom – Third Floor</t>
  </si>
  <si>
    <t>Single-User (Unisex) Bathroom – First and Second Floors</t>
  </si>
  <si>
    <t>Fire alarm system has been upgraded and includes a strobe light feature. Holding rooms have been specifically designated as rooms 201, 213, 313, 401, 413, 501, and 513.</t>
  </si>
  <si>
    <t>383 East 139 Street, Bronx, NY 10454</t>
  </si>
  <si>
    <t>The nearest accessible subway station is the Third Avenue – 149 Street Station (2 and 5 trains), 0.50 miles distant. MTA bus service (Bx15 and Bx33) is also nearby. The main entrance of X049 is not accessible, located on 139 Street (Exit 1). The entrance includes a doorbell, reception, and security cameras. The doorbell is not within reach range (height 75 inches).  </t>
  </si>
  <si>
    <t>Rooms 101 (07X049) and 336 (75X723)</t>
  </si>
  <si>
    <t xml:space="preserve">The auditorium is not accessible and is located in the basement. The cafeteria is not accessible and is located on the first floor. The gymnasium is not accessible and is located in basement. Assistive listening systems have not been provided in the public assembly spaces. </t>
  </si>
  <si>
    <t> Accessible seating available upon request. </t>
  </si>
  <si>
    <t>This building is prevented from attaining a higher accessibility rating due to lack of accessible bathrooms throughout the building. </t>
  </si>
  <si>
    <t>Rooms 128, 228, 309, and 328</t>
  </si>
  <si>
    <t>Rooms 134, 234, and 334</t>
  </si>
  <si>
    <t>Rooms 302, 307, and 302</t>
  </si>
  <si>
    <t>This site includes does not include exterior recreational spaces.  </t>
  </si>
  <si>
    <t>Fire alarm system has not been upgraded. Holding rooms or areas of refuge have not been specifically designated. </t>
  </si>
  <si>
    <t>This site does not include central air. Air-conditioning units have been provided in classrooms.  </t>
  </si>
  <si>
    <t>681 Kelly Street, Bronx, NY 10455</t>
  </si>
  <si>
    <t>The nearest accessible subway station is the Hunts Point Avenue Station (6 train), 0.70 miles distant. MTA bus service (Bx17 and Bx19) is also nearby. The accessible entrance to X052 is not the same as the main entrance; the accessible entrance is located off Dawson Street, via the play yard (Exit 6). The accessible entrance does not include a doorbell, reception, or security cameras. Visitors may need to contact site in advance to gain access to this facility through the accessible entrance.</t>
  </si>
  <si>
    <t>Change of elevation on the first floor prevents access to some program areas. Some water fountains and other wall-mounted objects protrude in the corridors more than 4 inches, which may present difficulties for individuals with visual disabilities. Braille signs are not included throughout the building.</t>
  </si>
  <si>
    <t>Change of elevation (9 Steps) of first floor prevents access to some program areas.</t>
  </si>
  <si>
    <t>This site offers limited accessibility, some first-floor classrooms are accessible and are located on accessible routes.</t>
  </si>
  <si>
    <t>Change of elevation (9 Steps) prevents access.</t>
  </si>
  <si>
    <t>Rooms 101 through 111</t>
  </si>
  <si>
    <t>Rooom 300</t>
  </si>
  <si>
    <t>Room 106 (08X302)</t>
  </si>
  <si>
    <t>Room 205 (84X487)</t>
  </si>
  <si>
    <t>The auditorium is not accessible and is located on the first floor. Accessible seating is not provided. Stage access is not provided. The cafeteria is not accessible and is located in the basement. The gymnasium is not accessible and is located on the first floor. Assistive listening systems have not been provided in the public assembly spaces.</t>
  </si>
  <si>
    <t>Change of elevation (9 Steps) prevents access. Stage access is not provided. Accessible seating is not provided.</t>
  </si>
  <si>
    <t>Basement Floor</t>
  </si>
  <si>
    <t>This building is prevented from attaining a higher accessibility rating due to lack of accessible bathrooms throughout the building. There is a single-user (unisex) bathroom (for student and staff use) available on the first floor.</t>
  </si>
  <si>
    <t>Rooms B5, 117, 221, 325 and 511</t>
  </si>
  <si>
    <t>Rooms B9, 115, 219, 323, 405 and 505</t>
  </si>
  <si>
    <t>Rooms B13, 103, 105, 217, 321 and 411</t>
  </si>
  <si>
    <t>Room 109A is located in the nurse’s office.</t>
  </si>
  <si>
    <t>2703 Webster Avenue, Bronx, NY 10458</t>
  </si>
  <si>
    <t>The nearest accessible subway station is Kingsbridge Road Station (B and D trains), 0.4 miles distant. MTA bus service (Bx41 and Bx34) is also nearby. The main entrance is accessible, located on Webster Avenue (Exit 1). The accessible entrance includes a doorbell, ramp, reception, and security cameras. The doorbell is within reach range (height 44 inches).</t>
  </si>
  <si>
    <t>E1 Doors: 36 inches, Cab: 68 inches wide, 51 inches deep.</t>
  </si>
  <si>
    <t>The auditorium is accessible and is located on the first floor. Stage access is provided via corridor. Accessible seating is provided. The cafeteria is accessible and is located on the first floor. The gymnasium is accessible and is located on the second floor. Assistive listening systems have not been provided in the public assembly spaces.</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</si>
  <si>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second through fourth floors.</t>
  </si>
  <si>
    <t>Boys Bathrooms – Rooms 103A, 203A, 303A, 403A, and 503A</t>
  </si>
  <si>
    <t>Girls Bathrooms – Rooms 101B, 203B, 305A, 405A, and 505A</t>
  </si>
  <si>
    <t>Single-User (Unisex) Bathrooms – Rooms 155, 156, 203, 303, 403, and 503</t>
  </si>
  <si>
    <t>Single-User (Unisex) Bathrooms – Classrooms 228 and 230, 232 and 234, 310, 312, 326, 322, 324, 325, 412, and 414</t>
  </si>
  <si>
    <t>Fire alarm system has been upgraded and includes a strobe light feature. Holding rooms have been specifically designated as rooms 302, 402, and 502.</t>
  </si>
  <si>
    <t>341 East 207 Street, Bronx, NY 10467</t>
  </si>
  <si>
    <t>The nearest accessible subway station is Gun Hill Road Station (2 and 5 trains), 0.6 miles distant. MTA bus service (Bx41, Bx28, Bx30, and Bx38) is also nearby. The main entrance of X056 is accessible, located on East 207 Street (Exit 1). The accessible entrance includes a doorbell, reception, and security cameras. The doorbell is within reach range (Height 48 inches).</t>
  </si>
  <si>
    <t xml:space="preserve"> Room B14</t>
  </si>
  <si>
    <t xml:space="preserve">This site does not include an auditorium; the gymnasium fulfills this function. The gymnasium is accessible and is located on the second floor. Stage access is provided via lift. Accessible seating is provided. The cafeteria is accessible and is located in the basement. The multi-purpose room is accessible and is located on the first floor. Assistive listening systems have been provided in the cafeteria, gymnasium, and multi-purpose room. </t>
  </si>
  <si>
    <t>Stage access is provided via lift. Accessible seating is provided Assistive listening systems have been provided.</t>
  </si>
  <si>
    <t xml:space="preserve">There are accessible student bathrooms (boys and girls) available on all floors. There are accessible single-user (unisex) bathrooms (available for students and staff) on all floors. </t>
  </si>
  <si>
    <t>Rooms 125, 225, and 325</t>
  </si>
  <si>
    <t>Rooms 127, 227, and 327</t>
  </si>
  <si>
    <t>Rooms 129, 229, and 329</t>
  </si>
  <si>
    <t>Fire alarm system has been upgraded and includes a strobe light feature. Holding rooms or areas of refuge have been specifically designated as rooms 220 and 320.</t>
  </si>
  <si>
    <t>888 Rev J A Polite Ave, Bronx, NY 10459</t>
  </si>
  <si>
    <t>The nearest accessible subway station is the Simpson Street Station (2 and 5 trains), 0.40 miles distant. MTA bus service (Bx4, Bx6, and Bx46) is also nearby. The accessible entrance to X060 is not the same as the main entrance; the accessible entrance is located on Rev. J.A. Polite Avenue (Exit 3). The accessible entrance does not include a doorbell, reception, or security cameras. Visitors may need to contact site in advance to gain access to this facility through the accessible entrance. </t>
  </si>
  <si>
    <t>This site does not include an elevator, preventing access to floors other than the first floo</t>
  </si>
  <si>
    <t>This site offers limited accessibility; all classrooms located on the first floor of the annex are accessible and are located along accessible routes.  </t>
  </si>
  <si>
    <t>Not on  accessible route</t>
  </si>
  <si>
    <t>First Floor (Annex Only)</t>
  </si>
  <si>
    <t>Rooms 211 (08X333) and 270 (75X010)</t>
  </si>
  <si>
    <t>Room 271 and 316</t>
  </si>
  <si>
    <t>The auditorium is not accessible and is located on the second floor. Stage access is provided via first floor corridor. Accessible seating is not provided. The cafeteria is accessible and is located on the first floor. The gymnasium is not accessible and is located on the third floor of the annex. The multi-purpose rooms are accessible and are located in the basement and on the first floor. Assistive listening systems have not been provided in the public assembly spaces. </t>
  </si>
  <si>
    <t>Not on accessible route. Stage access is provided via first floor corridor. Accessible seating is not provided. </t>
  </si>
  <si>
    <t>Accessible seating available upon request. </t>
  </si>
  <si>
    <t>Third Floor (Annex)</t>
  </si>
  <si>
    <t>Not on accessible route. </t>
  </si>
  <si>
    <t>Multi-Purpose Rooms – Basement Annex, First Floor North and South </t>
  </si>
  <si>
    <t>This building is prevented from attaining a higher accessibility rating due to lack of accessible bathrooms throughout the building.   </t>
  </si>
  <si>
    <t>Rooms 109, 250, 350, and 450</t>
  </si>
  <si>
    <t>(Annex) – Rooms 269 and 369</t>
  </si>
  <si>
    <t>Rooms 108, 260, 360, and 460</t>
  </si>
  <si>
    <t>(Annex) – Rooms 267 and 375</t>
  </si>
  <si>
    <t>Rooms 114, 257, 316C, 357, 457, and 557</t>
  </si>
  <si>
    <t>(Annex) – Rooms 100A and 271</t>
  </si>
  <si>
    <t xml:space="preserve">Holding rooms or areas of refuge have not been specifically designated. </t>
  </si>
  <si>
    <t>1550 Crotona Park East, Bronx, NY 10460</t>
  </si>
  <si>
    <t>The nearest accessible subway station is East 180th Street Station (2 and 5 trains), 1.20 miles distant. MTA bus service (Bx11 and Bx21) is also nearby. The accessible entrance to X061 is not the same as the main entrance; the accessible entrance is located on 180th Street (Exit D).  The accessible entrance does not include security cameras, a doorbell, or reception. Visitors may need to contact site in advance to gain access to this facility through the accessible entrance.</t>
  </si>
  <si>
    <t>This site offers limited accessibility; there are no accessible classrooms located along accessible routes.</t>
  </si>
  <si>
    <t>Not on an acessible route.</t>
  </si>
  <si>
    <t>Rooms 205 (12X205) and 504 (12X190)</t>
  </si>
  <si>
    <t>The auditorium is not accessible and is located on the second floor. Stage access is provided via lift. Accessible seating is provided. The cafeteria is accessible and is located on the first floor. The gymnasium is accessible and is located on the first floor. Assistive listening systems have not been provided in the public assembly spaces.</t>
  </si>
  <si>
    <t xml:space="preserve">Not on an accessible route. Stage access is provided via lift. Accessible seating is provided. </t>
  </si>
  <si>
    <t>Rooms 314, 417, and 517</t>
  </si>
  <si>
    <t>Rooms 159 and 500</t>
  </si>
  <si>
    <t>Rooms 100B, 200, 300, and 400</t>
  </si>
  <si>
    <t>Room 100B is located in the nurse’s office.</t>
  </si>
  <si>
    <t>Multi-User Bathrooms - Rooms 108 and 214</t>
  </si>
  <si>
    <t>This site includes include exterior recreational spaces. The exterior recreational spaces are accessible.</t>
  </si>
  <si>
    <t>Fire alarm system has been upgraded and includes a strobe light feature. Holding room has been specifically designated as the auditorium.</t>
  </si>
  <si>
    <t>677 East 141 Street, Bronx, NY 10454</t>
  </si>
  <si>
    <t>The nearest accessible subway station is the 3 Avenue – 149th Street (2 and 5 trains), 0.9 miles distant. MTA bus service (Bx17 and Bx33) is also nearby. The accessible entrance to X065 is not the same as the main entrance; the accessible entrance is located on Cypress Avenue (Exit 5 and 6). The accessible entrance does not include a doorbell or security cameras, visitors will need to call in advance in order to gain access to the facility.</t>
  </si>
  <si>
    <t>Door saddles are high, which may be difficult for some users to navigate. Water fountains and other wall-mounted objects protrude into the corridors more than 4 inches, which may present difficulties for individuals with visual disabilities. Braille signs are not included throughout the building.</t>
  </si>
  <si>
    <t>Doors: 48 Inches, Cab: 98 Inches wide, 48 Inches deep.</t>
  </si>
  <si>
    <t>Computer Rooms – Room 103</t>
  </si>
  <si>
    <t>Main Office – Rooms 201, and 205</t>
  </si>
  <si>
    <t>Nurse’s Office- Room 104</t>
  </si>
  <si>
    <t>The auditorium is accessible and is located on the second floor. Stage access is provided via lift. Accessible seating is provided. The cafeteria is accessible and is located on the first floor. Assistive listening systems have not been provided in the public assembly spaces.</t>
  </si>
  <si>
    <t>There are accessible student bathrooms (boys) available on the first, third, and fifth floors. There are accessible single-user (unisex) bathrooms (for student and staff use) available inside corresponding classrooms. There are accessible single-user (unisex) bathrooms (for student and staff use) available on the fourth floor.</t>
  </si>
  <si>
    <t>Boys Bathrooms – Rooms 551, 351, 151</t>
  </si>
  <si>
    <t>Boys Bathrooms – Room 451</t>
  </si>
  <si>
    <t>Girls Bathrooms – Rooms 450</t>
  </si>
  <si>
    <t>Single-User (Unisex) Bathrooms – Room 459</t>
  </si>
  <si>
    <t>Single-User (Unisex) Bathrooms – Classrooms 213, and 212</t>
  </si>
  <si>
    <t>4011 Monticello Avenue, Bronx, NY 10466</t>
  </si>
  <si>
    <t>The nearest accessible subway station is Eastchester Dyre Avenue Station (5 train), 0.6 miles distant. MTA bus service (Bx16) is also nearby. The accessible entrance to X068 is not the same as the main entrance; the accessible entrance is located on Hill Avenue (Exit 9). The accessible entrance includes a ramp and a doorbell. The doorbell is not within reach range (height 65 inches).</t>
  </si>
  <si>
    <t>One passenger elevator provides access to all floors of the 1973 addition; elevator access is not provided within the original building. Elevator includes audible signals on each floor.</t>
  </si>
  <si>
    <t>Doors: 41 inches, Cabs: 49 inches wide, 77 inches deep.</t>
  </si>
  <si>
    <t>This site is moderately accessible; all classrooms located in the 1973 addition are accessible and located on accessible routes. The original building does not have an elevator, classrooms located in the original building between the second through fourth floors are not located on an accessible route.</t>
  </si>
  <si>
    <t>Classrooms – All Floors in 1973 Addition and First Floor of original building</t>
  </si>
  <si>
    <t>Classrooms – Second Through Fourth Floors of original building</t>
  </si>
  <si>
    <t>No elevator in original building, preventing access to other floors.</t>
  </si>
  <si>
    <t>Computer Rooms – Room 214</t>
  </si>
  <si>
    <t>Library – Room 372</t>
  </si>
  <si>
    <t>Nurse’s Office- Room 271</t>
  </si>
  <si>
    <t>The auditorium is accessible and located in the basement; stage access is not provided. The auditorium provides accessible seating. The cafeteria is accessible and is located in the basement. The gymnasium is accessible and is located on the first floor. Assistive listening systems have been provided in the auditorium.</t>
  </si>
  <si>
    <t>Boys Bathroom – Room 182</t>
  </si>
  <si>
    <t>Girls Bathroom – Room 176</t>
  </si>
  <si>
    <t>1691 Weeks Avenue, Bronx, NY 10457</t>
  </si>
  <si>
    <t xml:space="preserve">The nearest accessible subway station is 161th Street – Yankee Stadium Station (B, C, and 4 trains), 1.60 miles distant. MTA bus service (Bx32) is also nearby. The accessible entrance to X070 is not the same as the main entrance; the accessible entrance is located on Weeks Avenue (Exit 2).  The accessible entrance does not include a doorbell, reception, or security cameras. Visitors may need to contact the site in advance to gain access to this facility through the accessible entrance. </t>
  </si>
  <si>
    <t xml:space="preserve">This site does not include an elevator, preventing access to floors other than the first floor. </t>
  </si>
  <si>
    <t>Room 237C</t>
  </si>
  <si>
    <t>The auditorium is not accessible and is located on the second floor. Stage access is provided via lift. Accessible seating is provided. The cafeteria is not accessible and is located on the first floor. The gymnasium is not accessible and is located on the first floor. The multi-purpose rooms are accessible and are located on the first floor. The pool is not accessible and is located in the basement. Assistive listening systems have been provided in the auditorium, cafeteria, and gymnasium.</t>
  </si>
  <si>
    <t xml:space="preserve">Not on an accessible route. Accessible seating available upon request. Assistive listening systems have been provided.  </t>
  </si>
  <si>
    <t>Rooms 208, 309, 409, and 509</t>
  </si>
  <si>
    <t>Rooms 209, 312, 412, and 511</t>
  </si>
  <si>
    <t>Rooms 201A, 301A, 311A, 411A, and 511</t>
  </si>
  <si>
    <t>Rooms 154 and 155</t>
  </si>
  <si>
    <t xml:space="preserve">Fire alarm system has been upgraded and includes a strobe light feature. Holding rooms have been specifically designated as rooms 401, 402, 404, 406, and 408. </t>
  </si>
  <si>
    <t>2951 Dewey Avenue, Bronx, NY 10465</t>
  </si>
  <si>
    <t>The nearest accessible subway station is Pelham Bay Park (6 train), 2.4 miles distant. MTA bus service (Bx40 and Bx42) is also nearby. The accessible entrance to X072 is not the same as the main entrance; the accessible entrance is located on Edison Avenue (Exit 2). The accessible entrance includes a doorbell, ramp, and security cameras. The doorbell is not within reach range (height 71 inches).</t>
  </si>
  <si>
    <t>E1 and E2: Door: 42 inches, Cab: 50 inches wide, 79 inches deep.</t>
  </si>
  <si>
    <t>Computer Rooms – Room 313</t>
  </si>
  <si>
    <t>The auditorium is accessible and is located on the first floor. Stage access is provided via corridor. Accessible seating is provided. The cafeteria is accessible and is located on the first floor. The gymnasium is accessible and is located between the second and third floors. The multi-purpose room is accessible and is located on the first floor. Assistive listening systems have not been provided in the public assembly spaces.</t>
  </si>
  <si>
    <t>Gymnasium – Between Second and Third Floors</t>
  </si>
  <si>
    <t>Accessible via elevator.</t>
  </si>
  <si>
    <t>There are accessible student bathrooms (boys and girls) available on the first floor and third floors. There are accessible staff bathrooms (male and female) available on all floors. There are accessible single-user (unisex) bathrooms (for student and staff use) available on all floors.</t>
  </si>
  <si>
    <t>Girls Bathroom – First and Third Floor</t>
  </si>
  <si>
    <t>as rooms 140, 240, and 340.</t>
  </si>
  <si>
    <t>Fire alarm system includes a strobe light feature. Holding rooms or areas of refuge have been specifically designated</t>
  </si>
  <si>
    <t>730 Bryant Avenue, Bronx, NY 10474</t>
  </si>
  <si>
    <t>The nearest accessible subway station is Hunts Point Avenue Station (6 train), 0.5 miles distant. MTA bus service (Bx6 and Bx6-SBS) is also nearby. The accessible entrance to X074 is not the same as the main entrance; the accessible entrance is located on Longfellow Avenue (Exit 3). The accessible entrance does not include security cameras or a doorbell. Visitors may need to contact the site prior to their arrival to gain access to this facility through the accessible entrance.</t>
  </si>
  <si>
    <t>Doors: 41 inches, Cabs: 42 inches wide, 77 inches deep.</t>
  </si>
  <si>
    <t>Rooms 227B (P352), 374 (MS 424), 469 (Hyde)</t>
  </si>
  <si>
    <t>Rooms 235, and 249</t>
  </si>
  <si>
    <t>Rooms 337, 339, 437, and 439</t>
  </si>
  <si>
    <t>The auditorium is accessible and is located on the second floor. Stage access is provided via a lift. Accessible seating is provided. The cafeteria is accessible and is located on the first floor. The gymnasium is accessible and is located on the first floor. Assistive listening systems have been provided in the cafeteria.</t>
  </si>
  <si>
    <t>Stage access is provided via a lift. Accessible seating is provided.</t>
  </si>
  <si>
    <t>There are accessible student bathrooms (girls and boys) available on the first and third floors. There are accessible single-user (unisex) bathrooms (for student and staff use) available on the third and fourth floors.</t>
  </si>
  <si>
    <t>First, and Third floors</t>
  </si>
  <si>
    <t>Fire alarm system has been upgraded and includes a strobe light feature. Holding rooms have been specifically designated as rooms 243, 243, and 443.</t>
  </si>
  <si>
    <t>125 East 181 Street, Bronx, NY 10453</t>
  </si>
  <si>
    <t xml:space="preserve">The nearest accessible subway station is Fordham Road Station (4 train), 0.7 miles distant. MTA bus service (Bx1 and Bx32) is also nearby. The main entrance to building is accessible, located on Morris Avenue (Exit 4). The accessible entrance includes a doorbell, security cameras, and a ramp. The doorbell is within reach range (height 45 inches). </t>
  </si>
  <si>
    <t xml:space="preserve">The accessible entrance leads directly into a main corridor and is adjacent to one of the passenger elevators. Braille signs are included throughout the building. Some waters protrude in to the corridor more than 4 inches and may present issues for cane detection. </t>
  </si>
  <si>
    <t xml:space="preserve">Two passenger elevators provide access to all floors within the building. Elevators include audible signals on each floor. </t>
  </si>
  <si>
    <t>Rooms 368, 509, and 515</t>
  </si>
  <si>
    <t>Rooms 108, 307, and 313</t>
  </si>
  <si>
    <t>Room 369</t>
  </si>
  <si>
    <t>Rooms 464, 564, and 568</t>
  </si>
  <si>
    <t>There is an accessible auditorium on the second floor, with accessible seating and stage access via a lift. The first-floor gymnasium is accessible via a lift. There is also another accessible gymnasium located in the basement. Assistive listening systems have been provided in both gymnasiums.</t>
  </si>
  <si>
    <t>First, and Basement Floors</t>
  </si>
  <si>
    <t xml:space="preserve">There are accessible student bathrooms (girls and boys) on all floors. There is also an accessible single-user (unisex) bathrooms (for general use and student use) on all floors of the building. </t>
  </si>
  <si>
    <t>Fire alarm system has been upgraded and includes a strobe light feature. Fire rescue areas have been specifically designated; Rooms 581, 481, 381, 281, and 181.</t>
  </si>
  <si>
    <t>149 East Mosholu Pkwy N, Bronx, NY 10467</t>
  </si>
  <si>
    <t>The nearest accessible subway station is Gun Hill Road Station (2 and 5 trains), 1.0 mile distant. MTA bus service (Bx10, Bx16, and Bx30) is also nearby. The accessible entrance to X080 is not the same as the main entrance; the accessible entrance is located on Steuben Avenue (Exit 2), adjacent to the main entrance. The accessible entrance includes a ramp, a doorbell, and security cameras. The doorbell is not within reach range (height 62 inches).</t>
  </si>
  <si>
    <t>This site includes two elevators. The elevator adjacent to the accessible entrance provides access to the first through third floors. Another elevator, located next to the auditorium, provides access to all floors except the third floor.</t>
  </si>
  <si>
    <t>E1 and E2; Doors: 42 inches, Cabs: 59 inches wide, 87 inches deep.</t>
  </si>
  <si>
    <t>Rooms 280 and 401</t>
  </si>
  <si>
    <t>Rooms 211 and 285</t>
  </si>
  <si>
    <t>Rooms 111 and 280</t>
  </si>
  <si>
    <t>The auditorium is accessible and is located on the first floor. Stage access is provided via lift. Accessible seating is provided. The cafeteria is accessible and is located on the first floor. The gymnasium located between the second and third floors is not accessible. The fifth-floor gymnasium is accessible. Assistive listening systems have not been provided in the public assembly areas.</t>
  </si>
  <si>
    <t>Second and Half Floor</t>
  </si>
  <si>
    <t>Change in elevation from third floor (11 Steps) and second floor (10 Steps) prevent access.</t>
  </si>
  <si>
    <t xml:space="preserve">There are accessible student bathrooms (girls and boys) available on the first, third, and fifth floors. There are accessible single-user (unisex) bathrooms (for student and staff use) available on the first through third, and fifth floors. </t>
  </si>
  <si>
    <t>First, Third and Fifth Floors</t>
  </si>
  <si>
    <t>First, Second, Third and Fifth Floors</t>
  </si>
  <si>
    <t>Fire alarm system has been upgraded and includes a strobe light feature. Areas of refuge have not been specifically designated.</t>
  </si>
  <si>
    <t>1700 Macombs Road, Bronx, NY 10453</t>
  </si>
  <si>
    <t>The nearest accessible subway is 161st Street ‐ Yankee Stadium Station (4 train), 1.6 miles distant. MTA bus service (Bx18, Bx3, and Bx36) is also nearby. The accessible entrance to X082 is not the same as the main entrance; the accessible entrance is located on Macombs Road, adjacent to the main entrance (Exit 303). The accessible entrance includes a ramp, security cameras, and reception. The accessible entrance does not include a doorbell; visitors may need to contact site in advance to gain access to this facility through the accessible entrance.</t>
  </si>
  <si>
    <t>Some water fountains and other wall-mounted objects protrude in the corridors more than 4 inches, which may present difficulties for individuals with visual disabilities.   Braille signs are provided throughout the building but may need to be replaced in a few areas.</t>
  </si>
  <si>
    <t>Door: 42 inches, Cab: 80 inches deep, 65 inches wide.</t>
  </si>
  <si>
    <t xml:space="preserve">This site is highly accessible; all classrooms are accessible and located on an accessible route. </t>
  </si>
  <si>
    <t>Rooms 313, and 514</t>
  </si>
  <si>
    <t>Rooms 314, 408, and 411</t>
  </si>
  <si>
    <t>Rooms 211, 414, and 507</t>
  </si>
  <si>
    <t>The auditorium is accessible and is located on the first floor. Stage access is provided via a lift. Accessible seating is provided. The cafeteria is accessible and is located on the first floor. The gymnasiums are accessible and are located on the third and fifth floors. Assistive listening systems have not been provided in the public assembly areas.</t>
  </si>
  <si>
    <t>Third, and Fifth Floors</t>
  </si>
  <si>
    <t>There are accessible student bathrooms (girls and boys) available on all floors. There are accessible single-user (unisex) bathrooms (for student and staff use) available on the second through fifth floors.</t>
  </si>
  <si>
    <t>Fire alarm system has been updated and includes a strobe light feature. Fire holding rooms have been specifically designated as rooms 206, 306, 415, and 515.</t>
  </si>
  <si>
    <t>950 Rhinelander Avenue, Bronx, NY 10462</t>
  </si>
  <si>
    <t>The nearest accessible subway station is Morris Park Station (5 train), 0.5 miles distant. MTA bus service (Bx21) is also nearby. The main entrance is accessible, located on Rhinelander Avenue (Exit 1). The accessible entrance includes a ramp, reception, and security cameras.</t>
  </si>
  <si>
    <t>Doors: 42 inches, Cab: 64 inches wide, 79 inches deep.</t>
  </si>
  <si>
    <t>Art Rooms – Room 419</t>
  </si>
  <si>
    <t>Computer Rooms – Room 519</t>
  </si>
  <si>
    <t>The auditorium is accessible and is located on the first floor. Stage access is provided via lift. Accessible seating is provided. The cafeteria is accessible located on the first floor. The gymnasium is accessible and is located on the third floor. Assistive listening systems have not been provided in the public assembly areas.</t>
  </si>
  <si>
    <t>There are accessible student bathrooms (boys) available on the first and third floors. There are accessible student bathrooms (girls) available on the first, third, and fourth floors. There are accessible single-user (unisex) bathrooms (for student and staff use) available on the third, fourth, and fifth floors.</t>
  </si>
  <si>
    <t>Boys Bathrooms – First Floor and 310A</t>
  </si>
  <si>
    <t>Boys Bathrooms – Second, Fourth, and Fifth Floors</t>
  </si>
  <si>
    <t>Girls Bathrooms – First Floor, 309A, and Fourth Floor</t>
  </si>
  <si>
    <t>Girls Bathrooms – Second and Fifth Floors</t>
  </si>
  <si>
    <t>Single-User (Unisex) Bathrooms – Rooms 335, 421, 422, 456, and 556</t>
  </si>
  <si>
    <t>Fire alarm system has been upgraded and includes a strobe light feature. Holding rooms or areas of refuge have been specifically designated as rooms 213, 313, and 413.</t>
  </si>
  <si>
    <t>1434 Longfellow Avenue, Bronx, NY 10459</t>
  </si>
  <si>
    <t>The nearest accessible subway station is Simpson Street Station (2 and 5 trains), 0.6 miles distant. MTA bus service (Bx11) is also nearby. The main entrance is accessible (Exit 8). The accessible entrance includes a ramp, doorbell and reception. The doorbell is not within reach range (height 60 inches).</t>
  </si>
  <si>
    <t>Two passenger elevators provide access to every floor in the building. Elevators include audible signals on each floor.</t>
  </si>
  <si>
    <t>Rooms 125A, and 325</t>
  </si>
  <si>
    <t>Rooms 103, 211, and 323</t>
  </si>
  <si>
    <t>The auditorium is accessible and is located on the third floor. Stage access is provided via a lift. Accessible seating is provided. The cafeteria is accessible and is located on the first floor. The gymnasium is accessible and is located on the first floor. Assistive listening systems have been provided in the auditorium.</t>
  </si>
  <si>
    <t>There are accessible student bathrooms (girls and boys) available on the first, second, and fourth floors. There are accessible single-user (unisex) bathrooms (for student and staff use) available on the second, third and fourth floors.</t>
  </si>
  <si>
    <t>Rooms 121, 201C and 401C</t>
  </si>
  <si>
    <t>Bathrooms include automatic door openers and changing tables.</t>
  </si>
  <si>
    <t>Room 301C</t>
  </si>
  <si>
    <t>Rooms 123A, 201, and 401</t>
  </si>
  <si>
    <t>Rooms 201A, 201B, 301A, 301B, 401A and 401C</t>
  </si>
  <si>
    <t>Fire alarm system includes a strobe light feature. Holding rooms have been designated as rooms 202, 204, 302, 304, 402, and 404.</t>
  </si>
  <si>
    <t>This site includes central air. Air-conditioning units are also provided in classrooms.</t>
  </si>
  <si>
    <t>2400 Marion Avenue, Bronx, NY 10458</t>
  </si>
  <si>
    <t xml:space="preserve">The nearest accessible subway station is Kingsbridge Road Station (B and D trains), 0.6 miles distant. MTA bus service (Bx41, Bx1, and Bx2) is also nearby. The accessible entrance to X085 is not the same as the main entrance; the accessible entrance is located on East 187th Street (Exit 2). The accessible entrance does not include a doorbell, security cameras, or reception; visitors may need to contact site in advance to gain access to this facility through the accessible entrance. </t>
  </si>
  <si>
    <t>Door: 42 inches, Cab: 78 inches wide, 56 inches deep.</t>
  </si>
  <si>
    <t>The auditorium is accessible and is located on the first floor. Stage access is not provided. Accessible seating is not provided. The cafeteria is accessible and is located in the basement. The gymnasium is accessible and is located on the third floor. Assistive listening systems have not been provided in the public assembly areas.</t>
  </si>
  <si>
    <t xml:space="preserve">There are accessible student bathrooms (girls) available on the first and third floors. There are accessible single-user (unisex) bathrooms (for student and staff use) available on the third floor. </t>
  </si>
  <si>
    <t>Second and, Basement Floors</t>
  </si>
  <si>
    <t xml:space="preserve">Fire alarm system has been upgraded and includes a strobe light feature. Holding rooms have not been specifically designated. </t>
  </si>
  <si>
    <t>2756 Reservoir Avenue, Bronx, NY 10468</t>
  </si>
  <si>
    <t xml:space="preserve">The nearest accessible subway station is Fordham Road Station (4 train), 0.6 miles distant. MTA bus service (Bx32 and Bx22) is also nearby. The accessible entrance to X086 is not the same as the main entrance. The accessible entrance is located on Reservoir Avenue (Exit 8). The accessible entrance includes a doorbell and security cameras. The accessible entrance does not include reception. </t>
  </si>
  <si>
    <t>Ramp has some degradation, bevel in front of door may provide difficulty for some.</t>
  </si>
  <si>
    <t>Some hallway doors are heavy and without closers, which may be difficult for some users to navigate. Braille signs are not included anywhere in the building.</t>
  </si>
  <si>
    <t>Doors: 47 inches, Cabs: 93 inches wide, 58 inches deep.</t>
  </si>
  <si>
    <t xml:space="preserve">This site offers limited accessibility; all classrooms are accessible and are located on accessible routes. </t>
  </si>
  <si>
    <t>Rooms 209, and 407</t>
  </si>
  <si>
    <t>Room 357</t>
  </si>
  <si>
    <t>The auditorium is accessible and is located on the first floor. Stage access is not provided. Accessible seating is not provided. The cafeteria is accessible and is located on the first floor. The fifth-floor gymnasium is accessible. The third-floor gymnasium is not accessible. The multi-purpose rooms are accessible and are located on the first floor. Assistive listening systems have not been provided in the public assembly areas.</t>
  </si>
  <si>
    <t>Between Second and Third Floors</t>
  </si>
  <si>
    <t xml:space="preserve">Changes in elevation on the second floor (11 steps) and on the third floor (10 steps) prevent access. </t>
  </si>
  <si>
    <t>1116 Sheridan Avenue, Bronx, NY 10456</t>
  </si>
  <si>
    <t>The nearest accessible subway station is 161 Street Yankee Stadium Station (B and C trains), 0.7 miles distant. MTA bus service (Bx32 and Bx35) is also nearby. The accessible entrance to X090 is not the same as the main entrance; the accessible entrance is located on Sheridan Avenue. At the accessible entrance there is a doorbell, and security cameras. The doorbell has been installed out of reach range (height 64 inches).</t>
  </si>
  <si>
    <t>Very steep slope (10% Slope)</t>
  </si>
  <si>
    <t>Some water fountains and other wall-mounted objects protrude into the corridors more than 4 inches, which may present difficulties for individuals with visual disabilities. Braille signs are not included throughout the building. The mini school has a ramp with a very steep slope.</t>
  </si>
  <si>
    <t>Art Rooms – Rooms 215 and 315</t>
  </si>
  <si>
    <t>Main Office – Rooms 201 and 211</t>
  </si>
  <si>
    <t>Nurse’s Office- Room 162</t>
  </si>
  <si>
    <t>The auditorium is accessible and is located on the first floor. Stage access is provided via lift. Accessible seating is provided. The cafeteria is accessible and is located on the first floor. The gymnasiums are not accessible due to changes in elevation on the basement and third floors. Assistive listening systems have not been provided in the public assembly areas.</t>
  </si>
  <si>
    <t>Gymnasium – Basement, and Third Floors</t>
  </si>
  <si>
    <t>Boys Bathroom – Second Through Fourth Floors</t>
  </si>
  <si>
    <t>700 East 179 Street, Bronx, NY 10457</t>
  </si>
  <si>
    <t xml:space="preserve">The nearest accessible subway station is the East 180th Street Station (2 and 5 trains), 1.00 miles distant. MTA bus service (Bx17, Bx36, Bx40, and Bx42) is also nearby. The accessible entrance to X092 is not the same as the main entrance; the accessible entrance is located around the side of the building on East 179th Street (Exit 11).  The accessible entrance does not include a doorbell, reception, or security cameras. Visitors may need to contact site in advance to gain access to this facility through the accessible entrance. </t>
  </si>
  <si>
    <t>Rooms 205 and 429A</t>
  </si>
  <si>
    <t>Rooms 254 (12X595) and 417 (75X352)</t>
  </si>
  <si>
    <t>Rooms 256 and 460</t>
  </si>
  <si>
    <t xml:space="preserve">The auditorium is accessible and is located on the first floor. Stage access is not provided. Accessible seating is not provided. The cafeteria is accessible and is located on the first floor. The gymnasium is not accessible and is located on the third floor. The multi-purpose room is accessible and is located on the first floor. Assistive listening systems have not been provided in the public assembly spaces. </t>
  </si>
  <si>
    <t xml:space="preserve">Not on an accessible route. Changes in elevation (11 steps) prevent access. </t>
  </si>
  <si>
    <t>Rooms 258, 356, and 459</t>
  </si>
  <si>
    <t>Rooms 260, 358, and 457</t>
  </si>
  <si>
    <t>Rooms 150 and 351</t>
  </si>
  <si>
    <t xml:space="preserve">Holding rooms or areas of refuge have not been specifically designated.  </t>
  </si>
  <si>
    <t>3961 Hillman Avenue, Bronx, NY 10463</t>
  </si>
  <si>
    <t>The nearest accessible subway station is the 231st Street Station (1 train), 0.9 miles distant. MTA bus service (Bx10, Bx1, Bx2, and Bx10) is also nearby. The main entrance of X095 is accessible, located on Hillman Avenue (Exit 12). The accessible entrance includes a doorbell, reception, and security cameras. The doorbell is within reach range (height 48 inches).</t>
  </si>
  <si>
    <t>Changes of elevation on the third and fourth floors prevent access to some program areas.</t>
  </si>
  <si>
    <t xml:space="preserve">E1 and E2:
Doors: 47 inches, Cabs: 78 inches wide, 80 inches deep.
</t>
  </si>
  <si>
    <t>Rooms 2015, and 410</t>
  </si>
  <si>
    <t>Rooms 2002, and 308</t>
  </si>
  <si>
    <t>Rooms 352 (PS 95), and 1002 (ANS)</t>
  </si>
  <si>
    <t>Rooms B0089, and 101</t>
  </si>
  <si>
    <t>Rooms 4012, and 4020</t>
  </si>
  <si>
    <t>The auditorium is accessible and is located on the first floor. Accessible seating is not provided. Stage access is not provided. The cafeteria is accessible and is located in the basement. The gymnasiums are not accessible and are located on the third and fourth floors. The multi-purpose room is accessible and is located in the basement. Assistive listening systems have not been provided in the public assembly spaces.</t>
  </si>
  <si>
    <t>Change of elevation (3 steps) prevents access.</t>
  </si>
  <si>
    <t>Change of elevation (6 steps) prevents access.</t>
  </si>
  <si>
    <t>There are accessible student bathrooms (boys and girls) available on the second through fourth floors. There are accessible single-user (unisex) bathrooms (for student and staff use) available on all floors. There are accessible single-user (unisex) bathrooms (for student and staff use) available in six classrooms on the first floor.</t>
  </si>
  <si>
    <t>Rooms 2003, 3003 and 4003</t>
  </si>
  <si>
    <t>Rooms 2007, 3007 and 4007</t>
  </si>
  <si>
    <t>Classrooms 1011, 1012, 1013, 1015, 1018 and 1020</t>
  </si>
  <si>
    <t>Rooms, 1005, 2005, 3005 and 4005</t>
  </si>
  <si>
    <t>Fire alarm system has been upgraded and includes a strobe light feature. Holding rooms or areas of refuge have been specifically designated as rooms 1020, 2020, 3020, and 4020.</t>
  </si>
  <si>
    <t>2385 Olinville Avenue, Bronx, NY 10467</t>
  </si>
  <si>
    <t>The nearest accessible subway station is Pelham Parkway Station (2 and 5 trains), 0.2 miles distant. MTA bus service (Bx12, Bx22, Bx39, and BxM11) is also nearby. The main entrance is accessible, located on Olinville Avenue (Exit 6). The accessible entrance includes reception and security cameras. The accessible entrance does not include a doorbell.</t>
  </si>
  <si>
    <t>Remediates a change in elevation on third floor to provide access to the gymnasium.</t>
  </si>
  <si>
    <t>E1 and E2 Doors: 48 inches, Cabs: 63 inches wide, 84 inches deep.</t>
  </si>
  <si>
    <t>Art Rooms – Rooms 267 and 367</t>
  </si>
  <si>
    <t>Computer Rooms – Rooms 307 and 419</t>
  </si>
  <si>
    <t>Library – Room 206</t>
  </si>
  <si>
    <t>Nurse’s Office – Room 168</t>
  </si>
  <si>
    <t>Science Lab – Room 268</t>
  </si>
  <si>
    <t>The auditorium is accessible and is located on the first floor. Stage access is provided via lift. Accessible seating is provided. The cafeteria is accessible and is located in the basement. The gymnasium is accessible and is located on the third floor. Assistive listening systems have been provided in the cafeteria.</t>
  </si>
  <si>
    <t>Boys Bathrooms – Rooms C16B, 179, 157, 260, 279, 379, 359, and 459</t>
  </si>
  <si>
    <t>Girls Bathrooms – Rooms C16A, 175, 160, 262, 275, 358, and 460</t>
  </si>
  <si>
    <t>Single-User (Unisex) Bathrooms – Rooms C18, 173, 258, 273, 373, 356, and 457</t>
  </si>
  <si>
    <t>Single-User (Unisex) Bathrooms – Classrooms 172, 174, 270, 272, 274, and 276</t>
  </si>
  <si>
    <t>Fire alarm system has been upgraded and includes a strobe light feature. Holding rooms have been specifically designated as rooms 174, 255, 256, 267, 352A, 355, 367, 451, 455, and 459.</t>
  </si>
  <si>
    <t>This site includes central air in the 2016 addition. Temperature control units have been provided in classrooms. The original building does not include central air; Air-conditioning units have been provided in classrooms.</t>
  </si>
  <si>
    <t>1375 Mace Avenue, Bronx, NY 10469</t>
  </si>
  <si>
    <t xml:space="preserve">The nearest accessible subway station is the Gun Hill Road Station (5 train), 0.50 miles distant. MTA bus service (Bx26 and Bx31) is also nearby. The main entrance of X097 is accessible, located on Fish Avenue (Exit 1). The accessible entrance includes a doorbell, reception, a ramp, and security cameras. The doorbell is within reach range (height 48 inches).  </t>
  </si>
  <si>
    <t>In the original building some hallway doors are heavy and without closers, which may be difficult for some users to navigate. Braille signs are included throughout the new portion of the building but are missing throughout the original building</t>
  </si>
  <si>
    <t xml:space="preserve">E1 and E2 
Doors: 42 inches, Cabs: 91 inches wide, 63 inches deep. </t>
  </si>
  <si>
    <t>Room 261</t>
  </si>
  <si>
    <t xml:space="preserve">This site does not include an auditorium; the gymnasium fulfills this function. The gymnasium is accessible and is located on the third floor. Stage access is provided via lift. Accessible seating is provided. The cafeteria is accessible and is located on the first floor. Assistive listening systems have been provided in the cafeteria and gymnasium.  </t>
  </si>
  <si>
    <t>Rooms Café, 221B, 321B, and 421B</t>
  </si>
  <si>
    <t>Rooms 260</t>
  </si>
  <si>
    <t>Rooms Café, 221A, 321A, and 421A</t>
  </si>
  <si>
    <t>Rooms 258 and 358</t>
  </si>
  <si>
    <t>Lobby, 223A, 323A, and 423A</t>
  </si>
  <si>
    <t>This site includes central air in the new addition. Air-conditioning units have been provided in classrooms in the old building</t>
  </si>
  <si>
    <t>1180 Rev. J.A. Polite Ave., Bronx, NY 10459</t>
  </si>
  <si>
    <t>The nearest accessible subway station is the Simpson Street Station (2 and 5 trains), 0.5 miles distant. MTA bus service (Bx17 and Bx35) is also nearby. The main entrance of X099 is accessible, located on Rev James A Polite Avenue (Exit 1). The accessible entrance includes a ramp, reception, doorbell, and security cameras. The doorbell is located within reach range (Height 46 inches).</t>
  </si>
  <si>
    <t xml:space="preserve">Provides access over change of elevation on first floor. </t>
  </si>
  <si>
    <t xml:space="preserve">E1 
Doors: 35 inches, Cabs: 60 inches wide, 55 inches deep. </t>
  </si>
  <si>
    <t>Rooms 226 and 300</t>
  </si>
  <si>
    <t>Rooms 123, 229, and 244</t>
  </si>
  <si>
    <t>Rooms 108 and 246</t>
  </si>
  <si>
    <t>Rooms 256, 257, 322, and 323</t>
  </si>
  <si>
    <t>The auditorium is accessible and is located on the first floor. Stage access is provided via lift. Accessible seating is provided. The cafeteria is accessible and is located in the basement. The gymnasium is accessible and is located on the second floor. Assistive listening systems have been provided in the auditorium.</t>
  </si>
  <si>
    <t>Rooms 128, 234, and 308</t>
  </si>
  <si>
    <t>Rooms 132, 236, and 310</t>
  </si>
  <si>
    <t>Rooms 104, 130, 200, 261, and 325</t>
  </si>
  <si>
    <t xml:space="preserve">Fire alarm system has been upgraded and includes a strobe light feature. Holding rooms have been specifically designated as rooms 226, 245, 303, and 317. </t>
  </si>
  <si>
    <t>2750 Lafayette Avenue, Bronx, NY 10465</t>
  </si>
  <si>
    <t>The nearest accessible subway station is at Pelham Bay Park Station. (6), 2.1mi distant; MTA bus service (Bx5, Bx29, Bx12, Bx12-SBS, Bx23, and Q50) is also nearby. The accessible entrance to building X101 is the same as the main entrance (Exit 12); the main entrance is accessed via a ramp. At the main entrance there is a doorbell that is out of reach range (61 Inches).</t>
  </si>
  <si>
    <t xml:space="preserve">There is a temporary wooden ramp connecting the foyer to the classroom corridor. Change in elevation on the ground floor (3 steps); temporary ramp provides access. Braille signs are not provided throughout the building. </t>
  </si>
  <si>
    <t>Change in elevation on the ground floor (3 steps); temporary ramp provides access.</t>
  </si>
  <si>
    <t xml:space="preserve">This site does not include an elevator, prohibiting access to floors other than the first.  </t>
  </si>
  <si>
    <t xml:space="preserve">Change in elevation on the ground floor (3 steps); temporary ramp provides access. </t>
  </si>
  <si>
    <t xml:space="preserve">This site is moderately accessible; all classrooms located on the first floor are accessible and are located on accessible routes. </t>
  </si>
  <si>
    <t>Rooms B21A, and B44</t>
  </si>
  <si>
    <t>Rooms 104 (P010X) and 135 (P.S. 304)</t>
  </si>
  <si>
    <t>Room 303 (M.S. 101)</t>
  </si>
  <si>
    <t xml:space="preserve">Not on an accessible route </t>
  </si>
  <si>
    <t xml:space="preserve">The auditorium is accessible and is located on the first floor. Stage access is provided. Accessible seating is not provided. The cafeteria is not accessible and is located in the basement. The gymnasium is accessible and is located on the first floor. The multi-purpose room is not accessible and is located in the basement. Assistive listening systems have not been provided in the public assembly spaces. </t>
  </si>
  <si>
    <t xml:space="preserve">Stage access is provided. Accessible seating is not provided. </t>
  </si>
  <si>
    <t xml:space="preserve">Not on an accessible route. Accessible seating is available on request. </t>
  </si>
  <si>
    <t>Room B15, Second and Third Floors</t>
  </si>
  <si>
    <t xml:space="preserve">Room B15 is accessible but is not located on an accessible route. </t>
  </si>
  <si>
    <t>Room B9, Second and Third Floors</t>
  </si>
  <si>
    <t xml:space="preserve">Room B9 is accessible but is not located on an accessible route. </t>
  </si>
  <si>
    <t xml:space="preserve">The site does not include HVAC/Climate control; A/C units provided in classrooms. </t>
  </si>
  <si>
    <t>1827 Archer Street, Bronx, NY 10460</t>
  </si>
  <si>
    <t>The nearest accessible subway station is Pelham Bay Park Station (6 train), 2.2 miles distant. MTA bus (Bx39 and Q44-SBS) is also nearby. The accessible entrance to X102 is not the same as the main entrance. The accessible entrance is located on Taylor Avenue (Exit 14). The accessible entrance includes a ramp, doorbell, and security cameras. The doorbell is not within reach range (height 49 inches).</t>
  </si>
  <si>
    <t>Braille signage has been provided throughout the building.</t>
  </si>
  <si>
    <t>Door: 42 inches, Cab: 79 inches wide, 50 inches deep.</t>
  </si>
  <si>
    <t>Rooms 340, 342, 345, and 347</t>
  </si>
  <si>
    <t>Room 115,325, and 418</t>
  </si>
  <si>
    <t>The auditorium is accessible and is located on the first floor. Stage access is provided. Accessible seating is provided. The cafeteria is accessible and is located on the first floor. The gymnasium is accessible and is located on the fourth floor. Assistive listening systems have not been provided in the public assembly spaces.</t>
  </si>
  <si>
    <t xml:space="preserve">There are accessible student bathrooms (boys) available on the second through fourth floors. There are accessible student bathrooms (girls) available on all floors. There are accessible single-user (unisex) bathrooms (for student and staff use) available on all floors. </t>
  </si>
  <si>
    <t>First, Second, Third and Fourth Floor</t>
  </si>
  <si>
    <t>This site includes central air; temperature control units have been provided in classrooms.</t>
  </si>
  <si>
    <t>725 Brady Avenue, Bronx, NY 10462</t>
  </si>
  <si>
    <t xml:space="preserve">The nearest accessible subway station is the Pelham Parkway Station (2 and 5 trains), 0.40 miles distant. MTA bus service (Bx22 and Bx39) is also nearby. The accessible entrance to X105 is not the same as the main entrance; the accessible entrance is located on Holland Avenue (Exit 7). The accessible entrance does not include a doorbell, reception, or security cameras. Visitors may need to contact the site in advance to gain access to this facility through the accessible entrance. </t>
  </si>
  <si>
    <t xml:space="preserve">E1 
Doors: 35 inches, Cabs: 64 inches wide, 48 inches deep. </t>
  </si>
  <si>
    <t xml:space="preserve">The auditorium is not accessible and is located on the first floor. Stage access is provided via lift. Accessible seating is provided. The cafeteria is accessible and is located on the first floor. The gymnasium is not accessible and is located on the third floor. A change in elevation (11 steps) prevents access. Assistive listening systems have not been provided in the public assembly spaces. </t>
  </si>
  <si>
    <t xml:space="preserve">Stage access via lift. Accessible seating is provided.  </t>
  </si>
  <si>
    <t xml:space="preserve">Change in elevation.  </t>
  </si>
  <si>
    <t xml:space="preserve">This building is prevented from attaining a higher accessibility rating due to lack of accessible bathrooms throughout the building. There is an accessible student bathroom (boys) available on the first floor. There is an accessible student bathroom (girls) available on the third floor.    </t>
  </si>
  <si>
    <t>Rooms 220A, 360, and 459</t>
  </si>
  <si>
    <t>Rooms 162, 260, and 358</t>
  </si>
  <si>
    <t>Rooms 153, 155, 258, and 356</t>
  </si>
  <si>
    <t>Rooms 256, 260, 351, and 451</t>
  </si>
  <si>
    <t xml:space="preserve">This site include exterior recreational spaces. The exterior recreational spaces are accessible. </t>
  </si>
  <si>
    <t>1514 Olmstead Avenue, Bronx, NY 10462</t>
  </si>
  <si>
    <t xml:space="preserve">The nearest accessible subway station is the East 180th Street Station (2 and 5 trains), 1.2 miles distant. MTA bus service (Bx22 and Bx4A) is also nearby. The main entrance of X106 is accessible, located on Olmstead Avenue (Exit 1). The accessible entrance does include reception and security cameras. The accessible entrance does not include a doorbell. </t>
  </si>
  <si>
    <t xml:space="preserve">Located on the third floor, provides access to gymnasium. </t>
  </si>
  <si>
    <t xml:space="preserve">E1; Doors: 48 Inches, Cabs: 65 Inches wide, 79 Inches deep. 
E2; Doors: 48 Inches, Cab: 65 Inches wide, 79 Inches deep. </t>
  </si>
  <si>
    <t>Room 349</t>
  </si>
  <si>
    <t>Room 340</t>
  </si>
  <si>
    <t>Rooms 344, and 346</t>
  </si>
  <si>
    <t xml:space="preserve">The auditorium is accessible and is located on the first floor. Stage access is provided via lift. Accessible seating is provided. The cafeteria is accessible and is located on the first floor. The gymnasium is accessible via a lift and is located on the third floor. The multi-purpose room located on the first floor is accessible. Assistive listening systems have been provided in the auditorium and cafeteria. </t>
  </si>
  <si>
    <t xml:space="preserve">There are accessible student bathrooms (boys and girls) available on all floors. There are accessible single-user (unisex) bathrooms (for student and staff use) available on all floors.  There are accessible single-user (unisex) bathrooms (for student and staff use) available within some first- and second-floor classrooms.   </t>
  </si>
  <si>
    <t xml:space="preserve">Rooms 120, 220, 320, and 342 </t>
  </si>
  <si>
    <t>Rooms 124, 222, and 322</t>
  </si>
  <si>
    <t>Rooms 144, 108-2, 106, 104, 216, 229, 231, 252B, 316, and 347</t>
  </si>
  <si>
    <t>Classrooms 240A, 241A, 243A, 244A, 252A, 254A, 256A, 147A, and 145A</t>
  </si>
  <si>
    <t xml:space="preserve">Fire alarm system has been upgraded and includes a strobe light feature. Holding rooms have been specifically designated as rooms 349 and 245. </t>
  </si>
  <si>
    <t xml:space="preserve">This site includes central air within the addition constructed in 2015.  Within the original building, air-conditioning units are provided in classrooms. </t>
  </si>
  <si>
    <t>3740 Baychester Avenue, Bronx, NY 10466</t>
  </si>
  <si>
    <t>The nearest accessible subway station is the 233rd Street Station (2 and 5 trains), 0.07 miles distant. MTA bus service (Bx16 and Bx31) is also nearby. The main entrance of X111 is accessible, located on Baychester Avenue (Exit 3). The accessible entrance includes a doorbell and reception. The accessible entrance does not include security cameras. The doorbell is not within reach range (63 inches).Table and Notes:</t>
  </si>
  <si>
    <t>Computer Rooms – B25 and 308</t>
  </si>
  <si>
    <t>Library – Room 132</t>
  </si>
  <si>
    <t>Main Office – Room 138 (11X111)</t>
  </si>
  <si>
    <t>Main Office – Room 315 (84X718)</t>
  </si>
  <si>
    <t>Nurse’s Office – Room 142</t>
  </si>
  <si>
    <t>The auditorium is not accessible and is located in the basement. Stage access is provided via lift. Accessible seating is provided. The cafeteria is accessible and is located on the first floor. The gymnasium is accessible and is located on the first floor. Assistive listening systems have not been provided in the public assembly spaces.</t>
  </si>
  <si>
    <t>Only accessible if divider wall between Cafeteria and Gymnasium is open.</t>
  </si>
  <si>
    <t>Boys Bathrooms – Rooms B16, 116, 146, 216 and 316</t>
  </si>
  <si>
    <t>Girls Bathrooms – Rooms B24, 124, 148, 224 and 324</t>
  </si>
  <si>
    <t>Staff Bathrooms – Rooms B40 and B42</t>
  </si>
  <si>
    <t>Single-User (Unisex) Bathrooms – Rooms B20, 120, 122, 140C, 220, 222, 320 and 322</t>
  </si>
  <si>
    <t>Room 140C is located in the nurse’s office.</t>
  </si>
  <si>
    <t>3710 Barnes Avenue, Bronx, NY 10467</t>
  </si>
  <si>
    <t>The nearest accessible subway station is Gun Hill Road Station (2 train), 0.5 miles distant. MTA bus service (Bx8 and Bx39) is also nearby. The accessible entrance to X113 is not the same as the main entrance; the accessible entrance is located on Barnes Avenue. At the accessible entrance there is security cameras and a doorbell. The doorbell has been installed within reach range (Height 46 inches).</t>
  </si>
  <si>
    <t>A passenger elevator provides access to all floors. Elevators include audible signals on each floor.</t>
  </si>
  <si>
    <t>Doors: 48 inches, Cabs: 87 inches wide, 89 inches deep.</t>
  </si>
  <si>
    <t>This site is moderately accessible; all classrooms are accessible and located on accessible routes. The accessibility of this site is greatly lowered because there are no accessible restrooms for students or staff.</t>
  </si>
  <si>
    <t>Rooms 133, 227, 319, and 347</t>
  </si>
  <si>
    <t>Room 179</t>
  </si>
  <si>
    <t>The auditorium is accessible and is located on the first floor, no stage access is provided. Accessible seating is provided in the auditorium. The cafeteria is accessible and is located on the first floor. The gymnasium is accessible and is located on the third floor. Assistive listening systems have not been provided in the public assembly areas.</t>
  </si>
  <si>
    <t>This site is prevented from attaining a higher accessibility rating due to lack of accessible bathrooms throughout the building. There are accessible student bathrooms (boys) available on the first floor. There are accessible student bathrooms (girls) available on the second floor.</t>
  </si>
  <si>
    <t>Rooms 148, 160W, 248, 320, and 348</t>
  </si>
  <si>
    <t>Rooms 116, 160E, 340, and 344</t>
  </si>
  <si>
    <t>Rooms 126, 220, and 372</t>
  </si>
  <si>
    <t>Male Staff Bathroom</t>
  </si>
  <si>
    <t>Rooms 132, 244, 272, and 340</t>
  </si>
  <si>
    <t>Rooms 118, 140, and 240</t>
  </si>
  <si>
    <t>Rooms 238 and 312</t>
  </si>
  <si>
    <t>Out of Service</t>
  </si>
  <si>
    <t>1155 Cromwell Avenue, Bronx, NY 10452</t>
  </si>
  <si>
    <t>The nearest accessible subway station is the 161st Street – Yankee Stadium Station (B, D, and 4 trains), 0.60 miles distant. MTA bus service (Bx1, Bx2, and Bx35) is also nearby. The main entrance is not accessible due to 1 step (Exit 1). The main entrance includes a doorbell and reception. The doorbell is not within reach range (height 64 inches). This site does not include an accessible entrance.  </t>
  </si>
  <si>
    <t>Change in elevation (1 step) prevents access. </t>
  </si>
  <si>
    <t>Some door saddles are high, which may be difficult for some users to navigate. Some hallway doors are heavy and without closers, which may be difficult for some users to navigate. Some water fountains and other wall-mounted objects protrude in the corridors more than 4 inches, which may present difficulties for individuals with visual disabilities. Braille signs are not included throughout the building. </t>
  </si>
  <si>
    <t>This site does not include an elevator, preventing access to floors other than the first floor. </t>
  </si>
  <si>
    <t>This site is not accessible. All classrooms are not accessible and are not located along accessible routes.  </t>
  </si>
  <si>
    <t>Room 201/205</t>
  </si>
  <si>
    <t>Room 102-103</t>
  </si>
  <si>
    <t>Room G2</t>
  </si>
  <si>
    <t>The auditorium is not accessible and is located on the first floor. Stage access is not provided. Accessible seating is not provided. The cafeteria is not accessible and is located in the basement. The gymnasium is not accessible and is located between the second and third floors. Assistive listening systems have not been provided in the public assembly spaces. </t>
  </si>
  <si>
    <t>Not on an accessible route. Stage access is not provided. Accessible seating is not provided. </t>
  </si>
  <si>
    <t>Not on an accessible route. Accessible seating available upon request. </t>
  </si>
  <si>
    <t>Between Third and Fourth floors</t>
  </si>
  <si>
    <t>Rooms 110 and 218</t>
  </si>
  <si>
    <t>Rooms 100B and 104</t>
  </si>
  <si>
    <t>120 East 184 Street, Bronx, NY 10468</t>
  </si>
  <si>
    <t>The nearest accessible subway station is Fordham Road Station (4 train), 0.3 miles distant. MTA bus service (Bx1 and Bx2) is also nearby. The main entrance of X115 is accessible, located on East 184th Street (Exit 1). The accessible entrance does include a doorbell or security cameras. The doorbell is not within reach range (height 75 inches).</t>
  </si>
  <si>
    <t xml:space="preserve">Two passenger elevators provide access to all floors. Elevators include audible signals on each floor. A lift provides access from Field Place to the basement public assembly spaces and locker rooms. </t>
  </si>
  <si>
    <t xml:space="preserve">E1; Doors: 43 Inches, Cabs: 64 Inches wide, 51 Inches deep. 
E2; Doors: 32 Inches, Cabs: 64 Inches wide, 51 Inches deep. </t>
  </si>
  <si>
    <t>Slope requires handrails and level maneuvering clearances at auditorium entrance doors.</t>
  </si>
  <si>
    <t>Rooms 122, and 407</t>
  </si>
  <si>
    <t>Rooms 116 (Academy for Personal Leadership and Excellence)</t>
  </si>
  <si>
    <t>The auditorium is not accessible and is located on the first floor. Stage access is not provided. Accessible seating is not provided. The cafeteria is accessible and is located on the fifth floor. The gymnasium is accessible and is located in the basement. The pool is accessible and is located in the basement. Assistive listening systems have been provided in the auditorium.</t>
  </si>
  <si>
    <t>Ramp not accessible due to lack of maneuvering clearance at entry doors and handrails. Stage access is not provided. Accessible seating is not provided. Assistive listening systems have been provided.</t>
  </si>
  <si>
    <t xml:space="preserve">Lift from Field Place provides access. </t>
  </si>
  <si>
    <t>Room 004</t>
  </si>
  <si>
    <t xml:space="preserve">Located in the Basement Boys Locker Room. </t>
  </si>
  <si>
    <t>Rooms 410, 310, and 110</t>
  </si>
  <si>
    <t>Room 005</t>
  </si>
  <si>
    <t xml:space="preserve">Located in the Basement Girls Locker Room. </t>
  </si>
  <si>
    <t>Rooms 418, and 210</t>
  </si>
  <si>
    <t>Rooms 427, 401, 327, 301, 227, 201, and 127</t>
  </si>
  <si>
    <t>977 Fox Street, Bronx, NY 10459</t>
  </si>
  <si>
    <t>The nearest accessible subway station is Simpson Street (2 and 5 trains), 0.1 miles distant. MTA bus service (Bx4 and Bx4A) is also nearby. The accessible entrance to X116 is not the same as the main entrance. The accessible entrance is located on Tiffany Street (Exit 6). The accessible entrance includes security cameras and a doorbell. The doorbell is not within reach range (height 51.5 inches).</t>
  </si>
  <si>
    <t>Door: 41 inches, Cab: 52 inches wide, 64 inches deep.</t>
  </si>
  <si>
    <t>This site offers limited accessibility; all classrooms are located on accessible routes.</t>
  </si>
  <si>
    <t>Room 112, and 312</t>
  </si>
  <si>
    <t>Rooms 129, 301, and 406</t>
  </si>
  <si>
    <t>Room 144A</t>
  </si>
  <si>
    <t>Rooms 214, 216, 314, and 316</t>
  </si>
  <si>
    <t>The auditorium is accessible and is located on the first floor. Stage access is not provided. Accessible seating is not provided. The cafeteria is accessible and is located on the first floor. The gymnasium is accessible and is located on the second floor. Assistive listening systems have not been provided in the public assembly spaces.</t>
  </si>
  <si>
    <t>This site is prevented from attaining a higher accessibility rating due to lack of accessible bathrooms throughout the building. There is an accessible single-user (unisex) bathrooms (for student and staff use) available on the third floor.</t>
  </si>
  <si>
    <t>The school does not include central air. Air-conditioning units are provided in classrooms.</t>
  </si>
  <si>
    <t>577 East 179 Street, Bronx, NY 10457</t>
  </si>
  <si>
    <t xml:space="preserve">The nearest accessible subway station is East 180th Station (2 and 5 trains), 1.2 miles distant. MTA bus service (Bx36, Bx40, and Bx42) is also nearby. The accessible entrance to X118 is not the same as the main entrance; the accessible entrance is located on Lafontaine Avenue (Exit 7). The accessible entrance includes a ramp. The accessible entrance does not include a doorbell or security cameras. Visitors may need to contact site to gain access to this facility through the accessible entrance. </t>
  </si>
  <si>
    <t>Change of elevation (13 steps) third floor prevents access to come program areas.</t>
  </si>
  <si>
    <t>This site is moderately accessible, all classrooms are accessible and are located along accessible routes.</t>
  </si>
  <si>
    <t>The auditorium is accessible and is located on the first floor. Accessible seating is provided. Stage access is not provided. The cafeteria is accessible and is located in the basement. The fourth-floor gymnasium is accessible. The third-floor is not accessible. The multi-purpose room is accessible and is located on the first floor. Assistive listening systems have not been provided in the public assembly spaces.</t>
  </si>
  <si>
    <t>First Floor - Café</t>
  </si>
  <si>
    <t>Fire alarm system has been upgraded and includes a strobe light feature. Holding rooms or areas of refuge have been specifically designated; Rooms 423, 411, 323, 311, 223, and 211.</t>
  </si>
  <si>
    <t>1111 Pugsley Avenue, Bronx, NY 10472</t>
  </si>
  <si>
    <t>The nearest accessible subway station is the Hunts Point Avenue Station (6 train), 2.20 miles distant. MTA bus service (Bx36 and Bx39) is also nearby. The accessible entrance to X125 is not the same as the main entrance; the accessible entrance is located on Watson Avenue (Exit 10). The accessible entrance does not include a doorbell, reception, or security cameras. Visitors may need to contact site in advance to gain access to this facility through the accessible entrance.</t>
  </si>
  <si>
    <t>This site offers limited accessibility; all ground floor classrooms are accessible and are located along accessible routes.</t>
  </si>
  <si>
    <t>Basement, Second and Third Floors</t>
  </si>
  <si>
    <t>Room 111 (08X119)</t>
  </si>
  <si>
    <t>Room 219 (08X562)</t>
  </si>
  <si>
    <t>Rooms 243, 247, 326, and 343</t>
  </si>
  <si>
    <t>The auditorium is accessible and is located on the first floor. Stage access is provided via the hallway. Accessible seating is provided. The cafeteria is not accessible and is located in the basement. The gymnasium is not accessible and is located in the basement. Assistive listening systems have been provided in the auditorium, cafeteria, and gymnasium.</t>
  </si>
  <si>
    <t>Stage access via the hallway. Accessible seating is provided. Assistive listening systems have been provided.</t>
  </si>
  <si>
    <t>Rooms B26, B31B, 141, 241, and 341</t>
  </si>
  <si>
    <t>Rooms B28, B31D, 106, 223, and 323</t>
  </si>
  <si>
    <t>Rooms B39A, 118, and 137</t>
  </si>
  <si>
    <t>Room 137 is located in the SBST.</t>
  </si>
  <si>
    <t>Rooms 110, 208A, and 337</t>
  </si>
  <si>
    <t>Room 208A is located in Main Office of 75X012, room 208.</t>
  </si>
  <si>
    <t>1560 Purdy Street, Bronx, NY 10462</t>
  </si>
  <si>
    <t>The nearest accessible subway station is the East 180th Street Station (2 and 5 trains), 1.3 miles distant. MTA bus service (Bx22 and Bx4A) is also nearby. The accessible entrance to X127 is not the same as the main entrance; the accessible entrance is located on Castle Hill Avenue (Exit 15). The accessible entrance does not include a doorbell or security camera, visitors will need to call in advance in order to gain access to the facility.</t>
  </si>
  <si>
    <t>Doors: 35 Inches, Cab: 68 Inches wide, 51 Inches deep.</t>
  </si>
  <si>
    <t>Art Rooms – Room 236</t>
  </si>
  <si>
    <t>Computer Rooms – Room 149</t>
  </si>
  <si>
    <t>Library – Room 1B</t>
  </si>
  <si>
    <t>Main Office – Rooms 103 (11X127) and 200 (11X567)</t>
  </si>
  <si>
    <t>Science Lab – Room 152</t>
  </si>
  <si>
    <t>There are accessible student bathrooms (boys and girls) available on the first and third floors. There are no accessible staff bathrooms.</t>
  </si>
  <si>
    <t>Boys Bathrooms – Rooms 112 and 340</t>
  </si>
  <si>
    <t>Boys Bathrooms – Rooms B2, 210, 240 and 310</t>
  </si>
  <si>
    <t>Girls Bathrooms – Rooms 122 and 312</t>
  </si>
  <si>
    <t>Girls Bathrooms – Rooms B1, 244, 212 and 344</t>
  </si>
  <si>
    <t>2055 Mapes Avenue, Bronx, NY 10460</t>
  </si>
  <si>
    <t>The nearest accessible subway station is East 180th Street Station (2 and 5 trains), 0.9 miles distant. MTA bus service (Bx36 and Bx19) is also nearby. The accessible entrance to X129 is not the same as the main entrance; the accessible entrance is located on Mapes Avenue (Exit 17). The accessible entrance includes security cameras and a doorbell.</t>
  </si>
  <si>
    <t>Door: 39 Inches, Cab: 57 Inches wide, 78 Inches deep.</t>
  </si>
  <si>
    <t>Room 233, and 333</t>
  </si>
  <si>
    <t>Rooms 143 (MS 129, Kappa III)</t>
  </si>
  <si>
    <t>The auditorium is accessible and is located on the first floor. Stage access is provided. Accessible seating is provided. The cafeteria is accessible and is located on the first floor. The gymnasium is accessible and is located on the first floor. Assistive listening systems have been provided in the auditorium and cafeteria.</t>
  </si>
  <si>
    <t>This site is prevented from attaining a higher accessibility rating due of a lack of accessible bathrooms throughout the building.</t>
  </si>
  <si>
    <t>885 Bolton Avenue, Bronx, NY 10473</t>
  </si>
  <si>
    <t>The nearest accessible subway station is the Hunts Point Avenue Station (6 train), 1.90 miles distant. MTA bus service (Bx5, Bx36 and Bx39) is also nearby. The accessible entrance to X131 is not the same as the main entrance; the accessible entrance is located on Story Avenue (Exit 1). The accessible entrance does not include a doorbell, reception, or security cameras. Visitors may need to contact site in advance to gain access to this facility through the accessible entrance.</t>
  </si>
  <si>
    <t>Basement, Second, Third and Fourth Floors</t>
  </si>
  <si>
    <t>Room 109 (08X131)</t>
  </si>
  <si>
    <t>Room 316 (84X464)</t>
  </si>
  <si>
    <t>Rooms 230 and 240</t>
  </si>
  <si>
    <t>The auditorium is accessible and is located on the first floor. Stage access is provided via hallway. The cafeteria is accessible and is located on the first floor. The gymnasium is accessible and is located on the first floor. Assistive listening systems have been provided in the auditorium and gymnasium.</t>
  </si>
  <si>
    <t>Stage access is provided via hallway. Assistive listening systems have been provided.</t>
  </si>
  <si>
    <t>This building is prevented from attaining a higher accessibility rating due to lack of accessible bathrooms throughout the building. There is an accessible single-use (unisex) bathroom (for student and staff use) available on the first floor.</t>
  </si>
  <si>
    <t>Rooms 151, 224, 243, 324, and 422</t>
  </si>
  <si>
    <t>Rooms 149, 220, 241, 318, and 418</t>
  </si>
  <si>
    <t>Rooms 141, 143, 177, 179, 264, and 268</t>
  </si>
  <si>
    <t>Rooms 101B</t>
  </si>
  <si>
    <t>Room 101B is located in the nurse’s office.</t>
  </si>
  <si>
    <t>Rooms 314, 334, 414, and 414</t>
  </si>
  <si>
    <t>1245 Washington Avenue, Bronx, NY 10456</t>
  </si>
  <si>
    <t xml:space="preserve">The nearest accessible subway station is Simpson Street Station (2 and 5 trains), 1.1 miles distant. MTA bus service (Bx15 and Bx35) is also nearby. The accessible entrance to X132 is not the same as the main entrance; the accessible entrance is located on East 168th Street (Exit 7). The accessible entrance does not include security cameras, reception, or a doorbell. Visitors may need to contact the site in advance to gain access to the facility through the accessible entrance. </t>
  </si>
  <si>
    <t>Doors: 42 inches, Cab: 79 inches wide, 55 inches deep.</t>
  </si>
  <si>
    <t>Rooms 113, and 236</t>
  </si>
  <si>
    <t>Rooms 237</t>
  </si>
  <si>
    <t>The auditorium is accessible and is located in the basement. Stage access is provided via lift. Accessible seating is provided. The cafeteria is accessible and is located in the basement. The gymnasium is accessible and is located on the first floor. Assistive listening systems have not been provided in the public assembly spaces.</t>
  </si>
  <si>
    <t>There are accessible student bathrooms (boys) available in the basement and on the first floor. There are accessible student bathrooms (girls) available on all floors. There are accessible staff bathrooms (male and female) available on the first floor.</t>
  </si>
  <si>
    <t>Basement, and First Floor</t>
  </si>
  <si>
    <t>Rooms 133 and 134</t>
  </si>
  <si>
    <t>Fire alarm system has been upgraded and includes a strobe light feature. Holding rooms or areas of refuge have been specifically designated as rooms 136 and 239.</t>
  </si>
  <si>
    <t>750 Jennings Street, Bronx, NY 10459</t>
  </si>
  <si>
    <t xml:space="preserve">The nearest accessible subway station is the Simpson Street Station (2 and 5 trains), 0.70 miles distant. MTA bus service (Bx17, Bx21, and Bx35) is also nearby. The main entrance of X136 is accessible, located on Jennings Street (Exit 1). The accessible entrance includes a doorbell and reception. The doorbell is not within reach range (height 75 inches).  </t>
  </si>
  <si>
    <t xml:space="preserve">Doors: 47 inches, Cab: 66 inches wide, 93 inches deep. </t>
  </si>
  <si>
    <t xml:space="preserve">Rooms 222 and 316 </t>
  </si>
  <si>
    <t>Rooms 116 and 135</t>
  </si>
  <si>
    <t>Rooms 144, 146, 226, and 335A</t>
  </si>
  <si>
    <t xml:space="preserve">Fire alarm system has been upgraded and includes a strobe light feature. Holding rooms have been specifically designated as room 206A. </t>
  </si>
  <si>
    <t>2225 Webster Avenue, Bronx, NY 10457</t>
  </si>
  <si>
    <t>The nearest accessible subway station is Fordham Road Station (B and D trains), 0.6 miles distant; MTA bus service (Bx41) is also nearby. The main entrance is accessible, located on Folin Street (Exit 12). The accessible entrance includes wayfinding signs and security cameras.</t>
  </si>
  <si>
    <t>Door: 47 Inches, Cab: 67 Inches wide, 92 Inches deep.</t>
  </si>
  <si>
    <t>This site is moderately accessible; all classrooms are accessible and located on accessible routes. The third floor is the main program floor in this building.</t>
  </si>
  <si>
    <t>Rooms 218, and 433</t>
  </si>
  <si>
    <t>Rooms 316 (10X391), and
532 (10X225)</t>
  </si>
  <si>
    <t>Rooms 407, 409, 444,
448, 506, and 508</t>
  </si>
  <si>
    <t>The auditorium is accessible and is located on the second floor. Stage access is not provided. Accessible seating is provided. The cafeterias are accessible and are located on the fourth and fifth floors. The gymnasiums are accessible and are located on the third floor. Assistive listening systems have not been provided in the public assembly spaces.</t>
  </si>
  <si>
    <t>This site is prevented from attaining a higher accessibility rating due to lack of accessible bathrooms throughout the building. There are accessible student bathrooms (boys and girls) available in the student locker rooms on the third floor, which is the main program floor at this site.</t>
  </si>
  <si>
    <t>First, Second, Fourth, Fifth, and Sixth Floors</t>
  </si>
  <si>
    <t xml:space="preserve">Fire alarm system has been updated and includes strobe light feature. Holding rooms have been specifically designated as rooms 231, 331, 431, 531 and 631. </t>
  </si>
  <si>
    <t>916 Eagle Avenue, Bronx, NY 10456</t>
  </si>
  <si>
    <t>The nearest accessible subway station is the 161 Street – Yankee Stadium Station (B, D, and 4 trains), 1.10 miles distant. MTA bus service (Bx6, Bx13, Bx15, and Bx21) is also nearby. The accessible entrance to X140 is not the same as the main entrance; the accessible entrance is located on 163rd Street (Exits 7 and 8). The accessible entrance does not include a doorbell, reception, or security cameras. Visitors may need to contact site in advance to gain access to this facility through the accessible entrance.</t>
  </si>
  <si>
    <t>This site offers limited accessibility; two Pre-K classrooms located in the basement are accessible and are located along accessible routes.</t>
  </si>
  <si>
    <t>Rooms B10 and B12</t>
  </si>
  <si>
    <t>Rooms B24 and 320</t>
  </si>
  <si>
    <t>The auditorium is not accessible and is located on the basement floor. The cafeteria is not accessible and is located on the first floor. The gymnasium is not accessible and is located on the second floor. Assistive listening systems have not been provided in the public assembly spaces.</t>
  </si>
  <si>
    <t>This building is prevented from attaining a higher accessibility rating due to lack of accessible bathrooms throughout the building. There are single-user (unisex) bathrooms (for student and staff use) available within corresponding classrooms.</t>
  </si>
  <si>
    <t>Rooms 113, 213, and 313</t>
  </si>
  <si>
    <t>Rooms 109, 209, and 309</t>
  </si>
  <si>
    <t>Rooms A1 and A2</t>
  </si>
  <si>
    <t>Rooms 106, 208, and 308</t>
  </si>
  <si>
    <t>Classrooms B10 and B12</t>
  </si>
  <si>
    <t>660 West 237 Street, Bronx, NY 10463</t>
  </si>
  <si>
    <t>The nearest accessible subway station is at 231 Street Station (1 train), 1.1 miles distant. MTA bus service (Bx10, Bx20) is also nearby. The accessible entrance to X141 is not the same as the main entrance. The accessible entrance is located on Independence Avenue and includes security cameras. The accessible entrance does not include a doorbell. Visitors may need to contact site in advance to gain access to the facility through the accessible entrance.</t>
  </si>
  <si>
    <t>Interior signage with braille is included in the new addition to the building, but are needed throughout the older, original spaces.</t>
  </si>
  <si>
    <t>Door: 35 Inches, Cab: 56.5 Inches deep, 69 Inches Wide.</t>
  </si>
  <si>
    <t>Rooms 200, 300  and 302</t>
  </si>
  <si>
    <t>Rooms 123 and 232</t>
  </si>
  <si>
    <t>Rooms 244 and 338</t>
  </si>
  <si>
    <t>The auditorium is accessible and is located on the first floor. The auditorium does not provide accessible seating and stage access is not provided. The cafeteria is accessible and is in the basement. The gymnasium is accessible and is located on the first floor. Assistive listening systems have not been provided in the public assembly spaces.</t>
  </si>
  <si>
    <t>Fire alarm system has been upgraded and includes strobe light feature. Holding rooms have been specifically designated as rooms 174, 213, and 413.</t>
  </si>
  <si>
    <t>3750 Baychester Avenue, Bronx, NY 10466</t>
  </si>
  <si>
    <t>The nearest accessible subway station is 233rd Street Station (2 and 5 trains), 1.1 miles distant. MTA bus service (Bx16 and Bx31) is also nearby. The main entrance is not accessible. X142 does not include any accessible entrances.</t>
  </si>
  <si>
    <t>Computer Rooms – B53, 223</t>
  </si>
  <si>
    <t>Main Offices – Rooms 140 (11X355), 231 (11X529), 331 (11X532)</t>
  </si>
  <si>
    <t>Nurse’s Office – Rooms 128 and 130</t>
  </si>
  <si>
    <t>The auditorium is not accessible and is located on the first floor. Stage access is not provided. Accessible seating is not provided. The cafeteria is not accessible and is located on the basement floor. The gymnasium is not accessible and is located on the first floor. Assistive listening systems have been provided in the auditorium, gymnasium, and cafeteria.</t>
  </si>
  <si>
    <t>Accessible seating available upon request. Assistive listening systems have been provided. Change in elevation (8 steps) prevents access.</t>
  </si>
  <si>
    <t>Boys Bathrooms – Rooms B15, B43, 115, 215, and 315</t>
  </si>
  <si>
    <t>Girls Bathrooms – Rooms B11, B41, 111, 211, and 311</t>
  </si>
  <si>
    <t>Staff Bathrooms – Rooms B17, 117, 144, and 146</t>
  </si>
  <si>
    <t>Single-User (Unisex) Bathrooms – Rooms 217 and 317</t>
  </si>
  <si>
    <t>2545 Gunther Avenue, Bronx, NY 10469</t>
  </si>
  <si>
    <t xml:space="preserve">The nearest accessible subway station is the Pelham Bay Park Station (6 train), 1.2 miles distant; MTA bus service (Bx26, and Bx31) is also nearby. The accessible entrance to building X144 is not the same as the main entrance; the accessible entrance is located on Allerton Avenue (Exit 12). The accessible entrance includes a ramp and security cameras. The accessible entrance does not include a doorbell; visitors will need to contact the site prior to arrival. </t>
  </si>
  <si>
    <t>This site does not include an elevator, which prevents access to floors above and below the first floor.</t>
  </si>
  <si>
    <t>This site provides limited accessibility; it is prevented from obtaining a higher accessibility rating due to lack of an elevator, which restricts access to the first floor.</t>
  </si>
  <si>
    <t>Rooms 228, and 303</t>
  </si>
  <si>
    <t>Rooms 121, and 123 (11X144)</t>
  </si>
  <si>
    <t>Rooms 326 (84X484), and 426 (11X566)</t>
  </si>
  <si>
    <t>Rooms 438, 415, 417, 419, 421, 425, 428, 429, and 432</t>
  </si>
  <si>
    <t>The auditorium is not accessible and is located on the first floor. Stage access is provided. Accessible seating is not provided. The cafeteria spaces are accessible and are located on the first floor. The gymnasium is not accessible and is located on the first floor. Assistive listening systems have not been provided in the public assembly spaces.</t>
  </si>
  <si>
    <t>Clear opening less than 32 Inches. Stage access is provided. Accessible seating is not provided.</t>
  </si>
  <si>
    <t>Clear opening less than 32 Inches.</t>
  </si>
  <si>
    <t>This site is prevented from attaining a higher accessibility rating due to lack of accessible bathrooms throughout the building. There are accessible student bathrooms (boys and girls) available on the first floor. There are no accessible staff bathrooms available in the building.</t>
  </si>
  <si>
    <t>1000 Teller Avenue, Bronx, NY 10456</t>
  </si>
  <si>
    <t>The nearest accessible subway station is the 161 Street – Yankee Stadium Station (B, D, and 4 trains), 0.60 miles distant. MTA bus service (Bx32 and Bx41) is also nearby. The accessible entrance to X145 is not the same as the main entrance; the accessible entrance is located on Teller Avenue (Exit 2 and 3). The accessible entrance does not include a doorbell, reception, or security cameras; visitors may need to contact site in advance to gain access to this facility through the accessible entrance.</t>
  </si>
  <si>
    <t>This site occupies all floors of the building, which include the basement through fourth floors. This site does not include an elevator, preventing access to floors other than the first floor.</t>
  </si>
  <si>
    <t>Art Rooms – Rooms 203 and 352</t>
  </si>
  <si>
    <t>Classrooms – Rooms 131, 133, 135, 137, 139, 143, 145, and 146</t>
  </si>
  <si>
    <t>Library – Room 246</t>
  </si>
  <si>
    <t>Main Office – Rooms 106 (09X328), 323 (09X594), 346A (09X593), and 409 (84X380)</t>
  </si>
  <si>
    <t>Nurse’s Office – Room 145</t>
  </si>
  <si>
    <t>Science Lab – Room 309</t>
  </si>
  <si>
    <t>The auditorium is accessible and is located on the first floor. Stage access is provided via corridor. Accessible seating is not provided. The cafeteria is accessible and is located on the first floor. The gymnasium is accessible and is located on the first floor. Assistive listening systems have been provided in the auditorium.</t>
  </si>
  <si>
    <t>Boys Bathrooms – Rooms 125, 229, 325, and 427</t>
  </si>
  <si>
    <t>Girls Bathrooms – Rooms 127, 231, 327, and 425</t>
  </si>
  <si>
    <t>Staff Bathrooms – Rooms 111, 113, 235, 239, 331, 335, 431, and 435</t>
  </si>
  <si>
    <t>1600 Webster Avenue, Bronx, NY 10457</t>
  </si>
  <si>
    <t>The nearest accessible subway station is East 180 Street Station (2 and 5 trains), 2.0 miles distant. MTA bus service (Bx41 and Bx11) is also nearby. The main entrance is accessible, located on Webster Avenue. The accessible entrance includes a doorbell, reception, and security cameras. The doorbell is not within reach range (height 62 inches).</t>
  </si>
  <si>
    <t>Ramp is steep and does not provide level landing area before entrance.</t>
  </si>
  <si>
    <t>Doors: 48 inches, Cab: 77 inches wide, 55 inches deep.</t>
  </si>
  <si>
    <t>Rooms 114, and 132</t>
  </si>
  <si>
    <t>Rooms 235, and 427</t>
  </si>
  <si>
    <t>Main Office - Rooms 246 (09X339), and 440 (09X313)</t>
  </si>
  <si>
    <t>Rooms 237, 239, 339, 341, 435, and 437</t>
  </si>
  <si>
    <t>The auditorium is accessible and is located on the third floor. Stage access is not provided. Accessible seating is provided. The cafeteria is accessible and is located on the first floor. The gymnasium is accessible and is located on the first floor. Assistive listening systems have not been provided in the public assembly spaces.</t>
  </si>
  <si>
    <t>This site is prevented from attaining a higher accessibility rating due to lack of accessible bathrooms throughout the building. There are accessible student bathrooms (girls) available on all floors.</t>
  </si>
  <si>
    <t>Fire alarm system has been upgraded and includes a strobe light feature. Holding rooms or areas of refuge have been specifically designated as rooms 238, 338, and 438.</t>
  </si>
  <si>
    <t>250 East 156 Street, Bronx, NY 10451</t>
  </si>
  <si>
    <t>The nearest accessible subway station is East 158th Street Station (B and D trains), 0.5 miles distant. MTA bus service (Bx32) is also nearby. The main entrance is accessible, located on East 156th St. (Exit 13). The accessible entrance includes wayfinding signs and security cameras. The accessible entrance does not include a doorbell.</t>
  </si>
  <si>
    <t>Door: 48 inches, Cab: 54 inches wide, 90 inches deep.</t>
  </si>
  <si>
    <t>Art Room –Room 210</t>
  </si>
  <si>
    <t>Computer Rooms – Rooms 303 and 461</t>
  </si>
  <si>
    <t>Library – Room 245</t>
  </si>
  <si>
    <t>Main Office – Rooms 238 (J.H.S. 151), 265 (P.S./M.S. 31), and 421 (KIPP Academy)</t>
  </si>
  <si>
    <t>Nurse’s Office – Room 276</t>
  </si>
  <si>
    <t>Science Lab – Rooms 210, 302, 306, 334, 338, 355, and 363</t>
  </si>
  <si>
    <t>The auditorium is accessible and is located on the first floor. Stage access is provided. Accessible seating is not provided. The cafeteria is accessible and is located on the first floor. The gymnasium is accessible and is located on the first floor. Assistive listening systems have not been provided in the public assembly areas.</t>
  </si>
  <si>
    <t>Auditorium –First Floor</t>
  </si>
  <si>
    <t>Stage access is provided. Accessible seating is not</t>
  </si>
  <si>
    <t>Fire alarm system has been updated and includes strobe light feature. Holding rooms have been specifically designated as rooms 210, 310, and 410.</t>
  </si>
  <si>
    <t>1007 Evergreen Avenue, Bronx, NY 10472</t>
  </si>
  <si>
    <t>The nearest accessible subway station is Hunts Point Avenue Station (6 train), 0.6 miles distant; MTA bus service (Bx5) is also nearby. The accessible entrance to building X152 is not the same as the main entrance; the accessible entrance is located on Evergreen Avenue. (Exit 8). The accessible entrance includes wayfinding signs and security cameras. The accessible entrance does not include a doorbell. Visitors may need to contact the site in advance to gain access to the facility via the accessible entrance.</t>
  </si>
  <si>
    <t>Door: 36 Inches, Cab: 48 Inches deep, 79 Inches wide.</t>
  </si>
  <si>
    <t>Main Office – Rooms 133(PS 152), and
203G (P10X)</t>
  </si>
  <si>
    <t>The auditorium is accessible and is located on the first floor. Stage access is provided via lift. Accessible seating is not provided. The cafeteria is accessible and is located on the first floor. The gymnasium is accessible and is located on the first floor. Assistive listening systems have not been provided in the public assembly areas.</t>
  </si>
  <si>
    <t>Fire alarm system has not been updated and does not includes strobe light feature. Holding rooms have not been specifically designated at this site.</t>
  </si>
  <si>
    <t>650 Baychester Avenue, Bronx, NY 10475</t>
  </si>
  <si>
    <t>The nearest accessible subway station is at Pelham Bay Park Station (6 train), 2.2 miles distant. MTA bus service (Bx23, Bx28, Bx30, Bx38, and Q50) is also nearby. The main entrance to building X153 is accessible, located on Baychester Avenue. The accessible entrance includes wayfinding signage, a doorbell, and security cameras. The doorbell is not within reach range (height 66 inches).</t>
  </si>
  <si>
    <t>Building X153 is part of a larger educational complex and is physically connected to building X455 by accessible service tunnels located on the basement level. Building X153 provides access to buildings X178, X180, and X181 via these tunnels through building X455. Organizations at X153 utilize the gymnasiums at X455 for their programs. Some water fountains and other wall-mounted objects protrude into the corridors more than 4 inches, which may present difficulties for individuals with visual disabilities. Braille signs are not included throughout the building.</t>
  </si>
  <si>
    <t>Door: 41 Inches, deep 79.5 Inches, wide 50 Inches.</t>
  </si>
  <si>
    <t>Art Room – Rooms 160 and 364</t>
  </si>
  <si>
    <t>Computer Rooms – Rooms 338A and 354</t>
  </si>
  <si>
    <t>Library – Room 264</t>
  </si>
  <si>
    <t>Main Office – Rooms 111 (P.S. 153) and 342 (P.S. 176)</t>
  </si>
  <si>
    <t>Nurse’s Office – Rooms 272/273, and 372/373</t>
  </si>
  <si>
    <t>Science Lab – Room 254</t>
  </si>
  <si>
    <t>The cafeteria is accessible and is located on the first floor. The multi-purpose rooms are accessible and located on the second floor. Assistive listening systems have not been installed in the public assembly spaces.</t>
  </si>
  <si>
    <t>Multi-Purpose Room - Rooms 262/263 and 276/277</t>
  </si>
  <si>
    <t>There are accessible staff bathrooms (male and female) available on the first floor. There is an accessible single- user (unisex) bathroom (for student and staff use) available on the second floor.</t>
  </si>
  <si>
    <t>Fire alarm system has not been upgraded and does not include a strobe light feature. Holding rooms have been specifically designated as rooms 258 and 358.</t>
  </si>
  <si>
    <t>470 Jackson Avenue, Bronx, NY 10455</t>
  </si>
  <si>
    <t>The nearest accessible subway station is at 3rd Avenue – 149th Street Station (2 and 5 trains), 0.6 miles distant; MTA bus service (Bx17 and Bx19) is also nearby. The accessible entrance to X155 is not the same as the main entrance; the accessible entrance is located on Concord Avenue (Exit 5). The accessible entrance includes a ramp. The accessible entrance does not include a doorbell or security cameras; visitors should call in advance to gain access to the facility.</t>
  </si>
  <si>
    <t>This site is moderately accessible; all classrooms located on the first floor are accessible.</t>
  </si>
  <si>
    <t>Art Room – Room 108</t>
  </si>
  <si>
    <t>Computer Rooms – Rooms 221, and 350</t>
  </si>
  <si>
    <t>Library – Room 119</t>
  </si>
  <si>
    <t>Main Office – Room 340</t>
  </si>
  <si>
    <t>Science Lab – Room 300, 201, 203, 205A, 205B, 206, 215A, 215B, 217A, and 217B</t>
  </si>
  <si>
    <t>The auditorium is not accessible and is located in the basement. The cafeteria is not accessible and is located in the basement. The gymnasium is not accessible and is located in the basement. Assistive listening systems have not been provided in the public assembly spaces.</t>
  </si>
  <si>
    <t>There are accessible student bathrooms (boys and girls) available on the first floor. There are no accessible staff bathrooms available in the building.</t>
  </si>
  <si>
    <t>Boys Bathroom – Room 145</t>
  </si>
  <si>
    <t>Girls Bathroom – Room 141</t>
  </si>
  <si>
    <t>Fire alarm system has not been upgraded and does not include a strobe light feature. No holding rooms or areas of refuge have been specifically designated.</t>
  </si>
  <si>
    <t>750 Concourse Village West, Bronx, NY 10451</t>
  </si>
  <si>
    <t>The nearest accessible subway station is 149th Street Station (4 and 5 trains), 0.4 miles distant. MTA bus service (Bx1 and Bx2) is also nearby. The accessible entrance to X156 is not the same as the main entrance; the accessible entrance is located on Concourse Village West (Exit 8), via the courtyard. The accessible entrance includes security cameras and a doorbell. The doorbell is not within reach range (height 63 inches).</t>
  </si>
  <si>
    <t>Braille sings are not provided throughout the building.</t>
  </si>
  <si>
    <t>Door: 41 inches; Cab: 54 inches wide, 78 inches deep.</t>
  </si>
  <si>
    <t>Art Room –Room 247</t>
  </si>
  <si>
    <t>Computer Rooms – Room 334</t>
  </si>
  <si>
    <t>Main Office – Rooms 134 (84X389), 246 (07X359) and 350 (P017X @ P385X)</t>
  </si>
  <si>
    <t>Nurse’s Office – Rooms 317 and 356</t>
  </si>
  <si>
    <t>The auditorium is accessible and is located on the first floor. Stage access is provided. Accessible seating is provided. The cafeteria is accessible via the gymnasium and is located on the first floor. The gymnasium is accessible and is located on the first floor. Assistive listening systems have been provided in the auditorium.</t>
  </si>
  <si>
    <t>Accessible via gymnasium. Pathway to food service area does not provide clear width. Accessible seating available upon request.</t>
  </si>
  <si>
    <t>There are accessible student bathrooms (boys) available on all floors. There are accessible student bathrooms (girls) available on all floors. There are accessible staff bathrooms available on the second floor.</t>
  </si>
  <si>
    <t>Staff Bathrooms – Second Floor</t>
  </si>
  <si>
    <t>Fire alarm system includes a strobe light feature. Holding rooms or areas of refuge have been specifically designated as rooms 247 and 347.</t>
  </si>
  <si>
    <t>800 Home Street, Bronx, NY 10456</t>
  </si>
  <si>
    <t>The nearest accessible subway is Simpson Street Station (2 and 5 trains), 0.6 miles distant; MTA bus service (Bx17 and Bx21) is also nearby. The main entrance is accessible, located on Home Street. (Exit 1). The accessible entrance includes wayfinding signage and a ramp. The accessible entrance does not include a doorbell or security cameras. Visitors may need to contact site in advance to gain access to this facility through the accessible entrance.</t>
  </si>
  <si>
    <t>Some concrete degradation</t>
  </si>
  <si>
    <t>One passenger elevator provides service to all floors in the building. Elevator include audible signals on each floor.</t>
  </si>
  <si>
    <t>Door: 42 inches, Cab: 52 inches deep, 80 inches wide.</t>
  </si>
  <si>
    <t>This site is highly accessible; All classrooms are accessible and located on accessible routes.</t>
  </si>
  <si>
    <t>Art Room – Rooms 245 and 333A</t>
  </si>
  <si>
    <t>Main Office – Rooms 129, and 426</t>
  </si>
  <si>
    <t>Science Lab – Rooms 225, 227, 325, 331, 425, and 427</t>
  </si>
  <si>
    <t>The auditorium is accessible and is located on the second floor. Stage access is provided. Accessible seating is provided. The cafeteria is accessible and is located on the first floor. The gymnasium is accessible and is located on the ground floor. Assistive listening systems have not been installed in the public assembly areas.</t>
  </si>
  <si>
    <t>Stage access is provided. Accessible seating</t>
  </si>
  <si>
    <t>Cafeteria – First Floor (Large) and Room 108 (Small)</t>
  </si>
  <si>
    <t>There are accessible student bathrooms (girls and boys) available on the ground, first, second, and fourth floors.</t>
  </si>
  <si>
    <t>Fire alarm system has been updated and includes strobe light feature. Fire holding rooms have been designated: 324, and 424.</t>
  </si>
  <si>
    <t>This site does not include central air.</t>
  </si>
  <si>
    <t>4140 Hutchinson River Parkway East, Bronx, NY 10475</t>
  </si>
  <si>
    <t>The nearest accessible subway station is at Pelham Bay Park Station (6 train), 1.1 miles distant. MTA bus service (Bx23, Bx26, Bx28, Bx29, Bx30 and Q50) is also nearby. The accessible entrance to X160 is not the same as the main entrance. The accessible entrance is located adjacent to the main entrance (Exit 7). The accessible entrance includes wayfinding signs, a doorbell, and security cameras. The doorbell is within reach range (height 29 inches).</t>
  </si>
  <si>
    <t>Door: 41 Inches, Cab: 53 Inches deep, 78 Inches wide.</t>
  </si>
  <si>
    <t>Computer Rooms – Room 368</t>
  </si>
  <si>
    <t>Library – Rooms 228 and 322</t>
  </si>
  <si>
    <t>Main Office – Rooms 117 (75X168), 234 (11X160) and 326 (84X488)</t>
  </si>
  <si>
    <t>Nurse’s Office – Rooms 101 (75X168), 129 (11X160 and and 84X488)</t>
  </si>
  <si>
    <t>The auditorium is accessible and is located on the first floor. Stage access is provided. Accessible seating is not provided. The cafeteria is accessible and is located on the first floor. The gymnasium is accessible and is located on the first floor. Assistive listening systems have not been provided in the public assembly spaces.</t>
  </si>
  <si>
    <t>Cafeteria – First Floor (for Students and Staff)</t>
  </si>
  <si>
    <t>There are accessible student bathrooms (girls and boys) available on the first and third floors.</t>
  </si>
  <si>
    <t>Fire alarm system has been updated and includes strobe light feature. Holding rooms have been designated as rooms 121, 221 and 321.</t>
  </si>
  <si>
    <t>The site does not include central air; air-conditioning units have been provided in classrooms.</t>
  </si>
  <si>
    <t>628 Tinton Avenue, Bronx, NY 10455</t>
  </si>
  <si>
    <t>The nearest accessible subway station is the Simpson Street Station (2 and 5 trains), 1.00 miles distant. MTA bus service (Bx4, Bx17 and Bx19) is also nearby. The main entrance is accessible, located on Tinton Avenue (Exit 8). The accessible entrance includes a doorbell, reception, and security cameras. The doorbell is within reach range (height 51 inches).</t>
  </si>
  <si>
    <t>Ramp located at accessible entrance (Exit 8).</t>
  </si>
  <si>
    <t>One passenger elevator provides access to the first through fourth floors. Elevator includes audible signals on each floor. Vertical lift remediates changes in elevation on the first floor.</t>
  </si>
  <si>
    <t>E1 Doors: 42 inches, Cab: 61 inches wide, XX inches deep.</t>
  </si>
  <si>
    <t>Computer Room- Room 218</t>
  </si>
  <si>
    <t>Main Office – 118 (07X161) and Room 325B (75X017)</t>
  </si>
  <si>
    <t>The auditorium is accessible and is located on the first floor. Stage access is provided via corridor and lift. Accessible seating is provided. The cafeteria is accessible and is located on the first floor. The gymnasium is accessible and is located on the first floor. Assistive listening systems have been provided in the auditorium, cafeteria, and gymnasium.</t>
  </si>
  <si>
    <t>Boys Bathrooms – Rooms 140, 217, 317, and 417</t>
  </si>
  <si>
    <t>Girls Bathrooms – Rooms 134, 213, 313, and 413</t>
  </si>
  <si>
    <t>Staff Bathrooms – Rooms 224, 226, 242, and 426</t>
  </si>
  <si>
    <t>Single-User (Unisex) Bathrooms – Rooms 126, 128, 142, 220B, 320B, 320C, 324 and 420B</t>
  </si>
  <si>
    <t>Single-User (Unisex) Bathrooms – Classrooms 103, 105, 107, 109, and 111</t>
  </si>
  <si>
    <t>Fire alarm system has been upgraded and includes a strobe light feature. Holding rooms have been specifically designated as rooms 202, 220, 302, 320, 402, 420.</t>
  </si>
  <si>
    <t>600 Saint Ann'S Avenue, Bronx, NY 10455</t>
  </si>
  <si>
    <t>The nearest accessible subway station is Third Avenue – 149th Street Station (2 and 5 trains), 0.3 miles distant. MTA bus service (Bx4, Bx4A, and Bx19) is also nearby. The accessible entrance to X162 is not the same as the main entrance; the accessible entrance is located on Eagle Avenue (Exit 6). The accessible entrance includes wayfinding signs, a doorbell, and security cameras. The doorbell is within reach range (Height 46 inches).</t>
  </si>
  <si>
    <t>Door: 42 Inches, Cab: 56 Inches deep, 81 Inches wide.</t>
  </si>
  <si>
    <t>Rooms 133, and 353</t>
  </si>
  <si>
    <t xml:space="preserve">Rooms 218, 251, 318 and 413 </t>
  </si>
  <si>
    <t>Rooms 109, 123, 345 and 421</t>
  </si>
  <si>
    <t>Rooms 233, 329, 333, and 429</t>
  </si>
  <si>
    <t>The auditorium is accessible and is located on the second floor. Stage access is provided via a lift. Accessible seating is not provided. The cafeteria is accessible and is located on the first floor. The gymnasium is accessible and is located in the basement. Assistive listening systems have not been provided in the public assembly areas.</t>
  </si>
  <si>
    <t>Stage access is provided via a lift. Accessible seating is not provided.</t>
  </si>
  <si>
    <t xml:space="preserve">There are accessible student bathrooms (girls) available on all floors. </t>
  </si>
  <si>
    <t xml:space="preserve">Fire alarm system has been updated and includes strobe light feature. Holding rooms have been designated as rooms 202, 302, and 402. </t>
  </si>
  <si>
    <t>250 East 164 Street, Bronx, NY 10456</t>
  </si>
  <si>
    <t>The nearest accessible subway station is 161th Street – Yankee Stadium Station (B, D, and 4 trains), 0.40 miles distant. MTA bus service (Bx6, Bx13, and Bx32) is also nearby. The main entrance is accessible, located on 164th Street (Exit 1). The accessible entrance includes a reception and security cameras.</t>
  </si>
  <si>
    <t>Art Rooms – Rooms 343 and 409</t>
  </si>
  <si>
    <t>Computer Room – Room 120</t>
  </si>
  <si>
    <t>Library – Room 252</t>
  </si>
  <si>
    <t>Main Office – Room 102 (09X449), 314 (09X454), and 411 (09X324)</t>
  </si>
  <si>
    <t>Science Lab – Rooms 218, 220, 318, 320, 401, 418</t>
  </si>
  <si>
    <t>The auditorium is accessible and is located on the third floor. Stage access is not provided. Accessible seating is not provided. The cafeteria is accessible and is located on the first floor. The gymnasium is accessible and is located on the first floor. Assistive listening systems have not been provided in the public assembly spaces.</t>
  </si>
  <si>
    <t>Stage access not provided. Accessible seating is not provided.</t>
  </si>
  <si>
    <t>There are accessible student bathrooms (boys and girls) available on all floors. There are accessible single-user (unisex) bathrooms (for student and staff use) available on the fourth floor.</t>
  </si>
  <si>
    <t>Boys Bathrooms – Rooms - First Floor Locker Room, 141, 234, 334, and 438</t>
  </si>
  <si>
    <t>Boys Bathroom – Room 109</t>
  </si>
  <si>
    <t>Girls Bathrooms – Rooms - First Floor Locker Room, 143, 226, 324, and 428</t>
  </si>
  <si>
    <t>Staff Bathrooms – Rooms 117, 119, 224, 228, 321A, 321B, 326</t>
  </si>
  <si>
    <t>Single-User Bathrooms – Rooms 426 and 432</t>
  </si>
  <si>
    <t>1970 West Farms Road, Bronx, NY 10460</t>
  </si>
  <si>
    <t>The nearest accessible subway station is East 180th Street Station (2 and 5 trains), 0.4 miles distant. MTA bus service (Bx21 and Bx9) is also nearby. The main entrance is accessible, located on West Farms Road. The accessible entrance includes a doorbell, security cameras, and reception. The doorbell is not within reach range (height 68 inches).</t>
  </si>
  <si>
    <t>Lack of level landing at main entry.</t>
  </si>
  <si>
    <t>E1 and E2; Doors: 60 inches; Cabs: 87 inches wide, 73 inches deep.</t>
  </si>
  <si>
    <t>Art Room – Room 257</t>
  </si>
  <si>
    <t>Library – Room 231</t>
  </si>
  <si>
    <t>Main Office – Rooms 149 (12X214), and 354 (12X383)</t>
  </si>
  <si>
    <t>Nurse’s Office – Room 146</t>
  </si>
  <si>
    <t>Science Lab – Rooms 103, 105, 203, 205, 303, and 305</t>
  </si>
  <si>
    <t>The auditorium is accessible and is located on the second floor. A lift provides access to the seating area of the auditorium. Stage access is provided via lift. Accessible seating is provided. The cafeteria is accessible and is located on the first floor. The gymnasium is accessible and is located in the basement. Assistive listening systems have not been provided in the public assembly spaces.</t>
  </si>
  <si>
    <t>Stage access is provided via lift. Accessible seating are provided. Seating area is accessible via lift.</t>
  </si>
  <si>
    <t>There are accessible student bathrooms (girls and boys) available on the first through third floors. There are accessible staff bathrooms (male and female) available on all floors.</t>
  </si>
  <si>
    <t>3500 Edson Avenue, Bronx, NY 10466</t>
  </si>
  <si>
    <t>The nearest accessible subway station is 233rd Street Station (2 and 5 trains), 1.5 miles distant. MTA bus service (Bx11, Bx30, and Bx31) is also nearby. The main entrance is accessible, located on Edson Avenue (Exit 1). The accessible entrance includes a doorbell, reception, and security cameras. The doorbell is within reach range (height 48 inches).</t>
  </si>
  <si>
    <t>E1 and E2; Doors: 45 inches, Cabs: 60 inches wide, 100 inches deep.</t>
  </si>
  <si>
    <t>Art Rooms – Room 408</t>
  </si>
  <si>
    <t>Includes accessible single-user bathroom</t>
  </si>
  <si>
    <t>This site does not include an auditorium; the multi-purpose room fulfills this function. The multi-purpose room is accessible and is located on the second floor. The cafeteria is accessible and is located on the first floor. The gymnasium s accessible and is located on the first floor. Assistive listening systems have been provided in the multi- purpose room and cafeteria.</t>
  </si>
  <si>
    <t>Multi-Purpose Room - Second Floor</t>
  </si>
  <si>
    <t>There are accessible student bathrooms (boys and girls) available on the first, second, and fourth floors. There are accessible staff bathrooms (male and female) available on all floors. There are accessible single-user (unisex) bathrooms (for student and staff use) available on the first, second, and fourth floors. There are accessible single-user (unisex) bathrooms (for student and staff use) available in some classrooms on the second through fourth floors.</t>
  </si>
  <si>
    <t>Boys Bathrooms – Rooms 102B, 204, and 407</t>
  </si>
  <si>
    <t>Girls Bathrooms – Rooms 102A, 206, and 409</t>
  </si>
  <si>
    <t>Single-User (Unisex) Bathrooms – Rooms 105, 210, and 410</t>
  </si>
  <si>
    <t>Single-User (Unisex) Bathrooms – Classrooms 202 and 208, 301 and 303, 302 and 310, 309, 311, 313, 316, 404, 408, 415, and 416</t>
  </si>
  <si>
    <t>Fire alarm system has been upgraded and includes a strobe light feature. Holding rooms have been specifically designated as rooms, and 215, 316, and 416.</t>
  </si>
  <si>
    <t>1598 Townsend Avenue, Bronx, NY 10452</t>
  </si>
  <si>
    <t>The nearest accessible subway station is 161 Street – Yankee Stadium Station (4 train), 1.3 miles distant. MTA bus service (Bx1 and Bx2) is also nearby. The main entrance of X170 is not accessible, located on Townsend Avenue (Exit 1). The entrance doors do not provide a clear path (Doorway &lt; 32 Inches).</t>
  </si>
  <si>
    <t>Clear Path Not Provided - Entrance doors are less than 32 Inches.</t>
  </si>
  <si>
    <t>E1; Doors: 48 inches, Cabs: 65 inches wide, 62 inches deep.</t>
  </si>
  <si>
    <t>This site is not accessible; all classrooms are accessible but are not located on an accessible route. (The main entrance doorway does not provide a clear path.)</t>
  </si>
  <si>
    <t>Library – Room 304A</t>
  </si>
  <si>
    <t>Main Office – Room 123 and 209</t>
  </si>
  <si>
    <t>Nurse’s Office – Room 308</t>
  </si>
  <si>
    <t>This site does not include an auditorium; the cafeteria fulfills this function. Stage access is provided via a ramp. The cafeteria is not accessible due to its location on a non-accessible route. Assistive listening systems have not been provided in the public assembly spaces.</t>
  </si>
  <si>
    <t>Not located on an accessible route. Stage access via ramp. Accessible seating available upon request.</t>
  </si>
  <si>
    <t>The bathroom spaces are accessible but are not located on an accessible route (See pathway and entrance).</t>
  </si>
  <si>
    <t>Single-User (Unisex) Bathrooms – Rooms 105, 109, 110, 208, 301, 308</t>
  </si>
  <si>
    <t>Single-User (Unisex) Bathrooms – Classrooms 201, 210, 211, 216, 217, 316, 314, 309, 311, and 312</t>
  </si>
  <si>
    <t>Fire alarm system has been upgraded and includes a strobe light feature. Holding rooms have been specifically designated as rooms 216 and 316.</t>
  </si>
  <si>
    <t>1717 Fulton Avenue, Bronx, NY 10457</t>
  </si>
  <si>
    <t xml:space="preserve">The nearest accessible subway station is the Simpson Street Station (2 and 5 trains), 1.40 miles distant. MTA bus service (Bx15 and Bx17) is also nearby. The main entrance of X171 is accessible, located on Fulton Street (Exit 1). The accessible entrance includes a doorbell, reception, and security cameras. The doorbell is within reach range (height 34 inches).  </t>
  </si>
  <si>
    <t xml:space="preserve">Doors: 48 inches, Cab: 91 inches wide, 63 inches deep. </t>
  </si>
  <si>
    <t xml:space="preserve">This site does not include an auditorium or a gymnasium; the cafeteria fulfills these functions. The cafeteria is accessible and is located on the first floor. The cafeteria does not include a stage. Accessible seating is provided. Assistive listening systems have not been provided in the public assembly spaces. </t>
  </si>
  <si>
    <t>Rooms 113, 212, 313, and 314</t>
  </si>
  <si>
    <t xml:space="preserve">Multi-User - All Classrooms </t>
  </si>
  <si>
    <t xml:space="preserve">Fire alarm system has been upgraded and includes a strobe light feature. Holding rooms or areas of refuge have been specifically designated as rooms 211 and 307.  </t>
  </si>
  <si>
    <t>1399 Ogden Ave, Bronx, NY 10452</t>
  </si>
  <si>
    <t xml:space="preserve">The nearest accessible subway station is 161st Street – Yankees Stadium Station (B, D, and 4 trains), 1.20 miles distant. MTA bus service (Bx11, Bx13, and Bx35) is also nearby. The accessible entrance to X172 is not the same as the main entrance; the accessible entrance is located on West 171th Street (Exit 1).  The accessible entrance includes a doorbell and reception. The doorbell is within reach range (height 48 inches). The accessible entrance does not include security cameras.  </t>
  </si>
  <si>
    <t xml:space="preserve">Doors: 52 inches, Cab: 92 inches wide, 63 inches deep.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</si>
  <si>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are accessible multi-user (unisex) bathrooms (for student use) available in all classrooms throughout the building. </t>
  </si>
  <si>
    <t>Rooms 202, 203, 216, and 308</t>
  </si>
  <si>
    <t xml:space="preserve">Fire alarm system has been upgraded and includes a strobe light feature. Holding rooms have been specifically designated as room 314. </t>
  </si>
  <si>
    <t>1871 Walton Avenue, Bronx, NY 10453</t>
  </si>
  <si>
    <t xml:space="preserve">The nearest accessible subway station is the West Fordham Road Station (4 train), 1.1 miles distant. MTA bus service (Bx32) is also nearby. The main entrance of X173 is accessible, located on Walton Avenue (Exit 3). The accessible entrance includes a doorbell, reception, and security cameras. The doorbell is slightly out of reach range (Height 51 inches). </t>
  </si>
  <si>
    <t xml:space="preserve">Doors: 48 inches, Cab: 91 inches wide, 64 inches deep. </t>
  </si>
  <si>
    <t>Room C04</t>
  </si>
  <si>
    <t xml:space="preserve">This site does not include an auditorium; the cafeteria fulfills this function. The cafeteria is accessible and is located in the basement. Assistive listening systems have been provided in the cafeteria. </t>
  </si>
  <si>
    <t xml:space="preserve">There are accessible student bathrooms (boys and girls) available in the basement and first floor. There are accessible single-user (unisex) bathrooms (for student and staff use) available on all floors. There are accessible single-user (unisex) bathrooms (for student and staff use) available within certain classrooms on the first, second, and third floors.   </t>
  </si>
  <si>
    <t>Rooms C07 and 107</t>
  </si>
  <si>
    <t>Rooms C06 and 106</t>
  </si>
  <si>
    <t>Rooms C04B, 111, 207, and 306</t>
  </si>
  <si>
    <t>Classrooms 115, 116, 201, 202, 204, 208, 231, 214, 217, 218, 301, 302, 305A, 307A, 308A, 311A, 312A, and 313</t>
  </si>
  <si>
    <t xml:space="preserve">Fire alarm system has been upgraded and includes a strobe light feature. Holding rooms have been specifically designated as rooms 214 and 312. </t>
  </si>
  <si>
    <t>456 White Plains Road, Bronx, NY 10473</t>
  </si>
  <si>
    <t>The nearest accessible subway station is Hunts Point Avenue Station (6 train), 2.2 miles distant. MTA bus service (Bx39) is also nearby. The main entrance to building X174 is accessible, located on White Plains Road (Exit 10). The accessible entrance includes a ramp, security cameras, and reception. The accessible entrance does not include a doorbell.</t>
  </si>
  <si>
    <t>Braille signage is included throughout the building, but is degrading and needs replacing.</t>
  </si>
  <si>
    <t>One passenger elevator provides access to every floor. Elevator includes audible signals on each floor.</t>
  </si>
  <si>
    <t>Door: 35.5 Inches, Cab: 85 Inches deep, 61 Inches wide.</t>
  </si>
  <si>
    <t xml:space="preserve">This site offers limited accessibility, all classrooms are accessible and are located on accessible routes. </t>
  </si>
  <si>
    <t xml:space="preserve">Rooms 118, and 420 </t>
  </si>
  <si>
    <t>Rooms 102, 342, and 442</t>
  </si>
  <si>
    <t>Rooms 232, 236, 332, 336, 432, and 436</t>
  </si>
  <si>
    <t xml:space="preserve">The auditorium is accessible and is located on the second floor. Stage access is provided via a lift. Accessible seating is not provided. The cafeteria is accessible and is located on the first floor. The gymnasium is accessible and is located on the second floor. Assistive listening systems have not been provided in the public assembly spaces.  </t>
  </si>
  <si>
    <t>Accessible seating is available on request. Food service line does not provide clear path.</t>
  </si>
  <si>
    <t xml:space="preserve">This site is prevented from attaining a higher accessibility rating due to lack of accessible bathrooms throughout the building. There is an accessible student bathroom (girls) available on the third floor. </t>
  </si>
  <si>
    <t>Fire alarm system has been updated and includes strobe light feature. Holding rooms have not been specifically designated.</t>
  </si>
  <si>
    <t>200 City Island Avenue, Bronx, NY 10464</t>
  </si>
  <si>
    <t>The nearest accessible subway station is the Pelham Bay Park Station (6 train), 3.40 miles distant. MTA bus service (Bx29) is also nearby. The main entrance of X175 is accessible, located on City Island Avenue (Exit 1). The accessible entrance includes a doorbell and reception. The doorbell is not within reach range (height 65 inches).</t>
  </si>
  <si>
    <t>This site does not include an auditorium; the cafeteria fulfills this function. Accessible seating is provided. The cafeteria is accessible and is located on the first floor. The gymnasium is not accessible and is located on the first floor. Change in elevation prevents access (four steps) to gymnasium. Assistive listening systems have been provided in the cafeteria and gymnasium.</t>
  </si>
  <si>
    <t>Change of elevation prevents access (4 steps). Assistive listening systems have been provided.</t>
  </si>
  <si>
    <t>Rooms 121, 227, and 232</t>
  </si>
  <si>
    <t>Rooms 119, 228, and 233</t>
  </si>
  <si>
    <t>Rooms 117, 118, 207, and 208</t>
  </si>
  <si>
    <t>Room 100C</t>
  </si>
  <si>
    <t>Room 100C is located in the nurse’s office.</t>
  </si>
  <si>
    <t>Classrooms 113/114 and 115/116</t>
  </si>
  <si>
    <t>3177 Webster Avenue, Bronx, NY 10467</t>
  </si>
  <si>
    <t xml:space="preserve">The nearest accessible subway station is the Gun Hill Road Station (2 and 5 trains), 0.9 miles distant. MTA bus service (Bx41 and Bx41-SBS) is also nearby. The main entrance of X177 is accessible, located on Webster Avenue (Exit 1). The accessible entrance includes a doorbell, reception, and security cameras. The doorbell is located within reach range (Height 47 Inches). </t>
  </si>
  <si>
    <t xml:space="preserve">E1 and E2 
Doors: 48 inches, Cabs: 66 inches wide, 79 inches deep. </t>
  </si>
  <si>
    <t>Room 301 and 522</t>
  </si>
  <si>
    <t xml:space="preserve">This site does not include an auditorium; the gymnasium located on the second floor fulfills this function. The gymnasium is accessible and is located on the second floor. Stage access is provided via lift. Accessible seating is provided. There is also another gymnasium that is accessible and located on the fourth floor.  The cafeteria is accessible and is located on the first floor. Assistive listening systems have been provided in the cafeteria and gymnasiums.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</si>
  <si>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are accessible single-user (unisex) bathrooms (for student and staff use) available in some classrooms on the second and third floors.   </t>
  </si>
  <si>
    <t>Rooms 123B, 218, 318, 418, and 518</t>
  </si>
  <si>
    <t>Rooms 123A, 214, 314, 414, and 514</t>
  </si>
  <si>
    <t>Rooms 116, 210, 307, 422, and 509</t>
  </si>
  <si>
    <t>Classrooms 201 and 203, 202 and 206, 208, 301, 302, 303, 304, 324, and 326</t>
  </si>
  <si>
    <t xml:space="preserve">Fire alarm system has been upgraded and includes a strobe light feature. Holding rooms have been specifically designated as rooms 202, 302, 402, and 502. </t>
  </si>
  <si>
    <t>850 Baychester Avenue, Bronx, NY 10475</t>
  </si>
  <si>
    <t>The nearest accessible subway station is Pelham Bay Park Station (6 train), 2.2 miles distant. MTA bus service (Bx23, Bx28, Bx30, Bx38, and Q50) is also nearby. The main entrance is accessible, located on Baychester Avenue. The accessible entrance includes security cameras and a doorbell. The doorbell is not within reach range (height 66 inches).</t>
  </si>
  <si>
    <t>Steep bevel at main entry.</t>
  </si>
  <si>
    <t>Building X178 is part of a larger educational complex and is physically connected to building X455 by accessible service tunnels located on the basement level. Building X178 provides access to buildings X153, X180, and X181 via these tunnels through building X455. Organizations at X178 utilize the gymnasiums at X455 for their programs. Some water fountains and other wall-mounted objects protrude into the corridors more than 4 inches, which may present difficulties for individuals with visual disabilities. Braille signs are not included throughout the building.</t>
  </si>
  <si>
    <t>There is an elevator on site providing access to all floors. Elevator includes audible signals on each floor.</t>
  </si>
  <si>
    <t>Door: 41 Inches, 79.5 inches deep, 49 inches wide.</t>
  </si>
  <si>
    <t>Art Room – Room 254</t>
  </si>
  <si>
    <t>Computer Rooms – Rooms 258, and 324</t>
  </si>
  <si>
    <t>Library – Room 364</t>
  </si>
  <si>
    <t>Main Office – Rooms 111 (P.S. 178), and 157 (P.S. 176)</t>
  </si>
  <si>
    <t>Nurse’s Office – Rooms 273, and 373</t>
  </si>
  <si>
    <t>This site does not include an auditorium or a gymnasium; the multi-purpose room fulfils these functions. The multi- purpose room is accessible and is located on the second floor. Stage access is not provided. Accessible seating is provided. The cafeteria is accessible and is located on the first floor. Assistive listening systems have not been provided in the public assembly areas.</t>
  </si>
  <si>
    <t>Multi-Purpose Room - Rooms 264, and 276/277</t>
  </si>
  <si>
    <t>There are accessible single‐user (unisex) bathrooms (for student and staff use) available all floors.</t>
  </si>
  <si>
    <t>Fire alarm system does not include a strobe light feature. Holding rooms or areas of rescue assistance have not been specifically designated.</t>
  </si>
  <si>
    <t>The site does not include HVAC/Climate control; A/C units have been provided in classrooms.</t>
  </si>
  <si>
    <t>700 Baychester Avenue, Bronx, NY 10475</t>
  </si>
  <si>
    <t>The nearest accessible subway station is Pelham Bay Park Station (6 train), 2.2 miles distant. MTA bus service (Bx23, Bx28, Bx30, Bx38, and Q50) is also nearby. The main entrance to building X180 is accessible, located on Baychester Avenue (Exit 4). The accessible entrance includes security cameras and a doorbell. The doorbell is not within reach range (height 66 inches).</t>
  </si>
  <si>
    <t>One passenger elevator provides access to the ground through second floors. Elevator includes audible signals on each floor.</t>
  </si>
  <si>
    <t>Lift provides access to gymnasium.</t>
  </si>
  <si>
    <t>Door: 40 inches, Cab: 70 inches wide, 55 inches deep.</t>
  </si>
  <si>
    <t>Art Room – Room C58</t>
  </si>
  <si>
    <t>Computer Rooms – Rooms 164 and 264</t>
  </si>
  <si>
    <t>Library – Room 187</t>
  </si>
  <si>
    <t>Nurse’s Office – Room 186</t>
  </si>
  <si>
    <t>Science Lab – Rooms C60, C33, C35 and C58</t>
  </si>
  <si>
    <t>This site does not include an auditorium; the black box theatre fulfills this function. The theatre is accessible and is located on the ground floor. Stage access is not provided. Accessible seating is provided. The cafeterias are accessible and are located on the ground floor. The gymnasium is accessible and is located on the ground floor. Assistive listening systems have not been provided in the public assembly spaces.</t>
  </si>
  <si>
    <t>Cafeteria – Ground Floor: Cafeteria A and B</t>
  </si>
  <si>
    <t>Lift provides access. Assistive listening systems have not been provided.</t>
  </si>
  <si>
    <t>Multi-Purpose Room – Black Box Theatre – Room 176</t>
  </si>
  <si>
    <t>There are accessible student bathrooms (boys and girls) available on the ground and second floors. There is an accessible single-user (unisex) bathrooms (for student and staff use) available on the ground floor.</t>
  </si>
  <si>
    <t>Boys Bathrooms – C11, C62, and 256</t>
  </si>
  <si>
    <t>Boys Bathrooms – 137, 154, and 237</t>
  </si>
  <si>
    <t>Girls Bathrooms – C42 and 254</t>
  </si>
  <si>
    <t>Girls Bathrooms – C68, 138, 156, and 238</t>
  </si>
  <si>
    <t>Staff Bathrooms – C40, 158, 219, and 258</t>
  </si>
  <si>
    <t>Single-User (Unisex) Bathrooms – Room C49</t>
  </si>
  <si>
    <t>Fire alarm system does not include a strobe light feature. Holding rooms have not been specifically designated at this site.</t>
  </si>
  <si>
    <t>800 Baychester Avenue, Bronx, NY 10475</t>
  </si>
  <si>
    <t>The nearest accessible subway station is Pelham Bay Park Station (6 train), 2.2 miles distant. MTA bus service (Bx23, Bx28, Bx30, Bx38, and Q50) is also nearby. The main entrance is accessible, located on Donizetti Place (Exit 4). The accessible entrance includes security cameras and a doorbell. The doorbell is not within reach range (Height 66 inches).</t>
  </si>
  <si>
    <t>Building X181 is part of a larger educational complex and is physically connected to building X455 by accessible service tunnels located on the basement level. Building X180 provides access to buildings X153, X178, and X180 via these tunnels through building X455. Organizations at X181 utilize the gymnasiums at X455 for their programs. Some water fountains and other wall-mounted objects protrude in the corridors more than 4 inches, which may present difficulties for individuals with visual disabilities. Braille sings are not provided throughout the building.</t>
  </si>
  <si>
    <t>Art Room – Rooms 36 (11X181), and 281 (75X176)</t>
  </si>
  <si>
    <t>Computer Rooms – Rooms 164 and 264 (I.S. 181) and 280 (P.S. 176)</t>
  </si>
  <si>
    <t>Accessible Accessible Accessible Accessible</t>
  </si>
  <si>
    <t>Science Lab – Rooms 35,</t>
  </si>
  <si>
    <t>This site does not include an auditorium or a gymnasium. The cafeterias are accessible and are located in the cellar. Assistive listening systems have not been provided in the cafeteria.</t>
  </si>
  <si>
    <t>Cafeterias – Cellar</t>
  </si>
  <si>
    <t>Girls Bathroom – First and Second Floor</t>
  </si>
  <si>
    <t>Fire alarm system does not include a strobe light feature. Holding or fire safety rooms have not been specifically designated at this site.</t>
  </si>
  <si>
    <t>The site does not include HVAC/Climate control. Air-conditioning units have been provided in classrooms.</t>
  </si>
  <si>
    <t>339 Morris Avenue, Bronx, NY 10451</t>
  </si>
  <si>
    <t>The nearest accessible subway station is Third Avenue – 138th Street Station (6 train), 0.2 miles distant. MTA bus service (Bx32) is also nearby. The main entrance is accessible, located on Morris Avenue (Exit 5). The accessible entrance includes security cameras and a doorbell. The doorbell is not within reach range (54 inches).</t>
  </si>
  <si>
    <t>Braille signs are not provided throughout the school.</t>
  </si>
  <si>
    <t>Door: 43.5 inches, Cab: 80 inches deep, 55 inches wide.</t>
  </si>
  <si>
    <t>Art Room – Room 136</t>
  </si>
  <si>
    <t>Computer Rooms – Room 430</t>
  </si>
  <si>
    <t>Library – Rooms 142 and 323</t>
  </si>
  <si>
    <t>Main Office – Rooms 119, 222, 347, and 423</t>
  </si>
  <si>
    <t>Nurse’s Office – Rooms 208 and 457</t>
  </si>
  <si>
    <t>Science Lab – Rooms 134, 330, 342, and 354</t>
  </si>
  <si>
    <t>The auditorium is accessible and is located on the second floor. Stage access is provided. Accessible seating is not provided. The cafeteria is accessible and is located on the first floor. The gymnasium is accessible and is located on the first floor. Assistive listening systems have not been provided in the public assembly areas.</t>
  </si>
  <si>
    <t>Accessible seating available upon request. Food Service line does not provide clear path.</t>
  </si>
  <si>
    <t>There are accessible student bathrooms (girls and boys) available on the first floor. There are accessible single-user (unisex) bathrooms (for student and staff use) available on the fourth floor.</t>
  </si>
  <si>
    <t>Girls Bathroom –Room 145</t>
  </si>
  <si>
    <t>Girls Bathroom – Second Floor, Third Floor, and Fourth Floor</t>
  </si>
  <si>
    <t>Single-User (Unisex) Bathroom – Fourth Floor adjacent to Room 450</t>
  </si>
  <si>
    <t>This site does not include central air. Air-conditioning units have been provided in classrooms. The auditorium, cafeteria, and gymnasium are air-conditioned.</t>
  </si>
  <si>
    <t>778 Forest Avenue, Bronx, NY 10456</t>
  </si>
  <si>
    <t>The nearest accessible subway station is Third Avenue – 149th Street Station (2 and 5 trains), 0.8 miles distant. MTA bus service (Bx4 and Bx4A) is also nearby. The main entrance is accessible, located on Forest Avenue (Exit 1). The accessible entrance includes security cameras.</t>
  </si>
  <si>
    <t>Door: 47 inches, Cab: 49 inches deep, 57 inches wide.</t>
  </si>
  <si>
    <t>Art Room – Room 219</t>
  </si>
  <si>
    <t>Computer Rooms – Rooms 125, 214, 307, 321, and 419A</t>
  </si>
  <si>
    <t>Main Office – Rooms 142, 201, 328, and 428</t>
  </si>
  <si>
    <t>Nurse’s Office – Rooms 110 and 409G</t>
  </si>
  <si>
    <t>Science Lab – Rooms 216, 218, 318, and 320</t>
  </si>
  <si>
    <t>The auditorium is accessible and is located on the first floor. Stage access is provided via a lift. Accessible seating is not provided. The cafeteria is accessible and is located on the first floor. The gymnasium is accessible and is located on the first floor. Assistive listening systems have not been provided in the public assembly areas.</t>
  </si>
  <si>
    <t>Accessible seating available upon request. Food service line does not provide clear path</t>
  </si>
  <si>
    <t>This site is prevented from attaining a higher accessibility rating due to lack of accessible bathrooms throughout the building. There is an accessible student bathroom (girls) located on the first floor.</t>
  </si>
  <si>
    <t>Girls Bathroom – Room 146</t>
  </si>
  <si>
    <t>Fire Alarm System has been updated and includes strobe light feature. Holding rooms or areas of refuge have not been specifically designated.</t>
  </si>
  <si>
    <t>This site does not have HVAC/climate control. Air-conditioning units are provided in classrooms.</t>
  </si>
  <si>
    <t>3441 Steenwick Avenue, Bronx, NY 10475</t>
  </si>
  <si>
    <t>The nearest accessible subway station is Gun Hill Road Station (2 and 5 trains), 2.2 miles distant. MTA bus service (Bx16, and Bx30) is also nearby. The main entrance is accessible, located on Steenwick Avenue (Exit 2). The accessible entrance includes a doorbell, reception, and security cameras. The doorbell is within reach range (height 46 inches).</t>
  </si>
  <si>
    <t>E1 and E2 Doors: 47 inches, Cabs: 66 inches wide, 100 inches deep.</t>
  </si>
  <si>
    <t>Library – Room 324</t>
  </si>
  <si>
    <t>Main Office – Rooms 108 (75X723), 122 (11X189), and 422 (11X462)</t>
  </si>
  <si>
    <t>Nurse’s Office – Rooms 127 (11X189 and 11X462), and 225 (75X723)</t>
  </si>
  <si>
    <t>Science Lab – Rooms 313, 413, and 427</t>
  </si>
  <si>
    <t>The auditorium is accessible and is located on the first floor. Stage access is provided via a ramp. Accessible seating is provided. The cafeteria is accessible and is located on the first floor. The gymnasium is accessible and is located on the first floor. Assistive listening systems have been provided in the auditorium, cafeteria, and gymnasium.</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</si>
  <si>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second floor.</t>
  </si>
  <si>
    <t>Boys Bathrooms – Rooms 107, 129, 207, 307, and 407</t>
  </si>
  <si>
    <t>Girls Bathrooms – Rooms 109, 137, 209, 309, and 409</t>
  </si>
  <si>
    <t>Single-User (Unisex) Bathrooms – Rooms 131, 135, 231, 233, 331, 333, 431, and 433</t>
  </si>
  <si>
    <t>Single-User (Unisex) Bathrooms – Classrooms 201 and 203, 202, 204, 213 and 215, 220, 222, 224, 226, 228, 234, 236, 239, and 241</t>
  </si>
  <si>
    <t>Fire alarm system has been upgraded and includes a strobe light feature. Holding rooms have been specifically designated as rooms 220, 310, and 410.</t>
  </si>
  <si>
    <t>650 Hollywood Avenue, Bronx, NY 10465</t>
  </si>
  <si>
    <t>The nearest accessible subway station Pelham Bay Park Station (6 train), 2.0 miles distant. MTA bus (Bx8 and BxM9) is also nearby. The accessible entrance to X192 is not the same as the main entrance. The accessible entrance is located on Randall Avenue (Exit 2). The accessible entrance includes a ramp and security cameras. The accessible entrance does not include a doorbell; visitors may need to call in advance to gain access to the facility via the accessible entrance.</t>
  </si>
  <si>
    <t>Door: 47 inches, Cab: 59 inches wide, 78 inches deep.</t>
  </si>
  <si>
    <t>Rooms 210, 234, and 418</t>
  </si>
  <si>
    <t>Rooms 212, 310 and 410, 210, 312, and 412</t>
  </si>
  <si>
    <t>The auditorium is accessible and is located on the first floor. Stage access is provided via corridor. Accessible seating is provided. The cafeteria is accessible and is located on the first floor. The gymnasium is accessible and is located on the first floor. Assistive listening systems have been provided in the auditorium.</t>
  </si>
  <si>
    <t>There are accessible student bathrooms (boys) available on the first, second, and fourth floors. There are accessible student bathrooms (girls) available on the first through fourth floors.</t>
  </si>
  <si>
    <t>Fire alarm system include strobe lights. Holding rooms or areas of refuge have not been specifically designated.</t>
  </si>
  <si>
    <t>The school does include central air. Air conditioning units have been provided in classrooms.</t>
  </si>
  <si>
    <t>1919 Prospect Avenue, Bronx, NY 10457</t>
  </si>
  <si>
    <t>The nearest accessible subway station is East 180th Street (2 and 5 trains), 1.1 miles distant. MTA bus service (Bx40 and Bx42) is also nearby. The main entrance is accessible, located on Prospect Avenue (Exits 1 and 2). The accessible entrance includes a ramp, reception, security cameras and a doorbell. The doorbell is not within reach range (height 61 inches).</t>
  </si>
  <si>
    <t>Door: 41 inches, Cab: 47 inches wide, 78 inches deep.</t>
  </si>
  <si>
    <t>Computer Rooms – Rooms 237, 401H, and 434</t>
  </si>
  <si>
    <t>Main Office – Rooms 137, 341, and 417</t>
  </si>
  <si>
    <t>Nurse’s Office – Room 131 and 401B</t>
  </si>
  <si>
    <t>Science Lab – Rooms 221 and 227</t>
  </si>
  <si>
    <t>The auditorium is accessible and is located on the first floor. Stage access is provided. Accessible seating is provided. The cafeteria is accessible and located on the first floor. The gymnasium is accessible and located on the second floor. Assistive listening systems have been provided in the auditorium.</t>
  </si>
  <si>
    <t>Cafeteria –First Floor</t>
  </si>
  <si>
    <t>There are accessible student bathrooms (girls and boys) available on the first through fourth floors.</t>
  </si>
  <si>
    <t>Accessible Not Accessible</t>
  </si>
  <si>
    <t>Fire Alarm System includes a strobe light feature. Holding rooms have been specifically designated; Rooms 203, 303, and 403.</t>
  </si>
  <si>
    <t>2365 Waterbury Avenue, Bronx, NY 10462</t>
  </si>
  <si>
    <t>The nearest accessible subway station is East 180th Street Station (2 and 5 trains), 1.7 miles distant. MTA bus service (Bx4 and Bx22) is also nearby. The main entrance is accessible, located on Waterbury Avenue (Exit 1-M). The accessible entrance includes a ramp, doorbell, and security cameras. The doorbell is within reach range (height 48 inches).</t>
  </si>
  <si>
    <t>Edge of ramp surface is high, which may be difficult for some users to navigate.</t>
  </si>
  <si>
    <t>E1 and E2; Doors: 36 inches, Cabs: 68 inches wide, 51 inches deep.</t>
  </si>
  <si>
    <t>Computer Rooms – Room 323</t>
  </si>
  <si>
    <t>Library – Room 411</t>
  </si>
  <si>
    <t>Main Office – Rooms 111 and 237</t>
  </si>
  <si>
    <t>Nurse’s Office- Rooms 106 and 225</t>
  </si>
  <si>
    <t>Include accessible single-user restrooms.</t>
  </si>
  <si>
    <t>Science Lab – Room 322, and 324</t>
  </si>
  <si>
    <t>The auditorium is accessible and is located on the first floor. Stage access is provided via a ramp. Accessible seating is provided. The cafeteria is accessible and is located on the first floor. The gymnasium is accessible and is located on the second floor. Assistive listening systems have been provided in the cafeteria.</t>
  </si>
  <si>
    <t>There are accessible student bathrooms (boys and girls) available on all floors. There are accessible staff bathrooms (male and female) available on the first floor. There are accessible single-user (unisex) bathrooms (for student and staff use) available on the second through fourth floors. There are accessible single-user (unisex) bathrooms (for student and staff use) available in some first- and second-floor classrooms.</t>
  </si>
  <si>
    <t>Boys Bathrooms – Rooms 114B, 221, 315, and 415</t>
  </si>
  <si>
    <t>Girls Bathrooms – Rooms 114A, 211, 309, and 409</t>
  </si>
  <si>
    <t>Staff Bathrooms – Male – Room 115</t>
  </si>
  <si>
    <t>Staff Bathrooms – Female – Room 128</t>
  </si>
  <si>
    <t>Single-User (Unisex) Bathrooms – Rooms 106A, 212, 214, 225A, 314, and 410</t>
  </si>
  <si>
    <t>Rooms 106A and 225A are located inside the nurses’ offices.</t>
  </si>
  <si>
    <t>Single-User (Unisex) Bathrooms – Classrooms 206A, 207A, 205A, 204A, 202A, 203A, 201A, 200A, 101A, 100A, 107A, 102 &amp; 104, and 104 &amp; 105</t>
  </si>
  <si>
    <t>Fire alarm system has been upgraded and includes a strobe light feature. Holding rooms have been specifically designated as rooms 404, 306, and 206.</t>
  </si>
  <si>
    <t>1180 Tinton Avenue, Bronx, NY 10456</t>
  </si>
  <si>
    <t>The nearest accessible subway station is Simpson Street station (2 and 5 trains), 0.7 miles distant. MTA bus service (Bx17) is also nearby. The main entrance is accessible, located on Tinton Avenue (Exit 1). The accessible entrance includes a ramp, reception, security cameras, and a doorbell. The doorbell is within reach range (height 22 inches).</t>
  </si>
  <si>
    <t>Braille signs are not provided throughout the building. A change of elevation on the first floor and prevents access to basement program areas.</t>
  </si>
  <si>
    <t>A change in elevation on the first floor (15 steps) prevents access to basement classrooms.</t>
  </si>
  <si>
    <t>One passenger elevator provides access to the first through fourth floors. There is no elevator access to the basement. Elevator provides audible signals on each floor.</t>
  </si>
  <si>
    <t>Door: 45 inches, Cab: 78 inches wide, 50 inches deep.</t>
  </si>
  <si>
    <t>This site offers limited accessibility; classrooms located between the first and fourth floor are accessible. Classrooms located in the basement are not accessible due to a change of elevation.</t>
  </si>
  <si>
    <t>Not on accessible route. Change in elevation (15 Steps) prevents access.</t>
  </si>
  <si>
    <t>Main Office – Rooms 107 and 115</t>
  </si>
  <si>
    <t>Fire alarm system includes a strobe light feature. Holding rooms or areas of refuge have been specifically designated as rooms 302, 303, and 403.</t>
  </si>
  <si>
    <t>The school does not include central air. Air-conditioning units have been provided in classrooms.</t>
  </si>
  <si>
    <t>2475 Southern Boulevard, Bronx, NY 10458</t>
  </si>
  <si>
    <t xml:space="preserve">The nearest accessible subway station is the Kingsbridge Road Station (B and D trains), 1.20 miles distant. MTA bus service (Bx9, Bx12, Bx19, and Bx22) is also nearby. The accessible entrance to X205 is not the same as the main entrance; the accessible entrance is located on Southern Boulevard (Exit 6).  The accessible entrance does not include a doorbell, reception, or security cameras. Visitors may need to contact site in advance to gain access to this facility through the accessible entrance. </t>
  </si>
  <si>
    <t xml:space="preserve">One passenger elevator provides access to all floors. Door clearance may pose difficulty for some.  </t>
  </si>
  <si>
    <t xml:space="preserve">Doors: 34 inches, Cab: 79 inches wide, 49 inches deep. Door clearance may pose difficulty for some.  </t>
  </si>
  <si>
    <t xml:space="preserve">This site does not contain an auditorium or a gymnasium; the cafeteria fulfills these functions. The cafeteria is accessible and is located on the first floor. Accessible seating is provided. Stage access is not provided. Assistive listening systems have not been provided in the public assembly spaces. </t>
  </si>
  <si>
    <t xml:space="preserve">Rooms 106, 108, 117J, 203G, 217J, 225, 317J, and 325H </t>
  </si>
  <si>
    <t xml:space="preserve">Rooms 117H, 203F, 217H, 223, 317, and 323 </t>
  </si>
  <si>
    <t>Rooms 123, 125, 229, 231, 329, and 331</t>
  </si>
  <si>
    <t>Room 120C</t>
  </si>
  <si>
    <t xml:space="preserve">Room 120C is located in the nurse’s office. </t>
  </si>
  <si>
    <t xml:space="preserve">Fire alarm system has been upgraded and includes a strobe light feature. Holding rooms have been specifically designated as the cafeteria. </t>
  </si>
  <si>
    <t>2280 Aqueduct Avenue, Bronx, NY 10468</t>
  </si>
  <si>
    <t>The nearest accessible subway station is the Fordham Road Station (4 trains), 0.40 miles distant. MTA bus service (Bx3, Bx32, and Bx99) is also nearby. The accessible entrance to X206 is not the same as the main entrance; the accessible entrance is located off Evelyn Place (Exit 5).  The accessible entrance includes an intercom. The doorbell is not within reach range (height 63 inches). Visitors may need to contact site in advance to gain access to this facility through the accessible entrance. </t>
  </si>
  <si>
    <t>One passenger elevator provides access to all floors. Elevator includes audible signals on each floor. Door clearance may pose difficulty for some. </t>
  </si>
  <si>
    <t>Doors: 31 inches, Cab: 56 inches wide, 36 inches deep. Door clearance may pose difficulty for some. </t>
  </si>
  <si>
    <t>This site offers limited accessibility; there are no accessible classrooms located along accessible routes.  </t>
  </si>
  <si>
    <t>This site does not include an auditorium; the gymnasium fulfills this function. The cafeteria is accessible and is located on the first floor. Accessible seating is provided. The gymnasium is accessible and is located on the first floor. Assistive listening systems have not been provided in the public assembly spaces. </t>
  </si>
  <si>
    <t>Rooms 113 and 310</t>
  </si>
  <si>
    <t>Room 115 and 311</t>
  </si>
  <si>
    <t>Rooms 112, 114, 223, 312, and 313</t>
  </si>
  <si>
    <t>This site includes exterior recreational spaces. The exterior recreational spaces are accessible.  </t>
  </si>
  <si>
    <t>Holding rooms have been specifically designated as room 307. </t>
  </si>
  <si>
    <t>313 East 183 Street, Bronx, NY 10458</t>
  </si>
  <si>
    <t xml:space="preserve">The nearest accessible subway station is the Fordham Road Station (4 train), 0.6 miles distant. MTA bus service (Bx1, and Bx2) is also nearby. The main entrance of X209 is accessible, located on East 183rd Street (Exit 1). The accessible entrance does include a doorbell and reception. The accessible entrance does not include security cameras. The doorbell is within reach range (Height 48 inches). </t>
  </si>
  <si>
    <t xml:space="preserve">Doors: 36 Inches, Cab: 68 Inches wide, 50 Inches deep. </t>
  </si>
  <si>
    <t xml:space="preserve">The cafeteria is accessible and is located on the first floor. Assistive listening systems have not been provided in the public assembly spaces. </t>
  </si>
  <si>
    <t xml:space="preserve">There are accessible student bathrooms (boys and girls) available on all floors. There are accessible staff bathrooms (male and female) available on all floors. There are accessible single-user (unisex) bathrooms (for student and staff use) available on all floors. There are accessible single-user (unisex) bathrooms (for student and staff use) available inside some second-floor classrooms. </t>
  </si>
  <si>
    <t>Rooms 408, 308, and 112</t>
  </si>
  <si>
    <t>Rooms 410, 310, and 114</t>
  </si>
  <si>
    <t>Rooms 412, 312, 212, and 112</t>
  </si>
  <si>
    <t>Classrooms 206 and 208, 212 and 210</t>
  </si>
  <si>
    <t xml:space="preserve">Fire alarm system has been upgraded and includes a strobe light feature. Holding rooms have been specifically designated as rooms 413, 313, and 210. </t>
  </si>
  <si>
    <t>560 East 179 Street, Bronx, NY 10457</t>
  </si>
  <si>
    <t xml:space="preserve">The nearest accessible subway station is the East 180 Street Station (2 and 5 trains), 1.20 miles distant. MTA bus service (Bx15, Bx36, Bx40, and Bx42) is also nearby. The accessible entrance to X211 is not the same as the main entrance; the accessible entrance is located on Lafontaine Avenue (Exit 2). The accessible entrance does not include a doorbell or reception. Visitors may need to contact site in advance to gain access to this facility through the accessible entrance. </t>
  </si>
  <si>
    <t xml:space="preserve">Two freight elevators, that are manually operated, provide access to all floors. Elevators do not provide audible signals on each floor. </t>
  </si>
  <si>
    <t xml:space="preserve">E1: Doors: 33 inches, Cab: 76 inches wide, 84 inches deep. 
E2: Doors: 32 inches, Cab: 83 inches wide, 113 inches deep. </t>
  </si>
  <si>
    <t xml:space="preserve">This site offers limited accessibility; no classrooms are accessible or are located along accessible routes.  </t>
  </si>
  <si>
    <t xml:space="preserve">This site does not include an auditorium, cafeteria, or a gymnasium; the multi-purpose room fulfills this function. The multi-purpose room is accessible and is located on the first floor.  Accessible seating is provided. The multi-purpose room does not include a stage.  Assistive listening systems have not been provided in the multi-purpose room.   </t>
  </si>
  <si>
    <t>Rooms 104, 305, and 405</t>
  </si>
  <si>
    <t>Rooms 110, 203, 304, and 404</t>
  </si>
  <si>
    <t>Rooms 204, 205, 302, 303, 404, and 405</t>
  </si>
  <si>
    <t>Room 102, 202, and 306</t>
  </si>
  <si>
    <t>Holding rooms or areas of refuge have not been specifically designated.</t>
  </si>
  <si>
    <t>275 Harlem River Park Bridge, Bronx, NY 10453</t>
  </si>
  <si>
    <t xml:space="preserve">The nearest accessible subway station is Fordham Road Station (4 train), 1.5 miles distant. MTA bus service (Bx18 and Bx40) is also nearby. The main entrance of X229 is accessible, located on Roberto Clemente State Park Bridge (Exit 5). The accessible entrance includes a ramp, reception, and security cameras. </t>
  </si>
  <si>
    <t>Sidewalk degradation.</t>
  </si>
  <si>
    <t>Braille signs are included throughout the building. Bevels on some doorways are above tolerance and may present difficulty for some.</t>
  </si>
  <si>
    <t>Doors: 50 inches, Cab: 78 inches wide, 65 inches deep.</t>
  </si>
  <si>
    <t>Rooms 306, 333, and 444</t>
  </si>
  <si>
    <t>Rooms 237, and 324</t>
  </si>
  <si>
    <t>Rooms 143, 144, and 256</t>
  </si>
  <si>
    <t>The auditorium is accessible and is located on the second floor. Stage access is not provided. Accessible seating is not provided. The cafeterias are accessible and are located on the first, second, and fourth floors. The gymnasium is accessible and is located on the second floor. Assistive listening systems have not been provided in the public assembly spaces.</t>
  </si>
  <si>
    <t xml:space="preserve">There are accessible single-user (unisex) bathrooms (for student and staff use) available on all floors. </t>
  </si>
  <si>
    <t>2050 Prospect Avenue, Bronx, NY 10457</t>
  </si>
  <si>
    <t>The nearest accessible subway station is East 180th Street station (2 and 5 trains), 0.9 miles distant. MTA bus service (Bx36 and Bx19) is also nearby. The accessible entrance to X234 is the same as the main entrance, located on East 179th Street (Exit 10). This entrance includes reception, security cameras, and a doorbell. The doorbell is not within  reach range (height 75 inches).</t>
  </si>
  <si>
    <t>Second Through Forth Floors</t>
  </si>
  <si>
    <t>Rooms 106 (CS 300), and 117 (P10X)</t>
  </si>
  <si>
    <t>First Floor (Shared with X129)</t>
  </si>
  <si>
    <t>First Floor - Room 127 (Shared with X129)</t>
  </si>
  <si>
    <t>1220 Gerard Avenue, Bronx, NY 10452</t>
  </si>
  <si>
    <t>The nearest accessible subway station is 161st Street - Yankee Stadium Station (4, B, and D trains), 0.6 miles distant. MTA bus service (Bx1, Bx2, and Bx35) is also nearby. The main entrance is accessible, located on Gerard Avenue (Exit 1). The accessible entrance includes a doorbell and security cameras. The doorbell is within reach range (height 48 inches).</t>
  </si>
  <si>
    <t>E1 and E2; Doors: 41 Inches, Cabs: 69 Inches wide, 74 Inches deep.</t>
  </si>
  <si>
    <t>Computer Rooms – Rooms 301 and 408</t>
  </si>
  <si>
    <t>Main Office – Rooms 202 and 308</t>
  </si>
  <si>
    <t>Nurse’s Office- Rooms 104 and 308</t>
  </si>
  <si>
    <t>The auditorium is accessible and is located on the second floor. Stage access is provided via ramp. Accessible seating is provided. The cafeteria is accessible and is located on the first floor. The gymnasium is accessible and is located on the first floor. Assistive listening systems have been provided in the auditorium.</t>
  </si>
  <si>
    <t>There are accessible student bathrooms (boys and girls) available on second through fourth floors. There are accessible single-user (unisex) bathrooms (for student and staff use) available on all floors.</t>
  </si>
  <si>
    <t>Boys Bathrooms – Rooms 211C, 311C and 411C</t>
  </si>
  <si>
    <t>Boys Bathrooms – Room 110C</t>
  </si>
  <si>
    <t>Interior partitions prevent clear floor space.</t>
  </si>
  <si>
    <t>Girls Bathrooms – Rooms 210A, 310A and 410A</t>
  </si>
  <si>
    <t>Girls Bathrooms – Rooms 110A</t>
  </si>
  <si>
    <t>Single-User (Unisex) Bathrooms – Rooms 110B, 210B, 310B and 410B</t>
  </si>
  <si>
    <t>Fire alarm system has been upgraded and includes a strobe light feature. Holding rooms have been specifically designated as rooms 432, 332, and 232.</t>
  </si>
  <si>
    <t>1501 Jerome Avenue, Bronx, NY 10452</t>
  </si>
  <si>
    <t>The nearest accessible subway station is 161st Street - Yankee Stadium Station (4, B, and D trains), 1.2 miles distant. MTA bus service (Bx1, and Bx2, and Bx18) is also nearby. The main entrance is accessible, located on Jerome Avenue (Exit 1). The accessible entrance includes a doorbell and security cameras. The doorbell is within reach range (height 48 inches).</t>
  </si>
  <si>
    <t>Art Rooms – Rooms 248 and 250</t>
  </si>
  <si>
    <t>Computer Rooms – Room 260</t>
  </si>
  <si>
    <t>Main Office – Rooms 113, 220, and 415</t>
  </si>
  <si>
    <t>Nurse’s Office- Rooms 221 and 306</t>
  </si>
  <si>
    <t>Science Lab – Rooms 147, 403, 406, and 419</t>
  </si>
  <si>
    <t>The auditorium is accessible and is located on the second floor. Stage access is provided via ramp. Accessible seating is provided. The cafeteria is accessible and is located in the basement. The gymnasium is accessible and is located in the basement. The multi-purpose rooms are accessible and are located in the basement and on the second floor. Assistive listening systems have been provided in the auditorium, cafeteria, gymnasium, and multi-purpose rooms.</t>
  </si>
  <si>
    <t>Multi-Purpose Room – Basement and Second Floor</t>
  </si>
  <si>
    <t>There are accessible student bathrooms (boys and girls) available on all floors. There are accessible staff bathrooms (male and female) available on all floors. There are accessible single-user (unisex) bathrooms (for student and staff use) available on all floors. There are accessible single-user (unisex) bathrooms (for student and staff use) available in some classrooms on the first and second floors.</t>
  </si>
  <si>
    <t>Boys Bathrooms – Rooms B14, 114, 214, 314, and 414</t>
  </si>
  <si>
    <t>Girls Bathrooms – Rooms B42, 142, 242, 316, and 416</t>
  </si>
  <si>
    <t>Single-User (Unisex) Bathrooms – Rooms B04, B40, 106, 144, 246, 244, 303, 304, 410, and 412</t>
  </si>
  <si>
    <t>Single-User (Unisex) Bathrooms – Classrooms 129, 127, 128, 124, 130A, 125A, 121A, 220A, and 256</t>
  </si>
  <si>
    <t>Fire alarm system has been upgraded and includes a strobe light feature. Holding rooms have been specifically designated as rooms B23, 234, 332, and 432.</t>
  </si>
  <si>
    <t>2452 Washington Avenue, Bronx, NY 10458</t>
  </si>
  <si>
    <t xml:space="preserve">The nearest accessible subway station is Fordham Road Station (4 train), 0.7 miles distant. MTA bus service (Bx17, and Bx15) is also nearby. The main entrance to building is accessible, located on Washington Avenue (Exit 1). The accessible entrance includes security cameras and a doorbell. The doorbell is within reach range. </t>
  </si>
  <si>
    <t xml:space="preserve">The accessible entrance leads directly into a main corridor with stairs (3 Steps). There is a vertical lift in the lobby for the change in elevation. Braille signs are included throughout the building. </t>
  </si>
  <si>
    <t>Doors: 36 Inches, Cabs: 50 Inches wide, 66 Inches deep.</t>
  </si>
  <si>
    <t xml:space="preserve">This site is highly accessible; all classrooms are accessible and located on accessible routes.  </t>
  </si>
  <si>
    <t>Rooms 101, and 307</t>
  </si>
  <si>
    <t>Rooms 314, and 318</t>
  </si>
  <si>
    <t>The cafeteria is accessible and is located on the first floor. The gymnasium is accessible and is located on the second floor. Assistive listening systems have not been provided in the public assembly spaces.</t>
  </si>
  <si>
    <t>There are accessible student bathrooms (girls and boys) on all floors. There is also an accessible single-user (unisex) bathroom (for general use and student use) on all floors.</t>
  </si>
  <si>
    <t>The fire alarm system has been upgraded and includes a strobe light feature. Holding rooms or areas of refuge have been specifically designated: Rooms 202 and 302.</t>
  </si>
  <si>
    <t>The site does include central air; climate control in classrooms.</t>
  </si>
  <si>
    <t>2100 Walton Avenue, Bronx, NY 10453</t>
  </si>
  <si>
    <t>The nearest accessible subway station is Fordham Road Station (4 train), 0.6 miles distant. MTA bus service (Bx1, Bx2, and Bx32) is also nearby. The main entrance is accessible, located on Walton Avenue (Exit 7). The accessible entrance includes a doorbell, reception, and security cameras. The doorbell is within reach range (height 48 inches).</t>
  </si>
  <si>
    <t>Doors: 42 inches, Cab: 67 inches wide, 50 inches deep.</t>
  </si>
  <si>
    <t>Computer Rooms – Rooms 116, and 335</t>
  </si>
  <si>
    <t>Library – Room 418</t>
  </si>
  <si>
    <t>Nurse’s Office- Room 215, and 218</t>
  </si>
  <si>
    <t>Science Lab – Room 220</t>
  </si>
  <si>
    <t>The auditorium is accessible and is located on the first floor. Stage access is provided via lift. Accessible seating is provided. The cafeteria is accessible and is located in the basement. The gymnasium is accessible and is located on the second floor. Assistive listening systems have not been provided in the public assembly spaces.</t>
  </si>
  <si>
    <t>There are accessible student bathrooms (boys and girls) available on the basement through second floors, and on the fourth and fifth floors. There are accessible single-user (unisex) bathrooms (for student and staff use) available on the first through fourth floors. There are accessible single-user (unisex) bathrooms (for student and staff use) available in some first and second floor classrooms.</t>
  </si>
  <si>
    <t>Boys Bathrooms – Rooms B18, 132, 2nd Floor Gym, 404, 428, and 512</t>
  </si>
  <si>
    <t>Girls Bathrooms – Rooms B16, 131, 2nd Floor Gym, 412, and 504</t>
  </si>
  <si>
    <t>Single-User (Unisex) Bathrooms – Rooms B44, 125, 127, 225, 227, 305, 319, 328, 421, and 423</t>
  </si>
  <si>
    <t>Single-User (Unisex) Bathrooms – Classrooms 130A, 124A, 205A, 202A, 206A, 210A, 216A, 211A, 224A, 233A, and 230A</t>
  </si>
  <si>
    <t>Fire alarm system has been upgraded and includes a strobe light feature. Holding rooms have been specifically designated as rooms 216, 316, 416, and 516</t>
  </si>
  <si>
    <t>400 East Fordham Road, Bronx, NY 10458</t>
  </si>
  <si>
    <t>The nearest accessible subway station is Kingsbridge Road Station (D train), 0.5 miles distant. MTA bus service (Bx41, Bx9, and Bx22) is also nearby. The main entrance (Exit 1) is accessible, located on Webster Avenue. The accessible entrance includes security cameras. The accessible entrance does not include a doorbell.</t>
  </si>
  <si>
    <t>A vertical lift remediates a change in elevation at the main corridor on the first floor (5 steps).</t>
  </si>
  <si>
    <t>This site occupies the fourth and fifth floors in a leased building. Two passenger elevators and one freight elevator provide access to all floors. Elevators include audible signals on all floors.</t>
  </si>
  <si>
    <t>Doors: 48 Inches, Cabs: 66 Inches wide, 79 Inches deep.</t>
  </si>
  <si>
    <t>Room 509</t>
  </si>
  <si>
    <t>This site does not include an auditorium or a gymnasium; the multi-purpose room fulfills these functions. The multi-purpose room is accessible and is located on the fourth floor. The multi-purpose room does not include a stage. Accessible seating is provided. The cafeteria is accessible and is located on the fifth floor. Assistive listening systems have not been provided in the public assembly areas.</t>
  </si>
  <si>
    <t>There are accessible student bathrooms (girls and boys) available on the fourth and fifth floors. There are accessible single-user (unisex) bathrooms (for student and staff use) available on the fourth and fifth floors.</t>
  </si>
  <si>
    <t>The fire alarm system has been upgraded and includes a strobe light feature. Holding rooms or areas of refuge have been specifically designated as rooms 403 and 503.</t>
  </si>
  <si>
    <t>The site does not include central air; air conditioning units have been provided in classrooms.</t>
  </si>
  <si>
    <t>200 West 167Th Street, Bronx, NY 10452</t>
  </si>
  <si>
    <t>The nearest accessible subway station is 161st Street – Yankee Stadium Station (4, B, and D trains), 0.9 miles distant. MTA bus service (Bx13 and Bx11) is also nearby. The main entrance is accessible, located on West 167th Street (Exit 1). The accessible entrance includes a ramp, a doorbell, and security cameras. The doorbell is within reach range (height 48 inches).</t>
  </si>
  <si>
    <t>E1 and E2; Doors: 41 inches, Cabs: 51 inches wide, 83 inches deep.</t>
  </si>
  <si>
    <t>Nurse’s Office- Room 204</t>
  </si>
  <si>
    <t>Science Lab – Rooms 415 and 416</t>
  </si>
  <si>
    <t>This site does not include an auditorium; the gymnasium fulfills this function. The gymnasium is accessible and is located on the second floor. Stage access is provided via lift. Accessible seating is provided. The cafeteria is accessible and is located on the first floor. The rooftop play yard is accessible and is located on the second floor. Assistive listening systems have been provided in the cafeteria and gymnasium.</t>
  </si>
  <si>
    <t>Multi-Purpose Room – Rooftop Play Yard – Second Floor</t>
  </si>
  <si>
    <t>Boys Bathrooms – Rooms 110, 210, 310, and 410</t>
  </si>
  <si>
    <t>Girls Bathrooms – Rooms 107, 207, 307, and 407</t>
  </si>
  <si>
    <t>Single-User (Unisex) Bathrooms – Rooms 109, 209, 309, and 409</t>
  </si>
  <si>
    <t>800 Lydig Avenue, Bronx, NY 10462</t>
  </si>
  <si>
    <t xml:space="preserve">The nearest accessible subway station is the Pelham Parkway Station (2 and 5 trains), 0.4 miles distant. MTA bus service (Bx12 and Bx39) is also nearby. The main entrance of X292 is accessible, located on Lydig Avenue (Exit 1). The accessible entrance includes a doorbell, reception, and security cameras. </t>
  </si>
  <si>
    <t xml:space="preserve">Two passenger elevators provide access to all floors. There is also a smaller LULA elevator that provides access to the basement, ground, and first floor. Elevators include audible signals on each floor.  </t>
  </si>
  <si>
    <t xml:space="preserve">E1 and E2 
Doors: 41 inches, Cabs: 79 inches wide, 51 inches deep. 
LULA 
Doors: 36 inches, Cabs: 48 inches wide, 56 inches deep. </t>
  </si>
  <si>
    <t>Rooms 315</t>
  </si>
  <si>
    <t xml:space="preserve">This site does not include an auditorium; the gymnasium fulfills this function. The gymnasium is accessible and is located on the fourth floor. No stage is provided. Accessible seating is provided. The cafeteria is accessible and is in the basement. Assistive listening systems have been provided in the gymnasium and cafeteria. </t>
  </si>
  <si>
    <t>There are accessible student bathrooms (boys and girls) available on all floors. There are accessible single-user (unisex) bathrooms (for student and staff use) available on all floors. There are accessible single-user (unisex) bathrooms (for student and staff use) available within corresponding classrooms.</t>
  </si>
  <si>
    <t>Rooms B11C, 313, and 413</t>
  </si>
  <si>
    <t>Rooms B11A, 309, and 411</t>
  </si>
  <si>
    <t>Rooms B08, 103, 202, and 308</t>
  </si>
  <si>
    <t>Classrooms 101 and 102, 116, 115 and 117, 209, 210, 213, 214, 215, 216, and 217</t>
  </si>
  <si>
    <t xml:space="preserve">Fire alarm system has been upgraded and includes a strobe light feature. Holding rooms have been specifically designated as rooms B09, 209, 307, and 407. </t>
  </si>
  <si>
    <t>40 West Tremont Avenue, Bronx, NY 10453</t>
  </si>
  <si>
    <t>The nearest accessible subway station is Fordham Road Station (4 train), 1.00 miles distant. MTA bus service (BX36 and BX32) is also nearby. The main entrance is accessible, located on West Tremont Avenue (Exit 1). The accessible entrance includes reception and security cameras. The accessible entrance does not include a doorbell.</t>
  </si>
  <si>
    <t>E1; Doors: 48 inches, Cab: 67 inches wide, 86 inches deep. E2; Doors: 48 inches, Cab: 89 inches wide, 125 inches deep.</t>
  </si>
  <si>
    <t>Art Rooms – Rooms 163, 301 and 360</t>
  </si>
  <si>
    <t>Computer Rooms – Rooms 310 and 522</t>
  </si>
  <si>
    <t>Library – Room 253</t>
  </si>
  <si>
    <t>Main Office – Room 135 (10X306), 267 (75X186), and 463 (10X331)</t>
  </si>
  <si>
    <t>Nurse’s Office- Rooms 103 (10X306, 10X331) and 359 (10X331)</t>
  </si>
  <si>
    <t>Science Lab – Rooms 211, 215, 237, 239, 243 and 249</t>
  </si>
  <si>
    <t>The auditorium is accessible and is located on the first floor. Stage access is provided via ramp. Accessible seating is provided. The cafeteria is accessible and is located on the first floor. The gymnasium is accessible via ramp and is located on the first floor. Assistive listening systems have not been provided in the public assembly spaces.</t>
  </si>
  <si>
    <t>There are accessible student bathrooms (boys and girls) available on all floors. There are accessible staff bathrooms (male and female) available on the first floor. There are accessible single-user (unisex) bathrooms (for student and staff use) available on all floors. There are accessible single-user (unisex) bathrooms (for student and staff use) located inside some second- and third-floor classrooms.</t>
  </si>
  <si>
    <t>Boys Bathrooms – Rooms 119, 241, 341, 441, and 541</t>
  </si>
  <si>
    <t>Girls Bathrooms – Rooms 121, 243, 343, 443, and 543</t>
  </si>
  <si>
    <t>Staff Bathrooms – Male – Room 155</t>
  </si>
  <si>
    <t>Staff Bathrooms – Women– Room 154</t>
  </si>
  <si>
    <t>Single-User (Unisex) Bathrooms – 263, 265, 355, 352, 455, and 452</t>
  </si>
  <si>
    <t>Single-User (Unisex) Bathrooms – Classrooms 230, 228, 226, 224, 261, 259, 257, 330, 365, and 361</t>
  </si>
  <si>
    <t>Fire alarm system has been upgraded and includes a strobe light feature. Holding rooms have been specifically designated as rooms 230, 251, 318, 330, 418, 430, and 530.</t>
  </si>
  <si>
    <t>1684 White Plains Road, Bronx, NY 10462</t>
  </si>
  <si>
    <t xml:space="preserve">The nearest accessible subway station is the East 180 Street Station (2 and 5 trains), 0.5 miles distant. MTA bus service (Bx22 and Bx39) is also nearby. The accessible entrance to X311 is not the same as the main entrance; the accessible entrance is located on White Plains Road (Exit 2). This building is not accessible due to changes in elevation at all entrances and lobbies. </t>
  </si>
  <si>
    <t xml:space="preserve">Some door saddles are high, which may be difficult for some users to navigate. Some hallway doors are heavy and without closers, which may be difficult for some users to navigate. Braille signs are not included throughout the building.  </t>
  </si>
  <si>
    <t xml:space="preserve">This site is not accessible; all classrooms are not accessible and are not located along accessible routes. </t>
  </si>
  <si>
    <t>Rooms 101 and 200</t>
  </si>
  <si>
    <t>Room 013</t>
  </si>
  <si>
    <t xml:space="preserve">This site does not include an auditorium; the gymnasium fulfills this function. The gymnasium is not accessible and is located on the first floor.  The cafeteria is not accessible and is located in the basement. Assistive listening systems have not been provided in the public assembly spaces. </t>
  </si>
  <si>
    <t xml:space="preserve">There are accessible student bathrooms (boys and girls) available in the cellar and on the first floor, but these spaces are not located on an accessible route. There are no accessible staff bathrooms in this building. </t>
  </si>
  <si>
    <t xml:space="preserve">Fire alarm system does not include a strobe light feature. No holding rooms or areas of refuge have been specifically designated.  </t>
  </si>
  <si>
    <t>1028 White Plains Road, Bronx, NY 10472</t>
  </si>
  <si>
    <t>The nearest accessible subway station is Hunts Point Avenue Station (6 train), 1.9 miles distant. MTA bus service (Bx36 and Bx39) is also nearby. The main entrance is accessible, located on White Plains Road (Exit 1). The accessible entrance includes a ramp, doorbell, and security cameras. The doorbell is within reach range (height 44 inches) and is located at the bottom of the entrance staircase. Visitors must ring the doorbell to be provided access to the entrance ramp.</t>
  </si>
  <si>
    <t>E1; Doors: 48 inches, Cab: 83 inches wide, 63 inches deep. E2; Doors: 47 inches, Cab: 83 inches wide, 63 inches deep.</t>
  </si>
  <si>
    <t>Library – Room 502</t>
  </si>
  <si>
    <t>Nurse’s Office- Room 204 A/B</t>
  </si>
  <si>
    <t>This site does not include an auditorium; the gymnasium fulfills this function. The gymnasium is accessible and is located on the second floor. Stage access is provided via lift. Accessible seating is provided. The cafeteria is accessible and is located on the first floor. Assistive listening systems have been provided in the gymnasium and cafeteria.</t>
  </si>
  <si>
    <t>Cafeteria- Second Floor</t>
  </si>
  <si>
    <t>There are accessible student bathrooms (boys and girls) available on all floors. There are accessible single-user (unisex) bathrooms (for student and staff use) available on all floors. There are accessible single-user (unisex) bathrooms (for student and staff use) available in some classrooms on the first, second, and third floors.</t>
  </si>
  <si>
    <t>Boys Bathrooms – Rooms C27, 127, 227, 327, 427, and 527</t>
  </si>
  <si>
    <t>Girls Bathrooms – Rooms C25, 125, 225, 325, and 525</t>
  </si>
  <si>
    <t>Single-User (Unisex) Bathrooms – Rooms C21, 119, 219, 319, 419, and 519</t>
  </si>
  <si>
    <t>Single-User (Unisex) Bathrooms – Classrooms rooms 116A, 118A, 202A, 206A, 208A, 304A, and 306A</t>
  </si>
  <si>
    <t>Fire alarm system has been upgraded and includes a strobe light feature. Holding rooms have been specifically designated as rooms 202, 308, 412, and 506</t>
  </si>
  <si>
    <t>1570 Boone Avenue, Bronx, NY 10460</t>
  </si>
  <si>
    <t>The nearest accessible subway station is the Simpson Street Station (2 and 5 trains), 0.90 miles distant. MTA bus service (Bx11 and Bx36) is also nearby. The main entrance is accessible, located on Boone Street (Exit 1). The accessible entrance includes a doorbell, reception, and security cameras. The doorbell is not within reach range (height 50 inches).</t>
  </si>
  <si>
    <t>This site occupies floors first through fourth. Two passenger elevators provide access to all floors within the building. Elevators include audible signals on each floor. Interior ramp located in Exit 2.</t>
  </si>
  <si>
    <t>E1 and E2 Doors: 41 inches, Cabs: 78 inches wide, 62 inches deep.</t>
  </si>
  <si>
    <t>Ramp located in Exit 2.</t>
  </si>
  <si>
    <t>This site includes a combined auditorium and gymnasium that are accessible and located on the fourth floor. Stage access is provided via lift. Accessible seating is provided. The cafeteria is accessible and is located on the first floor. Assistive listening systems have been provided in the auditorium, cafeteria, and gymnasium.</t>
  </si>
  <si>
    <t>Stage access is provided via lift. Accessible seating is provided. Assistive listening systems are provided.</t>
  </si>
  <si>
    <t>Boys Bathrooms – Rooms 108B, 215, 315, 415, and 515</t>
  </si>
  <si>
    <t>Room 108B is located in the cafeteria.</t>
  </si>
  <si>
    <t>Girls Bathrooms – Rooms 108A, 213, 313, 413, and 515</t>
  </si>
  <si>
    <t>Room 108A is located in the cafeteria.</t>
  </si>
  <si>
    <t>Single-User (Unisex) Bathrooms – Rooms 103, 107A, 208, 211, 311, 411, and 511</t>
  </si>
  <si>
    <t>Single-User (Unisex) Bathrooms – Classrooms 101A, 102A, 105A, 202A, 204A, and 210A</t>
  </si>
  <si>
    <t>Fire alarm system has been upgraded and includes a strobe light feature. Holding rooms have been specifically designated as rooms 202, 320, 402, and 502.</t>
  </si>
  <si>
    <t>1780 Dr. Martin Luther King Jr. Blvd, Bronx, NY 10453</t>
  </si>
  <si>
    <t xml:space="preserve">The nearest accessible subway station is the Fordham Road Station (4 train), 1.2 miles distant. MTA bus service (B36 and Bx3) is also nearby. The main entrance of X338 is accessible, located on University Avenue (Exit 1). The accessible entrance includes reception and security cameras. The accessible entrance does not include a doorbell. </t>
  </si>
  <si>
    <t xml:space="preserve">E1 and E2 
Doors: 42 inches, Cabs: 65 inches wide, 78 inches deep. </t>
  </si>
  <si>
    <t>Room 101 (75X723) and 124 (09X204)</t>
  </si>
  <si>
    <t>Rooms 401 and 405</t>
  </si>
  <si>
    <t xml:space="preserve">The auditorium is accessible and is located on the first floor. Stage access is provided via a ramp. Accessible seating is provided. The cafeteria is accessible and is located in the basement. The gymnasium is accessible and is located on the third floor. Assistive listening systems have been provided in the cafeteria, gymnasium, and auditorium. </t>
  </si>
  <si>
    <t>There are accessible student bathrooms (boys and girls) available on all floors. There are accessible single-user (unisex) bathrooms (for student and staff use) available on all floors. </t>
  </si>
  <si>
    <t>Rooms B04B, 117, 217, 317, and 417</t>
  </si>
  <si>
    <t>Rooms B04A, 113, 213, 313, and 413</t>
  </si>
  <si>
    <t>Rooms B15, 103B, 115, 215, 315, and 415</t>
  </si>
  <si>
    <t xml:space="preserve">Fire alarm system has been upgraded and includes a strobe light feature. Holding rooms have been specifically designated as rooms 402, 302, 202, 102, and Basement Cafeteria. </t>
  </si>
  <si>
    <t>25 West 195 Street, Bronx, NY 10468</t>
  </si>
  <si>
    <t xml:space="preserve">The nearest accessible subway station is the Kingsbridge Rd Station (4 train), 0.2 miles distant. MTA bus service (Bx28 and Bx38) is also nearby. The main entrance of X340 is accessible, located on West 195 Street (Exit 1). The accessible entrance includes a doorbell and reception. The doorbell is located within reach range (Height 45 inches). The accessible entrance does not include security cameras. </t>
  </si>
  <si>
    <t xml:space="preserve">Two passenger elevators provide access to all floors. Elevators provide audible signals on all floors. </t>
  </si>
  <si>
    <t xml:space="preserve">E1 and E2 
Doors: 41 inches, Cabs: 73 inches wide, 86 inches deep. </t>
  </si>
  <si>
    <t xml:space="preserve">This site does not include an auditorium or gymnasium, the multi-purpose room fulfills these functions. The multi-purpose room is accessible and is located on the first floor.  The cafeteria is accessible and is located on the first floor. Assistive listening systems have not been provided in the public assembly spaces. </t>
  </si>
  <si>
    <t xml:space="preserve">There are accessible student bathrooms (boys and girls) available on all floors. There are no accessible staff bathrooms in the building.  </t>
  </si>
  <si>
    <t>Rooms 108, 208, and 308</t>
  </si>
  <si>
    <t>2400 Jerome Avenue, Bronx, NY 10468</t>
  </si>
  <si>
    <t xml:space="preserve">The nearest accessible subway station is the Fordham Road Station (4 train), 0.10 miles distant. MTA bus service (Bx12 and Bx32) is also nearby. Building X347 is the secondary location for primary building X033. The main entrance of X347 is accessible, located on Jerome Avenue (Exit 1). The accessible entrance includes a doorbell, reception, and security cameras. The doorbell is within reach range (height 42 inches).  </t>
  </si>
  <si>
    <t>E1 and E2 
Doors: 42 inches, Cabs: 80 inches wide, 50 inches deep</t>
  </si>
  <si>
    <t>This site does not include an auditorium or gymnasium; public assembly spaces are located in primary building X033. The auditorium is not accessible and is located on the first floor. Accessible seating is provided. The cafeteria is accessible and is located on the first floor. The gymnasium is not accessible and is located on the first floor. Assistive listening systems have been provided in the cafeteria.</t>
  </si>
  <si>
    <t>*Located in primary building X033. 
Accessible seating is provided.</t>
  </si>
  <si>
    <t xml:space="preserve">*Located in primary building X033. </t>
  </si>
  <si>
    <t>Rooms 102A, 419, and 519</t>
  </si>
  <si>
    <t>Rooms 102B, 317, 417, and 517</t>
  </si>
  <si>
    <t>Rooms 213, 313, 513</t>
  </si>
  <si>
    <t>All Second and Third Floor Classrooms</t>
  </si>
  <si>
    <t xml:space="preserve">This site includes exterior recreational spaces (currently under construction). The exterior recreational spaces are accessible. The recreational equipment is accessible. </t>
  </si>
  <si>
    <t xml:space="preserve">Fire alarm system has been upgraded and includes a strobe light feature. Holding rooms have been specifically designated as rooms 204, 304, 404, and 504. </t>
  </si>
  <si>
    <t>1211 Southern Boulevard, Bronx, NY 10459</t>
  </si>
  <si>
    <t>The nearest accessible subway station is Simpson Street Station (2 and 5 trains), 0.4 miles distant. MTA bus service (Bx19 and Bx11) is also nearby. The main entrance of X358 is accessible, located on Southern Boulevard. The accessible entrance includes security cameras and reception. The accessible entrance does not include a doorbell; visitors may need to contact site in advance to gain access to this facility through the accessible entrance.</t>
  </si>
  <si>
    <t>This site occupies a single floor and does not require an elevator and/or lift. Lack of elevator does not impede access.</t>
  </si>
  <si>
    <t>This site does not include an auditorium or gymnasium; the multi-purpose room fulfills these functions. The multi-purpose room is accessible and is located on the first floor. The multi-purpose room does not include a stage. Accessible seating is provided. The cafeteria is accessible and is located on the first floor. Assistive listening systems have been provided in the multi-purpose room.</t>
  </si>
  <si>
    <t>The multi-purpose room does not include a stage. Accessible seating is provided. Assistive listening systems have been provided.</t>
  </si>
  <si>
    <t xml:space="preserve">There are accessible student bathrooms (boys and girls) available on the first floor. There are acessible single-user (unisex) bathrooms (for student and staff use) available on the first floor. </t>
  </si>
  <si>
    <t>Rooms 122, 124, and 125</t>
  </si>
  <si>
    <t>2880 Kingsbridge Terrace, Bronx, NY 10463</t>
  </si>
  <si>
    <t>The nearest accessible subway station is 231st Street station (1 train), 0.4 miles distant. MTA bus service (Bx1, Bx2, Bx7, Bx10, and Bx20) is also nearby. The main entrance is accessible and is located on Kingsbridge Terrace (Exit 1). The accessible entrance includes security cameras, reception, and a doorbell. The doorbell is not within reach range (Height 60.5 inches).</t>
  </si>
  <si>
    <t>A lift provides access over the change in elevation at entry vestibule (5 steps).</t>
  </si>
  <si>
    <t>Two passenger elevators provide access to all floors in the building. Elevators provide audible signals on each floor.</t>
  </si>
  <si>
    <t>E1 and E2: Doors: 42 inches, Cabs: 80 inches wide, 52 inches deep.</t>
  </si>
  <si>
    <t>This site does not include an auditorium or a gymnasium; the multi-purpose room fulfills these functions. The multi-purpose room is accessible and is located on the second floor. The multi-purpose room does not include a stage. Accessible seating is provided. The cafeteria is accessible and is located on the first floor. Assistive listening systems have not been provided in the public assembly areas.</t>
  </si>
  <si>
    <t>The fire alarm system has been upgraded and includes a strobe light feature. Holding rooms or areas of refuge have been specifically designated; Rooms 100, 222, 322, and 422.</t>
  </si>
  <si>
    <t xml:space="preserve">The site does not include central air. Air conditioning units have been provided in classrooms. </t>
  </si>
  <si>
    <t>268 East  211 Street, Bronx, NY 10467</t>
  </si>
  <si>
    <t>The nearest accessible subway station is Gun Hill Station (2 and 5 trains), 0.5 miles distant. MTA bus service (Bx28, Bx30, and Bx38) is also nearby. The main entrance is accessible, located on East 211th Street (Exit 1). The accessible entrance includes a doorbell, reception, and security cameras. The doorbell is within reach range (Height 48 inches).</t>
  </si>
  <si>
    <t xml:space="preserve">E1: Doors: 36 Inches, Cabs: 48 Inches wide, 54 Inches deep. 
E2 &amp; E3: Doors: 55 Inches, Cabs: 60 Inches Wide, 75 Inches Deep. </t>
  </si>
  <si>
    <t>Room C16</t>
  </si>
  <si>
    <t>This site does not include an auditorium or a gymnasium; the multi-purpose room fulfills this function. The multi-purpose room is accessible and is located on the first floor. Stage access is provided via ramp. Accessible seating is provided. The cafeteria is accessible and is located in the cellar. Assistive listening systems have been provided in the cafeteria.</t>
  </si>
  <si>
    <t>There are accessible student bathrooms (boys and girls) available on the first and third floors. There are accessible single-user (unisex) bathrooms (for student and staff use) are available on all floors. There are accessible single-user (unisex) bathrooms (for student and staff use) are available in the second-floor classrooms.</t>
  </si>
  <si>
    <t>Rooms 108 and 312</t>
  </si>
  <si>
    <t>Rooms 112 and 508</t>
  </si>
  <si>
    <t>Rooms C01, C20, 116, 205, and 305</t>
  </si>
  <si>
    <t>Second Floor Classrooms</t>
  </si>
  <si>
    <t>Fire alarm system has been upgraded and includes a strobe light feature. Holding rooms or areas of refuge have been specifically designated as rooms 101, 201 and 301.</t>
  </si>
  <si>
    <t>921 East 228Th Street, Bronx, NY 10466</t>
  </si>
  <si>
    <t>The nearest accessible subway station is 233rd Street Station (2 and 5 trains), 0.7 miles distant. MTA bus service (Bx8 and Bx31) is also nearby. The main entrance is accessible, located on East 228th Street (Exit 8). The accessible entrance includes a doorbell, reception, and security cameras. The doorbell is within reach range (height 45 inches).</t>
  </si>
  <si>
    <t>E1 and E2; Doors: 48 inches, Cabs: 63 inches wide, 84 inches deep.</t>
  </si>
  <si>
    <t>Art Rooms – Rooms 250, 330 and 430</t>
  </si>
  <si>
    <t>Computer Rooms – Rooms 227, 243, 341 and 441</t>
  </si>
  <si>
    <t>Library – Room 125</t>
  </si>
  <si>
    <t>Main Office – Rooms 114 (75X754), 221 (11X270), 321 (11X514) and 421 (11X513)</t>
  </si>
  <si>
    <t>Science Lab – Rooms 237, 241, 331, 335, 339, 431, 435 and 439</t>
  </si>
  <si>
    <t>Boys Bathrooms – Rooms 131E, 135, 224, 318, and 418</t>
  </si>
  <si>
    <t>Girls Bathrooms – Rooms 131F, 137, 220, 314, and 414</t>
  </si>
  <si>
    <t>Single-User (Unisex) Bathrooms – Rooms 109A, 141, 143, 228, 230,326, 328, 426, and 428</t>
  </si>
  <si>
    <t>Fire alarm system has been upgraded and includes a strobe light feature. Holding rooms have been specifically designated as rooms 229, 329, and 429.</t>
  </si>
  <si>
    <t>2975 Tibbett Avenue, Bronx, NY 10463</t>
  </si>
  <si>
    <t xml:space="preserve">The nearest accessible subway station is the 231rd Street Station (1 train), 0.4 miles distant. MTA bus service (BxM1, BxM2, and BxM18) is also nearby. The main entrance of X368 is accessible, located on Tibbett Avenue (Exit 1). The accessible entrance includes a ramp, doorbell, reception, and security cameras. The doorbell is located within reach range (Height 48 Inches). </t>
  </si>
  <si>
    <t xml:space="preserve">E1 and E2; Doors: 41 inches, Cabs: 79 inches wide, 50 inches deep. </t>
  </si>
  <si>
    <t>Rooms 326 and 344</t>
  </si>
  <si>
    <t>Rooms 204A, 206, 220A, and 325</t>
  </si>
  <si>
    <t>Rooms 103G (10X368) and 120 (75X721)</t>
  </si>
  <si>
    <t>Rooms 109 (75X721) and 123 (10X368)</t>
  </si>
  <si>
    <t>Rooms 301A, 302, 304A, 305D, and 318</t>
  </si>
  <si>
    <t xml:space="preserve">The auditorium is accessible and is located on the second floor. Stage access is provided via ramp. Accessible seating is provided. The cafeteria is accessible and is located on the first floor. The gymnasium is accessible and is located on the second floor. Assistive listening systems have been provided in the auditorium, cafeteria, and gymnasium. </t>
  </si>
  <si>
    <t>Rooms 338, 308, 238, 208, 108, and 138</t>
  </si>
  <si>
    <t>Rooms 348, 330, 248, 230, and 130</t>
  </si>
  <si>
    <t>Rooms 354, 328, 254, 228, 128, 148, and 154</t>
  </si>
  <si>
    <t xml:space="preserve">Fire alarm system has been upgraded and includes a strobe light feature. Holding rooms have been specifically designated as rooms 337, 335, 237, and 235. </t>
  </si>
  <si>
    <t>928 Simpson Street, Bronx, NY 10459</t>
  </si>
  <si>
    <t>The nearest accessible subway station is the Simpson Street Station (2 and 5 trains), 0.3 miles distant. MTA bus service (Bx6 and Bx19) is also nearby. The main entrance of X392 is accessible, located on Casita Maria Way (Exit 1). The accessible entrance includes a ramp, a doorbell, security cameras, and reception. The doorbell is within reach range (Height 48 inches).</t>
  </si>
  <si>
    <t>Doors: 48 Inches, Cabs: 65 Inches wide, 79 Inches deep.</t>
  </si>
  <si>
    <t>Rooms 301-1, and 516-1</t>
  </si>
  <si>
    <t>Rooms B14-1, and B16-1</t>
  </si>
  <si>
    <t>Room 314-1</t>
  </si>
  <si>
    <t>Room 216-1</t>
  </si>
  <si>
    <t>Room 116-1</t>
  </si>
  <si>
    <t>Rooms 401-1, 501-1, and 505-1</t>
  </si>
  <si>
    <t>This site does not include an auditorium; the gymnasium fulfills this function. The gymnasium is accessible and is located on the first floor. Stage access is provided via lift. Accessible seating is provided. The cafeteria is accessible and is located in the basement. Assistive listening systems have been provided in the cafeteria and gymnasium.</t>
  </si>
  <si>
    <t xml:space="preserve">There are accessible student bathrooms (boys and girls) available on all floors. There are accessible single-user (unisex) bathrooms (for students and staff) available on all floors. </t>
  </si>
  <si>
    <t>Rooms 105, 205, 305, and 405</t>
  </si>
  <si>
    <t>Rooms 104-1, 204-1, 304-1, and 404-1</t>
  </si>
  <si>
    <t>Rooms 110-1, 210-1, 310-1, and 410-1</t>
  </si>
  <si>
    <t>Fire alarm system has been upgraded and includes a strobe light feature. Holding rooms or areas of refuge have been specifically designated as rooms 316-1 and 422-1.</t>
  </si>
  <si>
    <t>The site includes central air. Air-conditioning units provided in classrooms.</t>
  </si>
  <si>
    <t>1110 Boston Road, Bronx, NY 10456</t>
  </si>
  <si>
    <t xml:space="preserve">The nearest accessible subway station is Simpson Street Station (2 and 5 trains), 0.8 miles distant. MTA bus service (Bx21) is also nearby. The accessible entrance to X400 is not the same as the main entrance; the accessible entrance is located on East 166th Street (Exit 11). The accessible entrance includes wayfinding signs, a doorbell, and security cameras. The doorbell is not within reach range (Height 55 inches). </t>
  </si>
  <si>
    <t xml:space="preserve">One passenger elevator provides service from the basement through the fifth floor. Elevator access is not provided to the sixth and seventh floors. Elevator provides audible signals. </t>
  </si>
  <si>
    <t>Door: 53 Inches, Cab: 73 Inches deep, 72 Inches wide.</t>
  </si>
  <si>
    <t>This site is moderately accessible; all classrooms located between the ground floor and fifth floor are accessible. Classrooms located on the sixth and seventh floor are not accessible due lack of elevator access to these floors.</t>
  </si>
  <si>
    <t>Room 109, and 202A</t>
  </si>
  <si>
    <t>Rooms 601, and 701</t>
  </si>
  <si>
    <t xml:space="preserve">Rooms 236, 313, 428, and 512 </t>
  </si>
  <si>
    <t>Room 015</t>
  </si>
  <si>
    <t>Rooms 121, 323, 128, 233, 415, 511, and 515</t>
  </si>
  <si>
    <t>The auditorium is accessible and is located on the first floor. Stage access is provided. Accessible seating is provided. The cafeteria is accessible and is located in the basement. The gymnasiums are accessible and are located on the first and fifth floors. Assistive listening systems have not been provided in the public assembly areas.</t>
  </si>
  <si>
    <t>Ramp slope and door saddle height at entrance may pose difficulty for some users. Stage access is provided. Accessible seating is not provided.</t>
  </si>
  <si>
    <t>Accessible seating available upon request. Food service line does not provide clear width.</t>
  </si>
  <si>
    <t>First, and Fifth Floors</t>
  </si>
  <si>
    <t>Fire alarm system has been updated and includes strobe light feature. Holding rooms or areas of rescue have not been specifically designated.</t>
  </si>
  <si>
    <t>3000 East Tremont Avenue, Bronx, NY 10461</t>
  </si>
  <si>
    <t>The nearest accessible subway station is Pelham Bay Park station (6 train), 1.2 miles distant. MTA bus services (Bx40, Bx42, and Bx24) is also nearby. The accessible entrance is not the same as the main entrance and is located on East Tremont Avenue (Exits 6 and 7). The accessible entrance does not include a doorbell; visitors may need to contact site in advance to gain access to this facility through the accessible entrance.</t>
  </si>
  <si>
    <t>E1 and E2: Doors: 42 inches, Cabs: 60 inches wide, 84 inches deep.</t>
  </si>
  <si>
    <t>Rooms B24, B26, and 432</t>
  </si>
  <si>
    <t xml:space="preserve">Rooms 204, 205, 207, 208, 266, 304, 350, 420B, and 455 </t>
  </si>
  <si>
    <t>Rooms 158 (08X405) 222 (08X320), 358 (08X348), 363 (08X293), 405 (08X558) and 452 (08X349)</t>
  </si>
  <si>
    <t>Rooms B34, and B44</t>
  </si>
  <si>
    <t>Rooms 308, 323, 325, 332, 340, 362, and 366</t>
  </si>
  <si>
    <t>The auditorium is accessible and is located on the first floor. Stage access is provided. Accessible seating is provided. The cafeteria is accessible and is located in the basement. The gymnasiums are accessible and are located in the basement. Assistive listening systems have not been provided in the public assembly areas.</t>
  </si>
  <si>
    <t>Basement (A, B, C, and D)</t>
  </si>
  <si>
    <t>Not Accessibe</t>
  </si>
  <si>
    <t>Fire Alarm System includes strobe lights. Holding rooms are designated: 409, 310, 209, and 210. Holding rooms include fire extinguishers, intercom system, and landline phones.</t>
  </si>
  <si>
    <t>240 East 172 Street, Bronx, NY 10457</t>
  </si>
  <si>
    <t>The nearest accessible subway station is 161st Street – Yankee Stadium Station (B and D trains), 1.3 miles distant; MTA bus service (Bx32) is also nearby. The accessible entrance to X410 is not the same as the main entrance. The accessible entrance is located on Sheridan Ave (Exit 7). The accessible entrance includes a ramp. The accessible entrance does not include a doorbell or security cameras. Visitors may need to contact the site in advance to gain access to this facility through the accessible entrance.</t>
  </si>
  <si>
    <t>Some water fountains and other wall-mounted objects protrude into the corridors more than 4 inches, which may present difficulties for individuals with visual disabilities. Multiple lifts in the provide access over interior changes in elevation. Braille signs are not included throughout the building.</t>
  </si>
  <si>
    <t>Door: 52 inches, Cab: 82 inches deep, 79 inches wide.</t>
  </si>
  <si>
    <t>Art Room – Rooms 263, 423, and 448</t>
  </si>
  <si>
    <t>Classrooms – Basement Through Fourth Floors</t>
  </si>
  <si>
    <t>Computer Rooms – Rooms 227, 243A, and 247</t>
  </si>
  <si>
    <t>Library – Room 455</t>
  </si>
  <si>
    <t>Main Office – Rooms B47 (09X350), 253 (09X227), 221 (09X412), 375 (09X413), and 403 (09X564)</t>
  </si>
  <si>
    <t>Nurse’s Office – Basement - Montefiore Medical Center</t>
  </si>
  <si>
    <t>Science Lab – Rooms 109/111, 229, 233, 257, 305, 311, 402, and 433</t>
  </si>
  <si>
    <t>The auditorium is accessible and is located on the first floor. Stage access is provided. Accessible seating is provided. The cafeteria is accessible and is located in the basement. The first-floor gymnasium is not accessible. The fourth-floor gymnasiums are accessible. Assistive listening systems have not been provided in the public assembly spaces.</t>
  </si>
  <si>
    <t>Accessible via lift. Accessible seating available upon request.</t>
  </si>
  <si>
    <t>Gymnasium – Fourth Floor (North and South)</t>
  </si>
  <si>
    <t>There are accessible student (girls and boys) bathrooms available on the first floor.</t>
  </si>
  <si>
    <t>Boys Bathroom – Room 136</t>
  </si>
  <si>
    <t>Boys Bathroom – Basement Through Fourth Floors</t>
  </si>
  <si>
    <t>Girls Bathroom – Room 148</t>
  </si>
  <si>
    <t>Fire alarm system has been updated and includes strobe light feature. Holding rooms have been designated as rooms 149, 249, 349, and 449.</t>
  </si>
  <si>
    <t>925 Astor Avenue, Bronx, NY 10469</t>
  </si>
  <si>
    <t>The nearest accessible subway station is Pelham Parkway station (2 and 5 trains), 0.50 miles distant. MTA bus service (Bx12 and Bx8) is also nearby. The accessible entrance to building X415 is not the same as the main entrance; the accessible entrance is located on Colden Avenue (Exit 12). The accessible entrance does not include a doorbell: Visitors may want to contact the site prior to arrival in order to gain access through the accessible entrance.</t>
  </si>
  <si>
    <t>Additional accessible entrance options are located on Astor Avenue (Exits 18 and 19). These include exterior ramps and a doorbell (height 46 inches).</t>
  </si>
  <si>
    <t>Door: 48 inches, Cab: 80 inches deep, 80 inches wide.</t>
  </si>
  <si>
    <t>Art Room – Rooms 245 and 353</t>
  </si>
  <si>
    <t>Library – Room 361</t>
  </si>
  <si>
    <t>Main Office – Rooms 133, 220, 321, 325A, and 451</t>
  </si>
  <si>
    <t>Nurse’s Office – Rooms 133, 220, 321, 325A, and 451</t>
  </si>
  <si>
    <t>Science Lab – Rooms 109, 117, 205, 211, 304, 402, 408, 423, 425, and 427</t>
  </si>
  <si>
    <t>The auditorium is accessible and is located on the first floor. Stage access is provided via lift. Accessible seating is not provided. The cafeteria is accessible and is located in the basement. The gymnasiums are accessible and are located on the first and fourth floors. Assistive listening systems have not been provided in the public assembly areas.</t>
  </si>
  <si>
    <t>Gymnasium – First Floor and Fourth Floor</t>
  </si>
  <si>
    <t>There are accessible student bathrooms (boys) available in the basement, and on the first and third floors. There are accessible student bathrooms (girls) available in the basement.</t>
  </si>
  <si>
    <t>Girls Bathroom – First, Second, Third, and Fourth Floors</t>
  </si>
  <si>
    <t>1300 Boynton Avenue, Bronx, NY 10472</t>
  </si>
  <si>
    <t>The nearest accessible subway station is Hunts Point Avenue Station (6 train), 1.2 miles distant. MTA bus service (Bx36) is also nearby. The accessible entrance to building X420 is not the same as the main entrance. The accessible entrance is located on East 172nd Street (Exit 2). The accessible entrance includes a ramp. The accessible entrance does not include security cameras or a doorbell; visitors may need to contact site in advance to gain access to this facility through the accessible entrance.</t>
  </si>
  <si>
    <t>Minor concrete degradation</t>
  </si>
  <si>
    <t>E1 and E2: Doors: 40 Inches, Cabs: 90 Inches deep, 75 Inches wide.</t>
  </si>
  <si>
    <t>Art Room – Rooms 202, 303, and 305</t>
  </si>
  <si>
    <t>Computer Rooms – Rooms 312, 402, 405, and 502</t>
  </si>
  <si>
    <t>Main Office – Rooms 228A, 302, 408B, and 422B</t>
  </si>
  <si>
    <t>Nurse’s Office – Room 104J</t>
  </si>
  <si>
    <t>Science Lab – Rooms 201, 310, 406, and 503</t>
  </si>
  <si>
    <t>The auditorium is accessible and is located on the first floor. Stage access is provided. Accessible seating is provided. The cafeteria is accessible and is located on the fifth floor. The gymnasiums are not accessible and are located on the third floor. The pool is not accessible and is located on the first floor. Assistive listening systems have not been provided in the public assembly areas.</t>
  </si>
  <si>
    <t>Gymnasium – Second Floor, Third Floor-North; Third Floor –South</t>
  </si>
  <si>
    <t>There are accessible student bathrooms (girls and boys) available on the first, second, fourth, and fifth floors. There are accessible staff bathrooms (male and female) available on the third and fifth floors.</t>
  </si>
  <si>
    <t>Boys Bathroom – First, Second, Fourth, and Fifth Floors</t>
  </si>
  <si>
    <t>Boys Bathroom –Third Floor</t>
  </si>
  <si>
    <t>Change of elevation (5 stairs) prevents access.</t>
  </si>
  <si>
    <t>1551 East 172 Street, Bronx, NY 10472</t>
  </si>
  <si>
    <t>The nearest accessible subway station is Hunts Point Avenue Station (6 train), 1.2 miles distant. MTA bus service (Bx4 and Bx4A) is also nearby. The main entrance is accessible, located on East 172nd Street (Exit 100A). The accessible entrance includes a doorbell, reception, and security cameras. The doorbell is within reach range (height 45 Inches).</t>
  </si>
  <si>
    <t>E1 and E2 Doors: 48 inches, Cabs: 88 inches wide, 78 inches deep.</t>
  </si>
  <si>
    <t>Art Rooms – Rooms 302 and 324</t>
  </si>
  <si>
    <t>Computer Rooms – Rooms 202, 224, and 226</t>
  </si>
  <si>
    <t>Main Office – Rooms 101, 115, and 119</t>
  </si>
  <si>
    <t>Nurse’s Office – Room B20</t>
  </si>
  <si>
    <t>Science Lab – Rooms 304, 320, 402, 406, 420, and 424</t>
  </si>
  <si>
    <t>The auditorium is accessible and is located on the first floor. Stage access is provided via ramp. Accessible seating is provided. The cafeteria is accessible and is located in the basement. The gymnasium is accessible and is located in the basement. The multi-purpose room is accessible and is located in the basement. Assistive listening systems have been provided in the auditorium and cafeteria.</t>
  </si>
  <si>
    <t>Multi-Purpose Room – Room B37A</t>
  </si>
  <si>
    <t>Boys Bathrooms – Rooms B17, 125A, 209B, 309B, 315B, and 415B</t>
  </si>
  <si>
    <t>Girls Bathrooms – Rooms B15, 129A, 207A, 319A, 419A, and 407A</t>
  </si>
  <si>
    <t>Single-User (Unisex) Bathrooms – Rooms B15D, B25A, 102, 110A, 113A, 125B, 217A, 217B, 317A, 317B, 409C, 411D, 411G, and 415G</t>
  </si>
  <si>
    <t>Room 102 is located in the nurse’s office.</t>
  </si>
  <si>
    <t>Single-User (Unisex) Bathrooms – Classrooms 109, 111, and 113</t>
  </si>
  <si>
    <t>800 East Gun Hill Road, Bronx, NY 10467</t>
  </si>
  <si>
    <t xml:space="preserve">The nearest accessible subway station is Gun Hill Road Station (2 and 5 trains), 0.3 miles distant. MTA bus service (Bx8, Bx30, Bx38, and Bx28) is also nearby. The accessible entrance is not the same as the main entrance and is located on Bronxwood Avenue (Exits 2 and 3). The accessible entrance includes security cameras and a doorbell.  </t>
  </si>
  <si>
    <t>Some water fountains and other wall-mounted objects protrude in the corridors more than 4 inches, which may present difficulties for individuals with visual disabilities. Braille signs are provided throughout the building.</t>
  </si>
  <si>
    <t>E1 and E2
Doors: 50 inches; Cabs: 86 inches wide, 86 inches deep</t>
  </si>
  <si>
    <t>Rooms 228, 328 and 404</t>
  </si>
  <si>
    <t>Rooms 236, 238, 329, 333 and 336</t>
  </si>
  <si>
    <t>Room 365</t>
  </si>
  <si>
    <t>Rooms 118 (11X544), 134 (11X545), 228A (11X253), 305 (11X265), 342 (11X275) and 353 (11X290)</t>
  </si>
  <si>
    <t>Rooms 159 and 259</t>
  </si>
  <si>
    <t>Rooms 151, 207, 208, 212, 307, 308, 312 and 458</t>
  </si>
  <si>
    <t>The auditorium is accessible and is located on the first floor. Stage access is not provided. Accessible seating is not provided. The cafeteria is accessible and is located on the fifth floor. The first-floor East gymnasiums are accessible. The first-floor West gymnasiums are not accessible. The pool is not accessible and is located in the basement. Assistive listening systems have not been provided in the public assembly areas.</t>
  </si>
  <si>
    <t>First Floor — East (Boys) and West (Girls)</t>
  </si>
  <si>
    <t>Rooms 158 (West Side) and 170 (East Side)</t>
  </si>
  <si>
    <t>Change in elevation prevents access</t>
  </si>
  <si>
    <t>Room 406B &amp; 447A</t>
  </si>
  <si>
    <t xml:space="preserve">Fire alarm system has been updated and includes strobe light feature. Holding rooms have been specifically designated as rooms 116, 216, 316 and 416. </t>
  </si>
  <si>
    <t>2780 Reservoir Avenue, Bronx, NY 10468</t>
  </si>
  <si>
    <t>The nearest accessible subway station is Fordham Road Station (4 train), 0.7 miles distant. MTA bus service (Bx22, Bx32, and Bx38) is also nearby. The accessible entrance is not the same as the main entrance; the accessible entrance is located in the interior courtyard off Reservoir Avenue (Exit 4). The accessible entrance includes security cameras. The accessible entrance does not include a doorbell; visitors may need to contact site in advance to gain access to the facility through the accessible entrance.</t>
  </si>
  <si>
    <t>Basement locker room lift.</t>
  </si>
  <si>
    <t>E1 and E2: Doors: 42 inches; Cabs: 80 inches wide, 56 inches deep</t>
  </si>
  <si>
    <t>Art Room – Room 233</t>
  </si>
  <si>
    <t>Computer Rooms – Rooms B86, 235, 318, and 348B</t>
  </si>
  <si>
    <t>Library – Room 155</t>
  </si>
  <si>
    <t>Main Office – Rooms 133 (10X342), 139 (10X268), 254 (10X549) 308 (10X433), and 350 (10X442)</t>
  </si>
  <si>
    <t>Nurse’s Office – Room B50</t>
  </si>
  <si>
    <t>Science Lab – Rooms 178, 182, 218, 231, 327, 378, 379, and 386</t>
  </si>
  <si>
    <t>The auditorium is accessible and is located on the first floor. Stage access is provided. Accessible seating is provided. The cafeteria is accessible and is located in the basement. The gymnasiums are accessible and are located on the first floor. The pool is accessible and is located in the basement. Assistive listening systems have not been provided in the public assembly areas.</t>
  </si>
  <si>
    <t>Gymnasium – First Floor (Gyms 1, 2 and 3)</t>
  </si>
  <si>
    <t>There are accessible student bathrooms (boys and girls) available on all floors. There are accessible staff bathrooms (male and female) available on all floors. There are accessible single-user (unisex) bathrooms (for student and staff use) available in the basement, and on the second and third floors.</t>
  </si>
  <si>
    <t>Boys Bathroom – Basement Through Third Floors</t>
  </si>
  <si>
    <t>Single-User (Unisex) Bathroom – Basement, Second, and Third Floors</t>
  </si>
  <si>
    <t>Fire alarm system includes strobe lights. Holding rooms or areas of refuge have not been specifically designated.</t>
  </si>
  <si>
    <t>500 East Fordham Road, Bronx, NY 10458</t>
  </si>
  <si>
    <t>The nearest accessible subway station is Fordham Road Station (B and D trains), 0.6 miles distant. MTA (Bx9, Bx12, Bx12-SBS, Bx15, and Bx22) is also nearby. The accessible entrance is not the same as the main entrance; the accessible entrance is located on Bathgate Avenue (Exit 10). The accessible entrance does not include a doorbell; visitors may need to contact site in advance to gain access to the facility through the accessible entrance.</t>
  </si>
  <si>
    <t>Some water fountains and other wall-mounted objects protrude in the corridors more than 4 inches, which may present difficulties for individuals with visual disabilities. Braille signs are provided in most areas of the building.</t>
  </si>
  <si>
    <t>Changes in elevation prevent access to the pool.</t>
  </si>
  <si>
    <t>Two passenger elevators provide service to all floors in the building. Elevators include audible signals on each floor.</t>
  </si>
  <si>
    <t>E1 and E2: Doors: 50 inches, Cabs: 94 inches deep, 74 inches wide.</t>
  </si>
  <si>
    <t>Rooms 118, 227A, 227B, and 407</t>
  </si>
  <si>
    <t xml:space="preserve">Rooms BE3, 126, 227, and 324A </t>
  </si>
  <si>
    <t>Room 372</t>
  </si>
  <si>
    <t xml:space="preserve">Rooms 214B (10X439), 236A (10X437), 326B (10X438), 406 (10X374), and 438A (10X374) </t>
  </si>
  <si>
    <t>Room BW5</t>
  </si>
  <si>
    <t>Rooms 108, 112A, 208, 212, 238, 242, 308, 312, 437, and 465</t>
  </si>
  <si>
    <t>The auditorium is accessible and is located on the first floor. Stage access is provided. Accessible seating is provided. The cafeteria is accessible and is located on the fourth floor. The gymnasium is accessible and is located on the first floor. Assistive listening systems have been provided in the cafeteria.</t>
  </si>
  <si>
    <t>There are accessible bathrooms for students (girls and boys) available on the first through fourth floors. There are accessible staff bathrooms (male and female) available on the first through fourth floors.</t>
  </si>
  <si>
    <t xml:space="preserve">Fire alarm system has been updated and includes strobe light feature. Holding rooms have been specifically designated as rooms 216, 316, 416, and 516. </t>
  </si>
  <si>
    <t>100 West Mosholu Parkway South, Bronx, NY 10468</t>
  </si>
  <si>
    <t>The nearest accessible subway station is Fordham Road Station (4 train), 1.7 miles distant. MTA bus service (Bx1, Bx2, Bx28, and Bx38) is also nearby. The accessible entrance is not the same as the main entrance; the accessible entrance is located off Paul Avenue, through the parking lot (Exits 7 and 8). The accessible entrance includes security cameras. The accessible entrance does not include a doorbell; visitors may need to contact site in advance to gain access to the facility through the accessible entrance.</t>
  </si>
  <si>
    <t>Braille signs are not provided throughout the building. A change in elevation in the basement level prevents access to some program areas.</t>
  </si>
  <si>
    <t>Change in elevation on the basement level.</t>
  </si>
  <si>
    <t>Two passenger elevators provide service to the basement through third floors. There is no elevator access to the fourth and fifth floors. Elevators provide audible signals on each floor.</t>
  </si>
  <si>
    <t xml:space="preserve">E1 and E2:
Doors: 48 inches, Cabs: 65 inches deep, 95 inches wide. </t>
  </si>
  <si>
    <t>This site is moderately accessible; classrooms located between the basement and third floor are accessible and located on accessible routes.</t>
  </si>
  <si>
    <t>Room B49A</t>
  </si>
  <si>
    <t>Basement Through Third Floor</t>
  </si>
  <si>
    <t>Fourth and Fifth Floor — Towers</t>
  </si>
  <si>
    <t xml:space="preserve">Rooms B52A, 145, 184, 362, and 362A </t>
  </si>
  <si>
    <t xml:space="preserve">Rooms 196, 301, and 357 </t>
  </si>
  <si>
    <t xml:space="preserve">Rooms G24, and 262 </t>
  </si>
  <si>
    <t>Rooms 230, 232, 238, and 336</t>
  </si>
  <si>
    <t>The auditorium is accessible and is located on the first floor. Stage access is provided. Accessible seating is provided. The cafeteria is accessible and is located in the basement. The gymnasium is accessible and is located on the first and third floors. The pool is not accessible and is located in the basement. Assistive listening systems have been provided in the auditorium and cafeteria.</t>
  </si>
  <si>
    <t>There are accessible student bathrooms (girls) available on the first through third floors. There are accessible student bathrooms (boys) available on the first floor. There is an accessible single-user (unisex) bathroom (for student and staff use) available on the first floor.</t>
  </si>
  <si>
    <t>Rooms 187, 290, and 342</t>
  </si>
  <si>
    <t>Fire alarm system has been updated and includes strobe light feature. Holding rooms have been not been specifically designated.</t>
  </si>
  <si>
    <t>This site does not include central air. Air-control units have been provided in classrooms.</t>
  </si>
  <si>
    <t>75 West 205 Street, Bronx, NY 10468</t>
  </si>
  <si>
    <t xml:space="preserve">The nearest accessible subway station is Kingsbridge Rd. Station (4), 1.0mi distant. MTA bus service (Bx22, Bx26) is also nearby. The accessible entrance to building X445 is not the same as the main entrance; the accessible entrance is in the rear of the building (Exit 11), and is reached through an inner courtyard off of Paul Ave. There is a ramp at this entrance, but with some sidewalk degradation along the pathway. There is no doorbell or security camera at the accessible entrance; visitors may need to call in advance to gain access to the facility. </t>
  </si>
  <si>
    <t xml:space="preserve">Water fountains in hallways protrude slightly and may present barriers for some people with visual disabilities. Braille signs are needed throughout the building. </t>
  </si>
  <si>
    <t>Door: 60 Inches; Cab: 104.5 Inches deep, 107 Inches wide.</t>
  </si>
  <si>
    <t>Room 009</t>
  </si>
  <si>
    <t xml:space="preserve">Rooms 007, 011, 109, 214, 319, and 321 </t>
  </si>
  <si>
    <t>Room 049</t>
  </si>
  <si>
    <t>Rooms 031, 123, 125, 127, 129, 223, 225, 229, 231, 233, 323, 325, 327, 329, 331, and 337</t>
  </si>
  <si>
    <t xml:space="preserve">The auditorium is accessible and is located on the first floor. Accessible seating is not provided. Stage access is provided. The cafeteria is accessible and is located in the basement. The gymnasium is accessible and is located on the first floor. Assistive listening systems have not been provided in the public assembly areas. </t>
  </si>
  <si>
    <t xml:space="preserve">Accessible seating is not provided. Stage access is provided. </t>
  </si>
  <si>
    <t xml:space="preserve">There are accessible student bathrooms (girls and boys) available on the first floor.  </t>
  </si>
  <si>
    <t xml:space="preserve">Fire Alarm System has been updated and includes a strobe light feature. Holding rooms have not been specifically designated. </t>
  </si>
  <si>
    <t>Site includes A/C units in classrooms.</t>
  </si>
  <si>
    <t>2751 Jerome Avenue, Bronx, NY 10468</t>
  </si>
  <si>
    <t>The nearest accessible subway station is the Kingsbridge Road Station (B and D trains), 0.20 miles distant. MTA bus service (Bx28, Bx32, and Bx38) is also nearby. Building X448 is the secondary location for building X340. The main entrance is accessible, located on Jerome Avenue (Exit 1). The accessible entrance includes a doorbell, reception, and security cameras. The doorbell is within reach range (height 52 inches).</t>
  </si>
  <si>
    <t>This site occupies floors basement through fourth in the building. Two elevators provide access to all floors. Elevators include audible signals on each floor.</t>
  </si>
  <si>
    <t>E1 and E2 Doors: 42 inches, Cabs: 80 inches wide, 63 inches deep.</t>
  </si>
  <si>
    <t>Library – Room 402</t>
  </si>
  <si>
    <t>Science Labs</t>
  </si>
  <si>
    <t>This site includes a combined auditorium and gymnasium that are accessible and located on the first floor. Stage access is provided via lift. Accessible seating is provided. The cafeteria is accessible and is located on the first floor. Assistive listening systems have been provided in the auditorium, cafeteria, and gymnasium.</t>
  </si>
  <si>
    <t>There are accessible student bathrooms (boys and girls) available on the first and fourth floors. There are accessible single-user (unisex) bathrooms (for student and staff use) available on all floors.</t>
  </si>
  <si>
    <t>Boys Bathrooms – Rooms 106 and 406</t>
  </si>
  <si>
    <t>Girls Bathrooms – Rooms 110 and 410</t>
  </si>
  <si>
    <t>Single-User (Unisex) Bathrooms – Rooms 105, 112A, 202, 204, and 401</t>
  </si>
  <si>
    <t>Room 112A is located in the nurse’s office.</t>
  </si>
  <si>
    <t>Single-User (Unisex) Bathrooms – Classrooms 205A, 207A, 209A, 210A, 212A, 303A, 305A, 307A, 312A, and 314A</t>
  </si>
  <si>
    <t>Fire alarm system has been upgraded and includes a strobe light feature. Holding rooms have been specifically designated as rooms 212, 314, and 416.</t>
  </si>
  <si>
    <t>1980 Lafayette Avenue, Bronx, NY 10473</t>
  </si>
  <si>
    <t>The nearest accessible subway station is Hunts Point Avenue Station (6 train), 2.00 miles distant. MTA bus service (Bx5 and Bx36) is also nearby. The accessible entrance to X450 is not the same as the main entrance; the accessible entrance is located at the side of the building on Pugsley Avenue (Exits 14 and 15). The accessible entrance includes a ramp. The accessible entrance does not include a doorbell, reception, and security cameras. Visitors may need to contact site in advance to gain access to this facility through the accessible entrance.</t>
  </si>
  <si>
    <t>E1 and E2: Doors: 60 inches, Cabs: 66 inches deep, 90.5 inches wide.</t>
  </si>
  <si>
    <t>Art Room – Rooms 148, 189, 451, and 485</t>
  </si>
  <si>
    <t>Computer Rooms – Rooms 183, 201, and 446</t>
  </si>
  <si>
    <t>Main Office – Rooms 118, 190, 218, 285, 308, 399, 409C, and 497</t>
  </si>
  <si>
    <t>Nurse’s Office – Room 273</t>
  </si>
  <si>
    <t>Science Lab – Rooms 165, 169, 171, 265, 267, 271, 361, 365, 461, and 467</t>
  </si>
  <si>
    <t>The auditorium is accessible and is located on the first floor. Stage access is provided. Accessible seating is not provided. The cafeterias are accessible and are located on the first floor. The gymnasium is accessible and is located on the second floor. Assistive listening systems have not been provided in the public assembly areas.</t>
  </si>
  <si>
    <t>Cafeteria – Rooms 160, 170, and 180</t>
  </si>
  <si>
    <t>There are accessible student bathrooms (boys and girls) available on the floors. There are accessible staff bathrooms (male and female) available on the first through third floors. There are accessible single-user (unisex) bathrooms (for student and staff use) available on the fourth floor.</t>
  </si>
  <si>
    <t>Boys Bathrooms – Rooms 106, 179, 206, 362A, and 406</t>
  </si>
  <si>
    <t>Boys Bathrooms- Rooms 368</t>
  </si>
  <si>
    <t>Girls Bathroom – Rooms 102, 155, 202, 362B, 402, and 416</t>
  </si>
  <si>
    <t>Girls Bathrooms – Rooms 370</t>
  </si>
  <si>
    <t>Staff Bathrooms – Rooms 128, 130, 216, 302, and 306</t>
  </si>
  <si>
    <t>Single-User (Unisex) Bathrooms – Rooms 416</t>
  </si>
  <si>
    <t>Fire alarm system has been updated and includes strobe light feature. Fire holding rooms have been specifically</t>
  </si>
  <si>
    <t>This site does not include central air. Air conditioning units are provided in classrooms.</t>
  </si>
  <si>
    <t>750 Baychester Avenue, Bronx, NY 10475</t>
  </si>
  <si>
    <t>The nearest accessible subway station is Pelham Bay Park Station (6 train), 2.2 miles distant. MTA Bus service (Bx23, Bx28, Bx30, Bx38, and Q50) is also nearby. The accessible entrance to X455 is not the same as the main entrance; the accessible entrance is located to the right of the main entrance, on Baychester Avenue (Exit 12). The accessible entrance includes a security cameras. The accessible entrance does not include a doorbell; visitors may need to contact site in advance to gain access to the facility through the accessible entrance.</t>
  </si>
  <si>
    <t>Building X455 is part of a larger educational complex and is physically connected to buildings X153, X178, X180, and X181 by accessible service tunnels located on the basement level. Organizations from all four buildings utilize the gymnasiums at X455 for their programs. Some hallway doors are heavy and without closers, which may be difficult for some users to navigate. Braille signs are not included throughout the building. A change of elevation in the basement prevents access to some program areas.</t>
  </si>
  <si>
    <t>Change of elevation (5 steps) in basement remediates access to boys’ locker room.</t>
  </si>
  <si>
    <t>Six elevators provide service to all floors in the building. Elevators provide audible signals on each floor.</t>
  </si>
  <si>
    <t>Doors: 84 inches, Cabs: 92 inches deep, 115 inches wide.</t>
  </si>
  <si>
    <t>Art Room – Rooms 106, 108, and 362</t>
  </si>
  <si>
    <t>Computer Rooms – Rooms 441, 519, 523, 541, 550, 551, 553, 554, 558, 662, and 762</t>
  </si>
  <si>
    <t>Library – Rooms 140, and 625 (Law Library)</t>
  </si>
  <si>
    <t>Main Office – Rooms 258 (11X455), 226 (75X176), and 330 (11X249)</t>
  </si>
  <si>
    <t>Science Lab – Rooms 304, 404, 407, 410, 520, 604, 607, 704, and 707</t>
  </si>
  <si>
    <t>The auditorium is accessible and is located on the first floor. Stage access is provided. Accessible seating is provided. The cafeterias are accessible and are located on the first and third floors. The gymnasiums are accessible and are located in the basement. The pool is accessible and is located in the basement. Assistive listening systems have not been provided in the public assembly areas.</t>
  </si>
  <si>
    <t>Auditorium – First Floor- Main &amp; First Floor-Planetarium</t>
  </si>
  <si>
    <t>Cafeteria – First and Third Floors</t>
  </si>
  <si>
    <t>Gymnasium – Basement - Rooms 1A/1B/1C, 2A/2B and 3A/3B</t>
  </si>
  <si>
    <t>Pool-Basement</t>
  </si>
  <si>
    <t>There are accessible student (boys and girls) bathrooms available in the basement and on the fifth floor.</t>
  </si>
  <si>
    <t>Boys Bathroom – First Through Fourth, Sixth, and Seventh Floors</t>
  </si>
  <si>
    <t>Girls Bathroom – Basement and Fifth Floor</t>
  </si>
  <si>
    <t>Basement bathrooms are located in the pool area.</t>
  </si>
  <si>
    <t>Fire alarm system has been updated and includes a strobe light feature. Holding rooms have not been specifically designated.</t>
  </si>
  <si>
    <t>This site does not include central Air. Air-conditioning units have been provided in classrooms.</t>
  </si>
  <si>
    <t>244 East 163 Street, Bronx, NY 10451</t>
  </si>
  <si>
    <t>The nearest accessible subway station is 161st Street – Yankee Stadium Station (4, B, and D trains), 0.5 miles distant. MTA bus service (Bx1, Bx2, and Bx32) is also nearby. The main entrance is accessible, located on East 163rd Street (Exit 1). The accessible entrance includes a doorbell and security cameras. The doorbell is within reach range (height 48 inches).</t>
  </si>
  <si>
    <t>E1 and E2; Doors: 48 inches, Cabs: 66 inches wide, 87 inches deep.</t>
  </si>
  <si>
    <t>Art Rooms – Room 433</t>
  </si>
  <si>
    <t>Computer Rooms – Rooms 221 and 431</t>
  </si>
  <si>
    <t>Nurse’s Office- Room 125</t>
  </si>
  <si>
    <t>Science Lab – Rooms 325, 327, 333, and 425</t>
  </si>
  <si>
    <t>This site does not include an auditorium; the cafeteria fulfills this function. The cafeteria is accessible and is located in the basement. The gymnasium is accessible and is located on the fifth floor. The fifth-floor rooftop garden is not accessible due to changes in elevation. Assistive listening systems have been provided in the cafeteria and gymnasium.</t>
  </si>
  <si>
    <t>Multi-Purpose Room – Rooftop Garden – Fifth Floor</t>
  </si>
  <si>
    <t>Changes in elevation (5 inches) prevent access.</t>
  </si>
  <si>
    <t>There are accessible student bathrooms (boys and girls) available on all floors. There are accessible single-user (unisex) bathrooms (for student and staff use) available on the first through fourth floors.</t>
  </si>
  <si>
    <t>Boys Bathrooms – Rooms B14, 143, 243, 343, 443, and 524</t>
  </si>
  <si>
    <t>Girls Bathrooms – Rooms B18, 139, 239, 339, 439, and 513</t>
  </si>
  <si>
    <t>Single-User (Unisex) Bathrooms – Rooms B4, 118, 223, 321, and 421</t>
  </si>
  <si>
    <t>This site includes exterior recreational spaces. The exterior recreation spaces are not accessible. The recreational equipment is not accessible.</t>
  </si>
  <si>
    <t>Fire alarm system has been upgraded and includes a strobe light feature. Holding rooms have been specifically designated as rooms 251, 351, 451, and 525.</t>
  </si>
  <si>
    <t>4143 Third Avenue, Bronx, NY 10457</t>
  </si>
  <si>
    <t>The nearest accessible subway station is the Simpson Station (2 and 5 trains), 1.7 miles distant. MTA bus service (Bx15, Bx40, and Bx42) is also nearby. The main entrance of X056 is accessible, located on Third Avenue (Exit 4). The accessible entrance includes ramp, automatic door openers, doorbell, reception, and security cameras. The doorbell is within reach range (Height 48 inches).</t>
  </si>
  <si>
    <t>E1 and E2:
Doors: 42 inches, Cabs: 63 inches wide, 79 inches deep.</t>
  </si>
  <si>
    <t>Room 108D</t>
  </si>
  <si>
    <t>Room B4</t>
  </si>
  <si>
    <t>Rooms 323, 325, and 425</t>
  </si>
  <si>
    <t>This site does not include an auditorium; the multi-purpose room fulfills this function. The multi-purpose room is accessible and is located on the second floor. The cafeteria is accessible and is located on the second floor. The gymnasium is accessible and is located in the basement. Assistive listening systems have been provided in the cafeteria and gymnasium.</t>
  </si>
  <si>
    <t>Rooms 107, 207, 307, and 407</t>
  </si>
  <si>
    <t>Fire alarm system has been upgraded and includes a strobe light feature. Holding rooms or areas of refuge have been specifically designated as rooms 224 A/B, 324 A/B, and 424 A/B.</t>
  </si>
  <si>
    <t>99 Terrace View Avenue, Bronx, NY 10463</t>
  </si>
  <si>
    <t>The nearest accessible subway station is 231st Street Station (1 train), 0.6 miles distant. MTA bus service (Bx7, Bx9, Bx10, and Bx20) is also nearby. The main entrance is accessible, located on Terrace View Avenue (Exit 9). The accessible entrance includes security cameras and reception. The accessible entrance does not include a doorbell.</t>
  </si>
  <si>
    <t>Three elevators provide service to all floors in the building. Elevators provide audible signals on each floor. Lift remediates changes in elevation on the first floor.</t>
  </si>
  <si>
    <t>Incline lift remediates a change in elevation (7 steps) to the accessible student bathrooms on the first floor.</t>
  </si>
  <si>
    <t>Computer Rooms – Rooms 342, 342A, 460, 504, 534, 556, 672, 738, 752, 842, and 876</t>
  </si>
  <si>
    <t>Library – Room A164</t>
  </si>
  <si>
    <t>Main Office – Rooms 252 (84X539), 426 (10X297), 522 (10X213), 722 (10X546), 804B (10X284), and 822 (10X477)</t>
  </si>
  <si>
    <t>Science Lab – Rooms 614, 620, 622, 640, and 646</t>
  </si>
  <si>
    <t>The auditorium is accessible and is located on the first floor. Stage access is provided. Accessible seating is not provided. The cafeterias are accessible and are located on the third, fourth, fifth, seventh, and eighth floors. The gymnasium is accessible and is located on the first floor. Assistive listening systems have not been provided in the public assembly areas.</t>
  </si>
  <si>
    <t>Stage access is provided. Accessible seating is not provided.</t>
  </si>
  <si>
    <t>Cafeteria – Third, Fourth, Fifth, Seventh, and Eighth Floors</t>
  </si>
  <si>
    <t>There are accessible student bathrooms (boys) available on the lower level and on the fourth floor. There are accessible student bathrooms (girls) available on the lower level. There is an accessible staff bathroom (female) available on the first floor.</t>
  </si>
  <si>
    <t>Boys Bathrooms – Lower Level and Rooms 409 and 809</t>
  </si>
  <si>
    <t>First floor bathrooms are accessible via incline lift in corridor.</t>
  </si>
  <si>
    <t>Boys Bathrooms – First Through Third and Fifth Through Seventh Floors</t>
  </si>
  <si>
    <t>Girls Bathrooms – Lower Level and Room 811</t>
  </si>
  <si>
    <t>Girls Bathrooms – First Through Seventh Floors</t>
  </si>
  <si>
    <t>Staff Bathrooms - Female – Room A159</t>
  </si>
  <si>
    <t>Fire alarm system has been updated and includes a strobe light feature. Holding rooms have been specifically designated as rooms 272, 372, 472, 572, 672, 772, and 872.</t>
  </si>
  <si>
    <t>1640 Bronxdale Ave, Bronx, NY 10462</t>
  </si>
  <si>
    <t xml:space="preserve">The nearest accessible subway station is the Pelham Bay Park Station (6 train), 2.2 miles distant. MTA bus service (Bx21, Bx40, and Bx42) is also nearby. The main entrance of X498 is accessible, located on Bronxdale Avenue (Exit 1). The accessible entrance does not include a doorbell. The accessible entrance includes a ramp, security cameras, and reception.  </t>
  </si>
  <si>
    <t xml:space="preserve">E1; Doors: 47 Inches, Cabs: 66 Inches wide, 84 Inches deep. 
E2; Doors: 47 Inches, Cabs: 66 Inches wide, 84 Inches deep. </t>
  </si>
  <si>
    <t>Room N316 (84X378)</t>
  </si>
  <si>
    <t>Rooms 302 and N316 (84X378)</t>
  </si>
  <si>
    <t>Rooms 105 (11X498), 315 (75X596) and N102 (84X378)</t>
  </si>
  <si>
    <t>Rooms 402, 502, and N512</t>
  </si>
  <si>
    <t xml:space="preserve">The auditorium is accessible and is located on the second floor. Stage access is provided via ramp. Accessible seating is provided. The cafeteria is accessible and is located on the first floor. The gymnasium is accessible and is located on the second floor. Assistive listening systems have been provided in the auditorium, cafeteria, and gymnasium.  </t>
  </si>
  <si>
    <t>Rooms 503, 403, 303, 203, N116, and 101A</t>
  </si>
  <si>
    <t>Rooms 505, 405, 305, 205, N118, and 101B</t>
  </si>
  <si>
    <t>Rooms 501, 411, 312A, 201, and 109</t>
  </si>
  <si>
    <t xml:space="preserve">Fire alarm system has been upgraded and includes a strobe light feature. Holding rooms have been specifically designated as rooms 508, 408, 308, and 210. </t>
  </si>
  <si>
    <t>1434 Ogden Avenue, Bronx, NY 10452</t>
  </si>
  <si>
    <t xml:space="preserve">The nearest accessible subway station is 161st Street – Yankee Stadium Station (B, D, and 4 trains), 1.20 miles distant. MTA bus service (Bx11, Bx13, and Bx35) is also nearby. The main entrance of X582 is accessible, located on Ogden Avenue (Exit 1). The accessible entrance includes a doorbell, reception, and security cameras. The doorbell is within reach range (height 45 inches).  </t>
  </si>
  <si>
    <t xml:space="preserve">This site occupies a single floor and does not include an elevator. Lack of elevator does not prevent access. 
 </t>
  </si>
  <si>
    <t>Room 115A</t>
  </si>
  <si>
    <t xml:space="preserve">This site does not include an auditorium, cafeteria, or gymnasium; the multi-purpose room fulfills these functions. The multi-purpose room is accessible and is located on the first floor. The multi-purpose room does not include a stage. Accessible seating is provided. Assistive listening systems have not been provided in the public assembly spaces. </t>
  </si>
  <si>
    <t>There are accessible student bathrooms (boys and girls) available on the first floor. There are accessible single-user (unisex) bathrooms (for student and staff use) available on the first floor.  </t>
  </si>
  <si>
    <t>333 East 151 Street, Bronx, NY 10451</t>
  </si>
  <si>
    <t xml:space="preserve">The nearest accessible subway station is 3rd Avenue – 149th Street (2 and 5 trains), 0.3 miles distant. MTA bus service (Bx19 and Bx2) is also nearby. The accessible entrance to building X600 is not the same as the main entrance; the accessible entrance is located at East 152nd Street (Exit 4). The accessible entrance includes a ramp, automated door openers, and a doorbell. The doorbell is not within reach range. Building X600 is a tandem building. It consists of two buildings built at different times and later connected. Due to this unique construction, there are changes of elevation in the two connecting corridors. This change of elevation makes it difficult to access different spaces in the buildings. </t>
  </si>
  <si>
    <t>Changes in elevation between the two buildings prevent seamless access on all floors. Braille signs are not included throughout the building.</t>
  </si>
  <si>
    <t>Change of elevation on each floor between the two buildings.</t>
  </si>
  <si>
    <t>Two freight elevators provide access to every floor in the building. Elevators do not provide audible signals on each floor.</t>
  </si>
  <si>
    <t xml:space="preserve">This site offers limited accessibility; most classrooms are accessible and are located on accessible routes. Changes in elevation on the third floor prevent access to some program areas. </t>
  </si>
  <si>
    <t>Carpentry Shop CTE Rooms</t>
  </si>
  <si>
    <t xml:space="preserve">Rooms B38, B42, 257, 303, 357, and 360 </t>
  </si>
  <si>
    <t>Rooms 109, 211, 358, and 440</t>
  </si>
  <si>
    <t>Room 352</t>
  </si>
  <si>
    <t>Rooms 313, 323, 452, and 460</t>
  </si>
  <si>
    <t>Due to unique building conditions, the public assembly spaces are located in different portions of the complex. Students and school community members will have to take one of the elevators to a connecting floor, cross over, and then take another elevator up or down. The auditorium is accessible and is located on the first floor. Stage access is provided. Accessible seating is not provided. The cafeteria is accessible and is located on the second floor. The gymnasium is accessible and is located on the third floor. Assistive listening systems have been provided in the cafeteria.</t>
  </si>
  <si>
    <t xml:space="preserve">First, and Third Floors </t>
  </si>
  <si>
    <t>Basement, Second, and Fourth Floors</t>
  </si>
  <si>
    <t xml:space="preserve">Basement, Second, Third, and Fourth Floors </t>
  </si>
  <si>
    <t>900 Tinton Avenue, Bronx, NY 10456</t>
  </si>
  <si>
    <t>The nearest accessible subway station is Simpson Street Station (2 and 5 trains), 0.6 miles distant. MTA bus service (BX6) is also nearby. The accessible entrance to X650 is not the same as the main entrance; the accessible entrance is located beyond the school driveway on Tinton Avenue (Exit 12). The accessible entrance includes a ramp. The accessible entrance does not include a doorbell or security cameras; visitors may need to contact site in advance to gain access to this facility through the accessible entrance.</t>
  </si>
  <si>
    <t>Two passenger elevators provide service to all floors. Elevators provide audible signals on each floor.</t>
  </si>
  <si>
    <t>E1: Door 41 Inches, Cab: 64 Inches deep, 64 Inches wide
E2: Door 42 Inches, Cab: 68 Inches deep, 80 Inches wide.</t>
  </si>
  <si>
    <t>Rooms 216 and 325</t>
  </si>
  <si>
    <t>Rooms 118 and 120</t>
  </si>
  <si>
    <t>The auditorium is accessible and is located on the first floor. Stage access is provided via a lift. Accessible seating is provided. The cafeteria is accessible and is located on the third floor. The gymnasium is accessible and is located on the fourth floor. Assistive listening systems have not been provided in the public assembly areas.</t>
  </si>
  <si>
    <t xml:space="preserve">Fire alarm system has been updated and includes strobe light feature. Holding rooms have been specifically designated as rooms 201, 301, and 401. </t>
  </si>
  <si>
    <t>455 Southern Blvd, Bronx, NY 10455</t>
  </si>
  <si>
    <t>The nearest accessible subway Hunts Point Avenue Station (6 train), 1.2mi distant. MTA bus service (Bx17 and Bx19) is also nearby. The accessible entrance to building X655 is not the same as the main entrance; the accessible entrance is located in the inner courtyard (Exit 11) is accessed via an active driveway on Tinton Avenue. The accessible entrance includes security cameras and a doorbell. The doorbell is not within reach range (height 60 inches).</t>
  </si>
  <si>
    <t>The penthouse is not accessible due to change of elevation. Some water fountains and other wall-mounted objects protrude in the corridors more than 4 inches, which may present difficulties for individuals with visual disabilities. Braille signs are not included throughout the building.</t>
  </si>
  <si>
    <t>One passenger elevator provides access to the basement through third floors. There is no elevator access to the penthouse. Elevator provides audible signals on each floor.</t>
  </si>
  <si>
    <t>Door: 42 inches, Cab: 72 inches deep, 118 inches wide</t>
  </si>
  <si>
    <t>The site offers limited accessibility; all classrooms are accessible and located on accessible routes.</t>
  </si>
  <si>
    <t>Classrooms – Basement Through Third Floors</t>
  </si>
  <si>
    <t>Computer Rooms – Rooms B8, 107A, 110, 119, and 121</t>
  </si>
  <si>
    <t>Main Office – Rooms B12 (07X557), 128 (07X259), and 209 (84X208)</t>
  </si>
  <si>
    <t>Science Lab – Rooms 204, 216, and 220</t>
  </si>
  <si>
    <t>The auditorium is accessible and is located in the basement. Stage access is provided. Accessible seating is provided. The cafeteria is accessible and is located on the third floor. The gymnasium is accessible and is located on the third floor. Assistive listening systems have been provided in the cafeteria.</t>
  </si>
  <si>
    <t>Accessible seating available on request. Assistive listening systems have been provided.</t>
  </si>
  <si>
    <t>This site is prevented from attaining a higher accessibility rating due to lack of accessible bathrooms throughout the building. There are accessible student bathrooms (boys) available on the third floor.</t>
  </si>
  <si>
    <t>Boys Bathroom – Boys Locker Room (Third Floor)</t>
  </si>
  <si>
    <t>Girls Bathroom –All Floors</t>
  </si>
  <si>
    <t>Staff Bathrooms –All Floors</t>
  </si>
  <si>
    <t>2474 Crotona Avenue, Bronx, NY 10458</t>
  </si>
  <si>
    <t>The nearest accessible subway station is Fordham Road Station (4 train), 1.02 miles distant. MTA bus service (BX17, BX9, and BX19) is also nearby. The main entrance is accessible, located on Crotona Avenue. The accessible entrance includes a ramp, security cameras, and reception. The accessible entrance does not include a doorbell.</t>
  </si>
  <si>
    <t>Some water fountains and other wall-mounted objects protrude in the corridors more than 4 inches, which may present difficulties for individuals with visual disabilities. Braille signs are not included throughout the building. Changes in elevation on the sub-level prevent access to some program areas.</t>
  </si>
  <si>
    <t>Changes in elevation to the sub-level classrooms.</t>
  </si>
  <si>
    <t>One passenger elevator provides access from the first through the fifth floor. Elevator includes audible signals on each floor.</t>
  </si>
  <si>
    <t>Doors: 65 inches, Cab: 120 inches wide, 125 inches deep.</t>
  </si>
  <si>
    <t>This site is moderately accessible; all classrooms located on the first through fifth floors are accessible and are located along accessible routes. Changes in elevation prevent access to the classrooms located on the sub-level.</t>
  </si>
  <si>
    <t>Classrooms – Sub- Level</t>
  </si>
  <si>
    <t>Computer Rooms – Rooms 313, 315, 324, 325, 401, and 510</t>
  </si>
  <si>
    <t>Main Office – Rooms 211, 321, and 507</t>
  </si>
  <si>
    <t>Science Lab – Rooms 414 A/B and 418 A/B</t>
  </si>
  <si>
    <t>The auditorium is accessible and is located on the second floor. Accessible seating is not provided. Stage access is not provided. The cafeteria is accessible and is located on the first floor. The gymnasium is accessible and is located on the first floor. The multi-purpose room is accessible and is located on the fourth floor. Assistive listening systems have not been provided in the public assembly areas.</t>
  </si>
  <si>
    <t>Multi-Purpose Room – Fitness Center – Room 409</t>
  </si>
  <si>
    <t>Boys Bathroom – Sub-Level</t>
  </si>
  <si>
    <t>Boys Bathroom – Second through Fifth Floors</t>
  </si>
  <si>
    <t>Girls Bathroom – Sub- Level</t>
  </si>
  <si>
    <t>Girls Bathroom – Second through Fifth Floors</t>
  </si>
  <si>
    <t>1001 Intervale Avenue, Bronx, NY 10459</t>
  </si>
  <si>
    <t>The nearest accessible subway station is the Third Avenue - 149th Street Station (2 and 5 trains), 1.3 miles distant. MTA bus service (Bx4, Bx6, and Bx17) is also nearby. The main entrance to X716 is accessible, located on Intervale Avenue (Exit 1). The accessible entrance includes a doorbell, security cameras, and reception. The doorbell is within range (height 35 inches).</t>
  </si>
  <si>
    <t>Doors: 37 inches, Cab: 67 inches wide, 51 inches deep.</t>
  </si>
  <si>
    <t>Located at main entrance</t>
  </si>
  <si>
    <t>Rooms B06 and B07</t>
  </si>
  <si>
    <t>Room B12</t>
  </si>
  <si>
    <t>Rooms 102 and 302</t>
  </si>
  <si>
    <t>This site does not include an auditorium or gymnasium; the cafeteria fulfills these functions. Assistive listening systems have been provided in the cafeteria.</t>
  </si>
  <si>
    <t>There are accessible student bathrooms (boys and girls) available on all floors. There are single-user (unisex) bathrooms (for student and staff use) available on all floors.</t>
  </si>
  <si>
    <t>Rooms 125, 211 and 313</t>
  </si>
  <si>
    <t>Rooms 124, 210 and 312</t>
  </si>
  <si>
    <t>Rooms 005, 122 and 208</t>
  </si>
  <si>
    <t>This site includes exterior recreational spaces. This space is located off of the cafeteria and on the rooftop. The exterior recreational spaces are accessible. This space does not include any recreational equipment.</t>
  </si>
  <si>
    <t>Fire alarm system has been upgraded and includes a strobe light feature. Holding rooms or areas of refuge have been specifically designated as room B12.</t>
  </si>
  <si>
    <t>2697 Westchester Avenue, Bronx, NY 10461</t>
  </si>
  <si>
    <t>The nearest accessible subway station is Pelham Bay Park Station (6 train), 1.0 mile distant. MTA bus service (Bx21 and Bx24) is also nearby. The main entrance is accessible, located on Westchester Avenue (Exit 2). The accessible entrance includes a doorbell and reception. The doorbell is not within reach range.</t>
  </si>
  <si>
    <t>One passenger elevator provides access to every floor. Elevator provides audible signals on each floor.</t>
  </si>
  <si>
    <t>Door: 44 Inches; Cab: 61 Inches wide, 71 Inches deep</t>
  </si>
  <si>
    <t>This site offers limited accessibility; all classrooms are accessible and are located on accessible routes.</t>
  </si>
  <si>
    <t xml:space="preserve">Rooms 132, 223, and 324 </t>
  </si>
  <si>
    <t>Room 33</t>
  </si>
  <si>
    <t xml:space="preserve">Fire alarm system has been updated and includes strobe light feature. Holding rooms have been specifically designated as rooms 208 and 308. </t>
  </si>
  <si>
    <t>695 East 182 Street, Bronx, NY 10457</t>
  </si>
  <si>
    <t>The nearest accessible subway station is the Fordham Road Station (4 train), 1.30 miles distant. MTA bus service (Bx12 and Bx17) is also nearby. This site consists of two separate building structures. There is no interior access between the two. Both buildings include accessible entrances. The main entrance of X781 is accessible, located on 182nd Street (Exit 1).  The accessible entrance includes a doorbell, reception, and security cameras. The doorbell is not within reach range (height 52 inches). The secondary accessible entrance of X781 is located on 182 (Exit 10).</t>
  </si>
  <si>
    <t>One passenger elevator provides access to the basement cafeteria. Elevator includes audible signals on each floor.</t>
  </si>
  <si>
    <t>Doors: 35 inches, Cab: 53 inches wide, 48 inches deep.</t>
  </si>
  <si>
    <t>This site does not include an auditorium; the gymnasium fulfills this function. The gymnasium is accessible and is located on the first floor, accessed via exit 10. The cafeteria is accessible and is located in the basement, accessed via exit 1. Assistive listening systems have been provided in the cafeteria and gymnasium.</t>
  </si>
  <si>
    <t>Accessible via outdoor ramp only. Assistive listening systems have been provided.</t>
  </si>
  <si>
    <t>This building is prevented from attaining a higher accessibility rating due to lack of accessible bathrooms throughout the building. There are accessible student bathrooms (boys and girls) available in the basement cafeteria. There is a single-user (unisex) bathroom (for student and staff use) available on the first floor.</t>
  </si>
  <si>
    <t>Room C05</t>
  </si>
  <si>
    <t>Rooms G10 and 401</t>
  </si>
  <si>
    <t>Rooms G03 and 301</t>
  </si>
  <si>
    <t>Room G09</t>
  </si>
  <si>
    <t>Rooms 203A and 203B</t>
  </si>
  <si>
    <t>Not on accessible route. Room 203A is locates inside classroom 202. Room 203B is located inside classroom 204.</t>
  </si>
  <si>
    <t>730 Concourse Village West, Bronx, NY 10451</t>
  </si>
  <si>
    <t>The nearest accessible subway station is the 161th Street – Yankee Stadium Station (B, D, and 4 trains), 0.38 miles distant. MTA bus service (Bx1 and Bx2) is also nearby. The main entrance of X790 is accessible, located on Concourse Village West Street (Exit 21). The accessible entrance includes a ramp, a doorbell, security cameras, and reception. The doorbell is within reach range (Height 48 inches).</t>
  </si>
  <si>
    <t xml:space="preserve">Ramped access from street via exterior courtyard. Additional ramps at Exits 24 and 26. </t>
  </si>
  <si>
    <t xml:space="preserve">Seven passenger elevators provide access to all floors. Elevators include audible signals on each floor.  </t>
  </si>
  <si>
    <t xml:space="preserve">E1-E7 
Doors: 48 Inches, Cabs: 79 Inches wide, 61 Inches deep. </t>
  </si>
  <si>
    <t>Rooms 214 (building A), 249 (building B), 257 (building C), and C69 (building D)</t>
  </si>
  <si>
    <t>Rooms 246, 266 and 314</t>
  </si>
  <si>
    <t>Room B53</t>
  </si>
  <si>
    <t>Rooms B39A (X188 SPED, Building A), 116C (Bronx Leadership, Building A), 143 (South Bronx Charter, Building B), 169 (Career in Sport, Building C), 192 (KIPP Academy, Building D)</t>
  </si>
  <si>
    <t>Rooms B20 and C29</t>
  </si>
  <si>
    <t>Rooms 304, 310, 313 (Building A), 343, 349, 350, 357, 360, 366 (Building C), 285 and 291 (alternate use)</t>
  </si>
  <si>
    <t>The auditorium is accessible and is located on the cellar floor. Stage access is provided via corridor. Accessible seating is provided. The cafeteria spaces are accessible and are located on the cellar floor. The gymnasiums are accessible and are located on the cellar floor. Assistive listening systems have been provided in Cafeteria C04, Cafeteria C18, and Cafeteria C64.</t>
  </si>
  <si>
    <t>Room C52</t>
  </si>
  <si>
    <t>Rooms C04, C18, C56 and C64</t>
  </si>
  <si>
    <t>Accessible seating available upon request. Assistive listening systems have been provided in Cafeteria C04, Cafeteria C18, and Cafeteria C64.</t>
  </si>
  <si>
    <t>Rooms C35, C65 and C65A</t>
  </si>
  <si>
    <t>There are accessible student bathrooms (boys) available on all floors. There are accessible student bathrooms (girls) available in the basement, and on the cellar through third floors. There are accessible single-user (unisex) bathrooms (for student and staff use) available in the basement, and on the cellar through third floors. There are accessible single-user (unisex) bathrooms (for student and staff use) available in the some classrooms in the basement and on the cellar floor.</t>
  </si>
  <si>
    <t>Rooms B21, B24A, B40, B57, B79, C21, C24A, C26, C40, C57, C79,  121, 140, 157, 179, 221, 240, 257, 279, 321, 340, 357, 379, 421, 440, 457, and 479</t>
  </si>
  <si>
    <t>Rooms B27, B34, B55, B73, C22, C27, C28, C34, C55, C73, 127, 134, 155, 173, 227, 234, 255, 273, 327, 334, 355, and 373</t>
  </si>
  <si>
    <t>Rooms B20B, B25, B36, B75, C25, C36, C75, 125, 136, 175, 225, 236, 275, 325, 336, and 375</t>
  </si>
  <si>
    <t>Rooms B01A, B05A, B16A, B85A, and C39B </t>
  </si>
  <si>
    <t xml:space="preserve">This site includes exterior recreational spaces. The exterior recreational spaces are accessible. The recreational equipment not accessible. </t>
  </si>
  <si>
    <t xml:space="preserve">Fire alarm system has been upgraded and includes a strobe light feature. Holding rooms have been specifically designated as rooms B01, 101, 201, 301, 255, 271, 291, 355, 371, and 389. </t>
  </si>
  <si>
    <t>This site includes central air. Air-conditioning units have also been provided in classrooms.</t>
  </si>
  <si>
    <t>1680 Hoe Avenue, Bronx, NY 10460</t>
  </si>
  <si>
    <t xml:space="preserve">The nearest accessible subway station is Simpson Street Station (2 and 5 trains), 0.90 miles distant. MTA bus service (Bx19 and Bx36) is also nearby. The main entrance of X817 is accessible, located on Hoe Avenue (Exit 3). The accessible entrance includes a doorbell and reception. The doorbell is not within reach range (height 64 inches). The accessible entrance does not include security cameras. </t>
  </si>
  <si>
    <t xml:space="preserve">Room 111   </t>
  </si>
  <si>
    <t>This site does not include an auditorium, a cafeteria, or a gymnasium; the multi-purpose room fulfills these functions. The multi-purpose room is accessible and is located on the first floor. Assistive listening systems have not been provided in the public assembly spaces. </t>
  </si>
  <si>
    <t xml:space="preserve">There are accessible multi-user (unisex) bathrooms (for student and staff use) available on the first floor. There are accessible multi-user (unisex) bathrooms (for student and staff use) available in all classrooms on the first floor.  </t>
  </si>
  <si>
    <t>Multi-User: Rooms 108B and 115</t>
  </si>
  <si>
    <t>Holding rooms or areas of refuge have not been specifically designated.  </t>
  </si>
  <si>
    <t>1025 Morrison Avenue, Bronx, NY 10472</t>
  </si>
  <si>
    <t>The nearest accessible subway station is Hunts Point Avenue Station (6 train), 1.00 miles distant. MTA bus service (Bx27) is also nearby. The accessible entrance to X823 is not the same as the main entrance; the accessible entrance is located on Morrison Avenue (Exit 2). The accessible entrance does not include a doorbell, reception, or security cameras. Visitors may need to contact site in advance to gain access to this facility through the accessible entrance.</t>
  </si>
  <si>
    <t>Main Office – Room 17</t>
  </si>
  <si>
    <t>Boys Bathrooms – Room 6</t>
  </si>
  <si>
    <t>Girls Bathrooms – Room 7</t>
  </si>
  <si>
    <t>Staff Bathrooms – Room 5</t>
  </si>
  <si>
    <t>1950 Sedgwick Avenue, Bronx, NY 10453</t>
  </si>
  <si>
    <t>The nearest accessible subway station is Fordham Road Station (4 train), 1.1 miles distant. MTA bus service (Bx40 and Bx42) is also nearby. The main entrance is accessible, located on Sedgwick Avenue. The accessible entrance does not include a doorbell, security cameras, or reception; visitors may need to contact site in advance to gain access to this facility through the accessible entrance.</t>
  </si>
  <si>
    <t>This site does not include an elevator. This site is a single-floor structure: Lack of elevator does not prevent access.</t>
  </si>
  <si>
    <t>Room 11</t>
  </si>
  <si>
    <t>This site does not include an auditorium; the gymnasium fulfills this function. The gymnasium is accessible and is located on the first floor. The cafeteria is accessible and located on an accessible route. Assistive listening systems have not been provided in the public assembly spaces.</t>
  </si>
  <si>
    <t>1910 Sedgwick Avenue, Bronx, NY 10453</t>
  </si>
  <si>
    <t>The nearest accessible subway station is Fordham Road Station (4 train), 1.1 miles distant. MTA bus service (Bx40 and Bx42) is also nearby. The main entrance not the same as the accessible entrance. The accessible entrance is located on West Burnside Avenue, adjacent to the main entrance. The accessible entrance includes a ramp, security cameras, and reception. The accessible entrance does not include a doorbell; visitors may need to contact site in advance to gain access to this facility through the accessible entrance.</t>
  </si>
  <si>
    <t xml:space="preserve">Doors: 45 inches, Cab: 80 inches wide, 52 inches deep. </t>
  </si>
  <si>
    <t>There are accessible student bathrooms (girls and boys) available on the first floor. There are accessible single-user (unisex) bathrooms (for student and staff use) available on all floors. There are accessible single-user (unisex) bathrooms (for student and staff use) available in the classrooms of the second and third floors.</t>
  </si>
  <si>
    <t>Classrooms on the Second and Third Floors</t>
  </si>
  <si>
    <t>2040 Antin Pl, Bronx, NY 10462</t>
  </si>
  <si>
    <t>The nearest accessible subway station is Pelham Parkway Station (2 and 5 trains), 0.5 miles distant. MTA bus service (Bx22 and Bx39) is also nearby. The main entrance is accessible, located on Anita Place (Exit 1). The accessible entrance includes a doorbell, reception, and security cameras. The doorbell is located within reach range (height 47 inches).</t>
  </si>
  <si>
    <t>E1; Doors: 35 inches, Cab: 50 inches wide, 68 inches deep.</t>
  </si>
  <si>
    <t>Art Rooms – Rooms 220 and 221</t>
  </si>
  <si>
    <t>Computer Rooms – Room 216</t>
  </si>
  <si>
    <t>Library – Room 226</t>
  </si>
  <si>
    <t>Science Lab – Room 213</t>
  </si>
  <si>
    <t>This site does not include an auditorium or a gymnasium; the multi-purpose room fulfills these functions. The multi- purpose room is accessible and is located on the first floor. The cafeteria is accessible and is located on the first floor. Assistive listening systems have not been provided in the public assembly spaces.</t>
  </si>
  <si>
    <t>Multi-Purpose Room – First Floor - Room 120</t>
  </si>
  <si>
    <t>There are accessible student bathrooms (boys) available on the first floor. There are accessible student bathrooms (girls) available on the first and second floors. There are accessible single-user (unisex) bathrooms (for student and staff use) available on all floors.</t>
  </si>
  <si>
    <t>Boys Bathrooms – Rooms 124</t>
  </si>
  <si>
    <t>Boys Bathrooms – Rooms 201</t>
  </si>
  <si>
    <t>Obstruction in maneuvering clearance</t>
  </si>
  <si>
    <t>Girls Bathrooms – Rooms 123 and 231</t>
  </si>
  <si>
    <t>Single-User (Unisex) Bathrooms – Rooms 102, 117, 211B, and 228</t>
  </si>
  <si>
    <t>The nearest accessible subway station is the 3rd Avenue – 149th Street Station (2 and 5 trains), 0.80 miles distant. MTA bus service (Bx6, Bx15, and Bx21) is also nearby. The accessible entrance to X840 is not the same as the main entrance; the accessible entrance is located on Eagle Avenue (Exit 2). The accessible entrance does not include a doorbell, reception, or security cameras. Visitors may need to contact site in advance to gain access to this facility through the accessible entrance.</t>
  </si>
  <si>
    <t>Main Office – Room MO (First Floor)</t>
  </si>
  <si>
    <t>Boys Bathrooms – Room B</t>
  </si>
  <si>
    <t>Girls Bathrooms – Room G</t>
  </si>
  <si>
    <t>Staff Bathrooms – Room S</t>
  </si>
  <si>
    <t>2641 Grand Concourse, Bronx, NY 10468</t>
  </si>
  <si>
    <t>The nearest accessible subway station is the Kingsbridge Road Station (B and D trains), 0.03 miles distant. MTA bus service (Bx1, Bx2, Bx9, Bx22, Bx28, and Bx38) is also nearby. The accessible entrance to X843 is not the same as the main entrance; the accessible entrance is located on Kingsbridge Road (Exit 6). The accessible entrance includes a doorbell and a ramp. The accessible entrance does not include reception or security cameras. The doorbell is not within reach range (height 52 inches). Visitors may need to contact site in advance to gain access to this facility through the accessible entrance.</t>
  </si>
  <si>
    <t>Path of travel may be difficult for some users to navigate.</t>
  </si>
  <si>
    <t>One passenger elevator provides access to all floors. Elevator out of service at time of survey.</t>
  </si>
  <si>
    <t>This site offers limited accessibility; the classrooms are not accessible and are not located along accessible routes.</t>
  </si>
  <si>
    <t>Art Rooms – Room 215</t>
  </si>
  <si>
    <t>Classrooms – Basement – Third Floors</t>
  </si>
  <si>
    <t>This site does not include an auditorium; the cafeteria fulfills this function. The cafeteria is accessible and is located in the basement. The cafeteria does not include a stage. Accessible seating is provided. This site does not include a gymnasium; the multi-purpose room fulfills this function. The multi-purpose room is not accessible and is located on the first floor. Assistive listening systems have not been provided in the public assembly spaces.</t>
  </si>
  <si>
    <t>Boys Bathrooms – Rooms 121, 227, and 325</t>
  </si>
  <si>
    <t>Girls Bathrooms – Rooms 119, 206, and 306</t>
  </si>
  <si>
    <t>Staff Bathrooms – Cafeteria</t>
  </si>
  <si>
    <t>Located inside corresponding public assembly space.</t>
  </si>
  <si>
    <t>Single-User (Unisex) Bathrooms – Rooms 217 and 315</t>
  </si>
  <si>
    <t>3617 Bainbridge Avenue, Bronx, NY 10467</t>
  </si>
  <si>
    <t>The nearest accessible subway station is Gun Hill Road station (2 and 5 trains), 1.0 mile distant. MTA bus service (Bx15 and Bx33) is also nearby. The main entrance is accessible, located on Bainbridge Avenue. The accessible entrance includes security cameras, reception, and a doorbell. The doorbell is not within reach range.</t>
  </si>
  <si>
    <t>E1 and E2: 
Doors: 47 inches, Cabs: 68 inches wide, 95 inches deep.</t>
  </si>
  <si>
    <t>Room 213, and 214</t>
  </si>
  <si>
    <t>This site does not include an auditorium or a gymnasium; the multi-purpose rooms fulfill these functions. The multi-purpose rooms are accessible and are located on the first floor. The cafeteria is accessible and is located on the first floor. Assistive listening systems have not been provided in the public assembly areas.</t>
  </si>
  <si>
    <t>Dance Room 1, and Dance Room 2. Multi-purpose rooms are separated by a folding divider and can be merged into a single space</t>
  </si>
  <si>
    <t>There are accessible student bathrooms (girls and boys) available on the first and second floors. There are accessible staff bathrooms (male and female) available on first and second floors.</t>
  </si>
  <si>
    <t>All floors</t>
  </si>
  <si>
    <t>The site does include central air. Air-conditioning units have been provided in classrooms.</t>
  </si>
  <si>
    <t>577 East 139 Street, Bronx, NY 10454</t>
  </si>
  <si>
    <t>The nearest accessible subway station is the Third Avenue – 149th Street Station (2 and 5 trains), 0.80 miles distant. MTA bus service (Bx17 and Bx33) is also nearby. The main entrance of X855 is not accessible, located on 139 Street (Exit 1). The main entrance includes a doorbell, reception, and security cameras. The doorbell is not within reach range (height 63 inches). This site does not include an accessible entrance. </t>
  </si>
  <si>
    <t>Braille signs are not included throughout the building. </t>
  </si>
  <si>
    <t>This site is not accessible; all classrooms are not accessible and are not located along accessible routes.  </t>
  </si>
  <si>
    <t>This site does not include an auditorium, a cafeteria, or a gymnasium; the multi-purpose room fulfills this function. The multi-purpose room is not accessible. Accessible seating is provided. The multi-purpose room does not include a stage. Assistive listening systems have not been provided in the public assembly spaces. </t>
  </si>
  <si>
    <t>Accessible seating is provided. The multi-purpose room does not include a stage. </t>
  </si>
  <si>
    <t>Rooms 104 and 105</t>
  </si>
  <si>
    <t>B01 &amp; B02, B03 &amp; B04, B1 &amp; B2, and B3 &amp; B4</t>
  </si>
  <si>
    <t>Located between corresponding classrooms. </t>
  </si>
  <si>
    <t>This site includes exterior recreational spaces. The exterior recreational spaces are not accessible.  </t>
  </si>
  <si>
    <t>Fire alarm system has not been upgraded. Holding rooms or areas of refuge have not been specifically designated. </t>
  </si>
  <si>
    <t>1710 Webster Avenue, Bronx, NY 10457</t>
  </si>
  <si>
    <t xml:space="preserve">The nearest accessible subway station is 161st Street – Yankee Stadium Station (4 train), 1.9 miles distant; MTA bus service (Bx41) is also nearby. The main entrance to X876 is accessible, located on Webster Avenue. (Exit 1). The accessible entrance includes a doorbell, security cameras, and reception. The doorbell is not within reach range (height 65 inches). </t>
  </si>
  <si>
    <t>Many of the water fountains protrude into the corridor and may present barriers for individuals with visual disabilities. Braille signs are provided in most areas of the building, although they are degrading and should be replaced.</t>
  </si>
  <si>
    <t>A passenger elevator provides service to all floors in the building. Elevator includes audible signals on each floor.</t>
  </si>
  <si>
    <t>Door: 36 Inches, Cab: 51 Inches deep, 68 Inches wide.</t>
  </si>
  <si>
    <t>This site is highly accessible, all classrooms are accessible and located on accessible routes. This site conducted a major interior renovation in 1997, making all student and staff bathrooms accessible in the building and providing access to the public assembly areas.</t>
  </si>
  <si>
    <t>Room 222, and 225</t>
  </si>
  <si>
    <t>This site conducted a major interior renovation in 1997, making all student and staff bathrooms accessible in the building.</t>
  </si>
  <si>
    <t>Site contains HVAC/Central Air.</t>
  </si>
  <si>
    <t>1021 Jennings Street, Bronx, NY 10460</t>
  </si>
  <si>
    <t>The nearest accessible subway station is Hunts Point Avenue Station (6 train), 0.8 miles distant. MTA bus service (Bx11) is also nearby. The main entrance (Exit 1) to X878 is accessible, located on West Farms Road. The accessible entrance includes a ramp, doorbell, security cameras, and reception. The doorbell is within reach range (height 46 inches).</t>
  </si>
  <si>
    <t>Slight slope in front of the main entrance may pose difficulty for some.</t>
  </si>
  <si>
    <t>Many of the water fountains protrude into the corridors and may present barriers for individuals with visual disabilities. Braille signs are provided in most areas of the building.</t>
  </si>
  <si>
    <t>Doors: 36 inches, Cab: 52 inches wide, 69 inches deep.</t>
  </si>
  <si>
    <t>This site is highly accessible; all classrooms are accessible and are located along accessible routes. There is an inner courtyard on the second floor that is not accessible due to a change of elevation (1 step).</t>
  </si>
  <si>
    <t>Art Rooms – Room 217</t>
  </si>
  <si>
    <t>Library – Room 218</t>
  </si>
  <si>
    <t>Main Office – Room B17</t>
  </si>
  <si>
    <t>Science Lab – Rooms B3, 112, 123 and 210</t>
  </si>
  <si>
    <t>This site does not include an auditorium; the cafeteria and gymnasium fulfill this function. The cafeteria is accessible and is located in the basement. The gymnasium is accessible and is located on the first floor. Assistive listening systems have not been provided in the public assembly spaces.</t>
  </si>
  <si>
    <t>1122 East 180 Street, Bronx, NY 10460</t>
  </si>
  <si>
    <t xml:space="preserve">The nearest accessible subway station is East 180th Street Station (2 and 5 trains), 0.1 miles distant; MTA bus service (Bx21 and BxM10) is also nearby. The main entrance to X879 is accessible, located on Bronx Park Avenue (Exit 2). The accessible entrance includes a ramp. </t>
  </si>
  <si>
    <t>Many of the water fountains protrude into the main corridors and may present barriers for individuals with visual disabilities. Braille signs are provided in most areas of the building.</t>
  </si>
  <si>
    <t>Door: 36 Inches; Cab: 50 Inches deep, 67 Inches wide.</t>
  </si>
  <si>
    <t>Although the date of construction for this building is 1915, a major renovation was conducted in 1996 and this site is now considered highly accessible; all classrooms are accessible and located on accessible routes.</t>
  </si>
  <si>
    <t>Rooms 112, 127, 211, 222, and 227</t>
  </si>
  <si>
    <t>The cafeteria is accessible and is located on the first floor. The gymnasium is accessible and is located on the first floor. The multi-purpose room located on the first floor is accessible. Assistive listening systems have not been provided in the public assembly areas.</t>
  </si>
  <si>
    <t>Room 115/117</t>
  </si>
  <si>
    <t>There are accessible student bathrooms (boys and girls) available on all floors. Accessible single user staff bathrooms (for general use and student use) exist on the first, and second floors.</t>
  </si>
  <si>
    <t>Central Air / Climate Control is provided throughout the building.</t>
  </si>
  <si>
    <t>350 Gerard Avenue, Bronx, NY 10451</t>
  </si>
  <si>
    <t xml:space="preserve">The nearest accessible subway station is Third Avenue 138th Street Station (6 train), 0.4 miles distant; MTA bus service (Bx1) is also nearby. The main entrance to this site is accessible, located on Gerard Avenue. The accessible entrance includes a ramp and a doorbell. The doorbell is within reach range (48 Inches). </t>
  </si>
  <si>
    <t xml:space="preserve">Clear width 28 inches may cause difficulty for some. </t>
  </si>
  <si>
    <t>An interior ramp provides access to the multi-purpose room and weight room on the third floor. Braille signs are provided throughout the building.</t>
  </si>
  <si>
    <t>One passenger elevator on site provide service to all floor in the building. Elevator includes audible signals on each floor.</t>
  </si>
  <si>
    <t>Door: 43 Inches, Cab: 81 Inches wide, 65 Inches deep.</t>
  </si>
  <si>
    <t>Although originally built in 1913, major renovations to this building were conducted in 1995 and this site is highly accessible; all classrooms are accessible and located on accessible routes.</t>
  </si>
  <si>
    <t>Room 348B</t>
  </si>
  <si>
    <t>Rooms 143 (07X670), and 343 (07X427)</t>
  </si>
  <si>
    <t>Room 361</t>
  </si>
  <si>
    <t>Rooms 244, and 252</t>
  </si>
  <si>
    <t>The cafeteria is accessible and is located on the third floor. An interior ramp provides access to the multipurpose room and weight room on the third floor. Assistive listening systems have not been provided in the public assembly spaces.</t>
  </si>
  <si>
    <t>There are accessible student bathrooms (boys and girls) on all floors. There are accessible staff bathrooms available on all floors.</t>
  </si>
  <si>
    <t>Fire Alarm System includes a strobe light feature. There are no designated fire safety rooms.</t>
  </si>
  <si>
    <t>The site has HVAC/Climate control; central A/C.</t>
  </si>
  <si>
    <t>124 Eames Place, Bronx, NY 10468</t>
  </si>
  <si>
    <t xml:space="preserve">The nearest accessible subway station is the Kingsbridge Road Subway Station (D train), 0.6 miles distant. MTA bus service (Bx3 and Bx9) is also nearby. The main entrance of X886 is accessible, located on Eames Place (Exit 1). The accessible entrance does not include a lift, doorbell, reception, or security cameras; visitors should contact the site prior to arrival. </t>
  </si>
  <si>
    <t xml:space="preserve">One passenger elevator provides access to all floors in building addition. Elevator includes audible signals on each floor.  </t>
  </si>
  <si>
    <t xml:space="preserve">Doors: 36 inches, Cabs: 68 inches wide, 53 inches deep. </t>
  </si>
  <si>
    <t xml:space="preserve">Original wing has only ground floor access.  </t>
  </si>
  <si>
    <t>Room G04</t>
  </si>
  <si>
    <t xml:space="preserve">This site does not include an auditorium or gymnasium; the multi-purpose room fulfills these functions. The multi-purpose room is accessible and is located on the first floor. The multi-purpose room does not include a stage. Accessible seating is provided. The cafeteria is accessible and is located on the ground floor. Assistive listening systems have not been provided in the public assembly spaces. </t>
  </si>
  <si>
    <t xml:space="preserve">There are accessible student bathrooms (boys and girls) available on the first floor. There are accessible single-user (unisex) bathrooms (for student and staff use) available on the ground floor.   </t>
  </si>
  <si>
    <t>Rooms 001 and 115 </t>
  </si>
  <si>
    <t>Room 215 </t>
  </si>
  <si>
    <t>Rooms 012, 006, 007, 022, 106, 203 and 207</t>
  </si>
  <si>
    <t>2240 Walton Avenue, Bronx, NY 10453</t>
  </si>
  <si>
    <t>The nearest accessible subway station is Fordham Road Station (4 train), 0.40 miles distant. MTA bus service (Bx1, Bx2, and Bx32) is also nearby. Building X896 is the secondary location for primary building X279 and is accessed via Walton Avenue. The main entrance of X896 is accessible, located on Walton Avenue (Exit 1). The accessible entrance includes a doorbell and reception. The doorbell is within reach range (height 47 inches). The accessible entrance does not include security cameras.  </t>
  </si>
  <si>
    <t>One passenger elevator provides access to all floors. Elevator includes audible signals on each floor.  </t>
  </si>
  <si>
    <t>Doors: 41 inches, Cab: 80 inches wide, 51 inches deep.</t>
  </si>
  <si>
    <t>Rooms 215 and 218</t>
  </si>
  <si>
    <t>Located in building X279. </t>
  </si>
  <si>
    <t>This site does not include an auditorium or a gymnasium; these public assembly spaces are located in primary building X279. This site includes a cafeteria. The cafeteria is accessible and is located on the first floor. Assistive listening systems have been provided in the auditorium. </t>
  </si>
  <si>
    <t>Located in primary building X279. Stage access is provided via lift. Accessible seating is provided. Assistive listening systems have been provided. </t>
  </si>
  <si>
    <t>Located in primary building X279. Accessible seating available upon request. </t>
  </si>
  <si>
    <t>Located in primary building X279. </t>
  </si>
  <si>
    <t>There are accessible single-user (unisex) bathrooms (for student and staff use) available on all floors.  There are accessible student bathrooms (multi-user) available in all classrooms.   </t>
  </si>
  <si>
    <t>Rooms 114 and 220</t>
  </si>
  <si>
    <t>2925 Goulden Avenue, Bronx, NY 10468</t>
  </si>
  <si>
    <t xml:space="preserve">The nearest accessible subway station is at Fordham Road (4 train), 1.0 mile distant; MTA bus service (Bx10, Bx28, and Bx38) is also nearby. The main entrance to building X905 is accessible, located on Goulden Avenue. </t>
  </si>
  <si>
    <t xml:space="preserve">Site only consists of one floor. Braille signs are provided in all areas of building. </t>
  </si>
  <si>
    <t xml:space="preserve">Site only consists of one floor, with no changes in elevation. </t>
  </si>
  <si>
    <t xml:space="preserve">This site does not include an auditorium or gymnasium; the cafeteria fulfills these functions. The cafeteria is accessible and is located on the first floor. Assistive listening systems have not been provided in the public assembly spaces. </t>
  </si>
  <si>
    <t xml:space="preserve">There are accessible student bathrooms (boys and girls) available on the first floor. Accessible single user staff bathrooms (for student and staff use) are available on the first floor. </t>
  </si>
  <si>
    <t>Fire Alarm System includes a strobe light feature. There are no specifically designated fire holding rooms on site.</t>
  </si>
  <si>
    <t>The site includes HVAC/Climate control; A/C units also provided in classrooms.</t>
  </si>
  <si>
    <t>516 East Tremont Avenue, Bronx, NY 10457</t>
  </si>
  <si>
    <t xml:space="preserve">The nearest accessible subway station is the West Fordham Road Station (4 train), 1.5 miles distant. MTA bus service (Bx40 and Bx42) is also nearby. The main entrance of X909 is accessible, located on Third Avenue (Exit 1). The accessible entrance includes a doorbell, reception, and security cameras. The doorbell is located within reach range (Height 48 inches). </t>
  </si>
  <si>
    <t xml:space="preserve">Doors: 47 inches, Cab: 66 inches wide, 77 inches deep. </t>
  </si>
  <si>
    <t>Room 206A</t>
  </si>
  <si>
    <t xml:space="preserve">This site does not include an auditorium; the cafeteria fulfills this function. The cafeteria is accessible and is located in the basement. Assistive listening systems have not been provided in the public assembly areas. </t>
  </si>
  <si>
    <t xml:space="preserve">Accessible seating provided. </t>
  </si>
  <si>
    <t xml:space="preserve">There are accessible student bathrooms (boys and girls) available in basement. There are accessible single-user (unisex) bathrooms (for student and staff use) available on all floors. There are accessible single-user (unisex) bathrooms (for student and staff use) available within classrooms on the first and second floors.     </t>
  </si>
  <si>
    <t>Rooms C13E</t>
  </si>
  <si>
    <t>Rooms C13A</t>
  </si>
  <si>
    <t>Rooms C16, 104, 113, 212, and 214</t>
  </si>
  <si>
    <t>Classrooms 102, 114, 116, 118, 201, 203, 205, 211, 213, and 215</t>
  </si>
  <si>
    <t xml:space="preserve">Fire alarm system has been upgraded and includes a strobe light feature. Holding rooms have been specifically designated as rooms C13, 114, and 215. </t>
  </si>
  <si>
    <t>980 Mace Avenue, Bronx, NY 10469</t>
  </si>
  <si>
    <t>The nearest accessible subway station is Pelham Parkway Station (2 and 5 trains), 0.80 miles distant. MTA bus service (Bx8) is also nearby. Building X919 is the secondary location for primary building X089 and is accessed via building X089. The main entrance of X089 is accessible, located on Mace Avenue (Exit 2). The accessible entrance does not include a doorbell or reception. Visitors may need to contact the site in advance to gain access to this facility through the accessible entrance. While building X919 is fully accessible (10 out of 10), lack of an accessible path of travel through or around building X089 (changes of elevation in corridors and lobby) prevents access to building X919, making it not accessible.</t>
  </si>
  <si>
    <t>This site is not accessible; none of the classrooms are accessible and are not located along accessible routes.</t>
  </si>
  <si>
    <t>Art Rooms – Rooms 226, 305, and 307</t>
  </si>
  <si>
    <t>Located in building X089. Not on an accessible route.</t>
  </si>
  <si>
    <t>Nurse’s Office – Room 219A</t>
  </si>
  <si>
    <t>This site does not include public assembly spaces; the public assembly spaces are located in primary building X089.</t>
  </si>
  <si>
    <t>Located in primary building X089. Not on an accessible route.</t>
  </si>
  <si>
    <t>There are accessible single-user (unisex) bathrooms (for student and staff use) available in all classrooms.</t>
  </si>
  <si>
    <t>Single-User (Unisex) Bathrooms – All Classrooms</t>
  </si>
  <si>
    <t>The nearest accessible subway station is Fordham Road Station (4 train), 0.60 miles distant. MTA bus service (Bx1 and Bx2) is also nearby. Building X930 is the secondary location for primary building X009 and is accessed via building X009. The accessible entrance to X930 is not the same as the main entrance; the accessible entrance is located on Valentine Avenue (Exit 3A). The accessible entrance does not include a doorbell, reception, or security cameras. Visitors may need to contact the site in advance to gain access to this facility through the accessible entrance. While building X930 is fully accessible, lack of an accessible path of travel through or around building X009 (changes of elevation in corridors and lobby) prevents access to building X930, making it not accessible.</t>
  </si>
  <si>
    <t>This site is not accessible due to lack of an accessible path of travel; all classrooms are accessible but are not located along accessible routes.</t>
  </si>
  <si>
    <t>Located in building X009.</t>
  </si>
  <si>
    <t>This site does not include public assembly spaces; the public assembly spaces are located in primary building X009.</t>
  </si>
  <si>
    <t>Located in primary building X009. Accessible seating available upon request.</t>
  </si>
  <si>
    <t>Located in primary building X009.</t>
  </si>
  <si>
    <t>Located in secondary building X930.</t>
  </si>
  <si>
    <t>There is an accessible single-user (unisex) bathroom (for student and staff use) available on the first floor. There are accessible student bathrooms (multi-user) available in all classrooms on the first floor.</t>
  </si>
  <si>
    <t>Single-User (Unisex) Bathrooms – Room 12</t>
  </si>
  <si>
    <t>Multi-User (Unisex) Bathrooms – All Classrooms</t>
  </si>
  <si>
    <t>The nearest accessible subway station is East 180th Station (2 and 5 trains), 1.20 miles distant. MTA bus service (Bx36, Bx40, and Bx42) is also nearby. Building X932 is the secondary location for primary building X118 and is accessed via building X118. The accessible entrance to X932 is not the same as the main entrance; the accessible entrance is located on Lafontaine Avenue (Exit 7). The accessible entrance includes a ramp. The accessible entrance does not include a doorbell, reception, or security cameras. Visitors may need to contact site to gain access to this facility through the accessible entrance.</t>
  </si>
  <si>
    <t>Located in building X118.</t>
  </si>
  <si>
    <t>This site does not include an auditorium, cafeteria, or a gymnasium. These public assembly spaces are located in primary building X118. The multi-purpose room is accessible and is located on the first floor. Assistive listening systems have not been provided in the public assembly spaces.</t>
  </si>
  <si>
    <t>Located in primary building X118. Accessible seating is provided. Stage access is no provided.</t>
  </si>
  <si>
    <t>Located in primary building X118. Accessible seating available upon request.</t>
  </si>
  <si>
    <t>Located in primary building X118.</t>
  </si>
  <si>
    <t>Boys Bathrooms – Room 10</t>
  </si>
  <si>
    <t>Girls Bathrooms – Room 12</t>
  </si>
  <si>
    <t>Single-User (Unisex) Bathrooms – Room 11</t>
  </si>
  <si>
    <t>1595 Bathgate Avenue, Bronx, NY 10457</t>
  </si>
  <si>
    <t xml:space="preserve">The nearest accessible subway station is 161st Street - Yankee Stadium Station (4 train), 1.9 miles distant; MTA bus service (Bx11 and Bx41) is also nearby. The main entrance to X970 is accessible, located on Bathgate Avenue (Exit 2). </t>
  </si>
  <si>
    <t xml:space="preserve">Braille signs are provided throughout the building but may need to be replaced in a few areas because of deterioration. </t>
  </si>
  <si>
    <t>Two passenger elevators provide service to all floors in the building. Elevator includes audible signals on each floor.</t>
  </si>
  <si>
    <t>E1 &amp; E2 Doors: 42 Inches; Cabs: 66 Inches deep, 90 Inches wide.</t>
  </si>
  <si>
    <t>Rooms 106 (Urban Assembly), 112 (Mott Haven)</t>
  </si>
  <si>
    <t>Rooms 250 (Validus), 261 (Urban Assembly), 266 (Mott Hall)</t>
  </si>
  <si>
    <t>Rooms 217, 219, 229, 230, 231, and 233</t>
  </si>
  <si>
    <t>The cafeteria is accessible and is located on the first floor. The gymnasium is accessible and is located on the first floor. Assistive listening systems have not been provided in the public assembly spaces.</t>
  </si>
  <si>
    <t>There are accessible student bathrooms (boys and girls) on all floors. There are accessible staff bathrooms on all floors.</t>
  </si>
  <si>
    <t>Fire Alarm System has been updated and includes strobe light feature. Fire holding rooms have been designated: 214, 225, and 237. Holding rooms include fire extinguishers, intercom system and landline phones.</t>
  </si>
  <si>
    <t>1440 Story Avenue, Bronx, NY 10473</t>
  </si>
  <si>
    <t xml:space="preserve">The nearest accessible subway station is at Hunts Point Avenue Station (6 train), 0.7 miles distant; MTA bus service (Bx5) is also nearby. The main entrance to building X972 is accessible, located on Story Avenue (Exit 1). The accessible entrance includes security cameras and a doorbell. The doorbell is within reach range (height 48 Inches). </t>
  </si>
  <si>
    <t>Many of the water fountains protrude into the corridor and may present barriers for individuals with visual disabilities. Braille signs are provided throughout the building.</t>
  </si>
  <si>
    <t>Door: 41 Inches; Cab: 63 Inches deep, 79 Inches wide.</t>
  </si>
  <si>
    <t>X972 was built in 2004 and is highly accessible; all classrooms are accessible and located on accessible routes.</t>
  </si>
  <si>
    <t>Rooms 128, and 210</t>
  </si>
  <si>
    <t>Rooms 136, and 239</t>
  </si>
  <si>
    <t>Rooms 127, and 229</t>
  </si>
  <si>
    <t>Room 111, and 213</t>
  </si>
  <si>
    <t>The cafeteria is accessible and is located on the first floor. The multi-purpose rooms are accessible located on the first and second floor. Assistive listening systems have not been provided in the public assembly areas.</t>
  </si>
  <si>
    <t>Fire Alarm System includes strobe light feature. Fire holding rooms have not been designated on site.</t>
  </si>
  <si>
    <t>Site includes HVAC/Central Air.</t>
  </si>
  <si>
    <t>1716 Southern Boulevard, Bronx, NY 10460</t>
  </si>
  <si>
    <t xml:space="preserve">The nearest accessible subway station is Simpson Street (2 and 5 trains), 0.5 miles distant. MTA bus service (Bx21, Bx19, and Bx36) is also nearby. The main entrance to building X973 is accessible (Exit 2). The accessible entrance includes security cameras and a doorbell. The doorbell is within reach range (height 44 Inches). </t>
  </si>
  <si>
    <t xml:space="preserve">Braille signs are provided throughout the building. </t>
  </si>
  <si>
    <t>Door: 36 Inches; Cab: 68 Inches wide, 56 Inches deep.</t>
  </si>
  <si>
    <t>This site was constructed in 2005 and is highly accessible; all classrooms are accessible and located on accessible routes.</t>
  </si>
  <si>
    <t>Room 314, and 412</t>
  </si>
  <si>
    <t>Fire Alarm System includes a strobe light feature. There no fire safety holding rooms designated.</t>
  </si>
  <si>
    <t>Central a/c throughout the building.</t>
  </si>
  <si>
    <t>1732 Davidson Avenue, Bronx, NY 10453</t>
  </si>
  <si>
    <t>The nearest accessible subway station is Fordham Road Station (4 train), 1.30 miles distant. MTA bus service (Bx32) is also nearby. The main entrance of X980 is accessible, located on Davidson Avenue (Exit 1). The accessible entrance includes a doorbell, reception, and security cameras. The doorbell is not within reach range (height 56 inches).  </t>
  </si>
  <si>
    <t>Doors: 35 inches, Cab: 67 inches wide, 51 inches deep. </t>
  </si>
  <si>
    <t>This site does not include public assembly spaces.  </t>
  </si>
  <si>
    <t>There are accessible single-user (unisex) bathrooms (for student and staff use) available on all floors.  There are accessible student bathrooms (multi-user) available in all classrooms.  </t>
  </si>
  <si>
    <t>Rating</t>
  </si>
  <si>
    <t>All educational primary function areas within the building are accessible. The building either has a construction date of 1992 or after, or represents a building where major alterations, additions or remediations have been made to pre-1992 construction to provide full accessibility.</t>
  </si>
  <si>
    <t>All educational primary function areas within the building are accessible, although minor barriers may be present throughout the building where there is pre-1992 construction. </t>
  </si>
  <si>
    <t>At least one elevator provides service to all floors in the building and all public assembly areas in the school are accessible. Access is provided to most classrooms on multiple floors. Additional accessible bathrooms exist on other floors in addition to the ground floor accessible bathroom(s). There may be limited areas within the building that are not accessible due to changes in elevation or other barriers.</t>
  </si>
  <si>
    <t>At least one elevator provides service to all floors in the building, including most classrooms on each floor. Accessible bathrooms exist on at least one other floor in addition to the ground floor accessible bathroom(s). Certain public assembly areas or classrooms may not be accessible due to changes in elevation or other barriers.</t>
  </si>
  <si>
    <t>At least one elevator or lift provides access to several floors other than the ground floor, including the main corridors and most spaces connected to them. Access to additional floors may not necessarily include additional accessible bathrooms or public assembly spaces due to changes in elevation or other barriers.</t>
  </si>
  <si>
    <t>The ground floor is fully accessible (including at least one bathroom and one classroom), and the building includes at least one elevator or lift providing access to an additional floor other than the ground floor. Access to additional floors may not include access to all floors in the building, and they may not include additional accessible bathrooms or classrooms other than on the ground floor.</t>
  </si>
  <si>
    <t>The ground floor is fully accessible, including all public assembly spaces present on the ground floor. At least one accessible bathroom and one accessible general education classroom exist on the ground floor.</t>
  </si>
  <si>
    <t>There is general ground floor access, and at least one accessible bathroom and one accessible classroom exist on the ground floor. Certain classrooms or public assembly spaces on the ground floor may still not be accessible due to changes in elevation.</t>
  </si>
  <si>
    <t>There is general access to most of the ground floor and at least one accessible bathroom on that floor. There are no accessible classrooms on the ground floor.</t>
  </si>
  <si>
    <t>There is general access to at least some of the ground floor through an accessible entrance, although not all spaces contained within the ground floor may be accessible. There are no accessible bathrooms or classrooms.</t>
  </si>
  <si>
    <t>Corrected</t>
  </si>
  <si>
    <t>Applied Filters &amp; Exemptions</t>
  </si>
  <si>
    <t>Managed by</t>
  </si>
  <si>
    <t>DOE, Charter, Community-Based Organization</t>
  </si>
  <si>
    <t>Status</t>
  </si>
  <si>
    <t>Open</t>
  </si>
  <si>
    <t>Learning Community</t>
  </si>
  <si>
    <t>School, Sub-School, Registered Academy, Registered Program, Registered Off-Site</t>
  </si>
  <si>
    <t>Building Ownership</t>
  </si>
  <si>
    <t>Chapter 1 Lease, DOE Owned, Gratis Lease, Tax Levy Lease</t>
  </si>
  <si>
    <t>Administrative Code Except</t>
  </si>
  <si>
    <t>64 Non-Public Schools</t>
  </si>
  <si>
    <t>Location Category Code Except</t>
  </si>
  <si>
    <t>36 District Pre-K Center</t>
  </si>
  <si>
    <t>Location Type</t>
  </si>
  <si>
    <t>General Academic, Special Education, Career Technical, Transfer School</t>
  </si>
  <si>
    <t>Building Type</t>
  </si>
  <si>
    <t>Main Building, Mini School, Modular, Not Available, Portable, Miscellaneous, Transportable(s)</t>
  </si>
  <si>
    <t>City Except</t>
  </si>
  <si>
    <t>Syosset</t>
  </si>
  <si>
    <t>Location Name Except</t>
  </si>
  <si>
    <t>Hospital School</t>
  </si>
  <si>
    <t xml:space="preserve">Building Status </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</si>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</sst>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Calibri"/>
      <family val="2"/>
      <scheme val="minor"/>
    </font>
    <font>
      <sz val="11"/>
      <color rgb="FFFFFFFF"/>
      <name val="Calibri"/>
      <family val="2"/>
      <scheme val="minor"/>
    </font>
    <font>
      <b/>
      <sz val="15"/>
      <color rgb="FF000000"/>
      <name val="Calibri"/>
      <family val="2"/>
      <scheme val="minor"/>
    </font>
    <font>
      <sz val="11"/>
      <color rgb="FF000000"/>
      <name val="Calibri"/>
      <family val="2"/>
      <scheme val="minor"/>
    </font>
    <font>
      <u/>
      <sz val="11"/>
      <color theme="10"/>
      <name val="Calibri"/>
      <family val="2"/>
      <scheme val="minor"/>
    </font>
    <font>
      <b/>
      <sz val="11"/>
      <color rgb="FFFFFFFF"/>
      <name val="Calibri"/>
      <family val="2"/>
    </font>
    <font>
      <sz val="11"/>
      <color rgb="FF000000"/>
      <name val="Calibri"/>
      <family val="2"/>
    </font>
    <font>
      <sz val="11"/>
      <color rgb="FFFF0000"/>
      <name val="Calibri"/>
      <family val="2"/>
      <scheme val="minor"/>
    </font>
    <font>
      <b/>
      <sz val="11"/>
      <name val="Calibri"/>
      <family val="2"/>
      <scheme val="minor"/>
    </font>
    <font>
      <sz val="9"/>
      <color indexed="81"/>
      <name val="Tahoma"/>
      <family val="2"/>
    </font>
    <font>
      <b/>
      <sz val="9"/>
      <color indexed="81"/>
      <name val="Tahoma"/>
      <family val="2"/>
    </font>
    <font>
      <sz val="8"/>
      <name val="Calibri"/>
      <family val="2"/>
      <scheme val="minor"/>
    </font>
    <font>
      <b/>
      <sz val="11"/>
      <color theme="1"/>
      <name val="Calibri"/>
      <family val="2"/>
      <scheme val="minor"/>
    </font>
    <font>
      <sz val="11"/>
      <color theme="1" tint="0.34998626667073579"/>
      <name val="Calibri"/>
      <family val="2"/>
      <scheme val="minor"/>
    </font>
  </fonts>
  <fills count="7">
    <fill>
      <patternFill patternType="none"/>
    </fill>
    <fill>
      <patternFill patternType="gray125"/>
    </fill>
    <fill>
      <patternFill patternType="solid">
        <fgColor rgb="FF7A7A7A"/>
      </patternFill>
    </fill>
    <fill>
      <patternFill patternType="solid">
        <fgColor rgb="FFFFFF00"/>
        <bgColor indexed="64"/>
      </patternFill>
    </fill>
    <fill>
      <patternFill patternType="solid">
        <fgColor theme="6" tint="-0.249977111117893"/>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rgb="FF8EA9DB"/>
      </left>
      <right/>
      <top style="thin">
        <color rgb="FF8EA9DB"/>
      </top>
      <bottom/>
      <diagonal/>
    </border>
    <border>
      <left/>
      <right/>
      <top style="thin">
        <color rgb="FF8EA9DB"/>
      </top>
      <bottom/>
      <diagonal/>
    </border>
    <border>
      <left/>
      <right style="thin">
        <color rgb="FF8EA9DB"/>
      </right>
      <top style="thin">
        <color rgb="FF8EA9DB"/>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34998626667073579"/>
      </left>
      <right style="thin">
        <color theme="0" tint="-0.34998626667073579"/>
      </right>
      <top/>
      <bottom/>
      <diagonal/>
    </border>
  </borders>
  <cellStyleXfs count="2">
    <xf numFmtId="0" fontId="0" fillId="0" borderId="0"/>
    <xf numFmtId="0" fontId="4" fillId="0" borderId="0" applyNumberFormat="0" applyFill="0" applyBorder="0" applyAlignment="0" applyProtection="0"/>
  </cellStyleXfs>
  <cellXfs count="68">
    <xf numFmtId="0" fontId="0" fillId="0" borderId="0" xfId="0"/>
    <xf numFmtId="0" fontId="2" fillId="0" borderId="1" xfId="0" applyFont="1" applyBorder="1" applyAlignment="1">
      <alignment horizontal="center" vertical="center" wrapText="1"/>
    </xf>
    <xf numFmtId="0" fontId="3" fillId="0" borderId="1" xfId="0" applyFont="1" applyBorder="1" applyAlignment="1">
      <alignment horizontal="left" vertical="center" wrapText="1"/>
    </xf>
    <xf numFmtId="0" fontId="4" fillId="0" borderId="1" xfId="1" applyBorder="1" applyAlignment="1" applyProtection="1">
      <alignment horizontal="center" vertical="center"/>
      <protection hidden="1"/>
    </xf>
    <xf numFmtId="0" fontId="5" fillId="0" borderId="2" xfId="0" applyFont="1" applyBorder="1" applyAlignment="1">
      <alignment horizontal="left" wrapText="1"/>
    </xf>
    <xf numFmtId="0" fontId="5" fillId="0" borderId="3" xfId="0" applyFont="1" applyBorder="1" applyAlignment="1">
      <alignment horizontal="left" wrapText="1"/>
    </xf>
    <xf numFmtId="0" fontId="5" fillId="0" borderId="4" xfId="0" applyFont="1" applyBorder="1" applyAlignment="1">
      <alignment horizontal="left" wrapText="1"/>
    </xf>
    <xf numFmtId="0" fontId="0" fillId="0" borderId="0" xfId="0" applyAlignment="1">
      <alignment horizontal="left"/>
    </xf>
    <xf numFmtId="0" fontId="3" fillId="0" borderId="5" xfId="0" applyFont="1" applyBorder="1" applyAlignment="1">
      <alignment horizontal="center" vertical="center" wrapText="1"/>
    </xf>
    <xf numFmtId="0" fontId="0" fillId="0" borderId="5" xfId="0" applyBorder="1" applyAlignment="1">
      <alignment horizontal="center" vertical="center" wrapText="1"/>
    </xf>
    <xf numFmtId="0" fontId="3" fillId="0" borderId="0" xfId="0" applyFont="1"/>
    <xf numFmtId="15" fontId="6" fillId="0" borderId="5" xfId="0" applyNumberFormat="1" applyFont="1" applyBorder="1" applyAlignment="1">
      <alignment horizontal="center" vertical="center" wrapText="1"/>
    </xf>
    <xf numFmtId="0" fontId="4" fillId="0" borderId="5" xfId="1" applyBorder="1" applyAlignment="1">
      <alignment horizontal="center" vertical="center" wrapText="1"/>
    </xf>
    <xf numFmtId="0" fontId="6" fillId="0" borderId="5" xfId="0" applyFont="1" applyBorder="1" applyAlignment="1">
      <alignment horizontal="center" vertical="center" wrapText="1"/>
    </xf>
    <xf numFmtId="0" fontId="3" fillId="0" borderId="6" xfId="0" applyFont="1" applyBorder="1" applyAlignment="1">
      <alignment horizontal="center" vertical="center" wrapText="1"/>
    </xf>
    <xf numFmtId="0" fontId="0" fillId="0" borderId="6" xfId="0" applyBorder="1" applyAlignment="1">
      <alignment horizontal="center" vertical="center" wrapText="1"/>
    </xf>
    <xf numFmtId="15" fontId="6" fillId="0" borderId="6" xfId="0" applyNumberFormat="1" applyFont="1" applyBorder="1" applyAlignment="1">
      <alignment horizontal="center" vertical="center" wrapText="1"/>
    </xf>
    <xf numFmtId="0" fontId="0" fillId="0" borderId="0" xfId="0" applyAlignment="1">
      <alignment horizontal="center" vertical="center" wrapText="1"/>
    </xf>
    <xf numFmtId="0" fontId="1"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17" fontId="0" fillId="0" borderId="0" xfId="0" applyNumberFormat="1" applyAlignment="1">
      <alignment horizontal="left"/>
    </xf>
    <xf numFmtId="0" fontId="0" fillId="0" borderId="1" xfId="0" applyBorder="1" applyAlignment="1">
      <alignment horizontal="left"/>
    </xf>
    <xf numFmtId="0" fontId="3" fillId="0" borderId="1" xfId="0" applyFont="1" applyBorder="1"/>
    <xf numFmtId="0" fontId="0" fillId="0" borderId="1" xfId="0" applyBorder="1"/>
    <xf numFmtId="0" fontId="8" fillId="0" borderId="1" xfId="0" applyFont="1" applyBorder="1" applyAlignment="1">
      <alignment horizontal="left"/>
    </xf>
    <xf numFmtId="0" fontId="3" fillId="3" borderId="0" xfId="0" applyFont="1" applyFill="1"/>
    <xf numFmtId="0" fontId="0" fillId="0" borderId="7" xfId="0" applyBorder="1"/>
    <xf numFmtId="0" fontId="0" fillId="0" borderId="8" xfId="0" applyBorder="1"/>
    <xf numFmtId="0" fontId="7" fillId="0" borderId="1" xfId="0" applyFont="1" applyBorder="1"/>
    <xf numFmtId="0" fontId="0" fillId="0" borderId="9" xfId="0" applyBorder="1"/>
    <xf numFmtId="0" fontId="3" fillId="0" borderId="9" xfId="0" applyFont="1" applyBorder="1"/>
    <xf numFmtId="0" fontId="0" fillId="0" borderId="10" xfId="0" applyBorder="1"/>
    <xf numFmtId="0" fontId="0" fillId="0" borderId="11" xfId="0" applyBorder="1"/>
    <xf numFmtId="0" fontId="8" fillId="4" borderId="1" xfId="0" applyFont="1" applyFill="1" applyBorder="1" applyAlignment="1">
      <alignment horizontal="left"/>
    </xf>
    <xf numFmtId="0" fontId="0" fillId="3" borderId="1" xfId="0" applyFill="1" applyBorder="1" applyAlignment="1">
      <alignment horizontal="left"/>
    </xf>
    <xf numFmtId="17" fontId="0" fillId="0" borderId="1" xfId="0" applyNumberFormat="1" applyBorder="1" applyAlignment="1">
      <alignment horizontal="left"/>
    </xf>
    <xf numFmtId="0" fontId="3" fillId="0" borderId="12" xfId="0" applyFont="1" applyBorder="1" applyAlignment="1">
      <alignment horizontal="center" vertical="center" wrapText="1"/>
    </xf>
    <xf numFmtId="0" fontId="4" fillId="0" borderId="12" xfId="1" applyBorder="1" applyAlignment="1">
      <alignment horizontal="center" vertical="center" wrapText="1"/>
    </xf>
    <xf numFmtId="0" fontId="6" fillId="0" borderId="12"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14" xfId="0" applyBorder="1"/>
    <xf numFmtId="0" fontId="3" fillId="0" borderId="14" xfId="0" applyFont="1" applyBorder="1"/>
    <xf numFmtId="0" fontId="0" fillId="0" borderId="15" xfId="0" applyBorder="1"/>
    <xf numFmtId="0" fontId="0" fillId="0" borderId="16" xfId="0" applyBorder="1"/>
    <xf numFmtId="0" fontId="0" fillId="0" borderId="0" xfId="0" quotePrefix="1"/>
    <xf numFmtId="0" fontId="0" fillId="3" borderId="0" xfId="0" applyFill="1"/>
    <xf numFmtId="14" fontId="0" fillId="0" borderId="0" xfId="0" applyNumberFormat="1"/>
    <xf numFmtId="0" fontId="0" fillId="5" borderId="17" xfId="0" applyFill="1" applyBorder="1"/>
    <xf numFmtId="0" fontId="4" fillId="0" borderId="0" xfId="1" applyNumberFormat="1"/>
    <xf numFmtId="0" fontId="0" fillId="6" borderId="18" xfId="0" applyFill="1" applyBorder="1"/>
    <xf numFmtId="0" fontId="0" fillId="6" borderId="19" xfId="0" applyFill="1" applyBorder="1"/>
    <xf numFmtId="0" fontId="0" fillId="6" borderId="20" xfId="0" applyFill="1" applyBorder="1"/>
    <xf numFmtId="22" fontId="0" fillId="0" borderId="0" xfId="0" applyNumberFormat="1"/>
    <xf numFmtId="0" fontId="13" fillId="0" borderId="0" xfId="0" applyFont="1"/>
    <xf numFmtId="0" fontId="0" fillId="0" borderId="21" xfId="0" applyBorder="1"/>
    <xf numFmtId="0" fontId="0" fillId="0" borderId="0" xfId="0" applyProtection="1">
      <protection locked="0"/>
    </xf>
    <xf numFmtId="0" fontId="4" fillId="0" borderId="1" xfId="1" applyNumberFormat="1" applyBorder="1" applyProtection="1">
      <protection locked="0"/>
    </xf>
    <xf numFmtId="0" fontId="4" fillId="0" borderId="0" xfId="1" applyNumberFormat="1" applyProtection="1">
      <protection locked="0"/>
    </xf>
    <xf numFmtId="0" fontId="0" fillId="0" borderId="0" xfId="0" applyAlignment="1">
      <alignment wrapText="1"/>
    </xf>
    <xf numFmtId="0" fontId="4" fillId="0" borderId="9" xfId="1" applyNumberFormat="1" applyBorder="1" applyProtection="1">
      <protection locked="0"/>
    </xf>
    <xf numFmtId="0" fontId="0" fillId="0" borderId="0" xfId="0" applyAlignment="1">
      <alignment horizontal="right"/>
    </xf>
    <xf numFmtId="0" fontId="0" fillId="0" borderId="0" xfId="0" applyAlignment="1">
      <alignment vertical="top" wrapText="1"/>
    </xf>
    <xf numFmtId="0" fontId="12" fillId="0" borderId="0" xfId="0" applyFont="1" applyAlignment="1">
      <alignment vertical="center" wrapText="1"/>
    </xf>
    <xf numFmtId="0" fontId="0" fillId="0" borderId="0" xfId="0" applyAlignment="1">
      <alignment vertical="center" wrapText="1"/>
    </xf>
    <xf numFmtId="0" fontId="12" fillId="0" borderId="0" xfId="0" applyFont="1" applyAlignment="1">
      <alignment vertical="center"/>
    </xf>
    <xf numFmtId="0" fontId="0" fillId="0" borderId="0" xfId="0" applyAlignment="1">
      <alignment vertical="center"/>
    </xf>
    <xf numFmtId="0" fontId="4" fillId="0" borderId="14" xfId="1" applyNumberFormat="1" applyBorder="1" applyProtection="1">
      <protection locked="0"/>
    </xf>
  </cellXfs>
  <cellStyles count="2">
    <cellStyle name="Hyperlink" xfId="1" builtinId="8"/>
    <cellStyle name="Normal" xfId="0" builtinId="0"/>
  </cellStyles>
  <dxfs count="25">
    <dxf>
      <font>
        <b val="0"/>
        <color rgb="FF000000"/>
      </font>
      <fill>
        <patternFill patternType="none">
          <bgColor auto="1"/>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scheme val="none"/>
      </font>
      <numFmt numFmtId="20" formatCode="d\-mmm\-yy"/>
      <fill>
        <patternFill patternType="none">
          <bgColor auto="1"/>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color rgb="FF000000"/>
      </font>
      <fill>
        <patternFill patternType="none">
          <bgColor auto="1"/>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color rgb="FF000000"/>
      </font>
      <fill>
        <patternFill patternType="none">
          <bgColor auto="1"/>
        </patternFill>
      </fill>
      <alignment horizontal="center" vertical="center" textRotation="0" wrapText="1" indent="0" justifyLastLine="0" shrinkToFit="0" readingOrder="0"/>
    </dxf>
    <dxf>
      <fill>
        <patternFill patternType="none"/>
      </fill>
      <alignment horizontal="left" vertical="bottom" textRotation="0" indent="0" justifyLastLine="0" shrinkToFit="0" readingOrder="0"/>
    </dxf>
    <dxf>
      <fill>
        <patternFill>
          <bgColor rgb="FFFFFF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font>
        <b val="0"/>
        <u/>
        <color theme="10"/>
      </font>
      <numFmt numFmtId="0" formatCode="General"/>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numFmt numFmtId="0" formatCode="General"/>
      <border diagonalUp="0" diagonalDown="0">
        <left style="thin">
          <color theme="0" tint="-0.34998626667073579"/>
        </left>
        <right style="thin">
          <color theme="0" tint="-0.34998626667073579"/>
        </right>
        <top/>
        <bottom/>
        <vertical/>
        <horizontal/>
      </border>
    </dxf>
    <dxf>
      <font>
        <b val="0"/>
      </font>
    </dxf>
    <dxf>
      <font>
        <b/>
      </font>
      <alignment horizontal="general" vertical="center" textRotation="0" wrapText="1" indent="0" justifyLastLine="0" shrinkToFit="0" readingOrder="0"/>
      <protection locked="1" hidden="0"/>
    </dxf>
    <dxf>
      <numFmt numFmtId="0" formatCode="General"/>
    </dxf>
  </dxfs>
  <tableStyles count="1" defaultTableStyle="TableStyleMedium2" defaultPivotStyle="PivotStyleMedium9">
    <tableStyle name="Invisible" pivot="0" table="0" count="0" xr9:uid="{04CFB46B-12CD-49F4-945B-9C441C07DBD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olysenko\OneDrive\Documents\Downloads\September_2022_Building_Accessibility_Profile_List.xlsx" TargetMode="External"/><Relationship Id="rId1" Type="http://schemas.openxmlformats.org/officeDocument/2006/relationships/externalLinkPath" Target="/Users/olysenko/OneDrive/Documents/Downloads/September_2022_Building_Accessibility_Profile_Li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aw Data"/>
      <sheetName val="September_2022"/>
      <sheetName val="BAP Rating Definitions"/>
      <sheetName val="BAPs"/>
      <sheetName val="September_2022_Building_Accessi"/>
    </sheetNames>
    <sheetDataSet>
      <sheetData sheetId="0"/>
      <sheetData sheetId="1"/>
      <sheetData sheetId="2"/>
      <sheetData sheetId="3"/>
      <sheetData sheetId="4"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27451721-7DE9-4562-A962-A575E4EA2EF5}" autoFormatId="16" applyNumberFormats="0" applyBorderFormats="0" applyFontFormats="0" applyPatternFormats="0" applyAlignmentFormats="0" applyWidthHeightFormats="0">
  <queryTableRefresh nextId="23">
    <queryTableFields count="12">
      <queryTableField id="1" name="Geographical District Code" tableColumnId="1"/>
      <queryTableField id="2" name="Borough" tableColumnId="2"/>
      <queryTableField id="3" name="Building Code" tableColumnId="3"/>
      <queryTableField id="4" name="Location Code" tableColumnId="4"/>
      <queryTableField id="5" name="School DBN" tableColumnId="5"/>
      <queryTableField id="6" name="School Name" tableColumnId="6"/>
      <queryTableField id="8" name="Grades Served" tableColumnId="8"/>
      <queryTableField id="9" name="Pre-K" tableColumnId="9"/>
      <queryTableField id="7" name="Address" tableColumnId="7"/>
      <queryTableField id="17" name="Accessibility Description" tableColumnId="10"/>
      <queryTableField id="11" name="BAP URL" tableColumnId="11"/>
      <queryTableField id="21" name="BAP Full URL"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D2386A27-EB3D-4B1D-AEF5-DE0BF09D789B}" autoFormatId="16" applyNumberFormats="0" applyBorderFormats="0" applyFontFormats="0" applyPatternFormats="0" applyAlignmentFormats="0" applyWidthHeightFormats="0">
  <queryTableRefresh nextId="2">
    <queryTableFields count="1">
      <queryTableField id="1" name="Last Refresh"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42BF442-8179-4DFC-9416-91065753B0D8}" name="City" displayName="City" ref="B1:C12" totalsRowShown="0">
  <autoFilter ref="B1:C12" xr:uid="{842BF442-8179-4DFC-9416-91065753B0D8}"/>
  <tableColumns count="2">
    <tableColumn id="1" xr3:uid="{4DCD25FA-80F7-485E-A897-6E6AAEE550CA}" name="Code" dataDxfId="24"/>
    <tableColumn id="2" xr3:uid="{A9B2F2E9-34B6-4B07-AB4E-072184F45741}" name="Ci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FED332-7EA9-46A7-B6F6-42AED22B6A92}" name="Accessible_School_List" displayName="Accessible_School_List" ref="B3:M1731" tableType="queryTable" totalsRowShown="0" headerRowDxfId="23" dataDxfId="22">
  <autoFilter ref="B3:M1731" xr:uid="{D8FED332-7EA9-46A7-B6F6-42AED22B6A92}"/>
  <tableColumns count="12">
    <tableColumn id="1" xr3:uid="{C1DA61D7-2C78-4831-B973-D911A9EA3A08}" uniqueName="1" name="Geographical District Code" queryTableFieldId="1" dataDxfId="21"/>
    <tableColumn id="2" xr3:uid="{29C2B481-268E-4279-8B74-CD6356FDF32C}" uniqueName="2" name="Borough" queryTableFieldId="2" dataDxfId="20"/>
    <tableColumn id="3" xr3:uid="{FA2F57CC-461D-4101-A4E9-5C1C0BB7935C}" uniqueName="3" name="Building Code" queryTableFieldId="3" dataDxfId="19"/>
    <tableColumn id="4" xr3:uid="{4F96B0AC-A926-47B4-9D1D-BD81CFFF3001}" uniqueName="4" name="Location Code" queryTableFieldId="4" dataDxfId="18"/>
    <tableColumn id="5" xr3:uid="{9D696A65-0C05-45C7-9CEA-86EBB8A8EA4C}" uniqueName="5" name="School DBN" queryTableFieldId="5" dataDxfId="17"/>
    <tableColumn id="6" xr3:uid="{CF15842E-185D-4AD9-BE42-0B418FA8A43C}" uniqueName="6" name="School Name" queryTableFieldId="6" dataDxfId="16"/>
    <tableColumn id="8" xr3:uid="{66E67F4D-FD43-4589-9920-8AE77A146696}" uniqueName="8" name="Grades Served" queryTableFieldId="8" dataDxfId="15"/>
    <tableColumn id="9" xr3:uid="{AFF9B17E-0D42-41C7-BE52-EBD13DD38212}" uniqueName="9" name="Pre-K" queryTableFieldId="9" dataDxfId="14"/>
    <tableColumn id="7" xr3:uid="{A3C461B9-DECB-42C8-AF0F-1250D8B26029}" uniqueName="7" name="Address" queryTableFieldId="7" dataDxfId="13"/>
    <tableColumn id="10" xr3:uid="{F252FC4D-4039-43AC-A1E2-F1A3DB152E0E}" uniqueName="10" name="Accessibility Description" queryTableFieldId="17" dataDxfId="12"/>
    <tableColumn id="11" xr3:uid="{21AC581F-9363-4C85-B4BE-A1DFFCF802E0}" uniqueName="11" name="BAP URL" queryTableFieldId="11" dataDxfId="11" dataCellStyle="Hyperlink"/>
    <tableColumn id="12" xr3:uid="{20564B44-4B32-47CB-A539-4C39663D696B}" uniqueName="12" name="BAP Full URL" queryTableFieldId="21" dataDxfId="1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FC009C-A1D8-4CA9-B5AF-01F1FDF810D5}" name="Last_Refresh" displayName="Last_Refresh" ref="C4:C5" tableType="queryTable" totalsRowShown="0">
  <autoFilter ref="C4:C5" xr:uid="{1FFC009C-A1D8-4CA9-B5AF-01F1FDF810D5}"/>
  <tableColumns count="1">
    <tableColumn id="1" xr3:uid="{41186F3A-D0F5-4CE5-956A-D92DA4203D5D}" uniqueName="1" name="Last Refresh" queryTableFieldId="1" dataDxfId="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F1F27F-ADD6-4C98-99AE-526E32F30BC5}" name="RAWData" displayName="RAWData" ref="A1:T2321" totalsRowShown="0">
  <autoFilter ref="A1:T2321" xr:uid="{F3F1F27F-ADD6-4C98-99AE-526E32F30BC5}"/>
  <sortState xmlns:xlrd2="http://schemas.microsoft.com/office/spreadsheetml/2017/richdata2" ref="A2:T2321">
    <sortCondition ref="A1:A2321"/>
  </sortState>
  <tableColumns count="20">
    <tableColumn id="1" xr3:uid="{D4BE3D6F-21BA-481B-BC7D-11BD8252F1DB}" name="Building Code"/>
    <tableColumn id="2" xr3:uid="{6D11B6C6-6D51-40E9-A16E-D4908027E890}" name="Accessibility Description"/>
    <tableColumn id="3" xr3:uid="{C6DD8AF8-3688-4551-83AF-FDAF39061FD4}" name="Address"/>
    <tableColumn id="4" xr3:uid="{506FE715-13F9-40E5-889C-680956FA85F0}" name="BAP Rating"/>
    <tableColumn id="5" xr3:uid="{95FEE05F-9E2A-4695-81C8-1CEC97EB9168}" name="Building Name"/>
    <tableColumn id="6" xr3:uid="{C259F96D-0D8B-4234-8BC5-AE2FF8E99119}" name="Building Ownership Description"/>
    <tableColumn id="7" xr3:uid="{EECDBC95-5A99-42D2-AEA1-A5D29ED0BD51}" name="Building Type Description"/>
    <tableColumn id="8" xr3:uid="{3CD048BA-E555-43C6-8DE9-9FAE5945417D}" name="City"/>
    <tableColumn id="9" xr3:uid="{7A1C5217-A461-4BCD-A8D0-0AECC3AC1D17}" name="Construction Completion Year"/>
    <tableColumn id="10" xr3:uid="{0072C02A-189A-409A-AAA3-571FDF5FF70B}" name="Geographical District Code"/>
    <tableColumn id="11" xr3:uid="{4A3FABCB-3EA4-435A-9FDC-E28CFA7C89CC}" name="Primary Site Description"/>
    <tableColumn id="12" xr3:uid="{67F5300F-F8D7-47DD-9020-D72719C31AA4}" name="State Code"/>
    <tableColumn id="13" xr3:uid="{80C381D2-61B4-4E14-BEB7-7EBBE316370D}" name="Zip"/>
    <tableColumn id="14" xr3:uid="{374E9080-CBDD-4D5A-9397-E62DAF6F109B}" name="Administrative District Name"/>
    <tableColumn id="15" xr3:uid="{7C5069F0-2ED9-4DD9-893D-DAD88C9916E3}" name="ATS Code"/>
    <tableColumn id="16" xr3:uid="{D920099B-89D8-422F-9E97-4F33719F1C63}" name="Grades Text"/>
    <tableColumn id="17" xr3:uid="{40C2B1C1-3D42-4A9B-AC18-BFF89EB94BEF}" name="Learning Community Name"/>
    <tableColumn id="18" xr3:uid="{D66DFF9A-68C4-4095-B39D-A2EB886F9DE4}" name="Location Category Description"/>
    <tableColumn id="19" xr3:uid="{DF38F50C-2ACA-4E16-8B22-4625DB303694}" name="Location Code"/>
    <tableColumn id="20" xr3:uid="{CD1C332E-6796-4DA1-A451-26D6ECE2B77B}" name="Location Na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BC6626-18E6-4AC3-A945-E2F487704BEA}" name="BAP_Data" displayName="BAP_Data" ref="A1:C894" totalsRowShown="0" headerRowDxfId="4" dataDxfId="3">
  <autoFilter ref="A1:C894" xr:uid="{00000000-0009-0000-0100-000001000000}"/>
  <sortState xmlns:xlrd2="http://schemas.microsoft.com/office/spreadsheetml/2017/richdata2" ref="A2:C894">
    <sortCondition ref="A1:A894"/>
  </sortState>
  <tableColumns count="3">
    <tableColumn id="1" xr3:uid="{DBB797BD-6C00-4E37-B935-E9DCC381AF09}" name="Building Code" dataDxfId="2"/>
    <tableColumn id="2" xr3:uid="{E3E07BAE-3E5D-492C-B94C-0A5CD83F4F66}" name="Accessibility Rating" dataDxfId="1"/>
    <tableColumn id="141" xr3:uid="{E9E517FC-7086-480A-B5F7-A01C616919D0}" name="BAP URL"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227797-5B4B-4C60-B2E1-92156F61DB9D}" name="BAPMaster" displayName="BAPMaster" ref="A1:EE922" totalsRowShown="0">
  <autoFilter ref="A1:EE922" xr:uid="{03227797-5B4B-4C60-B2E1-92156F61DB9D}"/>
  <sortState xmlns:xlrd2="http://schemas.microsoft.com/office/spreadsheetml/2017/richdata2" ref="A2:EE922">
    <sortCondition ref="A1:A922"/>
  </sortState>
  <tableColumns count="135">
    <tableColumn id="1" xr3:uid="{F05CAA03-4B13-4FCC-9817-D4F728389A12}" name="Building Code"/>
    <tableColumn id="2" xr3:uid="{29ED9021-BB39-44F5-BEB6-C1296F1C6A2F}" name="Geographic District"/>
    <tableColumn id="3" xr3:uid="{33449FC2-E0AF-455D-8841-4A6ED0ADFBC2}" name="Building Address"/>
    <tableColumn id="4" xr3:uid="{AC3BE6B2-8351-4F30-9B82-CD8631DA0F16}" name="Date of Assessment"/>
    <tableColumn id="5" xr3:uid="{12B4B0BF-7DE6-4712-8DB3-95A13E211A9C}" name="Accessibility Rating"/>
    <tableColumn id="6" xr3:uid="{A1623F7A-E56E-413C-96AD-EABFFF7598F1}" name="Pathway and Entrance: Summary Description"/>
    <tableColumn id="7" xr3:uid="{8599754C-272D-4256-A9E1-5D05113A62BB}" name="Entrance and Exits"/>
    <tableColumn id="8" xr3:uid="{44515E89-DFAC-4671-B36A-CE7EBABC0394}" name="Entrance and Exits Notes"/>
    <tableColumn id="9" xr3:uid="{23B36EC8-075B-477B-881F-1EDC24DCA456}" name="Exterior Lifts"/>
    <tableColumn id="10" xr3:uid="{DB4B5831-FDEF-4391-B5A9-774823C8DEED}" name="Exterior Lifts Notes"/>
    <tableColumn id="11" xr3:uid="{0824E567-9778-47D3-8B79-63A37A0AD58D}" name="Exterior Ramps"/>
    <tableColumn id="12" xr3:uid="{7671F398-CF6A-4528-B489-C4D62561C1FC}" name="Exterior Ramps Notes"/>
    <tableColumn id="13" xr3:uid="{005BED6D-4280-43F4-9B31-5CF87DFC1861}" name="Corridors and Lobbies: Summary Description"/>
    <tableColumn id="14" xr3:uid="{8941AB8B-9A62-4843-8135-8D535F88D9EC}" name="Lobby Doors and Hardware"/>
    <tableColumn id="15" xr3:uid="{EE0150D6-1300-46F3-801A-74C3384CE5ED}" name="Lobby Doors and Hardware Notes"/>
    <tableColumn id="16" xr3:uid="{61B10912-9CC9-4B37-93DE-D9579DF11A40}" name="Corridor Doors and Hardware"/>
    <tableColumn id="17" xr3:uid="{E7F7E0CC-EB3B-4BDA-9B09-EB11944E2093}" name="Corridor Doors and Hardware Notes"/>
    <tableColumn id="18" xr3:uid="{7110D38D-41C0-4A8F-B9D6-E67E8D47C321}" name="Corridor and Lobby Clear Floor Space"/>
    <tableColumn id="19" xr3:uid="{3F57F120-5941-4841-9547-86B3587A2322}" name="Corridor and Lobby Clear Floor Space Notes"/>
    <tableColumn id="20" xr3:uid="{6DF6C789-89E0-4E93-8A82-6DB260B14EA5}" name="Lifts, Elevators and Ramps: Summary Description"/>
    <tableColumn id="21" xr3:uid="{21675467-6A53-448E-B1D2-05E8A7EDF574}" name="Interior Lifts"/>
    <tableColumn id="22" xr3:uid="{016CE82F-D063-4263-9B0C-6A41337E45B0}" name="Interior Lifts Notes"/>
    <tableColumn id="23" xr3:uid="{8C550251-67D3-4963-A812-2580848E7D11}" name="Interior Elevators"/>
    <tableColumn id="24" xr3:uid="{5AA612F7-20F2-47F8-99C1-19D5A0AFEBFF}" name="Interior Elevators Notes"/>
    <tableColumn id="25" xr3:uid="{91313DA8-4CA7-478F-A359-29B66807C2C7}" name="Interior Ramps"/>
    <tableColumn id="26" xr3:uid="{11B92E5F-5148-4E01-A7E9-421E5B0F29E4}" name="Interior Ramps Notes"/>
    <tableColumn id="27" xr3:uid="{EDD3FE6E-1A93-4677-8133-89FEBFE365B0}" name="Educational Areas: Summary Description"/>
    <tableColumn id="28" xr3:uid="{0B80F8C6-DE71-49AC-9BEB-CD7D55E6E5D5}" name="Art Rooms"/>
    <tableColumn id="29" xr3:uid="{A0C8404A-73E3-43B0-AEE1-D81D467EA7CA}" name="Art Rooms Accessibility"/>
    <tableColumn id="30" xr3:uid="{855DE2C3-3BF2-4275-850A-946453A79174}" name="Art Rooms Notes"/>
    <tableColumn id="31" xr3:uid="{89B66F36-AA6F-4426-9EA6-0CE0C956593E}" name="Art Rooms Cont."/>
    <tableColumn id="32" xr3:uid="{A2123850-923E-4BFB-A586-1DCC035C1F2C}" name="Art Rooms Cont. Accessibility"/>
    <tableColumn id="33" xr3:uid="{A727782B-C485-4897-BC48-721CEBBFBA2B}" name="Art Rooms Cont. Notes"/>
    <tableColumn id="34" xr3:uid="{D962926D-1C56-40AD-A167-7A7820176112}" name="Classrooms"/>
    <tableColumn id="35" xr3:uid="{2101B54B-E32B-43C7-AD65-43B769BE1D80}" name="Classrooms Accessibility"/>
    <tableColumn id="36" xr3:uid="{BD0EE94F-2D32-4D19-8F3E-9DA220C72243}" name="Classrooms Notes"/>
    <tableColumn id="37" xr3:uid="{CE50AF3E-4CAA-495B-8793-BACBD2C6094C}" name="Classrooms Cont."/>
    <tableColumn id="38" xr3:uid="{0BCEDE08-18BA-41B7-8944-09D4C5D090D3}" name="Classrooms Cont. Accessibility"/>
    <tableColumn id="39" xr3:uid="{3FCC5127-4A3E-49E7-99E3-A676E552A6E4}" name="Classrooms Cont. Notes"/>
    <tableColumn id="40" xr3:uid="{3F7344B1-E730-4C48-AA45-48CC7B69F741}" name="Computer Rooms"/>
    <tableColumn id="41" xr3:uid="{09125369-3A72-4823-970D-BB682B35084C}" name="Computer Rooms Accessibility"/>
    <tableColumn id="42" xr3:uid="{D9E77281-F428-4226-83A8-FA91D1C7184C}" name="Computer Rooms Notes"/>
    <tableColumn id="43" xr3:uid="{4A75B3B6-2F30-4F2E-9959-E11EFA90F469}" name="Computer Rooms Cont."/>
    <tableColumn id="44" xr3:uid="{F54A5086-BA7B-403A-92FA-390CE52C9B28}" name="Computer Rooms Cont. Accessibility"/>
    <tableColumn id="45" xr3:uid="{AD80891D-6DB6-43A0-9EED-28C0C3398375}" name="Computer Rooms Cont. Notes"/>
    <tableColumn id="46" xr3:uid="{B6CC736F-11AE-4D98-8C53-FDAA854B01C3}" name="Library"/>
    <tableColumn id="47" xr3:uid="{DCF3565A-2D69-4C81-ADDB-1F072210ECAA}" name="Library Accessibility"/>
    <tableColumn id="48" xr3:uid="{C8DAD544-7052-42DA-A711-4EB4D9543D62}" name="Library Notes"/>
    <tableColumn id="49" xr3:uid="{C40B866E-DCC1-4837-90A9-AD8E3EF6692B}" name="Library Cont."/>
    <tableColumn id="50" xr3:uid="{670CF13A-9ADD-4815-9BFC-DE8E39C0DB7C}" name="Library Cont. Accessibility"/>
    <tableColumn id="51" xr3:uid="{BB66F9AA-B00E-44BB-97C1-F1C0BC2A846D}" name="Library Cont. Notes"/>
    <tableColumn id="52" xr3:uid="{2B46AA5A-E058-425B-B54A-6AE4D85D3C24}" name="Main Office"/>
    <tableColumn id="53" xr3:uid="{2695B5A7-B2E4-4ADD-A613-8A3A55C19E4E}" name="Main Office Accessibility"/>
    <tableColumn id="54" xr3:uid="{51D0FDBF-F1CD-4B7A-83DF-4DFC5802F448}" name="Main Office Notes"/>
    <tableColumn id="55" xr3:uid="{14A6DCE1-0A98-451A-B821-9FAB5EE729FD}" name="Main Office Cont. "/>
    <tableColumn id="56" xr3:uid="{8C840FC2-3E99-42C9-856A-B477253A8D45}" name="Main Office Cont. Accessibility"/>
    <tableColumn id="57" xr3:uid="{056913C3-1AAF-4054-80EB-D01677311155}" name="Main Office Cont. Notes"/>
    <tableColumn id="58" xr3:uid="{50043EF0-B746-4DD1-87E9-8437A4196341}" name="Nurse's Office"/>
    <tableColumn id="59" xr3:uid="{FBCB7BD1-9F6C-4CD8-B8A9-08EA7DB517A7}" name="Nurse's Office Accessibility"/>
    <tableColumn id="60" xr3:uid="{CC003A44-A415-4362-B3CF-D3A180F50FC7}" name="Nurse's Office Notes"/>
    <tableColumn id="61" xr3:uid="{864A290C-866F-4C2B-A378-E452E78C4CC9}" name="Nurse's Office Cont."/>
    <tableColumn id="62" xr3:uid="{4416D728-27C7-422D-BC09-6707F1F48B14}" name="Nurse's Office Cont. Accessibility"/>
    <tableColumn id="63" xr3:uid="{2E708CDA-617F-49DD-82F8-E0022BA06263}" name="Nurse's Office Cont. Notes"/>
    <tableColumn id="64" xr3:uid="{704F7712-1B22-4FD3-8B3A-64DCB7D61286}" name="Science Lab"/>
    <tableColumn id="65" xr3:uid="{1055AA25-6FA6-4F62-950F-52DE474EF957}" name="Science Lab Accessibility"/>
    <tableColumn id="66" xr3:uid="{7EED8686-B1E4-41AD-AF5A-AA6744415B16}" name="Science Lab Notes"/>
    <tableColumn id="67" xr3:uid="{EE003110-E8B0-4033-B203-ECA743DCE20B}" name="Science Lab Cont."/>
    <tableColumn id="68" xr3:uid="{9D7179EA-0E3A-46E4-AD6A-8D45AE90A2D0}" name="Science Lab Cont. Accessibility"/>
    <tableColumn id="69" xr3:uid="{1877704A-A31B-4F0D-8464-E0ABB00295DF}" name="Science Lab Cont. Notes"/>
    <tableColumn id="70" xr3:uid="{9E8DD610-26B3-4F38-9DE6-DB0BC01B1B92}" name="Public Assembly and Recreational Areas: Summary"/>
    <tableColumn id="71" xr3:uid="{3BC09214-ED99-4413-947C-686719FC17D4}" name="Auditorium"/>
    <tableColumn id="72" xr3:uid="{A4D77904-02D3-4D0C-8090-B8E3FFE88311}" name="Auditorium Accessibility"/>
    <tableColumn id="73" xr3:uid="{0D0A717E-B812-41AF-973F-CD78B174B4EE}" name="Auditorium Notes"/>
    <tableColumn id="74" xr3:uid="{13D072BD-9A15-40F2-9012-DA6705ED5895}" name="Auditorium Cont."/>
    <tableColumn id="75" xr3:uid="{D75BAE56-3BCB-4BCA-9CA8-EE17F0DE3205}" name="Auditorium Cont. Accessibility"/>
    <tableColumn id="76" xr3:uid="{E19D3228-063D-4F85-BD60-DC92627FBBED}" name="Auditorium Cont. Notes"/>
    <tableColumn id="77" xr3:uid="{EB3790B2-D11E-4578-8592-E6EE1B579894}" name="Cafeteria"/>
    <tableColumn id="78" xr3:uid="{FB259519-1262-41AB-8DAD-E52B5B8AFD5E}" name="Cafeteria Accessibility"/>
    <tableColumn id="79" xr3:uid="{7F2310C8-5A02-42B3-AFAF-77E7EC406A2E}" name="Cafeteria Notes"/>
    <tableColumn id="80" xr3:uid="{410D348D-C540-4FCE-ACC4-A0CA656C05CC}" name="Cafeteria Cont."/>
    <tableColumn id="81" xr3:uid="{7A350D8C-73B1-424A-B13B-4696A94C6606}" name="Cafeteria Cont. Accessibility "/>
    <tableColumn id="82" xr3:uid="{F213610D-0B3D-4898-A3B8-6B005E506985}" name="Cafeteria Cont. Notes"/>
    <tableColumn id="83" xr3:uid="{0308704A-EFC5-47D4-8AEE-83AD1205264A}" name="Gymnasium"/>
    <tableColumn id="84" xr3:uid="{8976B1B4-0B04-42DA-9D21-815F13737DE2}" name="Gymnasium Accessibility"/>
    <tableColumn id="85" xr3:uid="{BE25F6B0-FEC5-4F4B-9218-B90CE956FCB2}" name="Gymnasium Notes"/>
    <tableColumn id="86" xr3:uid="{7B1E214F-6E83-4B90-9967-E795E149B658}" name="Gymnasium Cont."/>
    <tableColumn id="87" xr3:uid="{CAB0489E-9652-4746-9B9B-92E13F77B971}" name="Gymnasium Cont. Accessibility"/>
    <tableColumn id="88" xr3:uid="{F3A71E9C-EF31-49AB-A09A-B0B18FBA7EB2}" name="Gymnasium Cont. Notes"/>
    <tableColumn id="89" xr3:uid="{42B566E9-70CE-489C-A82C-4A277EEB3D69}" name="Multi-Purpose Room"/>
    <tableColumn id="90" xr3:uid="{1FEAF6A4-4D73-4D29-B532-DFDFF00E18E0}" name="Multi-Purpose Room Accessibility"/>
    <tableColumn id="91" xr3:uid="{66278E69-AE79-49C6-942C-586513ECE199}" name="Multi-Purpose Room Notes"/>
    <tableColumn id="92" xr3:uid="{9AEC3D23-2FF8-4008-8685-AD750388C68F}" name="Multi-Purpose Room Cont."/>
    <tableColumn id="93" xr3:uid="{74412006-3D21-441D-A302-03E79C149F36}" name="Multi-Purpose Room Cont. Accessibility"/>
    <tableColumn id="94" xr3:uid="{72A19290-AC77-4F46-B2D5-A22DC18A2B8C}" name="Multi-Purpose Room Cont. Notes"/>
    <tableColumn id="95" xr3:uid="{BC684498-0F14-49FB-A1D5-92A4732658F6}" name="Pool"/>
    <tableColumn id="96" xr3:uid="{6B723946-ACD6-483D-B1F0-BED4C8BD17F9}" name="Pool Accessibility"/>
    <tableColumn id="97" xr3:uid="{17EC523C-3AE3-4993-BA36-09FF1F1B94EF}" name="Pool Notes"/>
    <tableColumn id="98" xr3:uid="{05403C34-2DFF-4141-BCEF-4CF5E40C24EA}" name="Restroom Areas: Summary"/>
    <tableColumn id="99" xr3:uid="{B66946CA-F260-41B7-929D-44C0C45A3E7D}" name="Boys Bathroom"/>
    <tableColumn id="100" xr3:uid="{B02059CF-0D72-4662-BB5C-A61D285B70C4}" name="Boys Bathroom Accessibility"/>
    <tableColumn id="101" xr3:uid="{D1B4EBC1-DCC0-4D19-BCC0-3C4AD6A1E8A3}" name="Boys Bathroom Notes"/>
    <tableColumn id="102" xr3:uid="{8E9E5987-7CC0-40D2-BAAC-7FEE4C652D38}" name="Boys Bathroom Cont."/>
    <tableColumn id="103" xr3:uid="{9308C055-AB02-435D-A4AA-78FA2AD4FD58}" name="Boys Bathroom Cont. Accessibility"/>
    <tableColumn id="104" xr3:uid="{93CB92CF-ABFF-44C9-A437-AB7B6B69BAE8}" name="Boys Bathroom Cont. Notes"/>
    <tableColumn id="105" xr3:uid="{3BF5833C-F2BD-4091-B77F-698C68CCCBA6}" name="Girls Bathroom"/>
    <tableColumn id="106" xr3:uid="{8A92606F-7E13-45AB-AE9B-8E455EC1A782}" name="Girls Bathroom Accessibility"/>
    <tableColumn id="107" xr3:uid="{70427093-4832-4EC9-A913-E6B2457622B0}" name="Girls Bathroom Notes"/>
    <tableColumn id="108" xr3:uid="{9FA38BF8-DEFC-4368-8912-72414C5E32EB}" name="Girls Bathroom Cont."/>
    <tableColumn id="109" xr3:uid="{B7AF7632-E5C2-4D4E-9853-FBD6FAFCFE29}" name="Girls Bathroom Cont. Accessibility"/>
    <tableColumn id="110" xr3:uid="{57809E0D-DD9E-4A7E-B021-125E2EB948B1}" name="Girls Bathroom Cont Notes"/>
    <tableColumn id="111" xr3:uid="{D66AB3F9-CBAB-4186-8888-FFC186B9FA35}" name="Staff Bathroom"/>
    <tableColumn id="112" xr3:uid="{185B96B8-7B44-4EE6-A207-E819DF714BA2}" name="Staff Bathroom Accessibility"/>
    <tableColumn id="113" xr3:uid="{0601FF21-F4EC-4BA2-ACBF-AD71EEB5FBB2}" name="Staff Bathroom Notes"/>
    <tableColumn id="114" xr3:uid="{E71FFCEA-A94C-49D1-8D6C-5C103AE789A9}" name="Staff Bathroom Cont."/>
    <tableColumn id="115" xr3:uid="{C39D4D08-D949-4C00-B2EC-F0A489A8C3D3}" name="Staff Bathroom Cont. Accessibility"/>
    <tableColumn id="116" xr3:uid="{5EF50D1F-CC77-4255-B2F8-D9B51A33AB8A}" name="Staff Bathroom Cont. Notes"/>
    <tableColumn id="117" xr3:uid="{D681975E-84F4-4FC0-A42E-F8B4F5141F6E}" name="Single-User"/>
    <tableColumn id="118" xr3:uid="{29450B62-B425-48F8-A0C4-F77D69AE69C8}" name="Single-User Accessibility"/>
    <tableColumn id="119" xr3:uid="{9F87060D-5979-405B-B727-C59BC003CA2B}" name="Single-User Notes"/>
    <tableColumn id="120" xr3:uid="{F8DC215A-0A3C-4E87-9F09-A005A647ECC4}" name="Single-User Cont."/>
    <tableColumn id="121" xr3:uid="{10E56FD8-9A22-492C-96F2-0F29A315D9B5}" name="Single-User Cont. Accessibility"/>
    <tableColumn id="122" xr3:uid="{F59D0632-3A3A-4616-9E0C-BE42491D658A}" name="Single-User Cont. Notes"/>
    <tableColumn id="123" xr3:uid="{D54CECC2-5C09-4C9B-A7BE-88142C0A4CD2}" name="Multi-User"/>
    <tableColumn id="124" xr3:uid="{AEBFFE8A-91A3-4E06-A862-3F07C7973E15}" name="Multi-User Accessibility"/>
    <tableColumn id="125" xr3:uid="{9E3B03A0-3F60-4B77-8260-3390CE836F5B}" name="Multi-User Notes"/>
    <tableColumn id="126" xr3:uid="{4DFB6DD0-0703-4089-ABCF-02A8540A405C}" name="Multi-User Cont."/>
    <tableColumn id="127" xr3:uid="{E96C1093-7447-4513-BD62-943359AD6CE9}" name="Multi-User Cont. Accessibility"/>
    <tableColumn id="128" xr3:uid="{0C8C7433-1D1B-43D1-A4AF-B8E49AE40232}" name="Multi-User Cont. Notes"/>
    <tableColumn id="129" xr3:uid="{424CC016-A83F-4981-8A08-D410080DD66D}" name="Exterior Spaces"/>
    <tableColumn id="130" xr3:uid="{E3BB96B0-170A-478C-89A5-95B16B0566F2}" name="Fire Safety and Evacuation Plans: Summary"/>
    <tableColumn id="131" xr3:uid="{19C2F42F-9A15-4939-B133-4359F71BED6E}" name="Climate Control: Summary"/>
    <tableColumn id="132" xr3:uid="{7CB0E2A4-0F54-437D-8183-F2FA2F3DFDB9}" name="Elements for Individuals with Hearing Disabilities"/>
    <tableColumn id="133" xr3:uid="{CE7DD299-7E62-47B9-83D5-B3DA5A10BB7B}" name="Edited Date"/>
    <tableColumn id="134" xr3:uid="{C084A152-6FCD-4766-A387-9E7151CC6C7F}" name="BAP Written By"/>
    <tableColumn id="135" xr3:uid="{250D9CF6-F101-405F-83CB-465D2EF0CF4E}" name="BAP URL"/>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F8E239E-6EED-4AE5-BD77-982CFB92BFFF}">
  <we:reference id="wa200004179" version="2024.1.0.0" store="en-US" storeType="OMEX"/>
  <we:alternateReferences>
    <we:reference id="wa200004179" version="2024.1.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_xldudf_ARCGIS_REVERSEGEOCODE</we:customFunctionIds>
        <we:customFunctionIds>_xldudf_ARCGIS_GEOCODE</we:customFunctionIds>
        <we:customFunctionIds>_xldudf_ARCGIS_ENRICHBYPOINT</we:customFunctionIds>
        <we:customFunctionIds>_xldudf_ARCGIS_ENRICHBYGEOGRAPHY</we:customFunctionIds>
        <we:customFunctionIds>_xldudf_ARCGIS_ENRICHBYADDRESS</we:customFunctionIds>
        <we:customFunctionIds>_xldudf_ARCGIS_FINDROUTEBYCOORDINATES</we:customFunctionIds>
        <we:customFunctionIds>_xldudf_ARCGIS_FINDROUTEBYADDRESS</we:customFunctionIds>
        <we:customFunctionIds>_xldudf_ARCGIS_SUGGESTADDRESS</we:customFunctionIds>
        <we:customFunctionIds>_xldudf_ARCGIS_LISTGEOGRAPHIES</we:customFunctionIds>
        <we:customFunctionIds>_xldudf_ARCGIS_LISTDATACOLLECTIONS</we:customFunctionIds>
        <we:customFunctionIds>_xldudf_ARCGIS_LISTTRAVELMODES</we:customFunctionIds>
        <we:customFunctionIds>_xldudf_ARCGIS_ADDHEADERS</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hyperlink" Target="../../../../:w:/s/BAP/Ebs-bh8RaCJOmSxBGdowP8oBjsLaa3CpyDVRZs5j_AAC6w" TargetMode="External"/><Relationship Id="rId13" Type="http://schemas.openxmlformats.org/officeDocument/2006/relationships/hyperlink" Target="../../../../:w:/s/BAP/Eb5NFwYIBqVBpdolh0OAGdMBnAFCCY36znGnmg3y3bemyA" TargetMode="External"/><Relationship Id="rId18" Type="http://schemas.openxmlformats.org/officeDocument/2006/relationships/table" Target="../tables/table5.xml"/><Relationship Id="rId3" Type="http://schemas.openxmlformats.org/officeDocument/2006/relationships/hyperlink" Target="../../../../:w:/s/BAP/Ef9yHchFseNGs0cMXhgK6esB3BJIS_UYNDDtuo1jdT7d2g" TargetMode="External"/><Relationship Id="rId7" Type="http://schemas.openxmlformats.org/officeDocument/2006/relationships/hyperlink" Target="../../../../:w:/s/BAP/ES-enaRMyoZFga_Kh44JFj4Bs28QhcLCIrngVNoYr_UXAg" TargetMode="External"/><Relationship Id="rId12" Type="http://schemas.openxmlformats.org/officeDocument/2006/relationships/hyperlink" Target="../../../../:w:/s/BAP/EW5YpGQ8Sh5KusRa2Pj0CS4BsdIjCg8xMLnvFAiHa5B0kg" TargetMode="External"/><Relationship Id="rId17" Type="http://schemas.openxmlformats.org/officeDocument/2006/relationships/vmlDrawing" Target="../drawings/vmlDrawing1.vml"/><Relationship Id="rId2" Type="http://schemas.openxmlformats.org/officeDocument/2006/relationships/hyperlink" Target="../../../../:w:/s/BAP/ES6_V32bCSxBhzidb_KMM1oBMUqeusLX6xcno7A06YMQ2g" TargetMode="External"/><Relationship Id="rId16" Type="http://schemas.openxmlformats.org/officeDocument/2006/relationships/hyperlink" Target="../../../../:w:/s/BAP/Ea8y-BKv-0lFmwfPw7Mg-AUBm3oWsgRfQ_RkqJrAVoaAyw" TargetMode="External"/><Relationship Id="rId1" Type="http://schemas.openxmlformats.org/officeDocument/2006/relationships/hyperlink" Target="../../../../:w:/s/BAP/EV_gUrEwXg9AjySjLTyS3nMB8HaozPzjUxgsacOcviKEKQ" TargetMode="External"/><Relationship Id="rId6" Type="http://schemas.openxmlformats.org/officeDocument/2006/relationships/hyperlink" Target="../../../../:w:/s/BAP/EcND188ZkchEshtucoTZg3sB7czYG_t6oQPsivH0QBpU5g" TargetMode="External"/><Relationship Id="rId11" Type="http://schemas.openxmlformats.org/officeDocument/2006/relationships/hyperlink" Target="../../../../:w:/s/BAP/ERQlDwTKeYZNu495TGdQELUBVtk0i-g3-zNCTHkYxx3fBA" TargetMode="External"/><Relationship Id="rId5" Type="http://schemas.openxmlformats.org/officeDocument/2006/relationships/hyperlink" Target="../../../../:w:/s/BAP/ES2EbSMoiZVCj67TLmX8_wcBynLlDpVlninta8q6e4hF9g" TargetMode="External"/><Relationship Id="rId15" Type="http://schemas.openxmlformats.org/officeDocument/2006/relationships/hyperlink" Target="../../../../:w:/s/BAP/EQHOs6sQkOhBilEJnbNbt9QBrYDnM2brPytA3dr4q588Qw" TargetMode="External"/><Relationship Id="rId10" Type="http://schemas.openxmlformats.org/officeDocument/2006/relationships/hyperlink" Target="../../../../:w:/s/BAP/Eb6V_haPNWNHpYC_0Dui564B-YIjpCOw4SZLNeRV5fcIyA" TargetMode="External"/><Relationship Id="rId19" Type="http://schemas.openxmlformats.org/officeDocument/2006/relationships/comments" Target="../comments1.xml"/><Relationship Id="rId4" Type="http://schemas.openxmlformats.org/officeDocument/2006/relationships/hyperlink" Target="../../../../:w:/s/BAP/Ea3P_PBBuxJKiRoHzGXUv6UBDhQApSTiWdYLEEvqjn02uw" TargetMode="External"/><Relationship Id="rId9" Type="http://schemas.openxmlformats.org/officeDocument/2006/relationships/hyperlink" Target="../../../../:w:/s/BAP/EW6GVOFJnqlNleGT_TJzJGMB8F-aMvt1sK5PvaD99pd0kw" TargetMode="External"/><Relationship Id="rId14" Type="http://schemas.openxmlformats.org/officeDocument/2006/relationships/hyperlink" Target="../../../../:w:/s/BAP/EQzJtRNIw_hOiUw0nKS4320BY7bJ-PFCktzhnpofJAlt2w"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E1717-6D43-4A0E-9671-CB0A36AFA07D}">
  <sheetPr codeName="Sheet1" filterMode="1"/>
  <dimension ref="A1:L1343"/>
  <sheetViews>
    <sheetView zoomScale="85" zoomScaleNormal="85" workbookViewId="0">
      <selection activeCell="G1" activeCellId="1" sqref="A1:E1 G1:L1"/>
    </sheetView>
  </sheetViews>
  <sheetFormatPr defaultColWidth="8.85546875" defaultRowHeight="15"/>
  <cols>
    <col min="1" max="1" width="12.28515625" customWidth="1"/>
    <col min="2" max="2" width="17.28515625" bestFit="1" customWidth="1"/>
    <col min="3" max="4" width="13.42578125" bestFit="1" customWidth="1"/>
    <col min="5" max="5" width="11.42578125" style="20" bestFit="1" customWidth="1"/>
    <col min="6" max="6" width="11.42578125" style="20" customWidth="1"/>
    <col min="7" max="7" width="74.85546875" bestFit="1" customWidth="1"/>
    <col min="8" max="8" width="31" bestFit="1" customWidth="1"/>
    <col min="9" max="9" width="8.140625" bestFit="1" customWidth="1"/>
    <col min="10" max="10" width="35.28515625" customWidth="1"/>
    <col min="11" max="11" width="25.28515625" bestFit="1" customWidth="1"/>
    <col min="12" max="12" width="16.7109375" bestFit="1" customWidth="1"/>
  </cols>
  <sheetData>
    <row r="1" spans="1:12" s="17" customFormat="1" ht="45">
      <c r="A1" s="18" t="s">
        <v>0</v>
      </c>
      <c r="B1" s="18" t="s">
        <v>1</v>
      </c>
      <c r="C1" s="18" t="s">
        <v>2</v>
      </c>
      <c r="D1" s="18" t="s">
        <v>3</v>
      </c>
      <c r="E1" s="18" t="s">
        <v>4</v>
      </c>
      <c r="F1" s="18"/>
      <c r="G1" s="18" t="s">
        <v>5</v>
      </c>
      <c r="H1" s="18" t="s">
        <v>6</v>
      </c>
      <c r="I1" s="18" t="s">
        <v>7</v>
      </c>
      <c r="J1" s="18" t="s">
        <v>8</v>
      </c>
      <c r="K1" s="18" t="s">
        <v>9</v>
      </c>
      <c r="L1" s="18" t="s">
        <v>10</v>
      </c>
    </row>
    <row r="2" spans="1:12" hidden="1">
      <c r="A2" s="19" t="s">
        <v>11</v>
      </c>
      <c r="B2" s="19" t="s">
        <v>12</v>
      </c>
      <c r="C2" s="19" t="s">
        <v>13</v>
      </c>
      <c r="D2" s="19" t="s">
        <v>14</v>
      </c>
      <c r="E2" s="19" t="s">
        <v>15</v>
      </c>
      <c r="F2" s="19" t="e">
        <f>MATCH(E2,#REF!,0)</f>
        <v>#REF!</v>
      </c>
      <c r="G2" s="19" t="s">
        <v>16</v>
      </c>
      <c r="H2" s="19" t="s">
        <v>17</v>
      </c>
      <c r="I2" s="19" t="s">
        <v>18</v>
      </c>
      <c r="J2" s="19" t="s">
        <v>19</v>
      </c>
      <c r="K2" s="19" t="s">
        <v>20</v>
      </c>
      <c r="L2" s="3" t="str">
        <f>HYPERLINK(VLOOKUP(C2,BAPs!$A$2:$C$1048576,3,FALSE),VLOOKUP(C2,BAPs!$A$2:$C$1048576,2,FALSE))</f>
        <v>1 out of 10</v>
      </c>
    </row>
    <row r="3" spans="1:12" hidden="1">
      <c r="A3" s="19" t="s">
        <v>11</v>
      </c>
      <c r="B3" s="19" t="s">
        <v>12</v>
      </c>
      <c r="C3" s="19" t="s">
        <v>13</v>
      </c>
      <c r="D3" s="19" t="s">
        <v>21</v>
      </c>
      <c r="E3" s="19" t="s">
        <v>22</v>
      </c>
      <c r="F3" s="19" t="e">
        <f>MATCH(E3,#REF!,0)</f>
        <v>#REF!</v>
      </c>
      <c r="G3" s="19" t="s">
        <v>23</v>
      </c>
      <c r="H3" s="19" t="s">
        <v>24</v>
      </c>
      <c r="I3" s="19" t="s">
        <v>18</v>
      </c>
      <c r="J3" s="19" t="s">
        <v>19</v>
      </c>
      <c r="K3" s="19" t="s">
        <v>20</v>
      </c>
      <c r="L3" s="3" t="str">
        <f>HYPERLINK(VLOOKUP(C3,BAPs!$A$2:$C$1048576,3,FALSE),VLOOKUP(C3,BAPs!$A$2:$C$1048576,2,FALSE))</f>
        <v>1 out of 10</v>
      </c>
    </row>
    <row r="4" spans="1:12" hidden="1">
      <c r="A4" s="19" t="s">
        <v>11</v>
      </c>
      <c r="B4" s="19" t="s">
        <v>12</v>
      </c>
      <c r="C4" s="19" t="s">
        <v>13</v>
      </c>
      <c r="D4" s="19" t="s">
        <v>25</v>
      </c>
      <c r="E4" s="19" t="s">
        <v>26</v>
      </c>
      <c r="F4" s="19" t="e">
        <f>MATCH(E4,#REF!,0)</f>
        <v>#REF!</v>
      </c>
      <c r="G4" s="19" t="s">
        <v>27</v>
      </c>
      <c r="H4" s="19" t="s">
        <v>17</v>
      </c>
      <c r="I4" s="19" t="s">
        <v>18</v>
      </c>
      <c r="J4" s="19" t="s">
        <v>19</v>
      </c>
      <c r="K4" s="19" t="s">
        <v>20</v>
      </c>
      <c r="L4" s="3" t="str">
        <f>HYPERLINK(VLOOKUP(C4,BAPs!$A$2:$C$1048576,3,FALSE),VLOOKUP(C4,BAPs!$A$2:$C$1048576,2,FALSE))</f>
        <v>1 out of 10</v>
      </c>
    </row>
    <row r="5" spans="1:12" hidden="1">
      <c r="A5" s="19" t="s">
        <v>11</v>
      </c>
      <c r="B5" s="19" t="s">
        <v>12</v>
      </c>
      <c r="C5" s="19" t="s">
        <v>28</v>
      </c>
      <c r="D5" s="19" t="s">
        <v>28</v>
      </c>
      <c r="E5" s="19" t="s">
        <v>29</v>
      </c>
      <c r="F5" s="19" t="e">
        <f>MATCH(E5,#REF!,0)</f>
        <v>#REF!</v>
      </c>
      <c r="G5" s="19" t="s">
        <v>30</v>
      </c>
      <c r="H5" s="19" t="s">
        <v>17</v>
      </c>
      <c r="I5" s="19" t="s">
        <v>18</v>
      </c>
      <c r="J5" s="19" t="s">
        <v>31</v>
      </c>
      <c r="K5" s="19" t="s">
        <v>20</v>
      </c>
      <c r="L5" s="3" t="str">
        <f>HYPERLINK(VLOOKUP(C5,BAPs!$A$2:$C$1048576,3,FALSE),VLOOKUP(C5,BAPs!$A$2:$C$1048576,2,FALSE))</f>
        <v>6 out of 10</v>
      </c>
    </row>
    <row r="6" spans="1:12" hidden="1">
      <c r="A6" s="19" t="s">
        <v>11</v>
      </c>
      <c r="B6" s="19" t="s">
        <v>12</v>
      </c>
      <c r="C6" s="19" t="s">
        <v>28</v>
      </c>
      <c r="D6" s="19" t="s">
        <v>32</v>
      </c>
      <c r="E6" s="19" t="s">
        <v>33</v>
      </c>
      <c r="F6" s="19" t="e">
        <f>MATCH(E6,#REF!,0)</f>
        <v>#REF!</v>
      </c>
      <c r="G6" s="19" t="s">
        <v>34</v>
      </c>
      <c r="H6" s="19" t="s">
        <v>24</v>
      </c>
      <c r="I6" s="19"/>
      <c r="J6" s="19" t="s">
        <v>31</v>
      </c>
      <c r="K6" s="19" t="s">
        <v>20</v>
      </c>
      <c r="L6" s="3" t="str">
        <f>HYPERLINK(VLOOKUP(C6,BAPs!$A$2:$C$1048576,3,FALSE),VLOOKUP(C6,BAPs!$A$2:$C$1048576,2,FALSE))</f>
        <v>6 out of 10</v>
      </c>
    </row>
    <row r="7" spans="1:12" hidden="1">
      <c r="A7" s="19" t="s">
        <v>11</v>
      </c>
      <c r="B7" s="19" t="s">
        <v>12</v>
      </c>
      <c r="C7" s="19" t="s">
        <v>35</v>
      </c>
      <c r="D7" s="19" t="s">
        <v>36</v>
      </c>
      <c r="E7" s="19" t="s">
        <v>37</v>
      </c>
      <c r="F7" s="19" t="e">
        <f>MATCH(E7,#REF!,0)</f>
        <v>#REF!</v>
      </c>
      <c r="G7" s="19" t="s">
        <v>38</v>
      </c>
      <c r="H7" s="19" t="s">
        <v>24</v>
      </c>
      <c r="I7" s="19" t="s">
        <v>18</v>
      </c>
      <c r="J7" s="19" t="s">
        <v>39</v>
      </c>
      <c r="K7" s="19" t="s">
        <v>20</v>
      </c>
      <c r="L7" s="3" t="str">
        <f>HYPERLINK(VLOOKUP(C7,BAPs!$A$2:$C$1048576,3,FALSE),VLOOKUP(C7,BAPs!$A$2:$C$1048576,2,FALSE))</f>
        <v>6 out of 10</v>
      </c>
    </row>
    <row r="8" spans="1:12" hidden="1">
      <c r="A8" s="19" t="s">
        <v>11</v>
      </c>
      <c r="B8" s="19" t="s">
        <v>12</v>
      </c>
      <c r="C8" s="19" t="s">
        <v>35</v>
      </c>
      <c r="D8" s="19" t="s">
        <v>40</v>
      </c>
      <c r="E8" s="19" t="s">
        <v>41</v>
      </c>
      <c r="F8" s="19" t="e">
        <f>MATCH(E8,#REF!,0)</f>
        <v>#REF!</v>
      </c>
      <c r="G8" s="19" t="s">
        <v>42</v>
      </c>
      <c r="H8" s="19" t="s">
        <v>43</v>
      </c>
      <c r="I8" s="19" t="s">
        <v>18</v>
      </c>
      <c r="J8" s="19" t="s">
        <v>39</v>
      </c>
      <c r="K8" s="19" t="s">
        <v>20</v>
      </c>
      <c r="L8" s="3" t="str">
        <f>HYPERLINK(VLOOKUP(C8,BAPs!$A$2:$C$1048576,3,FALSE),VLOOKUP(C8,BAPs!$A$2:$C$1048576,2,FALSE))</f>
        <v>6 out of 10</v>
      </c>
    </row>
    <row r="9" spans="1:12" hidden="1">
      <c r="A9" s="19" t="s">
        <v>11</v>
      </c>
      <c r="B9" s="19" t="s">
        <v>12</v>
      </c>
      <c r="C9" s="19" t="s">
        <v>35</v>
      </c>
      <c r="D9" s="19" t="s">
        <v>44</v>
      </c>
      <c r="E9" s="19" t="s">
        <v>45</v>
      </c>
      <c r="F9" s="19" t="e">
        <f>MATCH(E9,#REF!,0)</f>
        <v>#REF!</v>
      </c>
      <c r="G9" s="19" t="s">
        <v>46</v>
      </c>
      <c r="H9" s="19" t="s">
        <v>43</v>
      </c>
      <c r="I9" s="19"/>
      <c r="J9" s="19" t="s">
        <v>39</v>
      </c>
      <c r="K9" s="19" t="s">
        <v>20</v>
      </c>
      <c r="L9" s="3" t="str">
        <f>HYPERLINK(VLOOKUP(C9,BAPs!$A$2:$C$1048576,3,FALSE),VLOOKUP(C9,BAPs!$A$2:$C$1048576,2,FALSE))</f>
        <v>6 out of 10</v>
      </c>
    </row>
    <row r="10" spans="1:12" hidden="1">
      <c r="A10" s="19" t="s">
        <v>11</v>
      </c>
      <c r="B10" s="19" t="s">
        <v>12</v>
      </c>
      <c r="C10" s="19" t="s">
        <v>47</v>
      </c>
      <c r="D10" s="19" t="s">
        <v>32</v>
      </c>
      <c r="E10" s="19" t="s">
        <v>33</v>
      </c>
      <c r="F10" s="19" t="e">
        <f>MATCH(E10,#REF!,0)</f>
        <v>#REF!</v>
      </c>
      <c r="G10" s="19" t="s">
        <v>34</v>
      </c>
      <c r="H10" s="19" t="s">
        <v>24</v>
      </c>
      <c r="I10" s="19"/>
      <c r="J10" s="19" t="s">
        <v>48</v>
      </c>
      <c r="K10" s="19" t="s">
        <v>20</v>
      </c>
      <c r="L10" s="3" t="str">
        <f>HYPERLINK(VLOOKUP(C10,BAPs!$A$2:$C$1048576,3,FALSE),VLOOKUP(C10,BAPs!$A$2:$C$1048576,2,FALSE))</f>
        <v>4 out of 10</v>
      </c>
    </row>
    <row r="11" spans="1:12" hidden="1">
      <c r="A11" s="19" t="s">
        <v>11</v>
      </c>
      <c r="B11" s="19" t="s">
        <v>12</v>
      </c>
      <c r="C11" s="19" t="s">
        <v>47</v>
      </c>
      <c r="D11" s="19" t="s">
        <v>49</v>
      </c>
      <c r="E11" s="19" t="s">
        <v>50</v>
      </c>
      <c r="F11" s="19" t="e">
        <f>MATCH(E11,#REF!,0)</f>
        <v>#REF!</v>
      </c>
      <c r="G11" s="19" t="s">
        <v>51</v>
      </c>
      <c r="H11" s="19" t="s">
        <v>52</v>
      </c>
      <c r="I11" s="19"/>
      <c r="J11" s="19" t="s">
        <v>48</v>
      </c>
      <c r="K11" s="19" t="s">
        <v>20</v>
      </c>
      <c r="L11" s="3" t="str">
        <f>HYPERLINK(VLOOKUP(C11,BAPs!$A$2:$C$1048576,3,FALSE),VLOOKUP(C11,BAPs!$A$2:$C$1048576,2,FALSE))</f>
        <v>4 out of 10</v>
      </c>
    </row>
    <row r="12" spans="1:12" hidden="1">
      <c r="A12" s="19" t="s">
        <v>11</v>
      </c>
      <c r="B12" s="19" t="s">
        <v>12</v>
      </c>
      <c r="C12" s="19" t="s">
        <v>47</v>
      </c>
      <c r="D12" s="19" t="s">
        <v>53</v>
      </c>
      <c r="E12" s="19" t="s">
        <v>54</v>
      </c>
      <c r="F12" s="19" t="e">
        <f>MATCH(E12,#REF!,0)</f>
        <v>#REF!</v>
      </c>
      <c r="G12" s="19" t="s">
        <v>55</v>
      </c>
      <c r="H12" s="19" t="s">
        <v>56</v>
      </c>
      <c r="I12" s="19"/>
      <c r="J12" s="19" t="s">
        <v>48</v>
      </c>
      <c r="K12" s="19" t="s">
        <v>20</v>
      </c>
      <c r="L12" s="3" t="str">
        <f>HYPERLINK(VLOOKUP(C12,BAPs!$A$2:$C$1048576,3,FALSE),VLOOKUP(C12,BAPs!$A$2:$C$1048576,2,FALSE))</f>
        <v>4 out of 10</v>
      </c>
    </row>
    <row r="13" spans="1:12" hidden="1">
      <c r="A13" s="19" t="s">
        <v>11</v>
      </c>
      <c r="B13" s="19" t="s">
        <v>12</v>
      </c>
      <c r="C13" s="19" t="s">
        <v>57</v>
      </c>
      <c r="D13" s="19" t="s">
        <v>58</v>
      </c>
      <c r="E13" s="19" t="s">
        <v>59</v>
      </c>
      <c r="F13" s="19" t="e">
        <f>MATCH(E13,#REF!,0)</f>
        <v>#REF!</v>
      </c>
      <c r="G13" s="19" t="s">
        <v>60</v>
      </c>
      <c r="H13" s="19" t="s">
        <v>43</v>
      </c>
      <c r="I13" s="19"/>
      <c r="J13" s="19" t="s">
        <v>61</v>
      </c>
      <c r="K13" s="19" t="s">
        <v>62</v>
      </c>
      <c r="L13" s="3" t="str">
        <f>HYPERLINK(VLOOKUP(C13,BAPs!$A$2:$C$1048576,3,FALSE),VLOOKUP(C13,BAPs!$A$2:$C$1048576,2,FALSE))</f>
        <v>9 out of 10</v>
      </c>
    </row>
    <row r="14" spans="1:12" hidden="1">
      <c r="A14" s="19" t="s">
        <v>11</v>
      </c>
      <c r="B14" s="19" t="s">
        <v>12</v>
      </c>
      <c r="C14" s="19" t="s">
        <v>57</v>
      </c>
      <c r="D14" s="19" t="s">
        <v>63</v>
      </c>
      <c r="E14" s="19" t="s">
        <v>64</v>
      </c>
      <c r="F14" s="19" t="e">
        <f>MATCH(E14,#REF!,0)</f>
        <v>#REF!</v>
      </c>
      <c r="G14" s="19" t="s">
        <v>65</v>
      </c>
      <c r="H14" s="19" t="s">
        <v>17</v>
      </c>
      <c r="I14" s="19" t="s">
        <v>18</v>
      </c>
      <c r="J14" s="19" t="s">
        <v>61</v>
      </c>
      <c r="K14" s="19" t="s">
        <v>62</v>
      </c>
      <c r="L14" s="3" t="str">
        <f>HYPERLINK(VLOOKUP(C14,BAPs!$A$2:$C$1048576,3,FALSE),VLOOKUP(C14,BAPs!$A$2:$C$1048576,2,FALSE))</f>
        <v>9 out of 10</v>
      </c>
    </row>
    <row r="15" spans="1:12" hidden="1">
      <c r="A15" s="19" t="s">
        <v>11</v>
      </c>
      <c r="B15" s="19" t="s">
        <v>12</v>
      </c>
      <c r="C15" s="19" t="s">
        <v>57</v>
      </c>
      <c r="D15" s="19" t="s">
        <v>66</v>
      </c>
      <c r="E15" s="19" t="s">
        <v>67</v>
      </c>
      <c r="F15" s="19" t="e">
        <f>MATCH(E15,#REF!,0)</f>
        <v>#REF!</v>
      </c>
      <c r="G15" s="19" t="s">
        <v>68</v>
      </c>
      <c r="H15" s="19" t="s">
        <v>24</v>
      </c>
      <c r="I15" s="19"/>
      <c r="J15" s="19" t="s">
        <v>61</v>
      </c>
      <c r="K15" s="19" t="s">
        <v>62</v>
      </c>
      <c r="L15" s="3" t="str">
        <f>HYPERLINK(VLOOKUP(C15,BAPs!$A$2:$C$1048576,3,FALSE),VLOOKUP(C15,BAPs!$A$2:$C$1048576,2,FALSE))</f>
        <v>9 out of 10</v>
      </c>
    </row>
    <row r="16" spans="1:12" hidden="1">
      <c r="A16" s="19" t="s">
        <v>11</v>
      </c>
      <c r="B16" s="19" t="s">
        <v>12</v>
      </c>
      <c r="C16" s="19" t="s">
        <v>69</v>
      </c>
      <c r="D16" s="19" t="s">
        <v>58</v>
      </c>
      <c r="E16" s="19" t="s">
        <v>59</v>
      </c>
      <c r="F16" s="19" t="e">
        <f>MATCH(E16,#REF!,0)</f>
        <v>#REF!</v>
      </c>
      <c r="G16" s="19" t="s">
        <v>60</v>
      </c>
      <c r="H16" s="19" t="s">
        <v>43</v>
      </c>
      <c r="I16" s="19"/>
      <c r="J16" s="19" t="s">
        <v>70</v>
      </c>
      <c r="K16" s="19" t="s">
        <v>62</v>
      </c>
      <c r="L16" s="3" t="str">
        <f>HYPERLINK(VLOOKUP(C16,BAPs!$A$2:$C$1048576,3,FALSE),VLOOKUP(C16,BAPs!$A$2:$C$1048576,2,FALSE))</f>
        <v>9 out of 10</v>
      </c>
    </row>
    <row r="17" spans="1:12" hidden="1">
      <c r="A17" s="19" t="s">
        <v>11</v>
      </c>
      <c r="B17" s="19" t="s">
        <v>12</v>
      </c>
      <c r="C17" s="19" t="s">
        <v>69</v>
      </c>
      <c r="D17" s="19" t="s">
        <v>69</v>
      </c>
      <c r="E17" s="19" t="s">
        <v>71</v>
      </c>
      <c r="F17" s="19" t="e">
        <f>MATCH(E17,#REF!,0)</f>
        <v>#REF!</v>
      </c>
      <c r="G17" s="19" t="s">
        <v>72</v>
      </c>
      <c r="H17" s="19" t="s">
        <v>17</v>
      </c>
      <c r="I17" s="19" t="s">
        <v>18</v>
      </c>
      <c r="J17" s="19" t="s">
        <v>70</v>
      </c>
      <c r="K17" s="19" t="s">
        <v>62</v>
      </c>
      <c r="L17" s="3" t="str">
        <f>HYPERLINK(VLOOKUP(C17,BAPs!$A$2:$C$1048576,3,FALSE),VLOOKUP(C17,BAPs!$A$2:$C$1048576,2,FALSE))</f>
        <v>9 out of 10</v>
      </c>
    </row>
    <row r="18" spans="1:12" hidden="1">
      <c r="A18" s="19" t="s">
        <v>11</v>
      </c>
      <c r="B18" s="19" t="s">
        <v>12</v>
      </c>
      <c r="C18" s="19" t="s">
        <v>73</v>
      </c>
      <c r="D18" s="19" t="s">
        <v>74</v>
      </c>
      <c r="E18" s="19" t="s">
        <v>75</v>
      </c>
      <c r="F18" s="19" t="e">
        <f>MATCH(E18,#REF!,0)</f>
        <v>#REF!</v>
      </c>
      <c r="G18" s="19" t="s">
        <v>76</v>
      </c>
      <c r="H18" s="19" t="s">
        <v>43</v>
      </c>
      <c r="I18" s="19" t="s">
        <v>18</v>
      </c>
      <c r="J18" s="19" t="s">
        <v>77</v>
      </c>
      <c r="K18" s="19" t="s">
        <v>20</v>
      </c>
      <c r="L18" s="3" t="str">
        <f>HYPERLINK(VLOOKUP(C18,BAPs!$A$2:$C$1048576,3,FALSE),VLOOKUP(C18,BAPs!$A$2:$C$1048576,2,FALSE))</f>
        <v>5 out of 10</v>
      </c>
    </row>
    <row r="19" spans="1:12" hidden="1">
      <c r="A19" s="19" t="s">
        <v>11</v>
      </c>
      <c r="B19" s="19" t="s">
        <v>12</v>
      </c>
      <c r="C19" s="19" t="s">
        <v>73</v>
      </c>
      <c r="D19" s="19" t="s">
        <v>78</v>
      </c>
      <c r="E19" s="19" t="s">
        <v>79</v>
      </c>
      <c r="F19" s="19" t="e">
        <f>MATCH(E19,#REF!,0)</f>
        <v>#REF!</v>
      </c>
      <c r="G19" s="19" t="s">
        <v>80</v>
      </c>
      <c r="H19" s="19" t="s">
        <v>56</v>
      </c>
      <c r="I19" s="19"/>
      <c r="J19" s="19" t="s">
        <v>77</v>
      </c>
      <c r="K19" s="19" t="s">
        <v>20</v>
      </c>
      <c r="L19" s="3" t="str">
        <f>HYPERLINK(VLOOKUP(C19,BAPs!$A$2:$C$1048576,3,FALSE),VLOOKUP(C19,BAPs!$A$2:$C$1048576,2,FALSE))</f>
        <v>5 out of 10</v>
      </c>
    </row>
    <row r="20" spans="1:12" hidden="1">
      <c r="A20" s="19" t="s">
        <v>11</v>
      </c>
      <c r="B20" s="19" t="s">
        <v>12</v>
      </c>
      <c r="C20" s="19" t="s">
        <v>73</v>
      </c>
      <c r="D20" s="19" t="s">
        <v>81</v>
      </c>
      <c r="E20" s="19" t="s">
        <v>82</v>
      </c>
      <c r="F20" s="19" t="e">
        <f>MATCH(E20,#REF!,0)</f>
        <v>#REF!</v>
      </c>
      <c r="G20" s="19" t="s">
        <v>83</v>
      </c>
      <c r="H20" s="19" t="s">
        <v>84</v>
      </c>
      <c r="I20" s="19"/>
      <c r="J20" s="19" t="s">
        <v>77</v>
      </c>
      <c r="K20" s="19" t="s">
        <v>20</v>
      </c>
      <c r="L20" s="3" t="str">
        <f>HYPERLINK(VLOOKUP(C20,BAPs!$A$2:$C$1048576,3,FALSE),VLOOKUP(C20,BAPs!$A$2:$C$1048576,2,FALSE))</f>
        <v>5 out of 10</v>
      </c>
    </row>
    <row r="21" spans="1:12" hidden="1">
      <c r="A21" s="19" t="s">
        <v>11</v>
      </c>
      <c r="B21" s="19" t="s">
        <v>12</v>
      </c>
      <c r="C21" s="19" t="s">
        <v>73</v>
      </c>
      <c r="D21" s="19" t="s">
        <v>85</v>
      </c>
      <c r="E21" s="19" t="s">
        <v>86</v>
      </c>
      <c r="F21" s="19" t="e">
        <f>MATCH(E21,#REF!,0)</f>
        <v>#REF!</v>
      </c>
      <c r="G21" s="19" t="s">
        <v>87</v>
      </c>
      <c r="H21" s="19" t="s">
        <v>52</v>
      </c>
      <c r="I21" s="19"/>
      <c r="J21" s="19" t="s">
        <v>77</v>
      </c>
      <c r="K21" s="19" t="s">
        <v>20</v>
      </c>
      <c r="L21" s="3" t="str">
        <f>HYPERLINK(VLOOKUP(C21,BAPs!$A$2:$C$1048576,3,FALSE),VLOOKUP(C21,BAPs!$A$2:$C$1048576,2,FALSE))</f>
        <v>5 out of 10</v>
      </c>
    </row>
    <row r="22" spans="1:12" hidden="1">
      <c r="A22" s="19" t="s">
        <v>11</v>
      </c>
      <c r="B22" s="19" t="s">
        <v>12</v>
      </c>
      <c r="C22" s="19" t="s">
        <v>88</v>
      </c>
      <c r="D22" s="19" t="s">
        <v>40</v>
      </c>
      <c r="E22" s="19" t="s">
        <v>41</v>
      </c>
      <c r="F22" s="19" t="e">
        <f>MATCH(E22,#REF!,0)</f>
        <v>#REF!</v>
      </c>
      <c r="G22" s="19" t="s">
        <v>42</v>
      </c>
      <c r="H22" s="19" t="s">
        <v>43</v>
      </c>
      <c r="I22" s="19" t="s">
        <v>18</v>
      </c>
      <c r="J22" s="19" t="s">
        <v>89</v>
      </c>
      <c r="K22" s="19" t="s">
        <v>20</v>
      </c>
      <c r="L22" s="3" t="str">
        <f>HYPERLINK(VLOOKUP(C22,BAPs!$A$2:$C$1048576,3,FALSE),VLOOKUP(C22,BAPs!$A$2:$C$1048576,2,FALSE))</f>
        <v>7 out of 10</v>
      </c>
    </row>
    <row r="23" spans="1:12" hidden="1">
      <c r="A23" s="19" t="s">
        <v>11</v>
      </c>
      <c r="B23" s="19" t="s">
        <v>12</v>
      </c>
      <c r="C23" s="19" t="s">
        <v>88</v>
      </c>
      <c r="D23" s="19" t="s">
        <v>90</v>
      </c>
      <c r="E23" s="19" t="s">
        <v>91</v>
      </c>
      <c r="F23" s="19" t="e">
        <f>MATCH(E23,#REF!,0)</f>
        <v>#REF!</v>
      </c>
      <c r="G23" s="19" t="s">
        <v>92</v>
      </c>
      <c r="H23" s="19" t="s">
        <v>17</v>
      </c>
      <c r="I23" s="19"/>
      <c r="J23" s="19" t="s">
        <v>89</v>
      </c>
      <c r="K23" s="19" t="s">
        <v>20</v>
      </c>
      <c r="L23" s="3" t="str">
        <f>HYPERLINK(VLOOKUP(C23,BAPs!$A$2:$C$1048576,3,FALSE),VLOOKUP(C23,BAPs!$A$2:$C$1048576,2,FALSE))</f>
        <v>7 out of 10</v>
      </c>
    </row>
    <row r="24" spans="1:12" hidden="1">
      <c r="A24" s="19" t="s">
        <v>11</v>
      </c>
      <c r="B24" s="19" t="s">
        <v>12</v>
      </c>
      <c r="C24" s="19" t="s">
        <v>88</v>
      </c>
      <c r="D24" s="19" t="s">
        <v>93</v>
      </c>
      <c r="E24" s="19" t="s">
        <v>94</v>
      </c>
      <c r="F24" s="19" t="e">
        <f>MATCH(E24,#REF!,0)</f>
        <v>#REF!</v>
      </c>
      <c r="G24" s="19" t="s">
        <v>95</v>
      </c>
      <c r="H24" s="19" t="s">
        <v>84</v>
      </c>
      <c r="I24" s="19"/>
      <c r="J24" s="19" t="s">
        <v>89</v>
      </c>
      <c r="K24" s="19" t="s">
        <v>20</v>
      </c>
      <c r="L24" s="3" t="str">
        <f>HYPERLINK(VLOOKUP(C24,BAPs!$A$2:$C$1048576,3,FALSE),VLOOKUP(C24,BAPs!$A$2:$C$1048576,2,FALSE))</f>
        <v>7 out of 10</v>
      </c>
    </row>
    <row r="25" spans="1:12" hidden="1">
      <c r="A25" s="19" t="s">
        <v>11</v>
      </c>
      <c r="B25" s="19" t="s">
        <v>12</v>
      </c>
      <c r="C25" s="19" t="s">
        <v>96</v>
      </c>
      <c r="D25" s="19" t="s">
        <v>58</v>
      </c>
      <c r="E25" s="19" t="s">
        <v>59</v>
      </c>
      <c r="F25" s="19" t="e">
        <f>MATCH(E25,#REF!,0)</f>
        <v>#REF!</v>
      </c>
      <c r="G25" s="19" t="s">
        <v>60</v>
      </c>
      <c r="H25" s="19" t="s">
        <v>43</v>
      </c>
      <c r="I25" s="19"/>
      <c r="J25" s="19" t="s">
        <v>97</v>
      </c>
      <c r="K25" s="19" t="s">
        <v>20</v>
      </c>
      <c r="L25" s="3" t="str">
        <f>HYPERLINK(VLOOKUP(C25,BAPs!$A$2:$C$1048576,3,FALSE),VLOOKUP(C25,BAPs!$A$2:$C$1048576,2,FALSE))</f>
        <v>1 out of 10</v>
      </c>
    </row>
    <row r="26" spans="1:12" hidden="1">
      <c r="A26" s="19" t="s">
        <v>11</v>
      </c>
      <c r="B26" s="19" t="s">
        <v>12</v>
      </c>
      <c r="C26" s="19" t="s">
        <v>96</v>
      </c>
      <c r="D26" s="19" t="s">
        <v>98</v>
      </c>
      <c r="E26" s="19" t="s">
        <v>99</v>
      </c>
      <c r="F26" s="19" t="e">
        <f>MATCH(E26,#REF!,0)</f>
        <v>#REF!</v>
      </c>
      <c r="G26" s="19" t="s">
        <v>100</v>
      </c>
      <c r="H26" s="19" t="s">
        <v>52</v>
      </c>
      <c r="I26" s="19"/>
      <c r="J26" s="19" t="s">
        <v>97</v>
      </c>
      <c r="K26" s="19" t="s">
        <v>20</v>
      </c>
      <c r="L26" s="3" t="str">
        <f>HYPERLINK(VLOOKUP(C26,BAPs!$A$2:$C$1048576,3,FALSE),VLOOKUP(C26,BAPs!$A$2:$C$1048576,2,FALSE))</f>
        <v>1 out of 10</v>
      </c>
    </row>
    <row r="27" spans="1:12" hidden="1">
      <c r="A27" s="19" t="s">
        <v>11</v>
      </c>
      <c r="B27" s="19" t="s">
        <v>12</v>
      </c>
      <c r="C27" s="19" t="s">
        <v>96</v>
      </c>
      <c r="D27" s="19" t="s">
        <v>101</v>
      </c>
      <c r="E27" s="19" t="s">
        <v>102</v>
      </c>
      <c r="F27" s="19" t="e">
        <f>MATCH(E27,#REF!,0)</f>
        <v>#REF!</v>
      </c>
      <c r="G27" s="19" t="s">
        <v>103</v>
      </c>
      <c r="H27" s="19" t="s">
        <v>52</v>
      </c>
      <c r="I27" s="19"/>
      <c r="J27" s="19" t="s">
        <v>97</v>
      </c>
      <c r="K27" s="19" t="s">
        <v>20</v>
      </c>
      <c r="L27" s="3" t="str">
        <f>HYPERLINK(VLOOKUP(C27,BAPs!$A$2:$C$1048576,3,FALSE),VLOOKUP(C27,BAPs!$A$2:$C$1048576,2,FALSE))</f>
        <v>1 out of 10</v>
      </c>
    </row>
    <row r="28" spans="1:12" hidden="1">
      <c r="A28" s="19" t="s">
        <v>11</v>
      </c>
      <c r="B28" s="19" t="s">
        <v>12</v>
      </c>
      <c r="C28" s="19" t="s">
        <v>96</v>
      </c>
      <c r="D28" s="19" t="s">
        <v>104</v>
      </c>
      <c r="E28" s="19" t="s">
        <v>105</v>
      </c>
      <c r="F28" s="19" t="e">
        <f>MATCH(E28,#REF!,0)</f>
        <v>#REF!</v>
      </c>
      <c r="G28" s="19" t="s">
        <v>106</v>
      </c>
      <c r="H28" s="19" t="s">
        <v>56</v>
      </c>
      <c r="I28" s="19"/>
      <c r="J28" s="19" t="s">
        <v>97</v>
      </c>
      <c r="K28" s="19" t="s">
        <v>20</v>
      </c>
      <c r="L28" s="3" t="str">
        <f>HYPERLINK(VLOOKUP(C28,BAPs!$A$2:$C$1048576,3,FALSE),VLOOKUP(C28,BAPs!$A$2:$C$1048576,2,FALSE))</f>
        <v>1 out of 10</v>
      </c>
    </row>
    <row r="29" spans="1:12" hidden="1">
      <c r="A29" s="19" t="s">
        <v>11</v>
      </c>
      <c r="B29" s="19" t="s">
        <v>12</v>
      </c>
      <c r="C29" s="19" t="s">
        <v>96</v>
      </c>
      <c r="D29" s="19" t="s">
        <v>53</v>
      </c>
      <c r="E29" s="19" t="s">
        <v>54</v>
      </c>
      <c r="F29" s="19" t="e">
        <f>MATCH(E29,#REF!,0)</f>
        <v>#REF!</v>
      </c>
      <c r="G29" s="19" t="s">
        <v>55</v>
      </c>
      <c r="H29" s="19" t="s">
        <v>56</v>
      </c>
      <c r="I29" s="19"/>
      <c r="J29" s="19" t="s">
        <v>97</v>
      </c>
      <c r="K29" s="19" t="s">
        <v>20</v>
      </c>
      <c r="L29" s="3" t="str">
        <f>HYPERLINK(VLOOKUP(C29,BAPs!$A$2:$C$1048576,3,FALSE),VLOOKUP(C29,BAPs!$A$2:$C$1048576,2,FALSE))</f>
        <v>1 out of 10</v>
      </c>
    </row>
    <row r="30" spans="1:12" hidden="1">
      <c r="A30" s="19" t="s">
        <v>11</v>
      </c>
      <c r="B30" s="19" t="s">
        <v>12</v>
      </c>
      <c r="C30" s="19" t="s">
        <v>107</v>
      </c>
      <c r="D30" s="19" t="s">
        <v>108</v>
      </c>
      <c r="E30" s="19" t="s">
        <v>109</v>
      </c>
      <c r="F30" s="19" t="e">
        <f>MATCH(E30,#REF!,0)</f>
        <v>#REF!</v>
      </c>
      <c r="G30" s="19" t="s">
        <v>110</v>
      </c>
      <c r="H30" s="19" t="s">
        <v>56</v>
      </c>
      <c r="I30" s="19"/>
      <c r="J30" s="19" t="s">
        <v>111</v>
      </c>
      <c r="K30" s="19" t="s">
        <v>20</v>
      </c>
      <c r="L30" s="3" t="str">
        <f>HYPERLINK(VLOOKUP(C30,BAPs!$A$2:$C$1048576,3,FALSE),VLOOKUP(C30,BAPs!$A$2:$C$1048576,2,FALSE))</f>
        <v>3 out of 10</v>
      </c>
    </row>
    <row r="31" spans="1:12" hidden="1">
      <c r="A31" s="19" t="s">
        <v>11</v>
      </c>
      <c r="B31" s="19" t="s">
        <v>12</v>
      </c>
      <c r="C31" s="19" t="s">
        <v>107</v>
      </c>
      <c r="D31" s="19" t="s">
        <v>112</v>
      </c>
      <c r="E31" s="19" t="s">
        <v>113</v>
      </c>
      <c r="F31" s="19" t="e">
        <f>MATCH(E31,#REF!,0)</f>
        <v>#REF!</v>
      </c>
      <c r="G31" s="19" t="s">
        <v>114</v>
      </c>
      <c r="H31" s="19" t="s">
        <v>56</v>
      </c>
      <c r="I31" s="19"/>
      <c r="J31" s="19" t="s">
        <v>111</v>
      </c>
      <c r="K31" s="19" t="s">
        <v>20</v>
      </c>
      <c r="L31" s="3" t="str">
        <f>HYPERLINK(VLOOKUP(C31,BAPs!$A$2:$C$1048576,3,FALSE),VLOOKUP(C31,BAPs!$A$2:$C$1048576,2,FALSE))</f>
        <v>3 out of 10</v>
      </c>
    </row>
    <row r="32" spans="1:12" hidden="1">
      <c r="A32" s="19" t="s">
        <v>11</v>
      </c>
      <c r="B32" s="19" t="s">
        <v>12</v>
      </c>
      <c r="C32" s="19" t="s">
        <v>107</v>
      </c>
      <c r="D32" s="19" t="s">
        <v>107</v>
      </c>
      <c r="E32" s="19" t="s">
        <v>115</v>
      </c>
      <c r="F32" s="19" t="e">
        <f>MATCH(E32,#REF!,0)</f>
        <v>#REF!</v>
      </c>
      <c r="G32" s="19" t="s">
        <v>116</v>
      </c>
      <c r="H32" s="19" t="s">
        <v>56</v>
      </c>
      <c r="I32" s="19"/>
      <c r="J32" s="19" t="s">
        <v>111</v>
      </c>
      <c r="K32" s="19" t="s">
        <v>20</v>
      </c>
      <c r="L32" s="3" t="str">
        <f>HYPERLINK(VLOOKUP(C32,BAPs!$A$2:$C$1048576,3,FALSE),VLOOKUP(C32,BAPs!$A$2:$C$1048576,2,FALSE))</f>
        <v>3 out of 10</v>
      </c>
    </row>
    <row r="33" spans="1:12" hidden="1">
      <c r="A33" s="19" t="s">
        <v>11</v>
      </c>
      <c r="B33" s="19" t="s">
        <v>12</v>
      </c>
      <c r="C33" s="19" t="s">
        <v>117</v>
      </c>
      <c r="D33" s="19" t="s">
        <v>118</v>
      </c>
      <c r="E33" s="19" t="s">
        <v>119</v>
      </c>
      <c r="F33" s="19" t="e">
        <f>MATCH(E33,#REF!,0)</f>
        <v>#REF!</v>
      </c>
      <c r="G33" s="19" t="s">
        <v>120</v>
      </c>
      <c r="H33" s="19" t="s">
        <v>56</v>
      </c>
      <c r="I33" s="19"/>
      <c r="J33" s="19" t="s">
        <v>121</v>
      </c>
      <c r="K33" s="19" t="s">
        <v>20</v>
      </c>
      <c r="L33" s="3" t="str">
        <f>HYPERLINK(VLOOKUP(C33,BAPs!$A$2:$C$1048576,3,FALSE),VLOOKUP(C33,BAPs!$A$2:$C$1048576,2,FALSE))</f>
        <v>1 out of 10</v>
      </c>
    </row>
    <row r="34" spans="1:12" hidden="1">
      <c r="A34" s="19" t="s">
        <v>11</v>
      </c>
      <c r="B34" s="19" t="s">
        <v>12</v>
      </c>
      <c r="C34" s="19" t="s">
        <v>117</v>
      </c>
      <c r="D34" s="19" t="s">
        <v>122</v>
      </c>
      <c r="E34" s="19" t="s">
        <v>123</v>
      </c>
      <c r="F34" s="19" t="e">
        <f>MATCH(E34,#REF!,0)</f>
        <v>#REF!</v>
      </c>
      <c r="G34" s="19" t="s">
        <v>124</v>
      </c>
      <c r="H34" s="19" t="s">
        <v>56</v>
      </c>
      <c r="I34" s="19"/>
      <c r="J34" s="19" t="s">
        <v>121</v>
      </c>
      <c r="K34" s="19" t="s">
        <v>20</v>
      </c>
      <c r="L34" s="3" t="str">
        <f>HYPERLINK(VLOOKUP(C34,BAPs!$A$2:$C$1048576,3,FALSE),VLOOKUP(C34,BAPs!$A$2:$C$1048576,2,FALSE))</f>
        <v>1 out of 10</v>
      </c>
    </row>
    <row r="35" spans="1:12" hidden="1">
      <c r="A35" s="19" t="s">
        <v>11</v>
      </c>
      <c r="B35" s="19" t="s">
        <v>12</v>
      </c>
      <c r="C35" s="19" t="s">
        <v>125</v>
      </c>
      <c r="D35" s="19" t="s">
        <v>126</v>
      </c>
      <c r="E35" s="19" t="s">
        <v>127</v>
      </c>
      <c r="F35" s="19" t="e">
        <f>MATCH(E35,#REF!,0)</f>
        <v>#REF!</v>
      </c>
      <c r="G35" s="19" t="s">
        <v>128</v>
      </c>
      <c r="H35" s="19" t="s">
        <v>43</v>
      </c>
      <c r="I35" s="19" t="s">
        <v>18</v>
      </c>
      <c r="J35" s="19" t="s">
        <v>129</v>
      </c>
      <c r="K35" s="19" t="s">
        <v>62</v>
      </c>
      <c r="L35" s="3" t="str">
        <f>HYPERLINK(VLOOKUP(C35,BAPs!$A$2:$C$1048576,3,FALSE),VLOOKUP(C35,BAPs!$A$2:$C$1048576,2,FALSE))</f>
        <v>10 out of 10</v>
      </c>
    </row>
    <row r="36" spans="1:12" hidden="1">
      <c r="A36" s="19" t="s">
        <v>11</v>
      </c>
      <c r="B36" s="19" t="s">
        <v>12</v>
      </c>
      <c r="C36" s="19" t="s">
        <v>125</v>
      </c>
      <c r="D36" s="19" t="s">
        <v>130</v>
      </c>
      <c r="E36" s="19" t="s">
        <v>131</v>
      </c>
      <c r="F36" s="19" t="e">
        <f>MATCH(E36,#REF!,0)</f>
        <v>#REF!</v>
      </c>
      <c r="G36" s="19" t="s">
        <v>132</v>
      </c>
      <c r="H36" s="19" t="s">
        <v>56</v>
      </c>
      <c r="I36" s="19"/>
      <c r="J36" s="19" t="s">
        <v>129</v>
      </c>
      <c r="K36" s="19" t="s">
        <v>62</v>
      </c>
      <c r="L36" s="3" t="str">
        <f>HYPERLINK(VLOOKUP(C36,BAPs!$A$2:$C$1048576,3,FALSE),VLOOKUP(C36,BAPs!$A$2:$C$1048576,2,FALSE))</f>
        <v>10 out of 10</v>
      </c>
    </row>
    <row r="37" spans="1:12" hidden="1">
      <c r="A37" s="19" t="s">
        <v>11</v>
      </c>
      <c r="B37" s="19" t="s">
        <v>12</v>
      </c>
      <c r="C37" s="19" t="s">
        <v>125</v>
      </c>
      <c r="D37" s="19" t="s">
        <v>133</v>
      </c>
      <c r="E37" s="19" t="s">
        <v>134</v>
      </c>
      <c r="F37" s="19" t="e">
        <f>MATCH(E37,#REF!,0)</f>
        <v>#REF!</v>
      </c>
      <c r="G37" s="19" t="s">
        <v>135</v>
      </c>
      <c r="H37" s="19" t="s">
        <v>56</v>
      </c>
      <c r="I37" s="19"/>
      <c r="J37" s="19" t="s">
        <v>129</v>
      </c>
      <c r="K37" s="19" t="s">
        <v>62</v>
      </c>
      <c r="L37" s="3" t="str">
        <f>HYPERLINK(VLOOKUP(C37,BAPs!$A$2:$C$1048576,3,FALSE),VLOOKUP(C37,BAPs!$A$2:$C$1048576,2,FALSE))</f>
        <v>10 out of 10</v>
      </c>
    </row>
    <row r="38" spans="1:12" hidden="1">
      <c r="A38" s="19" t="s">
        <v>11</v>
      </c>
      <c r="B38" s="19" t="s">
        <v>12</v>
      </c>
      <c r="C38" s="19" t="s">
        <v>125</v>
      </c>
      <c r="D38" s="19" t="s">
        <v>136</v>
      </c>
      <c r="E38" s="19" t="s">
        <v>137</v>
      </c>
      <c r="F38" s="19" t="e">
        <f>MATCH(E38,#REF!,0)</f>
        <v>#REF!</v>
      </c>
      <c r="G38" s="19" t="s">
        <v>138</v>
      </c>
      <c r="H38" s="19" t="s">
        <v>56</v>
      </c>
      <c r="I38" s="19"/>
      <c r="J38" s="19" t="s">
        <v>129</v>
      </c>
      <c r="K38" s="19" t="s">
        <v>62</v>
      </c>
      <c r="L38" s="3" t="str">
        <f>HYPERLINK(VLOOKUP(C38,BAPs!$A$2:$C$1048576,3,FALSE),VLOOKUP(C38,BAPs!$A$2:$C$1048576,2,FALSE))</f>
        <v>10 out of 10</v>
      </c>
    </row>
    <row r="39" spans="1:12" hidden="1">
      <c r="A39" s="19" t="s">
        <v>11</v>
      </c>
      <c r="B39" s="19" t="s">
        <v>12</v>
      </c>
      <c r="C39" s="19" t="s">
        <v>125</v>
      </c>
      <c r="D39" s="19" t="s">
        <v>44</v>
      </c>
      <c r="E39" s="19" t="s">
        <v>45</v>
      </c>
      <c r="F39" s="19" t="e">
        <f>MATCH(E39,#REF!,0)</f>
        <v>#REF!</v>
      </c>
      <c r="G39" s="19" t="s">
        <v>46</v>
      </c>
      <c r="H39" s="19" t="s">
        <v>43</v>
      </c>
      <c r="I39" s="19"/>
      <c r="J39" s="19" t="s">
        <v>129</v>
      </c>
      <c r="K39" s="19" t="s">
        <v>62</v>
      </c>
      <c r="L39" s="3" t="str">
        <f>HYPERLINK(VLOOKUP(C39,BAPs!$A$2:$C$1048576,3,FALSE),VLOOKUP(C39,BAPs!$A$2:$C$1048576,2,FALSE))</f>
        <v>10 out of 10</v>
      </c>
    </row>
    <row r="40" spans="1:12" hidden="1">
      <c r="A40" s="19" t="s">
        <v>11</v>
      </c>
      <c r="B40" s="19" t="s">
        <v>12</v>
      </c>
      <c r="C40" s="19" t="s">
        <v>139</v>
      </c>
      <c r="D40" s="19" t="s">
        <v>140</v>
      </c>
      <c r="E40" s="19" t="s">
        <v>141</v>
      </c>
      <c r="F40" s="19" t="e">
        <f>MATCH(E40,#REF!,0)</f>
        <v>#REF!</v>
      </c>
      <c r="G40" s="19" t="s">
        <v>142</v>
      </c>
      <c r="H40" s="19" t="s">
        <v>56</v>
      </c>
      <c r="I40" s="19"/>
      <c r="J40" s="19" t="s">
        <v>143</v>
      </c>
      <c r="K40" s="19" t="s">
        <v>62</v>
      </c>
      <c r="L40" s="3" t="str">
        <f>HYPERLINK(VLOOKUP(C40,BAPs!$A$2:$C$1048576,3,FALSE),VLOOKUP(C40,BAPs!$A$2:$C$1048576,2,FALSE))</f>
        <v>10 out of 10</v>
      </c>
    </row>
    <row r="41" spans="1:12" hidden="1">
      <c r="A41" s="19" t="s">
        <v>11</v>
      </c>
      <c r="B41" s="19" t="s">
        <v>12</v>
      </c>
      <c r="C41" s="19" t="s">
        <v>139</v>
      </c>
      <c r="D41" s="19" t="s">
        <v>144</v>
      </c>
      <c r="E41" s="19" t="s">
        <v>145</v>
      </c>
      <c r="F41" s="19" t="e">
        <f>MATCH(E41,#REF!,0)</f>
        <v>#REF!</v>
      </c>
      <c r="G41" s="19" t="s">
        <v>146</v>
      </c>
      <c r="H41" s="19" t="s">
        <v>56</v>
      </c>
      <c r="I41" s="19"/>
      <c r="J41" s="19" t="s">
        <v>143</v>
      </c>
      <c r="K41" s="19" t="s">
        <v>62</v>
      </c>
      <c r="L41" s="3" t="str">
        <f>HYPERLINK(VLOOKUP(C41,BAPs!$A$2:$C$1048576,3,FALSE),VLOOKUP(C41,BAPs!$A$2:$C$1048576,2,FALSE))</f>
        <v>10 out of 10</v>
      </c>
    </row>
    <row r="42" spans="1:12" hidden="1">
      <c r="A42" s="19" t="s">
        <v>147</v>
      </c>
      <c r="B42" s="19" t="s">
        <v>12</v>
      </c>
      <c r="C42" s="19" t="s">
        <v>148</v>
      </c>
      <c r="D42" s="19" t="s">
        <v>148</v>
      </c>
      <c r="E42" s="19" t="s">
        <v>149</v>
      </c>
      <c r="F42" s="19" t="e">
        <f>MATCH(E42,#REF!,0)</f>
        <v>#REF!</v>
      </c>
      <c r="G42" s="19" t="s">
        <v>150</v>
      </c>
      <c r="H42" s="19" t="s">
        <v>17</v>
      </c>
      <c r="I42" s="19" t="s">
        <v>18</v>
      </c>
      <c r="J42" s="19" t="s">
        <v>151</v>
      </c>
      <c r="K42" s="19" t="s">
        <v>20</v>
      </c>
      <c r="L42" s="3" t="str">
        <f>HYPERLINK(VLOOKUP(C42,BAPs!$A$2:$C$1048576,3,FALSE),VLOOKUP(C42,BAPs!$A$2:$C$1048576,2,FALSE))</f>
        <v>8 out of 10</v>
      </c>
    </row>
    <row r="43" spans="1:12" hidden="1">
      <c r="A43" s="19" t="s">
        <v>147</v>
      </c>
      <c r="B43" s="19" t="s">
        <v>12</v>
      </c>
      <c r="C43" s="19" t="s">
        <v>152</v>
      </c>
      <c r="D43" s="19" t="s">
        <v>152</v>
      </c>
      <c r="E43" s="19" t="s">
        <v>153</v>
      </c>
      <c r="F43" s="19" t="e">
        <f>MATCH(E43,#REF!,0)</f>
        <v>#REF!</v>
      </c>
      <c r="G43" s="19" t="s">
        <v>154</v>
      </c>
      <c r="H43" s="19" t="s">
        <v>17</v>
      </c>
      <c r="I43" s="19" t="s">
        <v>18</v>
      </c>
      <c r="J43" s="19" t="s">
        <v>155</v>
      </c>
      <c r="K43" s="19" t="s">
        <v>62</v>
      </c>
      <c r="L43" s="3" t="str">
        <f>HYPERLINK(VLOOKUP(C43,BAPs!$A$2:$C$1048576,3,FALSE),VLOOKUP(C43,BAPs!$A$2:$C$1048576,2,FALSE))</f>
        <v>9 out of 10</v>
      </c>
    </row>
    <row r="44" spans="1:12" hidden="1">
      <c r="A44" s="19" t="s">
        <v>147</v>
      </c>
      <c r="B44" s="19" t="s">
        <v>12</v>
      </c>
      <c r="C44" s="19" t="s">
        <v>156</v>
      </c>
      <c r="D44" s="19" t="s">
        <v>156</v>
      </c>
      <c r="E44" s="19" t="s">
        <v>157</v>
      </c>
      <c r="F44" s="19" t="e">
        <f>MATCH(E44,#REF!,0)</f>
        <v>#REF!</v>
      </c>
      <c r="G44" s="19" t="s">
        <v>158</v>
      </c>
      <c r="H44" s="19" t="s">
        <v>17</v>
      </c>
      <c r="I44" s="19" t="s">
        <v>18</v>
      </c>
      <c r="J44" s="19" t="s">
        <v>159</v>
      </c>
      <c r="K44" s="19" t="s">
        <v>62</v>
      </c>
      <c r="L44" s="3" t="str">
        <f>HYPERLINK(VLOOKUP(C44,BAPs!$A$2:$C$1048576,3,FALSE),VLOOKUP(C44,BAPs!$A$2:$C$1048576,2,FALSE))</f>
        <v>9 out of 10</v>
      </c>
    </row>
    <row r="45" spans="1:12" hidden="1">
      <c r="A45" s="19" t="s">
        <v>147</v>
      </c>
      <c r="B45" s="19" t="s">
        <v>12</v>
      </c>
      <c r="C45" s="19" t="s">
        <v>160</v>
      </c>
      <c r="D45" s="19" t="s">
        <v>161</v>
      </c>
      <c r="E45" s="19" t="s">
        <v>162</v>
      </c>
      <c r="F45" s="19" t="e">
        <f>MATCH(E45,#REF!,0)</f>
        <v>#REF!</v>
      </c>
      <c r="G45" s="19" t="s">
        <v>163</v>
      </c>
      <c r="H45" s="19" t="s">
        <v>52</v>
      </c>
      <c r="I45" s="19"/>
      <c r="J45" s="19" t="s">
        <v>164</v>
      </c>
      <c r="K45" s="19" t="s">
        <v>20</v>
      </c>
      <c r="L45" s="3" t="str">
        <f>HYPERLINK(VLOOKUP(C45,BAPs!$A$2:$C$1048576,3,FALSE),VLOOKUP(C45,BAPs!$A$2:$C$1048576,2,FALSE))</f>
        <v>1 out of 10</v>
      </c>
    </row>
    <row r="46" spans="1:12" hidden="1">
      <c r="A46" s="19" t="s">
        <v>147</v>
      </c>
      <c r="B46" s="19" t="s">
        <v>12</v>
      </c>
      <c r="C46" s="19" t="s">
        <v>160</v>
      </c>
      <c r="D46" s="19" t="s">
        <v>165</v>
      </c>
      <c r="E46" s="19" t="s">
        <v>166</v>
      </c>
      <c r="F46" s="19" t="e">
        <f>MATCH(E46,#REF!,0)</f>
        <v>#REF!</v>
      </c>
      <c r="G46" s="19" t="s">
        <v>167</v>
      </c>
      <c r="H46" s="19" t="s">
        <v>24</v>
      </c>
      <c r="I46" s="19" t="s">
        <v>18</v>
      </c>
      <c r="J46" s="19" t="s">
        <v>164</v>
      </c>
      <c r="K46" s="19" t="s">
        <v>20</v>
      </c>
      <c r="L46" s="3" t="str">
        <f>HYPERLINK(VLOOKUP(C46,BAPs!$A$2:$C$1048576,3,FALSE),VLOOKUP(C46,BAPs!$A$2:$C$1048576,2,FALSE))</f>
        <v>1 out of 10</v>
      </c>
    </row>
    <row r="47" spans="1:12" hidden="1">
      <c r="A47" s="19" t="s">
        <v>147</v>
      </c>
      <c r="B47" s="19" t="s">
        <v>12</v>
      </c>
      <c r="C47" s="19" t="s">
        <v>168</v>
      </c>
      <c r="D47" s="19" t="s">
        <v>74</v>
      </c>
      <c r="E47" s="19" t="s">
        <v>75</v>
      </c>
      <c r="F47" s="19" t="e">
        <f>MATCH(E47,#REF!,0)</f>
        <v>#REF!</v>
      </c>
      <c r="G47" s="19" t="s">
        <v>76</v>
      </c>
      <c r="H47" s="19" t="s">
        <v>43</v>
      </c>
      <c r="I47" s="19" t="s">
        <v>18</v>
      </c>
      <c r="J47" s="19" t="s">
        <v>169</v>
      </c>
      <c r="K47" s="19" t="s">
        <v>20</v>
      </c>
      <c r="L47" s="3" t="str">
        <f>HYPERLINK(VLOOKUP(C47,BAPs!$A$2:$C$1048576,3,FALSE),VLOOKUP(C47,BAPs!$A$2:$C$1048576,2,FALSE))</f>
        <v>1 out of 10</v>
      </c>
    </row>
    <row r="48" spans="1:12" hidden="1">
      <c r="A48" s="19" t="s">
        <v>147</v>
      </c>
      <c r="B48" s="19" t="s">
        <v>12</v>
      </c>
      <c r="C48" s="19" t="s">
        <v>168</v>
      </c>
      <c r="D48" s="19" t="s">
        <v>170</v>
      </c>
      <c r="E48" s="19" t="s">
        <v>171</v>
      </c>
      <c r="F48" s="19" t="e">
        <f>MATCH(E48,#REF!,0)</f>
        <v>#REF!</v>
      </c>
      <c r="G48" s="19" t="s">
        <v>172</v>
      </c>
      <c r="H48" s="19" t="s">
        <v>17</v>
      </c>
      <c r="I48" s="19" t="s">
        <v>18</v>
      </c>
      <c r="J48" s="19" t="s">
        <v>169</v>
      </c>
      <c r="K48" s="19" t="s">
        <v>20</v>
      </c>
      <c r="L48" s="3" t="str">
        <f>HYPERLINK(VLOOKUP(C48,BAPs!$A$2:$C$1048576,3,FALSE),VLOOKUP(C48,BAPs!$A$2:$C$1048576,2,FALSE))</f>
        <v>1 out of 10</v>
      </c>
    </row>
    <row r="49" spans="1:12" hidden="1">
      <c r="A49" s="19" t="s">
        <v>147</v>
      </c>
      <c r="B49" s="19" t="s">
        <v>12</v>
      </c>
      <c r="C49" s="19" t="s">
        <v>173</v>
      </c>
      <c r="D49" s="19" t="s">
        <v>173</v>
      </c>
      <c r="E49" s="19" t="s">
        <v>174</v>
      </c>
      <c r="F49" s="19" t="e">
        <f>MATCH(E49,#REF!,0)</f>
        <v>#REF!</v>
      </c>
      <c r="G49" s="19" t="s">
        <v>175</v>
      </c>
      <c r="H49" s="19" t="s">
        <v>17</v>
      </c>
      <c r="I49" s="19" t="s">
        <v>18</v>
      </c>
      <c r="J49" s="19" t="s">
        <v>176</v>
      </c>
      <c r="K49" s="19" t="s">
        <v>62</v>
      </c>
      <c r="L49" s="3" t="str">
        <f>HYPERLINK(VLOOKUP(C49,BAPs!$A$2:$C$1048576,3,FALSE),VLOOKUP(C49,BAPs!$A$2:$C$1048576,2,FALSE))</f>
        <v>9 out of 10</v>
      </c>
    </row>
    <row r="50" spans="1:12" hidden="1">
      <c r="A50" s="19" t="s">
        <v>147</v>
      </c>
      <c r="B50" s="19" t="s">
        <v>12</v>
      </c>
      <c r="C50" s="19" t="s">
        <v>177</v>
      </c>
      <c r="D50" s="19" t="s">
        <v>178</v>
      </c>
      <c r="E50" s="19" t="s">
        <v>179</v>
      </c>
      <c r="F50" s="19" t="e">
        <f>MATCH(E50,#REF!,0)</f>
        <v>#REF!</v>
      </c>
      <c r="G50" s="19" t="s">
        <v>180</v>
      </c>
      <c r="H50" s="19" t="s">
        <v>43</v>
      </c>
      <c r="I50" s="19"/>
      <c r="J50" s="19" t="s">
        <v>181</v>
      </c>
      <c r="K50" s="19" t="s">
        <v>20</v>
      </c>
      <c r="L50" s="3" t="str">
        <f>HYPERLINK(VLOOKUP(C50,BAPs!$A$2:$C$1048576,3,FALSE),VLOOKUP(C50,BAPs!$A$2:$C$1048576,2,FALSE))</f>
        <v>8 out of 10</v>
      </c>
    </row>
    <row r="51" spans="1:12" hidden="1">
      <c r="A51" s="19" t="s">
        <v>147</v>
      </c>
      <c r="B51" s="19" t="s">
        <v>12</v>
      </c>
      <c r="C51" s="19" t="s">
        <v>177</v>
      </c>
      <c r="D51" s="19" t="s">
        <v>21</v>
      </c>
      <c r="E51" s="19" t="s">
        <v>22</v>
      </c>
      <c r="F51" s="19" t="e">
        <f>MATCH(E51,#REF!,0)</f>
        <v>#REF!</v>
      </c>
      <c r="G51" s="19" t="s">
        <v>23</v>
      </c>
      <c r="H51" s="19" t="s">
        <v>24</v>
      </c>
      <c r="I51" s="19" t="s">
        <v>18</v>
      </c>
      <c r="J51" s="19" t="s">
        <v>181</v>
      </c>
      <c r="K51" s="19" t="s">
        <v>20</v>
      </c>
      <c r="L51" s="3" t="str">
        <f>HYPERLINK(VLOOKUP(C51,BAPs!$A$2:$C$1048576,3,FALSE),VLOOKUP(C51,BAPs!$A$2:$C$1048576,2,FALSE))</f>
        <v>8 out of 10</v>
      </c>
    </row>
    <row r="52" spans="1:12" hidden="1">
      <c r="A52" s="19" t="s">
        <v>147</v>
      </c>
      <c r="B52" s="19" t="s">
        <v>12</v>
      </c>
      <c r="C52" s="19" t="s">
        <v>177</v>
      </c>
      <c r="D52" s="19" t="s">
        <v>182</v>
      </c>
      <c r="E52" s="19" t="s">
        <v>183</v>
      </c>
      <c r="F52" s="19" t="e">
        <f>MATCH(E52,#REF!,0)</f>
        <v>#REF!</v>
      </c>
      <c r="G52" s="19" t="s">
        <v>184</v>
      </c>
      <c r="H52" s="19" t="s">
        <v>52</v>
      </c>
      <c r="I52" s="19"/>
      <c r="J52" s="19" t="s">
        <v>181</v>
      </c>
      <c r="K52" s="19" t="s">
        <v>20</v>
      </c>
      <c r="L52" s="3" t="str">
        <f>HYPERLINK(VLOOKUP(C52,BAPs!$A$2:$C$1048576,3,FALSE),VLOOKUP(C52,BAPs!$A$2:$C$1048576,2,FALSE))</f>
        <v>8 out of 10</v>
      </c>
    </row>
    <row r="53" spans="1:12" hidden="1">
      <c r="A53" s="19" t="s">
        <v>147</v>
      </c>
      <c r="B53" s="19" t="s">
        <v>12</v>
      </c>
      <c r="C53" s="19" t="s">
        <v>185</v>
      </c>
      <c r="D53" s="19" t="s">
        <v>74</v>
      </c>
      <c r="E53" s="19" t="s">
        <v>75</v>
      </c>
      <c r="F53" s="19" t="e">
        <f>MATCH(E53,#REF!,0)</f>
        <v>#REF!</v>
      </c>
      <c r="G53" s="19" t="s">
        <v>76</v>
      </c>
      <c r="H53" s="19" t="s">
        <v>43</v>
      </c>
      <c r="I53" s="19" t="s">
        <v>18</v>
      </c>
      <c r="J53" s="19" t="s">
        <v>186</v>
      </c>
      <c r="K53" s="19" t="s">
        <v>20</v>
      </c>
      <c r="L53" s="3" t="str">
        <f>HYPERLINK(VLOOKUP(C53,BAPs!$A$2:$C$1048576,3,FALSE),VLOOKUP(C53,BAPs!$A$2:$C$1048576,2,FALSE))</f>
        <v>4 out of 10</v>
      </c>
    </row>
    <row r="54" spans="1:12" hidden="1">
      <c r="A54" s="19" t="s">
        <v>147</v>
      </c>
      <c r="B54" s="19" t="s">
        <v>12</v>
      </c>
      <c r="C54" s="19" t="s">
        <v>185</v>
      </c>
      <c r="D54" s="19" t="s">
        <v>185</v>
      </c>
      <c r="E54" s="19" t="s">
        <v>187</v>
      </c>
      <c r="F54" s="19" t="e">
        <f>MATCH(E54,#REF!,0)</f>
        <v>#REF!</v>
      </c>
      <c r="G54" s="19" t="s">
        <v>188</v>
      </c>
      <c r="H54" s="19" t="s">
        <v>52</v>
      </c>
      <c r="I54" s="19"/>
      <c r="J54" s="19" t="s">
        <v>186</v>
      </c>
      <c r="K54" s="19" t="s">
        <v>20</v>
      </c>
      <c r="L54" s="3" t="str">
        <f>HYPERLINK(VLOOKUP(C54,BAPs!$A$2:$C$1048576,3,FALSE),VLOOKUP(C54,BAPs!$A$2:$C$1048576,2,FALSE))</f>
        <v>4 out of 10</v>
      </c>
    </row>
    <row r="55" spans="1:12" hidden="1">
      <c r="A55" s="19" t="s">
        <v>147</v>
      </c>
      <c r="B55" s="19" t="s">
        <v>12</v>
      </c>
      <c r="C55" s="19" t="s">
        <v>185</v>
      </c>
      <c r="D55" s="19" t="s">
        <v>189</v>
      </c>
      <c r="E55" s="19" t="s">
        <v>190</v>
      </c>
      <c r="F55" s="19" t="e">
        <f>MATCH(E55,#REF!,0)</f>
        <v>#REF!</v>
      </c>
      <c r="G55" s="19" t="s">
        <v>191</v>
      </c>
      <c r="H55" s="19" t="s">
        <v>17</v>
      </c>
      <c r="I55" s="19" t="s">
        <v>18</v>
      </c>
      <c r="J55" s="19" t="s">
        <v>186</v>
      </c>
      <c r="K55" s="19" t="s">
        <v>20</v>
      </c>
      <c r="L55" s="3" t="str">
        <f>HYPERLINK(VLOOKUP(C55,BAPs!$A$2:$C$1048576,3,FALSE),VLOOKUP(C55,BAPs!$A$2:$C$1048576,2,FALSE))</f>
        <v>4 out of 10</v>
      </c>
    </row>
    <row r="56" spans="1:12" hidden="1">
      <c r="A56" s="19" t="s">
        <v>147</v>
      </c>
      <c r="B56" s="19" t="s">
        <v>12</v>
      </c>
      <c r="C56" s="19" t="s">
        <v>192</v>
      </c>
      <c r="D56" s="19" t="s">
        <v>193</v>
      </c>
      <c r="E56" s="19" t="s">
        <v>194</v>
      </c>
      <c r="F56" s="19" t="e">
        <f>MATCH(E56,#REF!,0)</f>
        <v>#REF!</v>
      </c>
      <c r="G56" s="19" t="s">
        <v>195</v>
      </c>
      <c r="H56" s="19" t="s">
        <v>84</v>
      </c>
      <c r="I56" s="19"/>
      <c r="J56" s="19" t="s">
        <v>196</v>
      </c>
      <c r="K56" s="19" t="s">
        <v>20</v>
      </c>
      <c r="L56" s="3" t="str">
        <f>HYPERLINK(VLOOKUP(C56,BAPs!$A$2:$C$1048576,3,FALSE),VLOOKUP(C56,BAPs!$A$2:$C$1048576,2,FALSE))</f>
        <v>1 out of 10</v>
      </c>
    </row>
    <row r="57" spans="1:12" hidden="1">
      <c r="A57" s="19" t="s">
        <v>147</v>
      </c>
      <c r="B57" s="19" t="s">
        <v>12</v>
      </c>
      <c r="C57" s="19" t="s">
        <v>192</v>
      </c>
      <c r="D57" s="19" t="s">
        <v>197</v>
      </c>
      <c r="E57" s="19" t="s">
        <v>198</v>
      </c>
      <c r="F57" s="19" t="e">
        <f>MATCH(E57,#REF!,0)</f>
        <v>#REF!</v>
      </c>
      <c r="G57" s="19" t="s">
        <v>199</v>
      </c>
      <c r="H57" s="19" t="s">
        <v>17</v>
      </c>
      <c r="I57" s="19" t="s">
        <v>18</v>
      </c>
      <c r="J57" s="19" t="s">
        <v>196</v>
      </c>
      <c r="K57" s="19" t="s">
        <v>20</v>
      </c>
      <c r="L57" s="3" t="str">
        <f>HYPERLINK(VLOOKUP(C57,BAPs!$A$2:$C$1048576,3,FALSE),VLOOKUP(C57,BAPs!$A$2:$C$1048576,2,FALSE))</f>
        <v>1 out of 10</v>
      </c>
    </row>
    <row r="58" spans="1:12" hidden="1">
      <c r="A58" s="19" t="s">
        <v>147</v>
      </c>
      <c r="B58" s="19" t="s">
        <v>12</v>
      </c>
      <c r="C58" s="19" t="s">
        <v>192</v>
      </c>
      <c r="D58" s="19" t="s">
        <v>200</v>
      </c>
      <c r="E58" s="19" t="s">
        <v>201</v>
      </c>
      <c r="F58" s="19" t="e">
        <f>MATCH(E58,#REF!,0)</f>
        <v>#REF!</v>
      </c>
      <c r="G58" s="19" t="s">
        <v>202</v>
      </c>
      <c r="H58" s="19" t="s">
        <v>52</v>
      </c>
      <c r="I58" s="19"/>
      <c r="J58" s="19" t="s">
        <v>196</v>
      </c>
      <c r="K58" s="19" t="s">
        <v>20</v>
      </c>
      <c r="L58" s="3" t="str">
        <f>HYPERLINK(VLOOKUP(C58,BAPs!$A$2:$C$1048576,3,FALSE),VLOOKUP(C58,BAPs!$A$2:$C$1048576,2,FALSE))</f>
        <v>1 out of 10</v>
      </c>
    </row>
    <row r="59" spans="1:12" hidden="1">
      <c r="A59" s="19" t="s">
        <v>147</v>
      </c>
      <c r="B59" s="19" t="s">
        <v>12</v>
      </c>
      <c r="C59" s="19" t="s">
        <v>203</v>
      </c>
      <c r="D59" s="19" t="s">
        <v>203</v>
      </c>
      <c r="E59" s="19" t="s">
        <v>204</v>
      </c>
      <c r="F59" s="19" t="e">
        <f>MATCH(E59,#REF!,0)</f>
        <v>#REF!</v>
      </c>
      <c r="G59" s="19" t="s">
        <v>205</v>
      </c>
      <c r="H59" s="19" t="s">
        <v>52</v>
      </c>
      <c r="I59" s="19"/>
      <c r="J59" s="19" t="s">
        <v>206</v>
      </c>
      <c r="K59" s="19" t="s">
        <v>20</v>
      </c>
      <c r="L59" s="3" t="str">
        <f>HYPERLINK(VLOOKUP(C59,BAPs!$A$2:$C$1048576,3,FALSE),VLOOKUP(C59,BAPs!$A$2:$C$1048576,2,FALSE))</f>
        <v>1 out of 10</v>
      </c>
    </row>
    <row r="60" spans="1:12" hidden="1">
      <c r="A60" s="19" t="s">
        <v>147</v>
      </c>
      <c r="B60" s="19" t="s">
        <v>12</v>
      </c>
      <c r="C60" s="19" t="s">
        <v>203</v>
      </c>
      <c r="D60" s="19" t="s">
        <v>207</v>
      </c>
      <c r="E60" s="19" t="s">
        <v>208</v>
      </c>
      <c r="F60" s="19" t="e">
        <f>MATCH(E60,#REF!,0)</f>
        <v>#REF!</v>
      </c>
      <c r="G60" s="19" t="s">
        <v>209</v>
      </c>
      <c r="H60" s="19" t="s">
        <v>52</v>
      </c>
      <c r="I60" s="19"/>
      <c r="J60" s="19" t="s">
        <v>206</v>
      </c>
      <c r="K60" s="19" t="s">
        <v>20</v>
      </c>
      <c r="L60" s="3" t="str">
        <f>HYPERLINK(VLOOKUP(C60,BAPs!$A$2:$C$1048576,3,FALSE),VLOOKUP(C60,BAPs!$A$2:$C$1048576,2,FALSE))</f>
        <v>1 out of 10</v>
      </c>
    </row>
    <row r="61" spans="1:12" hidden="1">
      <c r="A61" s="19" t="s">
        <v>147</v>
      </c>
      <c r="B61" s="19" t="s">
        <v>12</v>
      </c>
      <c r="C61" s="19" t="s">
        <v>203</v>
      </c>
      <c r="D61" s="19" t="s">
        <v>210</v>
      </c>
      <c r="E61" s="19" t="s">
        <v>211</v>
      </c>
      <c r="F61" s="19" t="e">
        <f>MATCH(E61,#REF!,0)</f>
        <v>#REF!</v>
      </c>
      <c r="G61" s="19" t="s">
        <v>212</v>
      </c>
      <c r="H61" s="19" t="s">
        <v>17</v>
      </c>
      <c r="I61" s="19"/>
      <c r="J61" s="19" t="s">
        <v>206</v>
      </c>
      <c r="K61" s="19" t="s">
        <v>20</v>
      </c>
      <c r="L61" s="3" t="str">
        <f>HYPERLINK(VLOOKUP(C61,BAPs!$A$2:$C$1048576,3,FALSE),VLOOKUP(C61,BAPs!$A$2:$C$1048576,2,FALSE))</f>
        <v>1 out of 10</v>
      </c>
    </row>
    <row r="62" spans="1:12" hidden="1">
      <c r="A62" s="19" t="s">
        <v>147</v>
      </c>
      <c r="B62" s="19" t="s">
        <v>12</v>
      </c>
      <c r="C62" s="19" t="s">
        <v>213</v>
      </c>
      <c r="D62" s="19" t="s">
        <v>213</v>
      </c>
      <c r="E62" s="19" t="s">
        <v>214</v>
      </c>
      <c r="F62" s="19" t="e">
        <f>MATCH(E62,#REF!,0)</f>
        <v>#REF!</v>
      </c>
      <c r="G62" s="19" t="s">
        <v>215</v>
      </c>
      <c r="H62" s="19" t="s">
        <v>17</v>
      </c>
      <c r="I62" s="19" t="s">
        <v>18</v>
      </c>
      <c r="J62" s="19" t="s">
        <v>216</v>
      </c>
      <c r="K62" s="19" t="s">
        <v>20</v>
      </c>
      <c r="L62" s="3" t="str">
        <f>HYPERLINK(VLOOKUP(C62,BAPs!$A$2:$C$1048576,3,FALSE),VLOOKUP(C62,BAPs!$A$2:$C$1048576,2,FALSE))</f>
        <v>1 out of 10</v>
      </c>
    </row>
    <row r="63" spans="1:12" hidden="1">
      <c r="A63" s="19" t="s">
        <v>147</v>
      </c>
      <c r="B63" s="19" t="s">
        <v>12</v>
      </c>
      <c r="C63" s="19" t="s">
        <v>217</v>
      </c>
      <c r="D63" s="19" t="s">
        <v>58</v>
      </c>
      <c r="E63" s="19" t="s">
        <v>59</v>
      </c>
      <c r="F63" s="19" t="e">
        <f>MATCH(E63,#REF!,0)</f>
        <v>#REF!</v>
      </c>
      <c r="G63" s="19" t="s">
        <v>60</v>
      </c>
      <c r="H63" s="19" t="s">
        <v>43</v>
      </c>
      <c r="I63" s="19"/>
      <c r="J63" s="19" t="s">
        <v>218</v>
      </c>
      <c r="K63" s="19" t="s">
        <v>20</v>
      </c>
      <c r="L63" s="3" t="str">
        <f>HYPERLINK(VLOOKUP(C63,BAPs!$A$2:$C$1048576,3,FALSE),VLOOKUP(C63,BAPs!$A$2:$C$1048576,2,FALSE))</f>
        <v>1 out of 10</v>
      </c>
    </row>
    <row r="64" spans="1:12" hidden="1">
      <c r="A64" s="19" t="s">
        <v>147</v>
      </c>
      <c r="B64" s="19" t="s">
        <v>12</v>
      </c>
      <c r="C64" s="19" t="s">
        <v>217</v>
      </c>
      <c r="D64" s="19" t="s">
        <v>219</v>
      </c>
      <c r="E64" s="19" t="s">
        <v>220</v>
      </c>
      <c r="F64" s="19" t="e">
        <f>MATCH(E64,#REF!,0)</f>
        <v>#REF!</v>
      </c>
      <c r="G64" s="19" t="s">
        <v>221</v>
      </c>
      <c r="H64" s="19" t="s">
        <v>56</v>
      </c>
      <c r="I64" s="19"/>
      <c r="J64" s="19" t="s">
        <v>218</v>
      </c>
      <c r="K64" s="19" t="s">
        <v>20</v>
      </c>
      <c r="L64" s="3" t="str">
        <f>HYPERLINK(VLOOKUP(C64,BAPs!$A$2:$C$1048576,3,FALSE),VLOOKUP(C64,BAPs!$A$2:$C$1048576,2,FALSE))</f>
        <v>1 out of 10</v>
      </c>
    </row>
    <row r="65" spans="1:12" hidden="1">
      <c r="A65" s="19" t="s">
        <v>147</v>
      </c>
      <c r="B65" s="19" t="s">
        <v>12</v>
      </c>
      <c r="C65" s="19" t="s">
        <v>217</v>
      </c>
      <c r="D65" s="19" t="s">
        <v>222</v>
      </c>
      <c r="E65" s="19" t="s">
        <v>223</v>
      </c>
      <c r="F65" s="19" t="e">
        <f>MATCH(E65,#REF!,0)</f>
        <v>#REF!</v>
      </c>
      <c r="G65" s="19" t="s">
        <v>224</v>
      </c>
      <c r="H65" s="19" t="s">
        <v>84</v>
      </c>
      <c r="I65" s="19"/>
      <c r="J65" s="19" t="s">
        <v>218</v>
      </c>
      <c r="K65" s="19" t="s">
        <v>20</v>
      </c>
      <c r="L65" s="3" t="str">
        <f>HYPERLINK(VLOOKUP(C65,BAPs!$A$2:$C$1048576,3,FALSE),VLOOKUP(C65,BAPs!$A$2:$C$1048576,2,FALSE))</f>
        <v>1 out of 10</v>
      </c>
    </row>
    <row r="66" spans="1:12" hidden="1">
      <c r="A66" s="19" t="s">
        <v>147</v>
      </c>
      <c r="B66" s="19" t="s">
        <v>12</v>
      </c>
      <c r="C66" s="19" t="s">
        <v>217</v>
      </c>
      <c r="D66" s="19" t="s">
        <v>225</v>
      </c>
      <c r="E66" s="19" t="s">
        <v>226</v>
      </c>
      <c r="F66" s="19" t="e">
        <f>MATCH(E66,#REF!,0)</f>
        <v>#REF!</v>
      </c>
      <c r="G66" s="19" t="s">
        <v>227</v>
      </c>
      <c r="H66" s="19" t="s">
        <v>52</v>
      </c>
      <c r="I66" s="19"/>
      <c r="J66" s="19" t="s">
        <v>218</v>
      </c>
      <c r="K66" s="19" t="s">
        <v>20</v>
      </c>
      <c r="L66" s="3" t="str">
        <f>HYPERLINK(VLOOKUP(C66,BAPs!$A$2:$C$1048576,3,FALSE),VLOOKUP(C66,BAPs!$A$2:$C$1048576,2,FALSE))</f>
        <v>1 out of 10</v>
      </c>
    </row>
    <row r="67" spans="1:12" hidden="1">
      <c r="A67" s="19" t="s">
        <v>147</v>
      </c>
      <c r="B67" s="19" t="s">
        <v>12</v>
      </c>
      <c r="C67" s="19" t="s">
        <v>228</v>
      </c>
      <c r="D67" s="19" t="s">
        <v>229</v>
      </c>
      <c r="E67" s="19" t="s">
        <v>230</v>
      </c>
      <c r="F67" s="19" t="e">
        <f>MATCH(E67,#REF!,0)</f>
        <v>#REF!</v>
      </c>
      <c r="G67" s="19" t="s">
        <v>231</v>
      </c>
      <c r="H67" s="19" t="s">
        <v>52</v>
      </c>
      <c r="I67" s="19"/>
      <c r="J67" s="19" t="s">
        <v>232</v>
      </c>
      <c r="K67" s="19" t="s">
        <v>20</v>
      </c>
      <c r="L67" s="3" t="str">
        <f>HYPERLINK(VLOOKUP(C67,BAPs!$A$2:$C$1048576,3,FALSE),VLOOKUP(C67,BAPs!$A$2:$C$1048576,2,FALSE))</f>
        <v>8 out of 10</v>
      </c>
    </row>
    <row r="68" spans="1:12" hidden="1">
      <c r="A68" s="19" t="s">
        <v>147</v>
      </c>
      <c r="B68" s="19" t="s">
        <v>12</v>
      </c>
      <c r="C68" s="19" t="s">
        <v>228</v>
      </c>
      <c r="D68" s="19" t="s">
        <v>233</v>
      </c>
      <c r="E68" s="19" t="s">
        <v>234</v>
      </c>
      <c r="F68" s="19" t="e">
        <f>MATCH(E68,#REF!,0)</f>
        <v>#REF!</v>
      </c>
      <c r="G68" s="19" t="s">
        <v>235</v>
      </c>
      <c r="H68" s="19" t="s">
        <v>17</v>
      </c>
      <c r="I68" s="19" t="s">
        <v>18</v>
      </c>
      <c r="J68" s="19" t="s">
        <v>232</v>
      </c>
      <c r="K68" s="19" t="s">
        <v>20</v>
      </c>
      <c r="L68" s="3" t="str">
        <f>HYPERLINK(VLOOKUP(C68,BAPs!$A$2:$C$1048576,3,FALSE),VLOOKUP(C68,BAPs!$A$2:$C$1048576,2,FALSE))</f>
        <v>8 out of 10</v>
      </c>
    </row>
    <row r="69" spans="1:12" hidden="1">
      <c r="A69" s="19" t="s">
        <v>147</v>
      </c>
      <c r="B69" s="19" t="s">
        <v>12</v>
      </c>
      <c r="C69" s="19" t="s">
        <v>228</v>
      </c>
      <c r="D69" s="19" t="s">
        <v>236</v>
      </c>
      <c r="E69" s="19" t="s">
        <v>237</v>
      </c>
      <c r="F69" s="19" t="e">
        <f>MATCH(E69,#REF!,0)</f>
        <v>#REF!</v>
      </c>
      <c r="G69" s="19" t="s">
        <v>238</v>
      </c>
      <c r="H69" s="19" t="s">
        <v>52</v>
      </c>
      <c r="I69" s="19"/>
      <c r="J69" s="19" t="s">
        <v>232</v>
      </c>
      <c r="K69" s="19" t="s">
        <v>20</v>
      </c>
      <c r="L69" s="3" t="str">
        <f>HYPERLINK(VLOOKUP(C69,BAPs!$A$2:$C$1048576,3,FALSE),VLOOKUP(C69,BAPs!$A$2:$C$1048576,2,FALSE))</f>
        <v>8 out of 10</v>
      </c>
    </row>
    <row r="70" spans="1:12" hidden="1">
      <c r="A70" s="19" t="s">
        <v>147</v>
      </c>
      <c r="B70" s="19" t="s">
        <v>12</v>
      </c>
      <c r="C70" s="19" t="s">
        <v>239</v>
      </c>
      <c r="D70" s="19" t="s">
        <v>240</v>
      </c>
      <c r="E70" s="19" t="s">
        <v>241</v>
      </c>
      <c r="F70" s="19" t="e">
        <f>MATCH(E70,#REF!,0)</f>
        <v>#REF!</v>
      </c>
      <c r="G70" s="19" t="s">
        <v>242</v>
      </c>
      <c r="H70" s="19" t="s">
        <v>17</v>
      </c>
      <c r="I70" s="19" t="s">
        <v>18</v>
      </c>
      <c r="J70" s="19" t="s">
        <v>243</v>
      </c>
      <c r="K70" s="19" t="s">
        <v>62</v>
      </c>
      <c r="L70" s="3" t="str">
        <f>HYPERLINK(VLOOKUP(C70,BAPs!$A$2:$C$1048576,3,FALSE),VLOOKUP(C70,BAPs!$A$2:$C$1048576,2,FALSE))</f>
        <v>10 out of 10</v>
      </c>
    </row>
    <row r="71" spans="1:12" hidden="1">
      <c r="A71" s="19" t="s">
        <v>147</v>
      </c>
      <c r="B71" s="19" t="s">
        <v>12</v>
      </c>
      <c r="C71" s="19" t="s">
        <v>233</v>
      </c>
      <c r="D71" s="19" t="s">
        <v>244</v>
      </c>
      <c r="E71" s="19" t="s">
        <v>245</v>
      </c>
      <c r="F71" s="19" t="e">
        <f>MATCH(E71,#REF!,0)</f>
        <v>#REF!</v>
      </c>
      <c r="G71" s="19" t="s">
        <v>246</v>
      </c>
      <c r="H71" s="19" t="s">
        <v>24</v>
      </c>
      <c r="I71" s="19"/>
      <c r="J71" s="19" t="s">
        <v>247</v>
      </c>
      <c r="K71" s="19" t="s">
        <v>62</v>
      </c>
      <c r="L71" s="3" t="str">
        <f>HYPERLINK(VLOOKUP(C71,BAPs!$A$2:$C$1048576,3,FALSE),VLOOKUP(C71,BAPs!$A$2:$C$1048576,2,FALSE))</f>
        <v>10 out of 10</v>
      </c>
    </row>
    <row r="72" spans="1:12" hidden="1">
      <c r="A72" s="19" t="s">
        <v>147</v>
      </c>
      <c r="B72" s="19" t="s">
        <v>12</v>
      </c>
      <c r="C72" s="19" t="s">
        <v>233</v>
      </c>
      <c r="D72" s="19" t="s">
        <v>248</v>
      </c>
      <c r="E72" s="19" t="s">
        <v>249</v>
      </c>
      <c r="F72" s="19" t="e">
        <f>MATCH(E72,#REF!,0)</f>
        <v>#REF!</v>
      </c>
      <c r="G72" s="19" t="s">
        <v>250</v>
      </c>
      <c r="H72" s="19" t="s">
        <v>84</v>
      </c>
      <c r="I72" s="19"/>
      <c r="J72" s="19" t="s">
        <v>247</v>
      </c>
      <c r="K72" s="19" t="s">
        <v>62</v>
      </c>
      <c r="L72" s="3" t="str">
        <f>HYPERLINK(VLOOKUP(C72,BAPs!$A$2:$C$1048576,3,FALSE),VLOOKUP(C72,BAPs!$A$2:$C$1048576,2,FALSE))</f>
        <v>10 out of 10</v>
      </c>
    </row>
    <row r="73" spans="1:12" hidden="1">
      <c r="A73" s="19" t="s">
        <v>147</v>
      </c>
      <c r="B73" s="19" t="s">
        <v>12</v>
      </c>
      <c r="C73" s="19" t="s">
        <v>251</v>
      </c>
      <c r="D73" s="19" t="s">
        <v>58</v>
      </c>
      <c r="E73" s="19" t="s">
        <v>59</v>
      </c>
      <c r="F73" s="19" t="e">
        <f>MATCH(E73,#REF!,0)</f>
        <v>#REF!</v>
      </c>
      <c r="G73" s="19" t="s">
        <v>60</v>
      </c>
      <c r="H73" s="19" t="s">
        <v>43</v>
      </c>
      <c r="I73" s="19"/>
      <c r="J73" s="19" t="s">
        <v>252</v>
      </c>
      <c r="K73" s="19" t="s">
        <v>20</v>
      </c>
      <c r="L73" s="3" t="str">
        <f>HYPERLINK(VLOOKUP(C73,BAPs!$A$2:$C$1048576,3,FALSE),VLOOKUP(C73,BAPs!$A$2:$C$1048576,2,FALSE))</f>
        <v>6 out of 10</v>
      </c>
    </row>
    <row r="74" spans="1:12" hidden="1">
      <c r="A74" s="19" t="s">
        <v>147</v>
      </c>
      <c r="B74" s="19" t="s">
        <v>12</v>
      </c>
      <c r="C74" s="19" t="s">
        <v>251</v>
      </c>
      <c r="D74" s="19" t="s">
        <v>253</v>
      </c>
      <c r="E74" s="19" t="s">
        <v>254</v>
      </c>
      <c r="F74" s="19" t="e">
        <f>MATCH(E74,#REF!,0)</f>
        <v>#REF!</v>
      </c>
      <c r="G74" s="19" t="s">
        <v>255</v>
      </c>
      <c r="H74" s="19" t="s">
        <v>56</v>
      </c>
      <c r="I74" s="19"/>
      <c r="J74" s="19" t="s">
        <v>252</v>
      </c>
      <c r="K74" s="19" t="s">
        <v>20</v>
      </c>
      <c r="L74" s="3" t="str">
        <f>HYPERLINK(VLOOKUP(C74,BAPs!$A$2:$C$1048576,3,FALSE),VLOOKUP(C74,BAPs!$A$2:$C$1048576,2,FALSE))</f>
        <v>6 out of 10</v>
      </c>
    </row>
    <row r="75" spans="1:12" hidden="1">
      <c r="A75" s="19" t="s">
        <v>147</v>
      </c>
      <c r="B75" s="19" t="s">
        <v>12</v>
      </c>
      <c r="C75" s="19" t="s">
        <v>251</v>
      </c>
      <c r="D75" s="19" t="s">
        <v>256</v>
      </c>
      <c r="E75" s="19" t="s">
        <v>257</v>
      </c>
      <c r="F75" s="19" t="e">
        <f>MATCH(E75,#REF!,0)</f>
        <v>#REF!</v>
      </c>
      <c r="G75" s="19" t="s">
        <v>258</v>
      </c>
      <c r="H75" s="19" t="s">
        <v>84</v>
      </c>
      <c r="I75" s="19"/>
      <c r="J75" s="19" t="s">
        <v>252</v>
      </c>
      <c r="K75" s="19" t="s">
        <v>20</v>
      </c>
      <c r="L75" s="3" t="str">
        <f>HYPERLINK(VLOOKUP(C75,BAPs!$A$2:$C$1048576,3,FALSE),VLOOKUP(C75,BAPs!$A$2:$C$1048576,2,FALSE))</f>
        <v>6 out of 10</v>
      </c>
    </row>
    <row r="76" spans="1:12" hidden="1">
      <c r="A76" s="19" t="s">
        <v>147</v>
      </c>
      <c r="B76" s="19" t="s">
        <v>12</v>
      </c>
      <c r="C76" s="19" t="s">
        <v>251</v>
      </c>
      <c r="D76" s="19" t="s">
        <v>259</v>
      </c>
      <c r="E76" s="19" t="s">
        <v>260</v>
      </c>
      <c r="F76" s="19" t="e">
        <f>MATCH(E76,#REF!,0)</f>
        <v>#REF!</v>
      </c>
      <c r="G76" s="19" t="s">
        <v>261</v>
      </c>
      <c r="H76" s="19" t="s">
        <v>56</v>
      </c>
      <c r="I76" s="19"/>
      <c r="J76" s="19" t="s">
        <v>252</v>
      </c>
      <c r="K76" s="19" t="s">
        <v>20</v>
      </c>
      <c r="L76" s="3" t="str">
        <f>HYPERLINK(VLOOKUP(C76,BAPs!$A$2:$C$1048576,3,FALSE),VLOOKUP(C76,BAPs!$A$2:$C$1048576,2,FALSE))</f>
        <v>6 out of 10</v>
      </c>
    </row>
    <row r="77" spans="1:12" hidden="1">
      <c r="A77" s="19" t="s">
        <v>147</v>
      </c>
      <c r="B77" s="19" t="s">
        <v>12</v>
      </c>
      <c r="C77" s="19" t="s">
        <v>251</v>
      </c>
      <c r="D77" s="19" t="s">
        <v>262</v>
      </c>
      <c r="E77" s="19" t="s">
        <v>263</v>
      </c>
      <c r="F77" s="19" t="e">
        <f>MATCH(E77,#REF!,0)</f>
        <v>#REF!</v>
      </c>
      <c r="G77" s="19" t="s">
        <v>264</v>
      </c>
      <c r="H77" s="19" t="s">
        <v>56</v>
      </c>
      <c r="I77" s="19"/>
      <c r="J77" s="19" t="s">
        <v>252</v>
      </c>
      <c r="K77" s="19" t="s">
        <v>20</v>
      </c>
      <c r="L77" s="3" t="str">
        <f>HYPERLINK(VLOOKUP(C77,BAPs!$A$2:$C$1048576,3,FALSE),VLOOKUP(C77,BAPs!$A$2:$C$1048576,2,FALSE))</f>
        <v>6 out of 10</v>
      </c>
    </row>
    <row r="78" spans="1:12" hidden="1">
      <c r="A78" s="19" t="s">
        <v>147</v>
      </c>
      <c r="B78" s="19" t="s">
        <v>12</v>
      </c>
      <c r="C78" s="19" t="s">
        <v>251</v>
      </c>
      <c r="D78" s="19" t="s">
        <v>265</v>
      </c>
      <c r="E78" s="19" t="s">
        <v>266</v>
      </c>
      <c r="F78" s="19" t="e">
        <f>MATCH(E78,#REF!,0)</f>
        <v>#REF!</v>
      </c>
      <c r="G78" s="19" t="s">
        <v>267</v>
      </c>
      <c r="H78" s="19" t="s">
        <v>56</v>
      </c>
      <c r="I78" s="19"/>
      <c r="J78" s="19" t="s">
        <v>252</v>
      </c>
      <c r="K78" s="19" t="s">
        <v>20</v>
      </c>
      <c r="L78" s="3" t="str">
        <f>HYPERLINK(VLOOKUP(C78,BAPs!$A$2:$C$1048576,3,FALSE),VLOOKUP(C78,BAPs!$A$2:$C$1048576,2,FALSE))</f>
        <v>6 out of 10</v>
      </c>
    </row>
    <row r="79" spans="1:12" hidden="1">
      <c r="A79" s="19" t="s">
        <v>147</v>
      </c>
      <c r="B79" s="19" t="s">
        <v>12</v>
      </c>
      <c r="C79" s="19" t="s">
        <v>251</v>
      </c>
      <c r="D79" s="19" t="s">
        <v>268</v>
      </c>
      <c r="E79" s="19" t="s">
        <v>269</v>
      </c>
      <c r="F79" s="19" t="e">
        <f>MATCH(E79,#REF!,0)</f>
        <v>#REF!</v>
      </c>
      <c r="G79" s="19" t="s">
        <v>270</v>
      </c>
      <c r="H79" s="19" t="s">
        <v>56</v>
      </c>
      <c r="I79" s="19"/>
      <c r="J79" s="19" t="s">
        <v>252</v>
      </c>
      <c r="K79" s="19" t="s">
        <v>20</v>
      </c>
      <c r="L79" s="3" t="str">
        <f>HYPERLINK(VLOOKUP(C79,BAPs!$A$2:$C$1048576,3,FALSE),VLOOKUP(C79,BAPs!$A$2:$C$1048576,2,FALSE))</f>
        <v>6 out of 10</v>
      </c>
    </row>
    <row r="80" spans="1:12" hidden="1">
      <c r="A80" s="19" t="s">
        <v>147</v>
      </c>
      <c r="B80" s="19" t="s">
        <v>12</v>
      </c>
      <c r="C80" s="19" t="s">
        <v>271</v>
      </c>
      <c r="D80" s="19" t="s">
        <v>272</v>
      </c>
      <c r="E80" s="19" t="s">
        <v>273</v>
      </c>
      <c r="F80" s="19" t="e">
        <f>MATCH(E80,#REF!,0)</f>
        <v>#REF!</v>
      </c>
      <c r="G80" s="19" t="s">
        <v>274</v>
      </c>
      <c r="H80" s="19" t="s">
        <v>56</v>
      </c>
      <c r="I80" s="19"/>
      <c r="J80" s="19" t="s">
        <v>275</v>
      </c>
      <c r="K80" s="19" t="s">
        <v>62</v>
      </c>
      <c r="L80" s="3" t="str">
        <f>HYPERLINK(VLOOKUP(C80,BAPs!$A$2:$C$1048576,3,FALSE),VLOOKUP(C80,BAPs!$A$2:$C$1048576,2,FALSE))</f>
        <v>9 out of 10</v>
      </c>
    </row>
    <row r="81" spans="1:12" hidden="1">
      <c r="A81" s="19" t="s">
        <v>147</v>
      </c>
      <c r="B81" s="19" t="s">
        <v>12</v>
      </c>
      <c r="C81" s="19" t="s">
        <v>271</v>
      </c>
      <c r="D81" s="19" t="s">
        <v>276</v>
      </c>
      <c r="E81" s="19" t="s">
        <v>277</v>
      </c>
      <c r="F81" s="19" t="e">
        <f>MATCH(E81,#REF!,0)</f>
        <v>#REF!</v>
      </c>
      <c r="G81" s="19" t="s">
        <v>278</v>
      </c>
      <c r="H81" s="19" t="s">
        <v>56</v>
      </c>
      <c r="I81" s="19"/>
      <c r="J81" s="19" t="s">
        <v>275</v>
      </c>
      <c r="K81" s="19" t="s">
        <v>62</v>
      </c>
      <c r="L81" s="3" t="str">
        <f>HYPERLINK(VLOOKUP(C81,BAPs!$A$2:$C$1048576,3,FALSE),VLOOKUP(C81,BAPs!$A$2:$C$1048576,2,FALSE))</f>
        <v>9 out of 10</v>
      </c>
    </row>
    <row r="82" spans="1:12" hidden="1">
      <c r="A82" s="19" t="s">
        <v>147</v>
      </c>
      <c r="B82" s="19" t="s">
        <v>12</v>
      </c>
      <c r="C82" s="19" t="s">
        <v>279</v>
      </c>
      <c r="D82" s="19" t="s">
        <v>280</v>
      </c>
      <c r="E82" s="19" t="s">
        <v>281</v>
      </c>
      <c r="F82" s="19" t="e">
        <f>MATCH(E82,#REF!,0)</f>
        <v>#REF!</v>
      </c>
      <c r="G82" s="19" t="s">
        <v>282</v>
      </c>
      <c r="H82" s="19" t="s">
        <v>56</v>
      </c>
      <c r="I82" s="19"/>
      <c r="J82" s="19" t="s">
        <v>283</v>
      </c>
      <c r="K82" s="19" t="s">
        <v>62</v>
      </c>
      <c r="L82" s="3" t="str">
        <f>HYPERLINK(VLOOKUP(C82,BAPs!$A$2:$C$1048576,3,FALSE),VLOOKUP(C82,BAPs!$A$2:$C$1048576,2,FALSE))</f>
        <v>10 out of 10</v>
      </c>
    </row>
    <row r="83" spans="1:12" hidden="1">
      <c r="A83" s="19" t="s">
        <v>147</v>
      </c>
      <c r="B83" s="19" t="s">
        <v>12</v>
      </c>
      <c r="C83" s="19" t="s">
        <v>279</v>
      </c>
      <c r="D83" s="19" t="s">
        <v>284</v>
      </c>
      <c r="E83" s="19" t="s">
        <v>285</v>
      </c>
      <c r="F83" s="19" t="e">
        <f>MATCH(E83,#REF!,0)</f>
        <v>#REF!</v>
      </c>
      <c r="G83" s="19" t="s">
        <v>286</v>
      </c>
      <c r="H83" s="19" t="s">
        <v>24</v>
      </c>
      <c r="I83" s="19"/>
      <c r="J83" s="19" t="s">
        <v>283</v>
      </c>
      <c r="K83" s="19" t="s">
        <v>62</v>
      </c>
      <c r="L83" s="3" t="str">
        <f>HYPERLINK(VLOOKUP(C83,BAPs!$A$2:$C$1048576,3,FALSE),VLOOKUP(C83,BAPs!$A$2:$C$1048576,2,FALSE))</f>
        <v>10 out of 10</v>
      </c>
    </row>
    <row r="84" spans="1:12" hidden="1">
      <c r="A84" s="19" t="s">
        <v>287</v>
      </c>
      <c r="B84" s="19" t="s">
        <v>12</v>
      </c>
      <c r="C84" s="19" t="s">
        <v>288</v>
      </c>
      <c r="D84" s="19" t="s">
        <v>288</v>
      </c>
      <c r="E84" s="19" t="s">
        <v>289</v>
      </c>
      <c r="F84" s="19" t="e">
        <f>MATCH(E84,#REF!,0)</f>
        <v>#REF!</v>
      </c>
      <c r="G84" s="19" t="s">
        <v>290</v>
      </c>
      <c r="H84" s="19" t="s">
        <v>17</v>
      </c>
      <c r="I84" s="19" t="s">
        <v>18</v>
      </c>
      <c r="J84" s="19" t="s">
        <v>291</v>
      </c>
      <c r="K84" s="19" t="s">
        <v>20</v>
      </c>
      <c r="L84" s="3" t="str">
        <f>HYPERLINK(VLOOKUP(C84,BAPs!$A$2:$C$1048576,3,FALSE),VLOOKUP(C84,BAPs!$A$2:$C$1048576,2,FALSE))</f>
        <v>3 out of 10</v>
      </c>
    </row>
    <row r="85" spans="1:12" hidden="1">
      <c r="A85" s="19" t="s">
        <v>287</v>
      </c>
      <c r="B85" s="19" t="s">
        <v>12</v>
      </c>
      <c r="C85" s="19" t="s">
        <v>292</v>
      </c>
      <c r="D85" s="19" t="s">
        <v>292</v>
      </c>
      <c r="E85" s="19" t="s">
        <v>293</v>
      </c>
      <c r="F85" s="19" t="e">
        <f>MATCH(E85,#REF!,0)</f>
        <v>#REF!</v>
      </c>
      <c r="G85" s="19" t="s">
        <v>294</v>
      </c>
      <c r="H85" s="19" t="s">
        <v>52</v>
      </c>
      <c r="I85" s="19"/>
      <c r="J85" s="19" t="s">
        <v>295</v>
      </c>
      <c r="K85" s="19" t="s">
        <v>20</v>
      </c>
      <c r="L85" s="3" t="str">
        <f>HYPERLINK(VLOOKUP(C85,BAPs!$A$2:$C$1048576,3,FALSE),VLOOKUP(C85,BAPs!$A$2:$C$1048576,2,FALSE))</f>
        <v>1 out of 10</v>
      </c>
    </row>
    <row r="86" spans="1:12" hidden="1">
      <c r="A86" s="19" t="s">
        <v>287</v>
      </c>
      <c r="B86" s="19" t="s">
        <v>12</v>
      </c>
      <c r="C86" s="19" t="s">
        <v>292</v>
      </c>
      <c r="D86" s="19" t="s">
        <v>296</v>
      </c>
      <c r="E86" s="19" t="s">
        <v>297</v>
      </c>
      <c r="F86" s="19" t="e">
        <f>MATCH(E86,#REF!,0)</f>
        <v>#REF!</v>
      </c>
      <c r="G86" s="19" t="s">
        <v>298</v>
      </c>
      <c r="H86" s="19" t="s">
        <v>52</v>
      </c>
      <c r="I86" s="19"/>
      <c r="J86" s="19" t="s">
        <v>295</v>
      </c>
      <c r="K86" s="19" t="s">
        <v>20</v>
      </c>
      <c r="L86" s="3" t="str">
        <f>HYPERLINK(VLOOKUP(C86,BAPs!$A$2:$C$1048576,3,FALSE),VLOOKUP(C86,BAPs!$A$2:$C$1048576,2,FALSE))</f>
        <v>1 out of 10</v>
      </c>
    </row>
    <row r="87" spans="1:12" hidden="1">
      <c r="A87" s="19" t="s">
        <v>287</v>
      </c>
      <c r="B87" s="19" t="s">
        <v>12</v>
      </c>
      <c r="C87" s="19" t="s">
        <v>292</v>
      </c>
      <c r="D87" s="19" t="s">
        <v>299</v>
      </c>
      <c r="E87" s="19" t="s">
        <v>300</v>
      </c>
      <c r="F87" s="19" t="e">
        <f>MATCH(E87,#REF!,0)</f>
        <v>#REF!</v>
      </c>
      <c r="G87" s="19" t="s">
        <v>301</v>
      </c>
      <c r="H87" s="19" t="s">
        <v>24</v>
      </c>
      <c r="I87" s="19"/>
      <c r="J87" s="19" t="s">
        <v>295</v>
      </c>
      <c r="K87" s="19" t="s">
        <v>20</v>
      </c>
      <c r="L87" s="3" t="str">
        <f>HYPERLINK(VLOOKUP(C87,BAPs!$A$2:$C$1048576,3,FALSE),VLOOKUP(C87,BAPs!$A$2:$C$1048576,2,FALSE))</f>
        <v>1 out of 10</v>
      </c>
    </row>
    <row r="88" spans="1:12" hidden="1">
      <c r="A88" s="19" t="s">
        <v>287</v>
      </c>
      <c r="B88" s="19" t="s">
        <v>12</v>
      </c>
      <c r="C88" s="19" t="s">
        <v>302</v>
      </c>
      <c r="D88" s="19" t="s">
        <v>303</v>
      </c>
      <c r="E88" s="19" t="s">
        <v>304</v>
      </c>
      <c r="F88" s="19" t="e">
        <f>MATCH(E88,#REF!,0)</f>
        <v>#REF!</v>
      </c>
      <c r="G88" s="19" t="s">
        <v>305</v>
      </c>
      <c r="H88" s="19" t="s">
        <v>52</v>
      </c>
      <c r="I88" s="19"/>
      <c r="J88" s="19" t="s">
        <v>306</v>
      </c>
      <c r="K88" s="19" t="s">
        <v>62</v>
      </c>
      <c r="L88" s="3" t="str">
        <f>HYPERLINK(VLOOKUP(C88,BAPs!$A$2:$C$1048576,3,FALSE),VLOOKUP(C88,BAPs!$A$2:$C$1048576,2,FALSE))</f>
        <v>9 out of 10</v>
      </c>
    </row>
    <row r="89" spans="1:12" hidden="1">
      <c r="A89" s="19" t="s">
        <v>287</v>
      </c>
      <c r="B89" s="19" t="s">
        <v>12</v>
      </c>
      <c r="C89" s="19" t="s">
        <v>302</v>
      </c>
      <c r="D89" s="19" t="s">
        <v>307</v>
      </c>
      <c r="E89" s="19" t="s">
        <v>308</v>
      </c>
      <c r="F89" s="19" t="e">
        <f>MATCH(E89,#REF!,0)</f>
        <v>#REF!</v>
      </c>
      <c r="G89" s="19" t="s">
        <v>309</v>
      </c>
      <c r="H89" s="19" t="s">
        <v>52</v>
      </c>
      <c r="I89" s="19"/>
      <c r="J89" s="19" t="s">
        <v>306</v>
      </c>
      <c r="K89" s="19" t="s">
        <v>62</v>
      </c>
      <c r="L89" s="3" t="str">
        <f>HYPERLINK(VLOOKUP(C89,BAPs!$A$2:$C$1048576,3,FALSE),VLOOKUP(C89,BAPs!$A$2:$C$1048576,2,FALSE))</f>
        <v>9 out of 10</v>
      </c>
    </row>
    <row r="90" spans="1:12" hidden="1">
      <c r="A90" s="19" t="s">
        <v>287</v>
      </c>
      <c r="B90" s="19" t="s">
        <v>12</v>
      </c>
      <c r="C90" s="19" t="s">
        <v>302</v>
      </c>
      <c r="D90" s="19" t="s">
        <v>310</v>
      </c>
      <c r="E90" s="19" t="s">
        <v>311</v>
      </c>
      <c r="F90" s="19" t="e">
        <f>MATCH(E90,#REF!,0)</f>
        <v>#REF!</v>
      </c>
      <c r="G90" s="19" t="s">
        <v>312</v>
      </c>
      <c r="H90" s="19" t="s">
        <v>56</v>
      </c>
      <c r="I90" s="19"/>
      <c r="J90" s="19" t="s">
        <v>306</v>
      </c>
      <c r="K90" s="19" t="s">
        <v>62</v>
      </c>
      <c r="L90" s="3" t="str">
        <f>HYPERLINK(VLOOKUP(C90,BAPs!$A$2:$C$1048576,3,FALSE),VLOOKUP(C90,BAPs!$A$2:$C$1048576,2,FALSE))</f>
        <v>9 out of 10</v>
      </c>
    </row>
    <row r="91" spans="1:12" hidden="1">
      <c r="A91" s="19" t="s">
        <v>287</v>
      </c>
      <c r="B91" s="19" t="s">
        <v>12</v>
      </c>
      <c r="C91" s="19" t="s">
        <v>313</v>
      </c>
      <c r="D91" s="19" t="s">
        <v>314</v>
      </c>
      <c r="E91" s="19" t="s">
        <v>315</v>
      </c>
      <c r="F91" s="19" t="e">
        <f>MATCH(E91,#REF!,0)</f>
        <v>#REF!</v>
      </c>
      <c r="G91" s="19" t="s">
        <v>316</v>
      </c>
      <c r="H91" s="19" t="s">
        <v>17</v>
      </c>
      <c r="I91" s="19" t="s">
        <v>18</v>
      </c>
      <c r="J91" s="19" t="s">
        <v>317</v>
      </c>
      <c r="K91" s="19" t="s">
        <v>20</v>
      </c>
      <c r="L91" s="3" t="str">
        <f>HYPERLINK(VLOOKUP(C91,BAPs!$A$2:$C$1048576,3,FALSE),VLOOKUP(C91,BAPs!$A$2:$C$1048576,2,FALSE))</f>
        <v>3 out of 10</v>
      </c>
    </row>
    <row r="92" spans="1:12" hidden="1">
      <c r="A92" s="19" t="s">
        <v>287</v>
      </c>
      <c r="B92" s="19" t="s">
        <v>12</v>
      </c>
      <c r="C92" s="19" t="s">
        <v>313</v>
      </c>
      <c r="D92" s="19" t="s">
        <v>318</v>
      </c>
      <c r="E92" s="19" t="s">
        <v>319</v>
      </c>
      <c r="F92" s="19" t="e">
        <f>MATCH(E92,#REF!,0)</f>
        <v>#REF!</v>
      </c>
      <c r="G92" s="19" t="s">
        <v>320</v>
      </c>
      <c r="H92" s="19" t="s">
        <v>17</v>
      </c>
      <c r="I92" s="19" t="s">
        <v>18</v>
      </c>
      <c r="J92" s="19" t="s">
        <v>317</v>
      </c>
      <c r="K92" s="19" t="s">
        <v>20</v>
      </c>
      <c r="L92" s="3" t="str">
        <f>HYPERLINK(VLOOKUP(C92,BAPs!$A$2:$C$1048576,3,FALSE),VLOOKUP(C92,BAPs!$A$2:$C$1048576,2,FALSE))</f>
        <v>3 out of 10</v>
      </c>
    </row>
    <row r="93" spans="1:12" hidden="1">
      <c r="A93" s="19" t="s">
        <v>287</v>
      </c>
      <c r="B93" s="19" t="s">
        <v>12</v>
      </c>
      <c r="C93" s="19" t="s">
        <v>321</v>
      </c>
      <c r="D93" s="19" t="s">
        <v>321</v>
      </c>
      <c r="E93" s="19" t="s">
        <v>322</v>
      </c>
      <c r="F93" s="19" t="e">
        <f>MATCH(E93,#REF!,0)</f>
        <v>#REF!</v>
      </c>
      <c r="G93" s="19" t="s">
        <v>323</v>
      </c>
      <c r="H93" s="19" t="s">
        <v>17</v>
      </c>
      <c r="I93" s="19" t="s">
        <v>18</v>
      </c>
      <c r="J93" s="19" t="s">
        <v>324</v>
      </c>
      <c r="K93" s="19" t="s">
        <v>20</v>
      </c>
      <c r="L93" s="3" t="str">
        <f>HYPERLINK(VLOOKUP(C93,BAPs!$A$2:$C$1048576,3,FALSE),VLOOKUP(C93,BAPs!$A$2:$C$1048576,2,FALSE))</f>
        <v>8 out of 10</v>
      </c>
    </row>
    <row r="94" spans="1:12" hidden="1">
      <c r="A94" s="19" t="s">
        <v>287</v>
      </c>
      <c r="B94" s="19" t="s">
        <v>12</v>
      </c>
      <c r="C94" s="19" t="s">
        <v>325</v>
      </c>
      <c r="D94" s="19" t="s">
        <v>326</v>
      </c>
      <c r="E94" s="19" t="s">
        <v>327</v>
      </c>
      <c r="F94" s="19" t="e">
        <f>MATCH(E94,#REF!,0)</f>
        <v>#REF!</v>
      </c>
      <c r="G94" s="19" t="s">
        <v>328</v>
      </c>
      <c r="H94" s="19" t="s">
        <v>52</v>
      </c>
      <c r="I94" s="19"/>
      <c r="J94" s="19" t="s">
        <v>329</v>
      </c>
      <c r="K94" s="19" t="s">
        <v>20</v>
      </c>
      <c r="L94" s="3" t="str">
        <f>HYPERLINK(VLOOKUP(C94,BAPs!$A$2:$C$1048576,3,FALSE),VLOOKUP(C94,BAPs!$A$2:$C$1048576,2,FALSE))</f>
        <v>1 out of 10</v>
      </c>
    </row>
    <row r="95" spans="1:12" hidden="1">
      <c r="A95" s="19" t="s">
        <v>287</v>
      </c>
      <c r="B95" s="19" t="s">
        <v>12</v>
      </c>
      <c r="C95" s="19" t="s">
        <v>325</v>
      </c>
      <c r="D95" s="19" t="s">
        <v>330</v>
      </c>
      <c r="E95" s="19" t="s">
        <v>331</v>
      </c>
      <c r="F95" s="19" t="e">
        <f>MATCH(E95,#REF!,0)</f>
        <v>#REF!</v>
      </c>
      <c r="G95" s="19" t="s">
        <v>332</v>
      </c>
      <c r="H95" s="19" t="s">
        <v>52</v>
      </c>
      <c r="I95" s="19"/>
      <c r="J95" s="19" t="s">
        <v>329</v>
      </c>
      <c r="K95" s="19" t="s">
        <v>20</v>
      </c>
      <c r="L95" s="3" t="str">
        <f>HYPERLINK(VLOOKUP(C95,BAPs!$A$2:$C$1048576,3,FALSE),VLOOKUP(C95,BAPs!$A$2:$C$1048576,2,FALSE))</f>
        <v>1 out of 10</v>
      </c>
    </row>
    <row r="96" spans="1:12" hidden="1">
      <c r="A96" s="19" t="s">
        <v>287</v>
      </c>
      <c r="B96" s="19" t="s">
        <v>12</v>
      </c>
      <c r="C96" s="19" t="s">
        <v>325</v>
      </c>
      <c r="D96" s="19" t="s">
        <v>333</v>
      </c>
      <c r="E96" s="19" t="s">
        <v>334</v>
      </c>
      <c r="F96" s="19" t="e">
        <f>MATCH(E96,#REF!,0)</f>
        <v>#REF!</v>
      </c>
      <c r="G96" s="19" t="s">
        <v>335</v>
      </c>
      <c r="H96" s="19" t="s">
        <v>43</v>
      </c>
      <c r="I96" s="19"/>
      <c r="J96" s="19" t="s">
        <v>329</v>
      </c>
      <c r="K96" s="19" t="s">
        <v>20</v>
      </c>
      <c r="L96" s="3" t="str">
        <f>HYPERLINK(VLOOKUP(C96,BAPs!$A$2:$C$1048576,3,FALSE),VLOOKUP(C96,BAPs!$A$2:$C$1048576,2,FALSE))</f>
        <v>1 out of 10</v>
      </c>
    </row>
    <row r="97" spans="1:12" hidden="1">
      <c r="A97" s="19" t="s">
        <v>287</v>
      </c>
      <c r="B97" s="19" t="s">
        <v>12</v>
      </c>
      <c r="C97" s="19" t="s">
        <v>336</v>
      </c>
      <c r="D97" s="19" t="s">
        <v>337</v>
      </c>
      <c r="E97" s="19" t="s">
        <v>338</v>
      </c>
      <c r="F97" s="19" t="e">
        <f>MATCH(E97,#REF!,0)</f>
        <v>#REF!</v>
      </c>
      <c r="G97" s="19" t="s">
        <v>339</v>
      </c>
      <c r="H97" s="19" t="s">
        <v>84</v>
      </c>
      <c r="I97" s="19"/>
      <c r="J97" s="19" t="s">
        <v>340</v>
      </c>
      <c r="K97" s="19" t="s">
        <v>62</v>
      </c>
      <c r="L97" s="3" t="str">
        <f>HYPERLINK(VLOOKUP(C97,BAPs!$A$2:$C$1048576,3,FALSE),VLOOKUP(C97,BAPs!$A$2:$C$1048576,2,FALSE))</f>
        <v>9 out of 10</v>
      </c>
    </row>
    <row r="98" spans="1:12" hidden="1">
      <c r="A98" s="19" t="s">
        <v>287</v>
      </c>
      <c r="B98" s="19" t="s">
        <v>12</v>
      </c>
      <c r="C98" s="19" t="s">
        <v>336</v>
      </c>
      <c r="D98" s="19" t="s">
        <v>341</v>
      </c>
      <c r="E98" s="19" t="s">
        <v>342</v>
      </c>
      <c r="F98" s="19" t="e">
        <f>MATCH(E98,#REF!,0)</f>
        <v>#REF!</v>
      </c>
      <c r="G98" s="19" t="s">
        <v>343</v>
      </c>
      <c r="H98" s="19" t="s">
        <v>17</v>
      </c>
      <c r="I98" s="19" t="s">
        <v>18</v>
      </c>
      <c r="J98" s="19" t="s">
        <v>340</v>
      </c>
      <c r="K98" s="19" t="s">
        <v>62</v>
      </c>
      <c r="L98" s="3" t="str">
        <f>HYPERLINK(VLOOKUP(C98,BAPs!$A$2:$C$1048576,3,FALSE),VLOOKUP(C98,BAPs!$A$2:$C$1048576,2,FALSE))</f>
        <v>9 out of 10</v>
      </c>
    </row>
    <row r="99" spans="1:12" hidden="1">
      <c r="A99" s="19" t="s">
        <v>287</v>
      </c>
      <c r="B99" s="19" t="s">
        <v>12</v>
      </c>
      <c r="C99" s="19" t="s">
        <v>336</v>
      </c>
      <c r="D99" s="19" t="s">
        <v>344</v>
      </c>
      <c r="E99" s="19" t="s">
        <v>345</v>
      </c>
      <c r="F99" s="19" t="e">
        <f>MATCH(E99,#REF!,0)</f>
        <v>#REF!</v>
      </c>
      <c r="G99" s="19" t="s">
        <v>346</v>
      </c>
      <c r="H99" s="19" t="s">
        <v>52</v>
      </c>
      <c r="I99" s="19"/>
      <c r="J99" s="19" t="s">
        <v>340</v>
      </c>
      <c r="K99" s="19" t="s">
        <v>62</v>
      </c>
      <c r="L99" s="3" t="str">
        <f>HYPERLINK(VLOOKUP(C99,BAPs!$A$2:$C$1048576,3,FALSE),VLOOKUP(C99,BAPs!$A$2:$C$1048576,2,FALSE))</f>
        <v>9 out of 10</v>
      </c>
    </row>
    <row r="100" spans="1:12" hidden="1">
      <c r="A100" s="19" t="s">
        <v>287</v>
      </c>
      <c r="B100" s="19" t="s">
        <v>12</v>
      </c>
      <c r="C100" s="19" t="s">
        <v>347</v>
      </c>
      <c r="D100" s="19" t="s">
        <v>348</v>
      </c>
      <c r="E100" s="19" t="s">
        <v>349</v>
      </c>
      <c r="F100" s="19" t="e">
        <f>MATCH(E100,#REF!,0)</f>
        <v>#REF!</v>
      </c>
      <c r="G100" s="19" t="s">
        <v>350</v>
      </c>
      <c r="H100" s="19" t="s">
        <v>17</v>
      </c>
      <c r="I100" s="19" t="s">
        <v>18</v>
      </c>
      <c r="J100" s="19" t="s">
        <v>351</v>
      </c>
      <c r="K100" s="19" t="s">
        <v>62</v>
      </c>
      <c r="L100" s="3" t="str">
        <f>HYPERLINK(VLOOKUP(C100,BAPs!$A$2:$C$1048576,3,FALSE),VLOOKUP(C100,BAPs!$A$2:$C$1048576,2,FALSE))</f>
        <v>10 out of 10</v>
      </c>
    </row>
    <row r="101" spans="1:12" hidden="1">
      <c r="A101" s="19" t="s">
        <v>287</v>
      </c>
      <c r="B101" s="19" t="s">
        <v>12</v>
      </c>
      <c r="C101" s="19" t="s">
        <v>352</v>
      </c>
      <c r="D101" s="19" t="s">
        <v>352</v>
      </c>
      <c r="E101" s="19" t="s">
        <v>353</v>
      </c>
      <c r="F101" s="19" t="e">
        <f>MATCH(E101,#REF!,0)</f>
        <v>#REF!</v>
      </c>
      <c r="G101" s="19" t="s">
        <v>354</v>
      </c>
      <c r="H101" s="19" t="s">
        <v>52</v>
      </c>
      <c r="I101" s="19"/>
      <c r="J101" s="19" t="s">
        <v>355</v>
      </c>
      <c r="K101" s="19" t="s">
        <v>20</v>
      </c>
      <c r="L101" s="3" t="str">
        <f>HYPERLINK(VLOOKUP(C101,BAPs!$A$2:$C$1048576,3,FALSE),VLOOKUP(C101,BAPs!$A$2:$C$1048576,2,FALSE))</f>
        <v>8 out of 10</v>
      </c>
    </row>
    <row r="102" spans="1:12" hidden="1">
      <c r="A102" s="19" t="s">
        <v>287</v>
      </c>
      <c r="B102" s="19" t="s">
        <v>12</v>
      </c>
      <c r="C102" s="19" t="s">
        <v>352</v>
      </c>
      <c r="D102" s="19" t="s">
        <v>356</v>
      </c>
      <c r="E102" s="19" t="s">
        <v>357</v>
      </c>
      <c r="F102" s="19" t="e">
        <f>MATCH(E102,#REF!,0)</f>
        <v>#REF!</v>
      </c>
      <c r="G102" s="19" t="s">
        <v>358</v>
      </c>
      <c r="H102" s="19" t="s">
        <v>17</v>
      </c>
      <c r="I102" s="19" t="s">
        <v>18</v>
      </c>
      <c r="J102" s="19" t="s">
        <v>355</v>
      </c>
      <c r="K102" s="19" t="s">
        <v>20</v>
      </c>
      <c r="L102" s="3" t="str">
        <f>HYPERLINK(VLOOKUP(C102,BAPs!$A$2:$C$1048576,3,FALSE),VLOOKUP(C102,BAPs!$A$2:$C$1048576,2,FALSE))</f>
        <v>8 out of 10</v>
      </c>
    </row>
    <row r="103" spans="1:12" hidden="1">
      <c r="A103" s="19" t="s">
        <v>287</v>
      </c>
      <c r="B103" s="19" t="s">
        <v>12</v>
      </c>
      <c r="C103" s="19" t="s">
        <v>359</v>
      </c>
      <c r="D103" s="19" t="s">
        <v>360</v>
      </c>
      <c r="E103" s="19" t="s">
        <v>361</v>
      </c>
      <c r="F103" s="19" t="e">
        <f>MATCH(E103,#REF!,0)</f>
        <v>#REF!</v>
      </c>
      <c r="G103" s="19" t="s">
        <v>362</v>
      </c>
      <c r="H103" s="19" t="s">
        <v>24</v>
      </c>
      <c r="I103" s="19"/>
      <c r="J103" s="19" t="s">
        <v>363</v>
      </c>
      <c r="K103" s="19" t="s">
        <v>62</v>
      </c>
      <c r="L103" s="3" t="str">
        <f>HYPERLINK(VLOOKUP(C103,BAPs!$A$2:$C$1048576,3,FALSE),VLOOKUP(C103,BAPs!$A$2:$C$1048576,2,FALSE))</f>
        <v>10 out of 10</v>
      </c>
    </row>
    <row r="104" spans="1:12" hidden="1">
      <c r="A104" s="19" t="s">
        <v>287</v>
      </c>
      <c r="B104" s="19" t="s">
        <v>12</v>
      </c>
      <c r="C104" s="19" t="s">
        <v>359</v>
      </c>
      <c r="D104" s="19" t="s">
        <v>364</v>
      </c>
      <c r="E104" s="19" t="s">
        <v>365</v>
      </c>
      <c r="F104" s="19" t="e">
        <f>MATCH(E104,#REF!,0)</f>
        <v>#REF!</v>
      </c>
      <c r="G104" s="19" t="s">
        <v>366</v>
      </c>
      <c r="H104" s="19" t="s">
        <v>43</v>
      </c>
      <c r="I104" s="19"/>
      <c r="J104" s="19" t="s">
        <v>363</v>
      </c>
      <c r="K104" s="19" t="s">
        <v>62</v>
      </c>
      <c r="L104" s="3" t="str">
        <f>HYPERLINK(VLOOKUP(C104,BAPs!$A$2:$C$1048576,3,FALSE),VLOOKUP(C104,BAPs!$A$2:$C$1048576,2,FALSE))</f>
        <v>10 out of 10</v>
      </c>
    </row>
    <row r="105" spans="1:12" hidden="1">
      <c r="A105" s="19" t="s">
        <v>287</v>
      </c>
      <c r="B105" s="19" t="s">
        <v>12</v>
      </c>
      <c r="C105" s="19" t="s">
        <v>367</v>
      </c>
      <c r="D105" s="19" t="s">
        <v>74</v>
      </c>
      <c r="E105" s="19" t="s">
        <v>75</v>
      </c>
      <c r="F105" s="19" t="e">
        <f>MATCH(E105,#REF!,0)</f>
        <v>#REF!</v>
      </c>
      <c r="G105" s="19" t="s">
        <v>76</v>
      </c>
      <c r="H105" s="19" t="s">
        <v>43</v>
      </c>
      <c r="I105" s="19" t="s">
        <v>18</v>
      </c>
      <c r="J105" s="19" t="s">
        <v>368</v>
      </c>
      <c r="K105" s="19" t="s">
        <v>62</v>
      </c>
      <c r="L105" s="3" t="str">
        <f>HYPERLINK(VLOOKUP(C105,BAPs!$A$2:$C$1048576,3,FALSE),VLOOKUP(C105,BAPs!$A$2:$C$1048576,2,FALSE))</f>
        <v>10 out of 10</v>
      </c>
    </row>
    <row r="106" spans="1:12" hidden="1">
      <c r="A106" s="19" t="s">
        <v>287</v>
      </c>
      <c r="B106" s="19" t="s">
        <v>12</v>
      </c>
      <c r="C106" s="19" t="s">
        <v>367</v>
      </c>
      <c r="D106" s="19" t="s">
        <v>369</v>
      </c>
      <c r="E106" s="19" t="s">
        <v>370</v>
      </c>
      <c r="F106" s="19" t="e">
        <f>MATCH(E106,#REF!,0)</f>
        <v>#REF!</v>
      </c>
      <c r="G106" s="19" t="s">
        <v>371</v>
      </c>
      <c r="H106" s="19" t="s">
        <v>84</v>
      </c>
      <c r="I106" s="19"/>
      <c r="J106" s="19" t="s">
        <v>368</v>
      </c>
      <c r="K106" s="19" t="s">
        <v>62</v>
      </c>
      <c r="L106" s="3" t="str">
        <f>HYPERLINK(VLOOKUP(C106,BAPs!$A$2:$C$1048576,3,FALSE),VLOOKUP(C106,BAPs!$A$2:$C$1048576,2,FALSE))</f>
        <v>10 out of 10</v>
      </c>
    </row>
    <row r="107" spans="1:12" hidden="1">
      <c r="A107" s="19" t="s">
        <v>287</v>
      </c>
      <c r="B107" s="19" t="s">
        <v>12</v>
      </c>
      <c r="C107" s="19" t="s">
        <v>367</v>
      </c>
      <c r="D107" s="19" t="s">
        <v>372</v>
      </c>
      <c r="E107" s="19" t="s">
        <v>373</v>
      </c>
      <c r="F107" s="19" t="e">
        <f>MATCH(E107,#REF!,0)</f>
        <v>#REF!</v>
      </c>
      <c r="G107" s="19" t="s">
        <v>374</v>
      </c>
      <c r="H107" s="19" t="s">
        <v>17</v>
      </c>
      <c r="I107" s="19" t="s">
        <v>18</v>
      </c>
      <c r="J107" s="19" t="s">
        <v>368</v>
      </c>
      <c r="K107" s="19" t="s">
        <v>62</v>
      </c>
      <c r="L107" s="3" t="str">
        <f>HYPERLINK(VLOOKUP(C107,BAPs!$A$2:$C$1048576,3,FALSE),VLOOKUP(C107,BAPs!$A$2:$C$1048576,2,FALSE))</f>
        <v>10 out of 10</v>
      </c>
    </row>
    <row r="108" spans="1:12" hidden="1">
      <c r="A108" s="19" t="s">
        <v>287</v>
      </c>
      <c r="B108" s="19" t="s">
        <v>12</v>
      </c>
      <c r="C108" s="19" t="s">
        <v>375</v>
      </c>
      <c r="D108" s="19" t="s">
        <v>376</v>
      </c>
      <c r="E108" s="19" t="s">
        <v>377</v>
      </c>
      <c r="F108" s="19" t="e">
        <f>MATCH(E108,#REF!,0)</f>
        <v>#REF!</v>
      </c>
      <c r="G108" s="19" t="s">
        <v>378</v>
      </c>
      <c r="H108" s="19" t="s">
        <v>52</v>
      </c>
      <c r="I108" s="19"/>
      <c r="J108" s="19" t="s">
        <v>379</v>
      </c>
      <c r="K108" s="19" t="s">
        <v>62</v>
      </c>
      <c r="L108" s="3" t="str">
        <f>HYPERLINK(VLOOKUP(C108,BAPs!$A$2:$C$1048576,3,FALSE),VLOOKUP(C108,BAPs!$A$2:$C$1048576,2,FALSE))</f>
        <v>10 out of 10</v>
      </c>
    </row>
    <row r="109" spans="1:12" hidden="1">
      <c r="A109" s="19" t="s">
        <v>287</v>
      </c>
      <c r="B109" s="19" t="s">
        <v>12</v>
      </c>
      <c r="C109" s="19" t="s">
        <v>380</v>
      </c>
      <c r="D109" s="19" t="s">
        <v>381</v>
      </c>
      <c r="E109" s="19" t="s">
        <v>382</v>
      </c>
      <c r="F109" s="19" t="e">
        <f>MATCH(E109,#REF!,0)</f>
        <v>#REF!</v>
      </c>
      <c r="G109" s="19" t="s">
        <v>383</v>
      </c>
      <c r="H109" s="19" t="s">
        <v>17</v>
      </c>
      <c r="I109" s="19" t="s">
        <v>18</v>
      </c>
      <c r="J109" s="19" t="s">
        <v>384</v>
      </c>
      <c r="K109" s="19" t="s">
        <v>62</v>
      </c>
      <c r="L109" s="3" t="str">
        <f>HYPERLINK(VLOOKUP(C109,BAPs!$A$2:$C$1048576,3,FALSE),VLOOKUP(C109,BAPs!$A$2:$C$1048576,2,FALSE))</f>
        <v>10 out of 10</v>
      </c>
    </row>
    <row r="110" spans="1:12" hidden="1">
      <c r="A110" s="19" t="s">
        <v>287</v>
      </c>
      <c r="B110" s="19" t="s">
        <v>12</v>
      </c>
      <c r="C110" s="19" t="s">
        <v>380</v>
      </c>
      <c r="D110" s="19" t="s">
        <v>364</v>
      </c>
      <c r="E110" s="19" t="s">
        <v>365</v>
      </c>
      <c r="F110" s="19" t="e">
        <f>MATCH(E110,#REF!,0)</f>
        <v>#REF!</v>
      </c>
      <c r="G110" s="19" t="s">
        <v>366</v>
      </c>
      <c r="H110" s="19" t="s">
        <v>43</v>
      </c>
      <c r="I110" s="19"/>
      <c r="J110" s="19" t="s">
        <v>384</v>
      </c>
      <c r="K110" s="19" t="s">
        <v>62</v>
      </c>
      <c r="L110" s="3" t="str">
        <f>HYPERLINK(VLOOKUP(C110,BAPs!$A$2:$C$1048576,3,FALSE),VLOOKUP(C110,BAPs!$A$2:$C$1048576,2,FALSE))</f>
        <v>10 out of 10</v>
      </c>
    </row>
    <row r="111" spans="1:12" hidden="1">
      <c r="A111" s="19" t="s">
        <v>287</v>
      </c>
      <c r="B111" s="19" t="s">
        <v>12</v>
      </c>
      <c r="C111" s="19" t="s">
        <v>385</v>
      </c>
      <c r="D111" s="19" t="s">
        <v>386</v>
      </c>
      <c r="E111" s="19" t="s">
        <v>387</v>
      </c>
      <c r="F111" s="19" t="e">
        <f>MATCH(E111,#REF!,0)</f>
        <v>#REF!</v>
      </c>
      <c r="G111" s="19" t="s">
        <v>388</v>
      </c>
      <c r="H111" s="19" t="s">
        <v>56</v>
      </c>
      <c r="I111" s="19"/>
      <c r="J111" s="19" t="s">
        <v>389</v>
      </c>
      <c r="K111" s="19" t="s">
        <v>20</v>
      </c>
      <c r="L111" s="3" t="str">
        <f>HYPERLINK(VLOOKUP(C111,BAPs!$A$2:$C$1048576,3,FALSE),VLOOKUP(C111,BAPs!$A$2:$C$1048576,2,FALSE))</f>
        <v>6 out of 10</v>
      </c>
    </row>
    <row r="112" spans="1:12" hidden="1">
      <c r="A112" s="19" t="s">
        <v>287</v>
      </c>
      <c r="B112" s="19" t="s">
        <v>12</v>
      </c>
      <c r="C112" s="19" t="s">
        <v>385</v>
      </c>
      <c r="D112" s="19" t="s">
        <v>390</v>
      </c>
      <c r="E112" s="19" t="s">
        <v>391</v>
      </c>
      <c r="F112" s="19" t="e">
        <f>MATCH(E112,#REF!,0)</f>
        <v>#REF!</v>
      </c>
      <c r="G112" s="19" t="s">
        <v>392</v>
      </c>
      <c r="H112" s="19" t="s">
        <v>56</v>
      </c>
      <c r="I112" s="19"/>
      <c r="J112" s="19" t="s">
        <v>389</v>
      </c>
      <c r="K112" s="19" t="s">
        <v>20</v>
      </c>
      <c r="L112" s="3" t="str">
        <f>HYPERLINK(VLOOKUP(C112,BAPs!$A$2:$C$1048576,3,FALSE),VLOOKUP(C112,BAPs!$A$2:$C$1048576,2,FALSE))</f>
        <v>6 out of 10</v>
      </c>
    </row>
    <row r="113" spans="1:12" hidden="1">
      <c r="A113" s="19" t="s">
        <v>287</v>
      </c>
      <c r="B113" s="19" t="s">
        <v>12</v>
      </c>
      <c r="C113" s="19" t="s">
        <v>385</v>
      </c>
      <c r="D113" s="19" t="s">
        <v>393</v>
      </c>
      <c r="E113" s="19" t="s">
        <v>394</v>
      </c>
      <c r="F113" s="19" t="e">
        <f>MATCH(E113,#REF!,0)</f>
        <v>#REF!</v>
      </c>
      <c r="G113" s="19" t="s">
        <v>395</v>
      </c>
      <c r="H113" s="19" t="s">
        <v>56</v>
      </c>
      <c r="I113" s="19"/>
      <c r="J113" s="19" t="s">
        <v>389</v>
      </c>
      <c r="K113" s="19" t="s">
        <v>20</v>
      </c>
      <c r="L113" s="3" t="str">
        <f>HYPERLINK(VLOOKUP(C113,BAPs!$A$2:$C$1048576,3,FALSE),VLOOKUP(C113,BAPs!$A$2:$C$1048576,2,FALSE))</f>
        <v>6 out of 10</v>
      </c>
    </row>
    <row r="114" spans="1:12" hidden="1">
      <c r="A114" s="19" t="s">
        <v>287</v>
      </c>
      <c r="B114" s="19" t="s">
        <v>12</v>
      </c>
      <c r="C114" s="19" t="s">
        <v>385</v>
      </c>
      <c r="D114" s="19" t="s">
        <v>396</v>
      </c>
      <c r="E114" s="19" t="s">
        <v>397</v>
      </c>
      <c r="F114" s="19" t="e">
        <f>MATCH(E114,#REF!,0)</f>
        <v>#REF!</v>
      </c>
      <c r="G114" s="19" t="s">
        <v>398</v>
      </c>
      <c r="H114" s="19" t="s">
        <v>56</v>
      </c>
      <c r="I114" s="19"/>
      <c r="J114" s="19" t="s">
        <v>389</v>
      </c>
      <c r="K114" s="19" t="s">
        <v>20</v>
      </c>
      <c r="L114" s="3" t="str">
        <f>HYPERLINK(VLOOKUP(C114,BAPs!$A$2:$C$1048576,3,FALSE),VLOOKUP(C114,BAPs!$A$2:$C$1048576,2,FALSE))</f>
        <v>6 out of 10</v>
      </c>
    </row>
    <row r="115" spans="1:12" hidden="1">
      <c r="A115" s="19" t="s">
        <v>287</v>
      </c>
      <c r="B115" s="19" t="s">
        <v>12</v>
      </c>
      <c r="C115" s="19" t="s">
        <v>399</v>
      </c>
      <c r="D115" s="19" t="s">
        <v>400</v>
      </c>
      <c r="E115" s="19" t="s">
        <v>401</v>
      </c>
      <c r="F115" s="19" t="e">
        <f>MATCH(E115,#REF!,0)</f>
        <v>#REF!</v>
      </c>
      <c r="G115" s="19" t="s">
        <v>402</v>
      </c>
      <c r="H115" s="19" t="s">
        <v>56</v>
      </c>
      <c r="I115" s="19"/>
      <c r="J115" s="19" t="s">
        <v>403</v>
      </c>
      <c r="K115" s="19" t="s">
        <v>20</v>
      </c>
      <c r="L115" s="3" t="str">
        <f>HYPERLINK(VLOOKUP(C115,BAPs!$A$2:$C$1048576,3,FALSE),VLOOKUP(C115,BAPs!$A$2:$C$1048576,2,FALSE))</f>
        <v>6 out of 10</v>
      </c>
    </row>
    <row r="116" spans="1:12" hidden="1">
      <c r="A116" s="19" t="s">
        <v>287</v>
      </c>
      <c r="B116" s="19" t="s">
        <v>12</v>
      </c>
      <c r="C116" s="19" t="s">
        <v>399</v>
      </c>
      <c r="D116" s="19" t="s">
        <v>404</v>
      </c>
      <c r="E116" s="19" t="s">
        <v>405</v>
      </c>
      <c r="F116" s="19" t="e">
        <f>MATCH(E116,#REF!,0)</f>
        <v>#REF!</v>
      </c>
      <c r="G116" s="19" t="s">
        <v>406</v>
      </c>
      <c r="H116" s="19" t="s">
        <v>56</v>
      </c>
      <c r="I116" s="19"/>
      <c r="J116" s="19" t="s">
        <v>403</v>
      </c>
      <c r="K116" s="19" t="s">
        <v>20</v>
      </c>
      <c r="L116" s="3" t="str">
        <f>HYPERLINK(VLOOKUP(C116,BAPs!$A$2:$C$1048576,3,FALSE),VLOOKUP(C116,BAPs!$A$2:$C$1048576,2,FALSE))</f>
        <v>6 out of 10</v>
      </c>
    </row>
    <row r="117" spans="1:12" hidden="1">
      <c r="A117" s="19" t="s">
        <v>287</v>
      </c>
      <c r="B117" s="19" t="s">
        <v>12</v>
      </c>
      <c r="C117" s="19" t="s">
        <v>399</v>
      </c>
      <c r="D117" s="19" t="s">
        <v>407</v>
      </c>
      <c r="E117" s="19" t="s">
        <v>408</v>
      </c>
      <c r="F117" s="19" t="e">
        <f>MATCH(E117,#REF!,0)</f>
        <v>#REF!</v>
      </c>
      <c r="G117" s="19" t="s">
        <v>409</v>
      </c>
      <c r="H117" s="19" t="s">
        <v>56</v>
      </c>
      <c r="I117" s="19"/>
      <c r="J117" s="19" t="s">
        <v>403</v>
      </c>
      <c r="K117" s="19" t="s">
        <v>20</v>
      </c>
      <c r="L117" s="3" t="str">
        <f>HYPERLINK(VLOOKUP(C117,BAPs!$A$2:$C$1048576,3,FALSE),VLOOKUP(C117,BAPs!$A$2:$C$1048576,2,FALSE))</f>
        <v>6 out of 10</v>
      </c>
    </row>
    <row r="118" spans="1:12" hidden="1">
      <c r="A118" s="19" t="s">
        <v>287</v>
      </c>
      <c r="B118" s="19" t="s">
        <v>12</v>
      </c>
      <c r="C118" s="19" t="s">
        <v>399</v>
      </c>
      <c r="D118" s="19" t="s">
        <v>410</v>
      </c>
      <c r="E118" s="19" t="s">
        <v>411</v>
      </c>
      <c r="F118" s="19" t="e">
        <f>MATCH(E118,#REF!,0)</f>
        <v>#REF!</v>
      </c>
      <c r="G118" s="19" t="s">
        <v>412</v>
      </c>
      <c r="H118" s="19" t="s">
        <v>56</v>
      </c>
      <c r="I118" s="19"/>
      <c r="J118" s="19" t="s">
        <v>403</v>
      </c>
      <c r="K118" s="19" t="s">
        <v>20</v>
      </c>
      <c r="L118" s="3" t="str">
        <f>HYPERLINK(VLOOKUP(C118,BAPs!$A$2:$C$1048576,3,FALSE),VLOOKUP(C118,BAPs!$A$2:$C$1048576,2,FALSE))</f>
        <v>6 out of 10</v>
      </c>
    </row>
    <row r="119" spans="1:12" hidden="1">
      <c r="A119" s="19" t="s">
        <v>287</v>
      </c>
      <c r="B119" s="19" t="s">
        <v>12</v>
      </c>
      <c r="C119" s="19" t="s">
        <v>399</v>
      </c>
      <c r="D119" s="19" t="s">
        <v>413</v>
      </c>
      <c r="E119" s="19" t="s">
        <v>414</v>
      </c>
      <c r="F119" s="19" t="e">
        <f>MATCH(E119,#REF!,0)</f>
        <v>#REF!</v>
      </c>
      <c r="G119" s="19" t="s">
        <v>415</v>
      </c>
      <c r="H119" s="19" t="s">
        <v>84</v>
      </c>
      <c r="I119" s="19"/>
      <c r="J119" s="19" t="s">
        <v>403</v>
      </c>
      <c r="K119" s="19" t="s">
        <v>20</v>
      </c>
      <c r="L119" s="3" t="str">
        <f>HYPERLINK(VLOOKUP(C119,BAPs!$A$2:$C$1048576,3,FALSE),VLOOKUP(C119,BAPs!$A$2:$C$1048576,2,FALSE))</f>
        <v>6 out of 10</v>
      </c>
    </row>
    <row r="120" spans="1:12" hidden="1">
      <c r="A120" s="19" t="s">
        <v>287</v>
      </c>
      <c r="B120" s="19" t="s">
        <v>12</v>
      </c>
      <c r="C120" s="19" t="s">
        <v>399</v>
      </c>
      <c r="D120" s="19" t="s">
        <v>333</v>
      </c>
      <c r="E120" s="19" t="s">
        <v>334</v>
      </c>
      <c r="F120" s="19" t="e">
        <f>MATCH(E120,#REF!,0)</f>
        <v>#REF!</v>
      </c>
      <c r="G120" s="19" t="s">
        <v>335</v>
      </c>
      <c r="H120" s="19" t="s">
        <v>43</v>
      </c>
      <c r="I120" s="19"/>
      <c r="J120" s="19" t="s">
        <v>403</v>
      </c>
      <c r="K120" s="19" t="s">
        <v>20</v>
      </c>
      <c r="L120" s="3" t="str">
        <f>HYPERLINK(VLOOKUP(C120,BAPs!$A$2:$C$1048576,3,FALSE),VLOOKUP(C120,BAPs!$A$2:$C$1048576,2,FALSE))</f>
        <v>6 out of 10</v>
      </c>
    </row>
    <row r="121" spans="1:12" hidden="1">
      <c r="A121" s="19" t="s">
        <v>287</v>
      </c>
      <c r="B121" s="19" t="s">
        <v>12</v>
      </c>
      <c r="C121" s="19" t="s">
        <v>399</v>
      </c>
      <c r="D121" s="19" t="s">
        <v>416</v>
      </c>
      <c r="E121" s="19" t="s">
        <v>417</v>
      </c>
      <c r="F121" s="19" t="e">
        <f>MATCH(E121,#REF!,0)</f>
        <v>#REF!</v>
      </c>
      <c r="G121" s="19" t="s">
        <v>418</v>
      </c>
      <c r="H121" s="19" t="s">
        <v>56</v>
      </c>
      <c r="I121" s="19"/>
      <c r="J121" s="19" t="s">
        <v>403</v>
      </c>
      <c r="K121" s="19" t="s">
        <v>20</v>
      </c>
      <c r="L121" s="3" t="str">
        <f>HYPERLINK(VLOOKUP(C121,BAPs!$A$2:$C$1048576,3,FALSE),VLOOKUP(C121,BAPs!$A$2:$C$1048576,2,FALSE))</f>
        <v>6 out of 10</v>
      </c>
    </row>
    <row r="122" spans="1:12" hidden="1">
      <c r="A122" s="19" t="s">
        <v>287</v>
      </c>
      <c r="B122" s="19" t="s">
        <v>12</v>
      </c>
      <c r="C122" s="19" t="s">
        <v>419</v>
      </c>
      <c r="D122" s="19" t="s">
        <v>420</v>
      </c>
      <c r="E122" s="19" t="s">
        <v>421</v>
      </c>
      <c r="F122" s="19" t="e">
        <f>MATCH(E122,#REF!,0)</f>
        <v>#REF!</v>
      </c>
      <c r="G122" s="19" t="s">
        <v>422</v>
      </c>
      <c r="H122" s="19" t="s">
        <v>84</v>
      </c>
      <c r="I122" s="19"/>
      <c r="J122" s="19" t="s">
        <v>423</v>
      </c>
      <c r="K122" s="19" t="s">
        <v>62</v>
      </c>
      <c r="L122" s="3" t="str">
        <f>HYPERLINK(VLOOKUP(C122,BAPs!$A$2:$C$1048576,3,FALSE),VLOOKUP(C122,BAPs!$A$2:$C$1048576,2,FALSE))</f>
        <v>10 out of 10</v>
      </c>
    </row>
    <row r="123" spans="1:12" hidden="1">
      <c r="A123" s="19" t="s">
        <v>287</v>
      </c>
      <c r="B123" s="19" t="s">
        <v>12</v>
      </c>
      <c r="C123" s="19" t="s">
        <v>424</v>
      </c>
      <c r="D123" s="19" t="s">
        <v>425</v>
      </c>
      <c r="E123" s="19" t="s">
        <v>426</v>
      </c>
      <c r="F123" s="19" t="e">
        <f>MATCH(E123,#REF!,0)</f>
        <v>#REF!</v>
      </c>
      <c r="G123" s="19" t="s">
        <v>427</v>
      </c>
      <c r="H123" s="19" t="s">
        <v>84</v>
      </c>
      <c r="I123" s="19"/>
      <c r="J123" s="19" t="s">
        <v>428</v>
      </c>
      <c r="K123" s="19" t="s">
        <v>62</v>
      </c>
      <c r="L123" s="3" t="str">
        <f>HYPERLINK(VLOOKUP(C123,BAPs!$A$2:$C$1048576,3,FALSE),VLOOKUP(C123,BAPs!$A$2:$C$1048576,2,FALSE))</f>
        <v>10 out of 10</v>
      </c>
    </row>
    <row r="124" spans="1:12" hidden="1">
      <c r="A124" s="19" t="s">
        <v>287</v>
      </c>
      <c r="B124" s="19" t="s">
        <v>12</v>
      </c>
      <c r="C124" s="19" t="s">
        <v>429</v>
      </c>
      <c r="D124" s="19" t="s">
        <v>430</v>
      </c>
      <c r="E124" s="19" t="s">
        <v>431</v>
      </c>
      <c r="F124" s="19" t="e">
        <f>MATCH(E124,#REF!,0)</f>
        <v>#REF!</v>
      </c>
      <c r="G124" s="19" t="s">
        <v>432</v>
      </c>
      <c r="H124" s="19" t="s">
        <v>56</v>
      </c>
      <c r="I124" s="19"/>
      <c r="J124" s="19" t="s">
        <v>433</v>
      </c>
      <c r="K124" s="19" t="s">
        <v>62</v>
      </c>
      <c r="L124" s="3" t="str">
        <f>HYPERLINK(VLOOKUP(C124,BAPs!$A$2:$C$1048576,3,FALSE),VLOOKUP(C124,BAPs!$A$2:$C$1048576,2,FALSE))</f>
        <v>9 out of 10</v>
      </c>
    </row>
    <row r="125" spans="1:12" hidden="1">
      <c r="A125" s="19" t="s">
        <v>287</v>
      </c>
      <c r="B125" s="19" t="s">
        <v>12</v>
      </c>
      <c r="C125" s="19" t="s">
        <v>434</v>
      </c>
      <c r="D125" s="19" t="s">
        <v>435</v>
      </c>
      <c r="E125" s="19" t="s">
        <v>436</v>
      </c>
      <c r="F125" s="19" t="e">
        <f>MATCH(E125,#REF!,0)</f>
        <v>#REF!</v>
      </c>
      <c r="G125" s="19" t="s">
        <v>437</v>
      </c>
      <c r="H125" s="19" t="s">
        <v>84</v>
      </c>
      <c r="I125" s="19"/>
      <c r="J125" s="19" t="s">
        <v>438</v>
      </c>
      <c r="K125" s="19" t="s">
        <v>62</v>
      </c>
      <c r="L125" s="3" t="str">
        <f>HYPERLINK(VLOOKUP(C125,BAPs!$A$2:$C$1048576,3,FALSE),VLOOKUP(C125,BAPs!$A$2:$C$1048576,2,FALSE))</f>
        <v>10 out of 10</v>
      </c>
    </row>
    <row r="126" spans="1:12" hidden="1">
      <c r="A126" s="19" t="s">
        <v>287</v>
      </c>
      <c r="B126" s="19" t="s">
        <v>12</v>
      </c>
      <c r="C126" s="19" t="s">
        <v>434</v>
      </c>
      <c r="D126" s="19" t="s">
        <v>439</v>
      </c>
      <c r="E126" s="19" t="s">
        <v>440</v>
      </c>
      <c r="F126" s="19" t="e">
        <f>MATCH(E126,#REF!,0)</f>
        <v>#REF!</v>
      </c>
      <c r="G126" s="19" t="s">
        <v>441</v>
      </c>
      <c r="H126" s="19" t="s">
        <v>56</v>
      </c>
      <c r="I126" s="19"/>
      <c r="J126" s="19" t="s">
        <v>438</v>
      </c>
      <c r="K126" s="19" t="s">
        <v>62</v>
      </c>
      <c r="L126" s="3" t="str">
        <f>HYPERLINK(VLOOKUP(C126,BAPs!$A$2:$C$1048576,3,FALSE),VLOOKUP(C126,BAPs!$A$2:$C$1048576,2,FALSE))</f>
        <v>10 out of 10</v>
      </c>
    </row>
    <row r="127" spans="1:12" hidden="1">
      <c r="A127" s="19" t="s">
        <v>287</v>
      </c>
      <c r="B127" s="19" t="s">
        <v>12</v>
      </c>
      <c r="C127" s="19" t="s">
        <v>434</v>
      </c>
      <c r="D127" s="19" t="s">
        <v>442</v>
      </c>
      <c r="E127" s="19" t="s">
        <v>443</v>
      </c>
      <c r="F127" s="19" t="e">
        <f>MATCH(E127,#REF!,0)</f>
        <v>#REF!</v>
      </c>
      <c r="G127" s="19" t="s">
        <v>444</v>
      </c>
      <c r="H127" s="19" t="s">
        <v>56</v>
      </c>
      <c r="I127" s="19"/>
      <c r="J127" s="19" t="s">
        <v>438</v>
      </c>
      <c r="K127" s="19" t="s">
        <v>62</v>
      </c>
      <c r="L127" s="3" t="str">
        <f>HYPERLINK(VLOOKUP(C127,BAPs!$A$2:$C$1048576,3,FALSE),VLOOKUP(C127,BAPs!$A$2:$C$1048576,2,FALSE))</f>
        <v>10 out of 10</v>
      </c>
    </row>
    <row r="128" spans="1:12" hidden="1">
      <c r="A128" s="19" t="s">
        <v>445</v>
      </c>
      <c r="B128" s="19" t="s">
        <v>12</v>
      </c>
      <c r="C128" s="19" t="s">
        <v>446</v>
      </c>
      <c r="D128" s="19" t="s">
        <v>446</v>
      </c>
      <c r="E128" s="19" t="s">
        <v>447</v>
      </c>
      <c r="F128" s="19" t="e">
        <f>MATCH(E128,#REF!,0)</f>
        <v>#REF!</v>
      </c>
      <c r="G128" s="19" t="s">
        <v>448</v>
      </c>
      <c r="H128" s="19" t="s">
        <v>24</v>
      </c>
      <c r="I128" s="19" t="s">
        <v>18</v>
      </c>
      <c r="J128" s="19" t="s">
        <v>449</v>
      </c>
      <c r="K128" s="19" t="s">
        <v>62</v>
      </c>
      <c r="L128" s="3" t="str">
        <f>HYPERLINK(VLOOKUP(C128,BAPs!$A$2:$C$1048576,3,FALSE),VLOOKUP(C128,BAPs!$A$2:$C$1048576,2,FALSE))</f>
        <v>10 out of 10</v>
      </c>
    </row>
    <row r="129" spans="1:12" hidden="1">
      <c r="A129" s="19" t="s">
        <v>445</v>
      </c>
      <c r="B129" s="19" t="s">
        <v>12</v>
      </c>
      <c r="C129" s="19" t="s">
        <v>450</v>
      </c>
      <c r="D129" s="19" t="s">
        <v>450</v>
      </c>
      <c r="E129" s="19" t="s">
        <v>451</v>
      </c>
      <c r="F129" s="19" t="e">
        <f>MATCH(E129,#REF!,0)</f>
        <v>#REF!</v>
      </c>
      <c r="G129" s="19" t="s">
        <v>452</v>
      </c>
      <c r="H129" s="19" t="s">
        <v>17</v>
      </c>
      <c r="I129" s="19" t="s">
        <v>18</v>
      </c>
      <c r="J129" s="19" t="s">
        <v>453</v>
      </c>
      <c r="K129" s="19" t="s">
        <v>62</v>
      </c>
      <c r="L129" s="3" t="str">
        <f>HYPERLINK(VLOOKUP(C129,BAPs!$A$2:$C$1048576,3,FALSE),VLOOKUP(C129,BAPs!$A$2:$C$1048576,2,FALSE))</f>
        <v>9 out of 10</v>
      </c>
    </row>
    <row r="130" spans="1:12" hidden="1">
      <c r="A130" s="19" t="s">
        <v>445</v>
      </c>
      <c r="B130" s="19" t="s">
        <v>12</v>
      </c>
      <c r="C130" s="19" t="s">
        <v>454</v>
      </c>
      <c r="D130" s="19" t="s">
        <v>74</v>
      </c>
      <c r="E130" s="19" t="s">
        <v>75</v>
      </c>
      <c r="F130" s="19" t="e">
        <f>MATCH(E130,#REF!,0)</f>
        <v>#REF!</v>
      </c>
      <c r="G130" s="19" t="s">
        <v>76</v>
      </c>
      <c r="H130" s="19" t="s">
        <v>43</v>
      </c>
      <c r="I130" s="19" t="s">
        <v>18</v>
      </c>
      <c r="J130" s="19" t="s">
        <v>455</v>
      </c>
      <c r="K130" s="19" t="s">
        <v>62</v>
      </c>
      <c r="L130" s="3" t="str">
        <f>HYPERLINK(VLOOKUP(C130,BAPs!$A$2:$C$1048576,3,FALSE),VLOOKUP(C130,BAPs!$A$2:$C$1048576,2,FALSE))</f>
        <v>10 out of 10</v>
      </c>
    </row>
    <row r="131" spans="1:12" hidden="1">
      <c r="A131" s="19" t="s">
        <v>445</v>
      </c>
      <c r="B131" s="19" t="s">
        <v>12</v>
      </c>
      <c r="C131" s="19" t="s">
        <v>454</v>
      </c>
      <c r="D131" s="19" t="s">
        <v>454</v>
      </c>
      <c r="E131" s="19" t="s">
        <v>456</v>
      </c>
      <c r="F131" s="19" t="e">
        <f>MATCH(E131,#REF!,0)</f>
        <v>#REF!</v>
      </c>
      <c r="G131" s="19" t="s">
        <v>457</v>
      </c>
      <c r="H131" s="19" t="s">
        <v>24</v>
      </c>
      <c r="I131" s="19"/>
      <c r="J131" s="19" t="s">
        <v>455</v>
      </c>
      <c r="K131" s="19" t="s">
        <v>62</v>
      </c>
      <c r="L131" s="3" t="str">
        <f>HYPERLINK(VLOOKUP(C131,BAPs!$A$2:$C$1048576,3,FALSE),VLOOKUP(C131,BAPs!$A$2:$C$1048576,2,FALSE))</f>
        <v>10 out of 10</v>
      </c>
    </row>
    <row r="132" spans="1:12" hidden="1">
      <c r="A132" s="19" t="s">
        <v>445</v>
      </c>
      <c r="B132" s="19" t="s">
        <v>12</v>
      </c>
      <c r="C132" s="19" t="s">
        <v>454</v>
      </c>
      <c r="D132" s="19" t="s">
        <v>458</v>
      </c>
      <c r="E132" s="19" t="s">
        <v>459</v>
      </c>
      <c r="F132" s="19" t="e">
        <f>MATCH(E132,#REF!,0)</f>
        <v>#REF!</v>
      </c>
      <c r="G132" s="19" t="s">
        <v>460</v>
      </c>
      <c r="H132" s="19" t="s">
        <v>17</v>
      </c>
      <c r="I132" s="19"/>
      <c r="J132" s="19" t="s">
        <v>455</v>
      </c>
      <c r="K132" s="19" t="s">
        <v>62</v>
      </c>
      <c r="L132" s="3" t="str">
        <f>HYPERLINK(VLOOKUP(C132,BAPs!$A$2:$C$1048576,3,FALSE),VLOOKUP(C132,BAPs!$A$2:$C$1048576,2,FALSE))</f>
        <v>10 out of 10</v>
      </c>
    </row>
    <row r="133" spans="1:12" hidden="1">
      <c r="A133" s="19" t="s">
        <v>445</v>
      </c>
      <c r="B133" s="19" t="s">
        <v>12</v>
      </c>
      <c r="C133" s="19" t="s">
        <v>461</v>
      </c>
      <c r="D133" s="19" t="s">
        <v>461</v>
      </c>
      <c r="E133" s="19" t="s">
        <v>462</v>
      </c>
      <c r="F133" s="19" t="e">
        <f>MATCH(E133,#REF!,0)</f>
        <v>#REF!</v>
      </c>
      <c r="G133" s="19" t="s">
        <v>463</v>
      </c>
      <c r="H133" s="19" t="s">
        <v>24</v>
      </c>
      <c r="I133" s="19" t="s">
        <v>18</v>
      </c>
      <c r="J133" s="19" t="s">
        <v>464</v>
      </c>
      <c r="K133" s="19" t="s">
        <v>62</v>
      </c>
      <c r="L133" s="3" t="str">
        <f>HYPERLINK(VLOOKUP(C133,BAPs!$A$2:$C$1048576,3,FALSE),VLOOKUP(C133,BAPs!$A$2:$C$1048576,2,FALSE))</f>
        <v>10 out of 10</v>
      </c>
    </row>
    <row r="134" spans="1:12" hidden="1">
      <c r="A134" s="19" t="s">
        <v>445</v>
      </c>
      <c r="B134" s="19" t="s">
        <v>12</v>
      </c>
      <c r="C134" s="19" t="s">
        <v>461</v>
      </c>
      <c r="D134" s="19" t="s">
        <v>40</v>
      </c>
      <c r="E134" s="19" t="s">
        <v>41</v>
      </c>
      <c r="F134" s="19" t="e">
        <f>MATCH(E134,#REF!,0)</f>
        <v>#REF!</v>
      </c>
      <c r="G134" s="19" t="s">
        <v>42</v>
      </c>
      <c r="H134" s="19" t="s">
        <v>43</v>
      </c>
      <c r="I134" s="19" t="s">
        <v>18</v>
      </c>
      <c r="J134" s="19" t="s">
        <v>464</v>
      </c>
      <c r="K134" s="19" t="s">
        <v>62</v>
      </c>
      <c r="L134" s="3" t="str">
        <f>HYPERLINK(VLOOKUP(C134,BAPs!$A$2:$C$1048576,3,FALSE),VLOOKUP(C134,BAPs!$A$2:$C$1048576,2,FALSE))</f>
        <v>10 out of 10</v>
      </c>
    </row>
    <row r="135" spans="1:12" hidden="1">
      <c r="A135" s="19" t="s">
        <v>445</v>
      </c>
      <c r="B135" s="19" t="s">
        <v>12</v>
      </c>
      <c r="C135" s="19" t="s">
        <v>465</v>
      </c>
      <c r="D135" s="19" t="s">
        <v>465</v>
      </c>
      <c r="E135" s="19" t="s">
        <v>466</v>
      </c>
      <c r="F135" s="19" t="e">
        <f>MATCH(E135,#REF!,0)</f>
        <v>#REF!</v>
      </c>
      <c r="G135" s="19" t="s">
        <v>467</v>
      </c>
      <c r="H135" s="19" t="s">
        <v>17</v>
      </c>
      <c r="I135" s="19" t="s">
        <v>18</v>
      </c>
      <c r="J135" s="19" t="s">
        <v>468</v>
      </c>
      <c r="K135" s="19" t="s">
        <v>62</v>
      </c>
      <c r="L135" s="3" t="str">
        <f>HYPERLINK(VLOOKUP(C135,BAPs!$A$2:$C$1048576,3,FALSE),VLOOKUP(C135,BAPs!$A$2:$C$1048576,2,FALSE))</f>
        <v>9 out of 10</v>
      </c>
    </row>
    <row r="136" spans="1:12" hidden="1">
      <c r="A136" s="19" t="s">
        <v>445</v>
      </c>
      <c r="B136" s="19" t="s">
        <v>12</v>
      </c>
      <c r="C136" s="19" t="s">
        <v>469</v>
      </c>
      <c r="D136" s="19" t="s">
        <v>126</v>
      </c>
      <c r="E136" s="19" t="s">
        <v>127</v>
      </c>
      <c r="F136" s="19" t="e">
        <f>MATCH(E136,#REF!,0)</f>
        <v>#REF!</v>
      </c>
      <c r="G136" s="19" t="s">
        <v>128</v>
      </c>
      <c r="H136" s="19" t="s">
        <v>43</v>
      </c>
      <c r="I136" s="19" t="s">
        <v>18</v>
      </c>
      <c r="J136" s="19" t="s">
        <v>470</v>
      </c>
      <c r="K136" s="19" t="s">
        <v>62</v>
      </c>
      <c r="L136" s="3" t="str">
        <f>HYPERLINK(VLOOKUP(C136,BAPs!$A$2:$C$1048576,3,FALSE),VLOOKUP(C136,BAPs!$A$2:$C$1048576,2,FALSE))</f>
        <v>10 out of 10</v>
      </c>
    </row>
    <row r="137" spans="1:12" hidden="1">
      <c r="A137" s="19" t="s">
        <v>445</v>
      </c>
      <c r="B137" s="19" t="s">
        <v>12</v>
      </c>
      <c r="C137" s="19" t="s">
        <v>469</v>
      </c>
      <c r="D137" s="19" t="s">
        <v>53</v>
      </c>
      <c r="E137" s="19" t="s">
        <v>54</v>
      </c>
      <c r="F137" s="19" t="e">
        <f>MATCH(E137,#REF!,0)</f>
        <v>#REF!</v>
      </c>
      <c r="G137" s="19" t="s">
        <v>55</v>
      </c>
      <c r="H137" s="19" t="s">
        <v>56</v>
      </c>
      <c r="I137" s="19"/>
      <c r="J137" s="19" t="s">
        <v>470</v>
      </c>
      <c r="K137" s="19" t="s">
        <v>62</v>
      </c>
      <c r="L137" s="3" t="str">
        <f>HYPERLINK(VLOOKUP(C137,BAPs!$A$2:$C$1048576,3,FALSE),VLOOKUP(C137,BAPs!$A$2:$C$1048576,2,FALSE))</f>
        <v>10 out of 10</v>
      </c>
    </row>
    <row r="138" spans="1:12" hidden="1">
      <c r="A138" s="19" t="s">
        <v>445</v>
      </c>
      <c r="B138" s="19" t="s">
        <v>12</v>
      </c>
      <c r="C138" s="19" t="s">
        <v>471</v>
      </c>
      <c r="D138" s="19" t="s">
        <v>471</v>
      </c>
      <c r="E138" s="19" t="s">
        <v>472</v>
      </c>
      <c r="F138" s="19" t="e">
        <f>MATCH(E138,#REF!,0)</f>
        <v>#REF!</v>
      </c>
      <c r="G138" s="19" t="s">
        <v>473</v>
      </c>
      <c r="H138" s="19" t="s">
        <v>24</v>
      </c>
      <c r="I138" s="19"/>
      <c r="J138" s="19" t="s">
        <v>474</v>
      </c>
      <c r="K138" s="19" t="s">
        <v>62</v>
      </c>
      <c r="L138" s="3" t="str">
        <f>HYPERLINK(VLOOKUP(C138,BAPs!$A$2:$C$1048576,3,FALSE),VLOOKUP(C138,BAPs!$A$2:$C$1048576,2,FALSE))</f>
        <v>10 out of 10</v>
      </c>
    </row>
    <row r="139" spans="1:12" hidden="1">
      <c r="A139" s="19" t="s">
        <v>445</v>
      </c>
      <c r="B139" s="19" t="s">
        <v>12</v>
      </c>
      <c r="C139" s="19" t="s">
        <v>475</v>
      </c>
      <c r="D139" s="19" t="s">
        <v>475</v>
      </c>
      <c r="E139" s="19" t="s">
        <v>476</v>
      </c>
      <c r="F139" s="19" t="e">
        <f>MATCH(E139,#REF!,0)</f>
        <v>#REF!</v>
      </c>
      <c r="G139" s="19" t="s">
        <v>477</v>
      </c>
      <c r="H139" s="19" t="s">
        <v>17</v>
      </c>
      <c r="I139" s="19" t="s">
        <v>18</v>
      </c>
      <c r="J139" s="19" t="s">
        <v>478</v>
      </c>
      <c r="K139" s="19" t="s">
        <v>62</v>
      </c>
      <c r="L139" s="3" t="str">
        <f>HYPERLINK(VLOOKUP(C139,BAPs!$A$2:$C$1048576,3,FALSE),VLOOKUP(C139,BAPs!$A$2:$C$1048576,2,FALSE))</f>
        <v>10 out of 10</v>
      </c>
    </row>
    <row r="140" spans="1:12" hidden="1">
      <c r="A140" s="19" t="s">
        <v>445</v>
      </c>
      <c r="B140" s="19" t="s">
        <v>12</v>
      </c>
      <c r="C140" s="19" t="s">
        <v>475</v>
      </c>
      <c r="D140" s="19" t="s">
        <v>333</v>
      </c>
      <c r="E140" s="19" t="s">
        <v>334</v>
      </c>
      <c r="F140" s="19" t="e">
        <f>MATCH(E140,#REF!,0)</f>
        <v>#REF!</v>
      </c>
      <c r="G140" s="19" t="s">
        <v>335</v>
      </c>
      <c r="H140" s="19" t="s">
        <v>43</v>
      </c>
      <c r="I140" s="19"/>
      <c r="J140" s="19" t="s">
        <v>478</v>
      </c>
      <c r="K140" s="19" t="s">
        <v>62</v>
      </c>
      <c r="L140" s="3" t="str">
        <f>HYPERLINK(VLOOKUP(C140,BAPs!$A$2:$C$1048576,3,FALSE),VLOOKUP(C140,BAPs!$A$2:$C$1048576,2,FALSE))</f>
        <v>10 out of 10</v>
      </c>
    </row>
    <row r="141" spans="1:12" hidden="1">
      <c r="A141" s="19" t="s">
        <v>445</v>
      </c>
      <c r="B141" s="19" t="s">
        <v>12</v>
      </c>
      <c r="C141" s="19" t="s">
        <v>479</v>
      </c>
      <c r="D141" s="19" t="s">
        <v>479</v>
      </c>
      <c r="E141" s="19" t="s">
        <v>480</v>
      </c>
      <c r="F141" s="19" t="e">
        <f>MATCH(E141,#REF!,0)</f>
        <v>#REF!</v>
      </c>
      <c r="G141" s="19" t="s">
        <v>481</v>
      </c>
      <c r="H141" s="19" t="s">
        <v>17</v>
      </c>
      <c r="I141" s="19" t="s">
        <v>18</v>
      </c>
      <c r="J141" s="19" t="s">
        <v>482</v>
      </c>
      <c r="K141" s="19" t="s">
        <v>62</v>
      </c>
      <c r="L141" s="3" t="str">
        <f>HYPERLINK(VLOOKUP(C141,BAPs!$A$2:$C$1048576,3,FALSE),VLOOKUP(C141,BAPs!$A$2:$C$1048576,2,FALSE))</f>
        <v>10 out of 10</v>
      </c>
    </row>
    <row r="142" spans="1:12" hidden="1">
      <c r="A142" s="19" t="s">
        <v>445</v>
      </c>
      <c r="B142" s="19" t="s">
        <v>12</v>
      </c>
      <c r="C142" s="19" t="s">
        <v>483</v>
      </c>
      <c r="D142" s="19" t="s">
        <v>483</v>
      </c>
      <c r="E142" s="19" t="s">
        <v>484</v>
      </c>
      <c r="F142" s="19" t="e">
        <f>MATCH(E142,#REF!,0)</f>
        <v>#REF!</v>
      </c>
      <c r="G142" s="19" t="s">
        <v>485</v>
      </c>
      <c r="H142" s="19" t="s">
        <v>17</v>
      </c>
      <c r="I142" s="19"/>
      <c r="J142" s="19" t="s">
        <v>486</v>
      </c>
      <c r="K142" s="19" t="s">
        <v>62</v>
      </c>
      <c r="L142" s="3" t="str">
        <f>HYPERLINK(VLOOKUP(C142,BAPs!$A$2:$C$1048576,3,FALSE),VLOOKUP(C142,BAPs!$A$2:$C$1048576,2,FALSE))</f>
        <v>10 out of 10</v>
      </c>
    </row>
    <row r="143" spans="1:12" hidden="1">
      <c r="A143" s="19" t="s">
        <v>445</v>
      </c>
      <c r="B143" s="19" t="s">
        <v>12</v>
      </c>
      <c r="C143" s="19" t="s">
        <v>487</v>
      </c>
      <c r="D143" s="19" t="s">
        <v>488</v>
      </c>
      <c r="E143" s="19" t="s">
        <v>489</v>
      </c>
      <c r="F143" s="19" t="e">
        <f>MATCH(E143,#REF!,0)</f>
        <v>#REF!</v>
      </c>
      <c r="G143" s="19" t="s">
        <v>490</v>
      </c>
      <c r="H143" s="19" t="s">
        <v>17</v>
      </c>
      <c r="I143" s="19"/>
      <c r="J143" s="19" t="s">
        <v>491</v>
      </c>
      <c r="K143" s="19" t="s">
        <v>62</v>
      </c>
      <c r="L143" s="3" t="str">
        <f>HYPERLINK(VLOOKUP(C143,BAPs!$A$2:$C$1048576,3,FALSE),VLOOKUP(C143,BAPs!$A$2:$C$1048576,2,FALSE))</f>
        <v>9 out of 10</v>
      </c>
    </row>
    <row r="144" spans="1:12" hidden="1">
      <c r="A144" s="19" t="s">
        <v>445</v>
      </c>
      <c r="B144" s="19" t="s">
        <v>12</v>
      </c>
      <c r="C144" s="19" t="s">
        <v>487</v>
      </c>
      <c r="D144" s="19" t="s">
        <v>492</v>
      </c>
      <c r="E144" s="19" t="s">
        <v>493</v>
      </c>
      <c r="F144" s="19" t="e">
        <f>MATCH(E144,#REF!,0)</f>
        <v>#REF!</v>
      </c>
      <c r="G144" s="19" t="s">
        <v>494</v>
      </c>
      <c r="H144" s="19" t="s">
        <v>17</v>
      </c>
      <c r="I144" s="19" t="s">
        <v>18</v>
      </c>
      <c r="J144" s="19" t="s">
        <v>491</v>
      </c>
      <c r="K144" s="19" t="s">
        <v>62</v>
      </c>
      <c r="L144" s="3" t="str">
        <f>HYPERLINK(VLOOKUP(C144,BAPs!$A$2:$C$1048576,3,FALSE),VLOOKUP(C144,BAPs!$A$2:$C$1048576,2,FALSE))</f>
        <v>9 out of 10</v>
      </c>
    </row>
    <row r="145" spans="1:12" hidden="1">
      <c r="A145" s="19" t="s">
        <v>445</v>
      </c>
      <c r="B145" s="19" t="s">
        <v>12</v>
      </c>
      <c r="C145" s="19" t="s">
        <v>487</v>
      </c>
      <c r="D145" s="19" t="s">
        <v>495</v>
      </c>
      <c r="E145" s="19" t="s">
        <v>496</v>
      </c>
      <c r="F145" s="19" t="e">
        <f>MATCH(E145,#REF!,0)</f>
        <v>#REF!</v>
      </c>
      <c r="G145" s="19" t="s">
        <v>497</v>
      </c>
      <c r="H145" s="19" t="s">
        <v>52</v>
      </c>
      <c r="I145" s="19"/>
      <c r="J145" s="19" t="s">
        <v>491</v>
      </c>
      <c r="K145" s="19" t="s">
        <v>62</v>
      </c>
      <c r="L145" s="3" t="str">
        <f>HYPERLINK(VLOOKUP(C145,BAPs!$A$2:$C$1048576,3,FALSE),VLOOKUP(C145,BAPs!$A$2:$C$1048576,2,FALSE))</f>
        <v>9 out of 10</v>
      </c>
    </row>
    <row r="146" spans="1:12" hidden="1">
      <c r="A146" s="19" t="s">
        <v>445</v>
      </c>
      <c r="B146" s="19" t="s">
        <v>12</v>
      </c>
      <c r="C146" s="19" t="s">
        <v>498</v>
      </c>
      <c r="D146" s="19" t="s">
        <v>498</v>
      </c>
      <c r="E146" s="19" t="s">
        <v>499</v>
      </c>
      <c r="F146" s="19" t="e">
        <f>MATCH(E146,#REF!,0)</f>
        <v>#REF!</v>
      </c>
      <c r="G146" s="19" t="s">
        <v>500</v>
      </c>
      <c r="H146" s="19" t="s">
        <v>52</v>
      </c>
      <c r="I146" s="19"/>
      <c r="J146" s="19" t="s">
        <v>501</v>
      </c>
      <c r="K146" s="19" t="s">
        <v>20</v>
      </c>
      <c r="L146" s="3" t="str">
        <f>HYPERLINK(VLOOKUP(C146,BAPs!$A$2:$C$1048576,3,FALSE),VLOOKUP(C146,BAPs!$A$2:$C$1048576,2,FALSE))</f>
        <v>8 out of 10</v>
      </c>
    </row>
    <row r="147" spans="1:12" hidden="1">
      <c r="A147" s="19" t="s">
        <v>445</v>
      </c>
      <c r="B147" s="19" t="s">
        <v>12</v>
      </c>
      <c r="C147" s="19" t="s">
        <v>498</v>
      </c>
      <c r="D147" s="19" t="s">
        <v>502</v>
      </c>
      <c r="E147" s="19" t="s">
        <v>503</v>
      </c>
      <c r="F147" s="19" t="e">
        <f>MATCH(E147,#REF!,0)</f>
        <v>#REF!</v>
      </c>
      <c r="G147" s="19" t="s">
        <v>504</v>
      </c>
      <c r="H147" s="19" t="s">
        <v>24</v>
      </c>
      <c r="I147" s="19"/>
      <c r="J147" s="19" t="s">
        <v>501</v>
      </c>
      <c r="K147" s="19" t="s">
        <v>20</v>
      </c>
      <c r="L147" s="3" t="str">
        <f>HYPERLINK(VLOOKUP(C147,BAPs!$A$2:$C$1048576,3,FALSE),VLOOKUP(C147,BAPs!$A$2:$C$1048576,2,FALSE))</f>
        <v>8 out of 10</v>
      </c>
    </row>
    <row r="148" spans="1:12" hidden="1">
      <c r="A148" s="19" t="s">
        <v>445</v>
      </c>
      <c r="B148" s="19" t="s">
        <v>12</v>
      </c>
      <c r="C148" s="19" t="s">
        <v>505</v>
      </c>
      <c r="D148" s="19" t="s">
        <v>505</v>
      </c>
      <c r="E148" s="19" t="s">
        <v>506</v>
      </c>
      <c r="F148" s="19" t="e">
        <f>MATCH(E148,#REF!,0)</f>
        <v>#REF!</v>
      </c>
      <c r="G148" s="19" t="s">
        <v>507</v>
      </c>
      <c r="H148" s="19" t="s">
        <v>17</v>
      </c>
      <c r="I148" s="19" t="s">
        <v>18</v>
      </c>
      <c r="J148" s="19" t="s">
        <v>508</v>
      </c>
      <c r="K148" s="19" t="s">
        <v>20</v>
      </c>
      <c r="L148" s="3" t="str">
        <f>HYPERLINK(VLOOKUP(C148,BAPs!$A$2:$C$1048576,3,FALSE),VLOOKUP(C148,BAPs!$A$2:$C$1048576,2,FALSE))</f>
        <v>3 out of 10</v>
      </c>
    </row>
    <row r="149" spans="1:12" hidden="1">
      <c r="A149" s="19" t="s">
        <v>445</v>
      </c>
      <c r="B149" s="19" t="s">
        <v>12</v>
      </c>
      <c r="C149" s="19" t="s">
        <v>509</v>
      </c>
      <c r="D149" s="19" t="s">
        <v>509</v>
      </c>
      <c r="E149" s="19" t="s">
        <v>510</v>
      </c>
      <c r="F149" s="19" t="e">
        <f>MATCH(E149,#REF!,0)</f>
        <v>#REF!</v>
      </c>
      <c r="G149" s="19" t="s">
        <v>511</v>
      </c>
      <c r="H149" s="19" t="s">
        <v>17</v>
      </c>
      <c r="I149" s="19" t="s">
        <v>18</v>
      </c>
      <c r="J149" s="19" t="s">
        <v>512</v>
      </c>
      <c r="K149" s="19" t="s">
        <v>20</v>
      </c>
      <c r="L149" s="3" t="str">
        <f>HYPERLINK(VLOOKUP(C149,BAPs!$A$2:$C$1048576,3,FALSE),VLOOKUP(C149,BAPs!$A$2:$C$1048576,2,FALSE))</f>
        <v>1 out of 10</v>
      </c>
    </row>
    <row r="150" spans="1:12" hidden="1">
      <c r="A150" s="19" t="s">
        <v>445</v>
      </c>
      <c r="B150" s="19" t="s">
        <v>12</v>
      </c>
      <c r="C150" s="19" t="s">
        <v>513</v>
      </c>
      <c r="D150" s="19" t="s">
        <v>513</v>
      </c>
      <c r="E150" s="19" t="s">
        <v>514</v>
      </c>
      <c r="F150" s="19" t="e">
        <f>MATCH(E150,#REF!,0)</f>
        <v>#REF!</v>
      </c>
      <c r="G150" s="19" t="s">
        <v>515</v>
      </c>
      <c r="H150" s="19" t="s">
        <v>24</v>
      </c>
      <c r="I150" s="19"/>
      <c r="J150" s="19" t="s">
        <v>516</v>
      </c>
      <c r="K150" s="19" t="s">
        <v>62</v>
      </c>
      <c r="L150" s="3" t="str">
        <f>HYPERLINK(VLOOKUP(C150,BAPs!$A$2:$C$1048576,3,FALSE),VLOOKUP(C150,BAPs!$A$2:$C$1048576,2,FALSE))</f>
        <v>9 out of 10</v>
      </c>
    </row>
    <row r="151" spans="1:12" hidden="1">
      <c r="A151" s="19" t="s">
        <v>445</v>
      </c>
      <c r="B151" s="19" t="s">
        <v>12</v>
      </c>
      <c r="C151" s="19" t="s">
        <v>513</v>
      </c>
      <c r="D151" s="19" t="s">
        <v>517</v>
      </c>
      <c r="E151" s="19" t="s">
        <v>518</v>
      </c>
      <c r="F151" s="19" t="e">
        <f>MATCH(E151,#REF!,0)</f>
        <v>#REF!</v>
      </c>
      <c r="G151" s="19" t="s">
        <v>519</v>
      </c>
      <c r="H151" s="19" t="s">
        <v>17</v>
      </c>
      <c r="I151" s="19" t="s">
        <v>18</v>
      </c>
      <c r="J151" s="19" t="s">
        <v>516</v>
      </c>
      <c r="K151" s="19" t="s">
        <v>62</v>
      </c>
      <c r="L151" s="3" t="str">
        <f>HYPERLINK(VLOOKUP(C151,BAPs!$A$2:$C$1048576,3,FALSE),VLOOKUP(C151,BAPs!$A$2:$C$1048576,2,FALSE))</f>
        <v>9 out of 10</v>
      </c>
    </row>
    <row r="152" spans="1:12" hidden="1">
      <c r="A152" s="19" t="s">
        <v>445</v>
      </c>
      <c r="B152" s="19" t="s">
        <v>12</v>
      </c>
      <c r="C152" s="19" t="s">
        <v>520</v>
      </c>
      <c r="D152" s="19" t="s">
        <v>521</v>
      </c>
      <c r="E152" s="19" t="s">
        <v>522</v>
      </c>
      <c r="F152" s="19" t="e">
        <f>MATCH(E152,#REF!,0)</f>
        <v>#REF!</v>
      </c>
      <c r="G152" s="19" t="s">
        <v>523</v>
      </c>
      <c r="H152" s="19" t="s">
        <v>52</v>
      </c>
      <c r="I152" s="19"/>
      <c r="J152" s="19" t="s">
        <v>524</v>
      </c>
      <c r="K152" s="19" t="s">
        <v>20</v>
      </c>
      <c r="L152" s="3" t="str">
        <f>HYPERLINK(VLOOKUP(C152,BAPs!$A$2:$C$1048576,3,FALSE),VLOOKUP(C152,BAPs!$A$2:$C$1048576,2,FALSE))</f>
        <v>3 out of 10</v>
      </c>
    </row>
    <row r="153" spans="1:12" hidden="1">
      <c r="A153" s="19" t="s">
        <v>445</v>
      </c>
      <c r="B153" s="19" t="s">
        <v>12</v>
      </c>
      <c r="C153" s="19" t="s">
        <v>525</v>
      </c>
      <c r="D153" s="19" t="s">
        <v>525</v>
      </c>
      <c r="E153" s="19" t="s">
        <v>526</v>
      </c>
      <c r="F153" s="19" t="e">
        <f>MATCH(E153,#REF!,0)</f>
        <v>#REF!</v>
      </c>
      <c r="G153" s="19" t="s">
        <v>527</v>
      </c>
      <c r="H153" s="19" t="s">
        <v>52</v>
      </c>
      <c r="I153" s="19"/>
      <c r="J153" s="19" t="s">
        <v>528</v>
      </c>
      <c r="K153" s="19" t="s">
        <v>20</v>
      </c>
      <c r="L153" s="3" t="str">
        <f>HYPERLINK(VLOOKUP(C153,BAPs!$A$2:$C$1048576,3,FALSE),VLOOKUP(C153,BAPs!$A$2:$C$1048576,2,FALSE))</f>
        <v>4 out of 10</v>
      </c>
    </row>
    <row r="154" spans="1:12" hidden="1">
      <c r="A154" s="19" t="s">
        <v>445</v>
      </c>
      <c r="B154" s="19" t="s">
        <v>12</v>
      </c>
      <c r="C154" s="19" t="s">
        <v>529</v>
      </c>
      <c r="D154" s="19" t="s">
        <v>530</v>
      </c>
      <c r="E154" s="19" t="s">
        <v>531</v>
      </c>
      <c r="F154" s="19" t="e">
        <f>MATCH(E154,#REF!,0)</f>
        <v>#REF!</v>
      </c>
      <c r="G154" s="19" t="s">
        <v>532</v>
      </c>
      <c r="H154" s="19" t="s">
        <v>84</v>
      </c>
      <c r="I154" s="19"/>
      <c r="J154" s="19" t="s">
        <v>533</v>
      </c>
      <c r="K154" s="19" t="s">
        <v>20</v>
      </c>
      <c r="L154" s="3" t="str">
        <f>HYPERLINK(VLOOKUP(C154,BAPs!$A$2:$C$1048576,3,FALSE),VLOOKUP(C154,BAPs!$A$2:$C$1048576,2,FALSE))</f>
        <v>4 out of 10</v>
      </c>
    </row>
    <row r="155" spans="1:12" hidden="1">
      <c r="A155" s="19" t="s">
        <v>445</v>
      </c>
      <c r="B155" s="19" t="s">
        <v>12</v>
      </c>
      <c r="C155" s="19" t="s">
        <v>529</v>
      </c>
      <c r="D155" s="19" t="s">
        <v>534</v>
      </c>
      <c r="E155" s="19" t="s">
        <v>535</v>
      </c>
      <c r="F155" s="19" t="e">
        <f>MATCH(E155,#REF!,0)</f>
        <v>#REF!</v>
      </c>
      <c r="G155" s="19" t="s">
        <v>536</v>
      </c>
      <c r="H155" s="19" t="s">
        <v>52</v>
      </c>
      <c r="I155" s="19"/>
      <c r="J155" s="19" t="s">
        <v>533</v>
      </c>
      <c r="K155" s="19" t="s">
        <v>20</v>
      </c>
      <c r="L155" s="3" t="str">
        <f>HYPERLINK(VLOOKUP(C155,BAPs!$A$2:$C$1048576,3,FALSE),VLOOKUP(C155,BAPs!$A$2:$C$1048576,2,FALSE))</f>
        <v>4 out of 10</v>
      </c>
    </row>
    <row r="156" spans="1:12" hidden="1">
      <c r="A156" s="19" t="s">
        <v>445</v>
      </c>
      <c r="B156" s="19" t="s">
        <v>12</v>
      </c>
      <c r="C156" s="19" t="s">
        <v>537</v>
      </c>
      <c r="D156" s="19" t="s">
        <v>537</v>
      </c>
      <c r="E156" s="19" t="s">
        <v>538</v>
      </c>
      <c r="F156" s="19" t="e">
        <f>MATCH(E156,#REF!,0)</f>
        <v>#REF!</v>
      </c>
      <c r="G156" s="19" t="s">
        <v>539</v>
      </c>
      <c r="H156" s="19" t="s">
        <v>84</v>
      </c>
      <c r="I156" s="19"/>
      <c r="J156" s="19" t="s">
        <v>540</v>
      </c>
      <c r="K156" s="19" t="s">
        <v>62</v>
      </c>
      <c r="L156" s="3" t="str">
        <f>HYPERLINK(VLOOKUP(C156,BAPs!$A$2:$C$1048576,3,FALSE),VLOOKUP(C156,BAPs!$A$2:$C$1048576,2,FALSE))</f>
        <v>9 out of 10</v>
      </c>
    </row>
    <row r="157" spans="1:12" hidden="1">
      <c r="A157" s="19" t="s">
        <v>445</v>
      </c>
      <c r="B157" s="19" t="s">
        <v>12</v>
      </c>
      <c r="C157" s="19" t="s">
        <v>541</v>
      </c>
      <c r="D157" s="19" t="s">
        <v>542</v>
      </c>
      <c r="E157" s="19" t="s">
        <v>543</v>
      </c>
      <c r="F157" s="19" t="e">
        <f>MATCH(E157,#REF!,0)</f>
        <v>#REF!</v>
      </c>
      <c r="G157" s="19" t="s">
        <v>544</v>
      </c>
      <c r="H157" s="19" t="s">
        <v>17</v>
      </c>
      <c r="I157" s="19" t="s">
        <v>18</v>
      </c>
      <c r="J157" s="19" t="s">
        <v>545</v>
      </c>
      <c r="K157" s="19" t="s">
        <v>62</v>
      </c>
      <c r="L157" s="3" t="str">
        <f>HYPERLINK(VLOOKUP(C157,BAPs!$A$2:$C$1048576,3,FALSE),VLOOKUP(C157,BAPs!$A$2:$C$1048576,2,FALSE))</f>
        <v>10 out of 10</v>
      </c>
    </row>
    <row r="158" spans="1:12" hidden="1">
      <c r="A158" s="19" t="s">
        <v>445</v>
      </c>
      <c r="B158" s="19" t="s">
        <v>12</v>
      </c>
      <c r="C158" s="19" t="s">
        <v>541</v>
      </c>
      <c r="D158" s="19" t="s">
        <v>333</v>
      </c>
      <c r="E158" s="19" t="s">
        <v>334</v>
      </c>
      <c r="F158" s="19" t="e">
        <f>MATCH(E158,#REF!,0)</f>
        <v>#REF!</v>
      </c>
      <c r="G158" s="19" t="s">
        <v>335</v>
      </c>
      <c r="H158" s="19" t="s">
        <v>43</v>
      </c>
      <c r="I158" s="19"/>
      <c r="J158" s="19" t="s">
        <v>545</v>
      </c>
      <c r="K158" s="19" t="s">
        <v>62</v>
      </c>
      <c r="L158" s="3" t="str">
        <f>HYPERLINK(VLOOKUP(C158,BAPs!$A$2:$C$1048576,3,FALSE),VLOOKUP(C158,BAPs!$A$2:$C$1048576,2,FALSE))</f>
        <v>10 out of 10</v>
      </c>
    </row>
    <row r="159" spans="1:12" hidden="1">
      <c r="A159" s="19" t="s">
        <v>445</v>
      </c>
      <c r="B159" s="19" t="s">
        <v>12</v>
      </c>
      <c r="C159" s="19" t="s">
        <v>546</v>
      </c>
      <c r="D159" s="19" t="s">
        <v>546</v>
      </c>
      <c r="E159" s="19" t="s">
        <v>547</v>
      </c>
      <c r="F159" s="19" t="e">
        <f>MATCH(E159,#REF!,0)</f>
        <v>#REF!</v>
      </c>
      <c r="G159" s="19" t="s">
        <v>548</v>
      </c>
      <c r="H159" s="19" t="s">
        <v>17</v>
      </c>
      <c r="I159" s="19"/>
      <c r="J159" s="19" t="s">
        <v>549</v>
      </c>
      <c r="K159" s="19" t="s">
        <v>20</v>
      </c>
      <c r="L159" s="3" t="str">
        <f>HYPERLINK(VLOOKUP(C159,BAPs!$A$2:$C$1048576,3,FALSE),VLOOKUP(C159,BAPs!$A$2:$C$1048576,2,FALSE))</f>
        <v>1 out of 10</v>
      </c>
    </row>
    <row r="160" spans="1:12" hidden="1">
      <c r="A160" s="19" t="s">
        <v>445</v>
      </c>
      <c r="B160" s="19" t="s">
        <v>12</v>
      </c>
      <c r="C160" s="19" t="s">
        <v>550</v>
      </c>
      <c r="D160" s="19" t="s">
        <v>550</v>
      </c>
      <c r="E160" s="19" t="s">
        <v>551</v>
      </c>
      <c r="F160" s="19" t="e">
        <f>MATCH(E160,#REF!,0)</f>
        <v>#REF!</v>
      </c>
      <c r="G160" s="19" t="s">
        <v>552</v>
      </c>
      <c r="H160" s="19" t="s">
        <v>553</v>
      </c>
      <c r="I160" s="19" t="s">
        <v>18</v>
      </c>
      <c r="J160" s="19" t="s">
        <v>554</v>
      </c>
      <c r="K160" s="19" t="s">
        <v>62</v>
      </c>
      <c r="L160" s="3" t="str">
        <f>HYPERLINK(VLOOKUP(C160,BAPs!$A$2:$C$1048576,3,FALSE),VLOOKUP(C160,BAPs!$A$2:$C$1048576,2,FALSE))</f>
        <v>10 out of 10</v>
      </c>
    </row>
    <row r="161" spans="1:12" hidden="1">
      <c r="A161" s="19" t="s">
        <v>445</v>
      </c>
      <c r="B161" s="19" t="s">
        <v>12</v>
      </c>
      <c r="C161" s="19" t="s">
        <v>555</v>
      </c>
      <c r="D161" s="19" t="s">
        <v>556</v>
      </c>
      <c r="E161" s="19" t="s">
        <v>557</v>
      </c>
      <c r="F161" s="19" t="e">
        <f>MATCH(E161,#REF!,0)</f>
        <v>#REF!</v>
      </c>
      <c r="G161" s="19" t="s">
        <v>558</v>
      </c>
      <c r="H161" s="19" t="s">
        <v>56</v>
      </c>
      <c r="I161" s="19"/>
      <c r="J161" s="19" t="s">
        <v>559</v>
      </c>
      <c r="K161" s="19" t="s">
        <v>20</v>
      </c>
      <c r="L161" s="3" t="str">
        <f>HYPERLINK(VLOOKUP(C161,BAPs!$A$2:$C$1048576,3,FALSE),VLOOKUP(C161,BAPs!$A$2:$C$1048576,2,FALSE))</f>
        <v>1 out of 10</v>
      </c>
    </row>
    <row r="162" spans="1:12" hidden="1">
      <c r="A162" s="19" t="s">
        <v>445</v>
      </c>
      <c r="B162" s="19" t="s">
        <v>12</v>
      </c>
      <c r="C162" s="19" t="s">
        <v>560</v>
      </c>
      <c r="D162" s="19" t="s">
        <v>560</v>
      </c>
      <c r="E162" s="19" t="s">
        <v>561</v>
      </c>
      <c r="F162" s="19" t="e">
        <f>MATCH(E162,#REF!,0)</f>
        <v>#REF!</v>
      </c>
      <c r="G162" s="19" t="s">
        <v>562</v>
      </c>
      <c r="H162" s="19" t="s">
        <v>52</v>
      </c>
      <c r="I162" s="19"/>
      <c r="J162" s="19" t="s">
        <v>563</v>
      </c>
      <c r="K162" s="19" t="s">
        <v>62</v>
      </c>
      <c r="L162" s="3" t="str">
        <f>HYPERLINK(VLOOKUP(C162,BAPs!$A$2:$C$1048576,3,FALSE),VLOOKUP(C162,BAPs!$A$2:$C$1048576,2,FALSE))</f>
        <v>10 out of 10</v>
      </c>
    </row>
    <row r="163" spans="1:12" hidden="1">
      <c r="A163" s="19" t="s">
        <v>445</v>
      </c>
      <c r="B163" s="19" t="s">
        <v>12</v>
      </c>
      <c r="C163" s="19" t="s">
        <v>564</v>
      </c>
      <c r="D163" s="19" t="s">
        <v>564</v>
      </c>
      <c r="E163" s="19" t="s">
        <v>565</v>
      </c>
      <c r="F163" s="19" t="e">
        <f>MATCH(E163,#REF!,0)</f>
        <v>#REF!</v>
      </c>
      <c r="G163" s="19" t="s">
        <v>566</v>
      </c>
      <c r="H163" s="19" t="s">
        <v>24</v>
      </c>
      <c r="I163" s="19"/>
      <c r="J163" s="19" t="s">
        <v>567</v>
      </c>
      <c r="K163" s="19" t="s">
        <v>62</v>
      </c>
      <c r="L163" s="3" t="str">
        <f>HYPERLINK(VLOOKUP(C163,BAPs!$A$2:$C$1048576,3,FALSE),VLOOKUP(C163,BAPs!$A$2:$C$1048576,2,FALSE))</f>
        <v>10 out of 10</v>
      </c>
    </row>
    <row r="164" spans="1:12" hidden="1">
      <c r="A164" s="19" t="s">
        <v>445</v>
      </c>
      <c r="B164" s="19" t="s">
        <v>12</v>
      </c>
      <c r="C164" s="19" t="s">
        <v>568</v>
      </c>
      <c r="D164" s="19" t="s">
        <v>569</v>
      </c>
      <c r="E164" s="19" t="s">
        <v>570</v>
      </c>
      <c r="F164" s="19" t="e">
        <f>MATCH(E164,#REF!,0)</f>
        <v>#REF!</v>
      </c>
      <c r="G164" s="19" t="s">
        <v>571</v>
      </c>
      <c r="H164" s="19" t="s">
        <v>52</v>
      </c>
      <c r="I164" s="19"/>
      <c r="J164" s="19" t="s">
        <v>572</v>
      </c>
      <c r="K164" s="19" t="s">
        <v>62</v>
      </c>
      <c r="L164" s="3" t="str">
        <f>HYPERLINK(VLOOKUP(C164,BAPs!$A$2:$C$1048576,3,FALSE),VLOOKUP(C164,BAPs!$A$2:$C$1048576,2,FALSE))</f>
        <v>9 out of 10</v>
      </c>
    </row>
    <row r="165" spans="1:12" hidden="1">
      <c r="A165" s="19" t="s">
        <v>445</v>
      </c>
      <c r="B165" s="19" t="s">
        <v>12</v>
      </c>
      <c r="C165" s="19" t="s">
        <v>573</v>
      </c>
      <c r="D165" s="19" t="s">
        <v>244</v>
      </c>
      <c r="E165" s="19" t="s">
        <v>245</v>
      </c>
      <c r="F165" s="19" t="e">
        <f>MATCH(E165,#REF!,0)</f>
        <v>#REF!</v>
      </c>
      <c r="G165" s="19" t="s">
        <v>246</v>
      </c>
      <c r="H165" s="19" t="s">
        <v>24</v>
      </c>
      <c r="I165" s="19"/>
      <c r="J165" s="19" t="s">
        <v>574</v>
      </c>
      <c r="K165" s="19" t="s">
        <v>62</v>
      </c>
      <c r="L165" s="3" t="str">
        <f>HYPERLINK(VLOOKUP(C165,BAPs!$A$2:$C$1048576,3,FALSE),VLOOKUP(C165,BAPs!$A$2:$C$1048576,2,FALSE))</f>
        <v>10 out of 10</v>
      </c>
    </row>
    <row r="166" spans="1:12" hidden="1">
      <c r="A166" s="19" t="s">
        <v>445</v>
      </c>
      <c r="B166" s="19" t="s">
        <v>12</v>
      </c>
      <c r="C166" s="19" t="s">
        <v>573</v>
      </c>
      <c r="D166" s="19" t="s">
        <v>573</v>
      </c>
      <c r="E166" s="19" t="s">
        <v>575</v>
      </c>
      <c r="F166" s="19" t="e">
        <f>MATCH(E166,#REF!,0)</f>
        <v>#REF!</v>
      </c>
      <c r="G166" s="19" t="s">
        <v>576</v>
      </c>
      <c r="H166" s="19" t="s">
        <v>17</v>
      </c>
      <c r="I166" s="19"/>
      <c r="J166" s="19" t="s">
        <v>574</v>
      </c>
      <c r="K166" s="19" t="s">
        <v>62</v>
      </c>
      <c r="L166" s="3" t="str">
        <f>HYPERLINK(VLOOKUP(C166,BAPs!$A$2:$C$1048576,3,FALSE),VLOOKUP(C166,BAPs!$A$2:$C$1048576,2,FALSE))</f>
        <v>10 out of 10</v>
      </c>
    </row>
    <row r="167" spans="1:12" hidden="1">
      <c r="A167" s="19" t="s">
        <v>445</v>
      </c>
      <c r="B167" s="19" t="s">
        <v>12</v>
      </c>
      <c r="C167" s="19" t="s">
        <v>573</v>
      </c>
      <c r="D167" s="19" t="s">
        <v>577</v>
      </c>
      <c r="E167" s="19" t="s">
        <v>578</v>
      </c>
      <c r="F167" s="19" t="e">
        <f>MATCH(E167,#REF!,0)</f>
        <v>#REF!</v>
      </c>
      <c r="G167" s="19" t="s">
        <v>579</v>
      </c>
      <c r="H167" s="19" t="s">
        <v>52</v>
      </c>
      <c r="I167" s="19"/>
      <c r="J167" s="19" t="s">
        <v>574</v>
      </c>
      <c r="K167" s="19" t="s">
        <v>62</v>
      </c>
      <c r="L167" s="3" t="str">
        <f>HYPERLINK(VLOOKUP(C167,BAPs!$A$2:$C$1048576,3,FALSE),VLOOKUP(C167,BAPs!$A$2:$C$1048576,2,FALSE))</f>
        <v>10 out of 10</v>
      </c>
    </row>
    <row r="168" spans="1:12" hidden="1">
      <c r="A168" s="19" t="s">
        <v>445</v>
      </c>
      <c r="B168" s="19" t="s">
        <v>12</v>
      </c>
      <c r="C168" s="19" t="s">
        <v>580</v>
      </c>
      <c r="D168" s="19" t="s">
        <v>580</v>
      </c>
      <c r="E168" s="19" t="s">
        <v>581</v>
      </c>
      <c r="F168" s="19" t="e">
        <f>MATCH(E168,#REF!,0)</f>
        <v>#REF!</v>
      </c>
      <c r="G168" s="19" t="s">
        <v>582</v>
      </c>
      <c r="H168" s="19" t="s">
        <v>17</v>
      </c>
      <c r="I168" s="19" t="s">
        <v>18</v>
      </c>
      <c r="J168" s="19" t="s">
        <v>583</v>
      </c>
      <c r="K168" s="19" t="s">
        <v>62</v>
      </c>
      <c r="L168" s="3" t="str">
        <f>HYPERLINK(VLOOKUP(C168,BAPs!$A$2:$C$1048576,3,FALSE),VLOOKUP(C168,BAPs!$A$2:$C$1048576,2,FALSE))</f>
        <v>9 out of 10</v>
      </c>
    </row>
    <row r="169" spans="1:12" hidden="1">
      <c r="A169" s="19" t="s">
        <v>445</v>
      </c>
      <c r="B169" s="19" t="s">
        <v>12</v>
      </c>
      <c r="C169" s="19" t="s">
        <v>584</v>
      </c>
      <c r="D169" s="19" t="s">
        <v>584</v>
      </c>
      <c r="E169" s="19" t="s">
        <v>585</v>
      </c>
      <c r="F169" s="19" t="e">
        <f>MATCH(E169,#REF!,0)</f>
        <v>#REF!</v>
      </c>
      <c r="G169" s="19" t="s">
        <v>586</v>
      </c>
      <c r="H169" s="19" t="s">
        <v>17</v>
      </c>
      <c r="I169" s="19" t="s">
        <v>18</v>
      </c>
      <c r="J169" s="19" t="s">
        <v>587</v>
      </c>
      <c r="K169" s="19" t="s">
        <v>62</v>
      </c>
      <c r="L169" s="3" t="str">
        <f>HYPERLINK(VLOOKUP(C169,BAPs!$A$2:$C$1048576,3,FALSE),VLOOKUP(C169,BAPs!$A$2:$C$1048576,2,FALSE))</f>
        <v>10 out of 10</v>
      </c>
    </row>
    <row r="170" spans="1:12" hidden="1">
      <c r="A170" s="19" t="s">
        <v>445</v>
      </c>
      <c r="B170" s="19" t="s">
        <v>12</v>
      </c>
      <c r="C170" s="19" t="s">
        <v>588</v>
      </c>
      <c r="D170" s="19" t="s">
        <v>588</v>
      </c>
      <c r="E170" s="19" t="s">
        <v>589</v>
      </c>
      <c r="F170" s="19" t="e">
        <f>MATCH(E170,#REF!,0)</f>
        <v>#REF!</v>
      </c>
      <c r="G170" s="19" t="s">
        <v>590</v>
      </c>
      <c r="H170" s="19" t="s">
        <v>84</v>
      </c>
      <c r="I170" s="19"/>
      <c r="J170" s="19" t="s">
        <v>591</v>
      </c>
      <c r="K170" s="19" t="s">
        <v>62</v>
      </c>
      <c r="L170" s="3" t="str">
        <f>HYPERLINK(VLOOKUP(C170,BAPs!$A$2:$C$1048576,3,FALSE),VLOOKUP(C170,BAPs!$A$2:$C$1048576,2,FALSE))</f>
        <v>10 out of 10</v>
      </c>
    </row>
    <row r="171" spans="1:12" hidden="1">
      <c r="A171" s="19" t="s">
        <v>445</v>
      </c>
      <c r="B171" s="19" t="s">
        <v>12</v>
      </c>
      <c r="C171" s="19" t="s">
        <v>588</v>
      </c>
      <c r="D171" s="19" t="s">
        <v>592</v>
      </c>
      <c r="E171" s="19" t="s">
        <v>593</v>
      </c>
      <c r="F171" s="19" t="e">
        <f>MATCH(E171,#REF!,0)</f>
        <v>#REF!</v>
      </c>
      <c r="G171" s="19" t="s">
        <v>594</v>
      </c>
      <c r="H171" s="19" t="s">
        <v>56</v>
      </c>
      <c r="I171" s="19"/>
      <c r="J171" s="19" t="s">
        <v>591</v>
      </c>
      <c r="K171" s="19" t="s">
        <v>62</v>
      </c>
      <c r="L171" s="3" t="str">
        <f>HYPERLINK(VLOOKUP(C171,BAPs!$A$2:$C$1048576,3,FALSE),VLOOKUP(C171,BAPs!$A$2:$C$1048576,2,FALSE))</f>
        <v>10 out of 10</v>
      </c>
    </row>
    <row r="172" spans="1:12" hidden="1">
      <c r="A172" s="19" t="s">
        <v>445</v>
      </c>
      <c r="B172" s="19" t="s">
        <v>12</v>
      </c>
      <c r="C172" s="19" t="s">
        <v>595</v>
      </c>
      <c r="D172" s="19" t="s">
        <v>596</v>
      </c>
      <c r="E172" s="19" t="s">
        <v>597</v>
      </c>
      <c r="F172" s="19" t="e">
        <f>MATCH(E172,#REF!,0)</f>
        <v>#REF!</v>
      </c>
      <c r="G172" s="19" t="s">
        <v>598</v>
      </c>
      <c r="H172" s="19" t="s">
        <v>56</v>
      </c>
      <c r="I172" s="19"/>
      <c r="J172" s="19" t="s">
        <v>599</v>
      </c>
      <c r="K172" s="19" t="s">
        <v>62</v>
      </c>
      <c r="L172" s="3" t="str">
        <f>HYPERLINK(VLOOKUP(C172,BAPs!$A$2:$C$1048576,3,FALSE),VLOOKUP(C172,BAPs!$A$2:$C$1048576,2,FALSE))</f>
        <v>9 out of 10</v>
      </c>
    </row>
    <row r="173" spans="1:12" hidden="1">
      <c r="A173" s="19" t="s">
        <v>445</v>
      </c>
      <c r="B173" s="19" t="s">
        <v>12</v>
      </c>
      <c r="C173" s="19" t="s">
        <v>595</v>
      </c>
      <c r="D173" s="19" t="s">
        <v>600</v>
      </c>
      <c r="E173" s="19" t="s">
        <v>601</v>
      </c>
      <c r="F173" s="19" t="e">
        <f>MATCH(E173,#REF!,0)</f>
        <v>#REF!</v>
      </c>
      <c r="G173" s="19" t="s">
        <v>602</v>
      </c>
      <c r="H173" s="19" t="s">
        <v>84</v>
      </c>
      <c r="I173" s="19"/>
      <c r="J173" s="19" t="s">
        <v>599</v>
      </c>
      <c r="K173" s="19" t="s">
        <v>62</v>
      </c>
      <c r="L173" s="3" t="str">
        <f>HYPERLINK(VLOOKUP(C173,BAPs!$A$2:$C$1048576,3,FALSE),VLOOKUP(C173,BAPs!$A$2:$C$1048576,2,FALSE))</f>
        <v>9 out of 10</v>
      </c>
    </row>
    <row r="174" spans="1:12" hidden="1">
      <c r="A174" s="19" t="s">
        <v>445</v>
      </c>
      <c r="B174" s="19" t="s">
        <v>12</v>
      </c>
      <c r="C174" s="19" t="s">
        <v>595</v>
      </c>
      <c r="D174" s="19" t="s">
        <v>603</v>
      </c>
      <c r="E174" s="19" t="s">
        <v>604</v>
      </c>
      <c r="F174" s="19" t="e">
        <f>MATCH(E174,#REF!,0)</f>
        <v>#REF!</v>
      </c>
      <c r="G174" s="19" t="s">
        <v>605</v>
      </c>
      <c r="H174" s="19" t="s">
        <v>56</v>
      </c>
      <c r="I174" s="19"/>
      <c r="J174" s="19" t="s">
        <v>599</v>
      </c>
      <c r="K174" s="19" t="s">
        <v>62</v>
      </c>
      <c r="L174" s="3" t="str">
        <f>HYPERLINK(VLOOKUP(C174,BAPs!$A$2:$C$1048576,3,FALSE),VLOOKUP(C174,BAPs!$A$2:$C$1048576,2,FALSE))</f>
        <v>9 out of 10</v>
      </c>
    </row>
    <row r="175" spans="1:12" hidden="1">
      <c r="A175" s="19" t="s">
        <v>445</v>
      </c>
      <c r="B175" s="19" t="s">
        <v>12</v>
      </c>
      <c r="C175" s="19" t="s">
        <v>595</v>
      </c>
      <c r="D175" s="19" t="s">
        <v>606</v>
      </c>
      <c r="E175" s="19" t="s">
        <v>607</v>
      </c>
      <c r="F175" s="19" t="e">
        <f>MATCH(E175,#REF!,0)</f>
        <v>#REF!</v>
      </c>
      <c r="G175" s="19" t="s">
        <v>608</v>
      </c>
      <c r="H175" s="19" t="s">
        <v>56</v>
      </c>
      <c r="I175" s="19"/>
      <c r="J175" s="19" t="s">
        <v>599</v>
      </c>
      <c r="K175" s="19" t="s">
        <v>62</v>
      </c>
      <c r="L175" s="3" t="str">
        <f>HYPERLINK(VLOOKUP(C175,BAPs!$A$2:$C$1048576,3,FALSE),VLOOKUP(C175,BAPs!$A$2:$C$1048576,2,FALSE))</f>
        <v>9 out of 10</v>
      </c>
    </row>
    <row r="176" spans="1:12" hidden="1">
      <c r="A176" s="19" t="s">
        <v>445</v>
      </c>
      <c r="B176" s="19" t="s">
        <v>12</v>
      </c>
      <c r="C176" s="19" t="s">
        <v>595</v>
      </c>
      <c r="D176" s="19" t="s">
        <v>609</v>
      </c>
      <c r="E176" s="19" t="s">
        <v>610</v>
      </c>
      <c r="F176" s="19" t="e">
        <f>MATCH(E176,#REF!,0)</f>
        <v>#REF!</v>
      </c>
      <c r="G176" s="19" t="s">
        <v>611</v>
      </c>
      <c r="H176" s="19" t="s">
        <v>56</v>
      </c>
      <c r="I176" s="19"/>
      <c r="J176" s="19" t="s">
        <v>599</v>
      </c>
      <c r="K176" s="19" t="s">
        <v>62</v>
      </c>
      <c r="L176" s="3" t="str">
        <f>HYPERLINK(VLOOKUP(C176,BAPs!$A$2:$C$1048576,3,FALSE),VLOOKUP(C176,BAPs!$A$2:$C$1048576,2,FALSE))</f>
        <v>9 out of 10</v>
      </c>
    </row>
    <row r="177" spans="1:12" hidden="1">
      <c r="A177" s="19" t="s">
        <v>445</v>
      </c>
      <c r="B177" s="19" t="s">
        <v>12</v>
      </c>
      <c r="C177" s="19" t="s">
        <v>612</v>
      </c>
      <c r="D177" s="19" t="s">
        <v>613</v>
      </c>
      <c r="E177" s="19" t="s">
        <v>614</v>
      </c>
      <c r="F177" s="19" t="e">
        <f>MATCH(E177,#REF!,0)</f>
        <v>#REF!</v>
      </c>
      <c r="G177" s="19" t="s">
        <v>615</v>
      </c>
      <c r="H177" s="19" t="s">
        <v>84</v>
      </c>
      <c r="I177" s="19"/>
      <c r="J177" s="19" t="s">
        <v>616</v>
      </c>
      <c r="K177" s="19" t="s">
        <v>20</v>
      </c>
      <c r="L177" s="3" t="str">
        <f>HYPERLINK(VLOOKUP(C177,BAPs!$A$2:$C$1048576,3,FALSE),VLOOKUP(C177,BAPs!$A$2:$C$1048576,2,FALSE))</f>
        <v>8 out of 10</v>
      </c>
    </row>
    <row r="178" spans="1:12" hidden="1">
      <c r="A178" s="19" t="s">
        <v>445</v>
      </c>
      <c r="B178" s="19" t="s">
        <v>12</v>
      </c>
      <c r="C178" s="19" t="s">
        <v>612</v>
      </c>
      <c r="D178" s="19" t="s">
        <v>617</v>
      </c>
      <c r="E178" s="19" t="s">
        <v>618</v>
      </c>
      <c r="F178" s="19" t="e">
        <f>MATCH(E178,#REF!,0)</f>
        <v>#REF!</v>
      </c>
      <c r="G178" s="19" t="s">
        <v>619</v>
      </c>
      <c r="H178" s="19" t="s">
        <v>56</v>
      </c>
      <c r="I178" s="19"/>
      <c r="J178" s="19" t="s">
        <v>616</v>
      </c>
      <c r="K178" s="19" t="s">
        <v>20</v>
      </c>
      <c r="L178" s="3" t="str">
        <f>HYPERLINK(VLOOKUP(C178,BAPs!$A$2:$C$1048576,3,FALSE),VLOOKUP(C178,BAPs!$A$2:$C$1048576,2,FALSE))</f>
        <v>8 out of 10</v>
      </c>
    </row>
    <row r="179" spans="1:12" hidden="1">
      <c r="A179" s="19" t="s">
        <v>445</v>
      </c>
      <c r="B179" s="19" t="s">
        <v>12</v>
      </c>
      <c r="C179" s="19" t="s">
        <v>612</v>
      </c>
      <c r="D179" s="19" t="s">
        <v>620</v>
      </c>
      <c r="E179" s="19" t="s">
        <v>621</v>
      </c>
      <c r="F179" s="19" t="e">
        <f>MATCH(E179,#REF!,0)</f>
        <v>#REF!</v>
      </c>
      <c r="G179" s="19" t="s">
        <v>622</v>
      </c>
      <c r="H179" s="19" t="s">
        <v>56</v>
      </c>
      <c r="I179" s="19"/>
      <c r="J179" s="19" t="s">
        <v>616</v>
      </c>
      <c r="K179" s="19" t="s">
        <v>20</v>
      </c>
      <c r="L179" s="3" t="str">
        <f>HYPERLINK(VLOOKUP(C179,BAPs!$A$2:$C$1048576,3,FALSE),VLOOKUP(C179,BAPs!$A$2:$C$1048576,2,FALSE))</f>
        <v>8 out of 10</v>
      </c>
    </row>
    <row r="180" spans="1:12" hidden="1">
      <c r="A180" s="19" t="s">
        <v>445</v>
      </c>
      <c r="B180" s="19" t="s">
        <v>12</v>
      </c>
      <c r="C180" s="19" t="s">
        <v>612</v>
      </c>
      <c r="D180" s="19" t="s">
        <v>623</v>
      </c>
      <c r="E180" s="19" t="s">
        <v>624</v>
      </c>
      <c r="F180" s="19" t="e">
        <f>MATCH(E180,#REF!,0)</f>
        <v>#REF!</v>
      </c>
      <c r="G180" s="19" t="s">
        <v>625</v>
      </c>
      <c r="H180" s="19" t="s">
        <v>56</v>
      </c>
      <c r="I180" s="19"/>
      <c r="J180" s="19" t="s">
        <v>616</v>
      </c>
      <c r="K180" s="19" t="s">
        <v>20</v>
      </c>
      <c r="L180" s="3" t="str">
        <f>HYPERLINK(VLOOKUP(C180,BAPs!$A$2:$C$1048576,3,FALSE),VLOOKUP(C180,BAPs!$A$2:$C$1048576,2,FALSE))</f>
        <v>8 out of 10</v>
      </c>
    </row>
    <row r="181" spans="1:12" hidden="1">
      <c r="A181" s="19" t="s">
        <v>445</v>
      </c>
      <c r="B181" s="19" t="s">
        <v>12</v>
      </c>
      <c r="C181" s="19" t="s">
        <v>612</v>
      </c>
      <c r="D181" s="19" t="s">
        <v>626</v>
      </c>
      <c r="E181" s="19" t="s">
        <v>627</v>
      </c>
      <c r="F181" s="19" t="e">
        <f>MATCH(E181,#REF!,0)</f>
        <v>#REF!</v>
      </c>
      <c r="G181" s="19" t="s">
        <v>628</v>
      </c>
      <c r="H181" s="19" t="s">
        <v>56</v>
      </c>
      <c r="I181" s="19"/>
      <c r="J181" s="19" t="s">
        <v>616</v>
      </c>
      <c r="K181" s="19" t="s">
        <v>20</v>
      </c>
      <c r="L181" s="3" t="str">
        <f>HYPERLINK(VLOOKUP(C181,BAPs!$A$2:$C$1048576,3,FALSE),VLOOKUP(C181,BAPs!$A$2:$C$1048576,2,FALSE))</f>
        <v>8 out of 10</v>
      </c>
    </row>
    <row r="182" spans="1:12" hidden="1">
      <c r="A182" s="19" t="s">
        <v>445</v>
      </c>
      <c r="B182" s="19" t="s">
        <v>12</v>
      </c>
      <c r="C182" s="19" t="s">
        <v>612</v>
      </c>
      <c r="D182" s="19" t="s">
        <v>629</v>
      </c>
      <c r="E182" s="19" t="s">
        <v>630</v>
      </c>
      <c r="F182" s="19" t="e">
        <f>MATCH(E182,#REF!,0)</f>
        <v>#REF!</v>
      </c>
      <c r="G182" s="19" t="s">
        <v>631</v>
      </c>
      <c r="H182" s="19" t="s">
        <v>56</v>
      </c>
      <c r="I182" s="19"/>
      <c r="J182" s="19" t="s">
        <v>616</v>
      </c>
      <c r="K182" s="19" t="s">
        <v>20</v>
      </c>
      <c r="L182" s="3" t="str">
        <f>HYPERLINK(VLOOKUP(C182,BAPs!$A$2:$C$1048576,3,FALSE),VLOOKUP(C182,BAPs!$A$2:$C$1048576,2,FALSE))</f>
        <v>8 out of 10</v>
      </c>
    </row>
    <row r="183" spans="1:12" hidden="1">
      <c r="A183" s="19" t="s">
        <v>445</v>
      </c>
      <c r="B183" s="19" t="s">
        <v>12</v>
      </c>
      <c r="C183" s="19" t="s">
        <v>632</v>
      </c>
      <c r="D183" s="19" t="s">
        <v>40</v>
      </c>
      <c r="E183" s="19" t="s">
        <v>41</v>
      </c>
      <c r="F183" s="19" t="e">
        <f>MATCH(E183,#REF!,0)</f>
        <v>#REF!</v>
      </c>
      <c r="G183" s="19" t="s">
        <v>42</v>
      </c>
      <c r="H183" s="19" t="s">
        <v>43</v>
      </c>
      <c r="I183" s="19" t="s">
        <v>18</v>
      </c>
      <c r="J183" s="19" t="s">
        <v>633</v>
      </c>
      <c r="K183" s="19" t="s">
        <v>20</v>
      </c>
      <c r="L183" s="3" t="str">
        <f>HYPERLINK(VLOOKUP(C183,BAPs!$A$2:$C$1048576,3,FALSE),VLOOKUP(C183,BAPs!$A$2:$C$1048576,2,FALSE))</f>
        <v>6 out of 10</v>
      </c>
    </row>
    <row r="184" spans="1:12" hidden="1">
      <c r="A184" s="19" t="s">
        <v>445</v>
      </c>
      <c r="B184" s="19" t="s">
        <v>12</v>
      </c>
      <c r="C184" s="19" t="s">
        <v>632</v>
      </c>
      <c r="D184" s="19" t="s">
        <v>634</v>
      </c>
      <c r="E184" s="19" t="s">
        <v>635</v>
      </c>
      <c r="F184" s="19" t="e">
        <f>MATCH(E184,#REF!,0)</f>
        <v>#REF!</v>
      </c>
      <c r="G184" s="19" t="s">
        <v>636</v>
      </c>
      <c r="H184" s="19" t="s">
        <v>56</v>
      </c>
      <c r="I184" s="19"/>
      <c r="J184" s="19" t="s">
        <v>633</v>
      </c>
      <c r="K184" s="19" t="s">
        <v>20</v>
      </c>
      <c r="L184" s="3" t="str">
        <f>HYPERLINK(VLOOKUP(C184,BAPs!$A$2:$C$1048576,3,FALSE),VLOOKUP(C184,BAPs!$A$2:$C$1048576,2,FALSE))</f>
        <v>6 out of 10</v>
      </c>
    </row>
    <row r="185" spans="1:12" hidden="1">
      <c r="A185" s="19" t="s">
        <v>445</v>
      </c>
      <c r="B185" s="19" t="s">
        <v>12</v>
      </c>
      <c r="C185" s="19" t="s">
        <v>632</v>
      </c>
      <c r="D185" s="19" t="s">
        <v>637</v>
      </c>
      <c r="E185" s="19" t="s">
        <v>638</v>
      </c>
      <c r="F185" s="19" t="e">
        <f>MATCH(E185,#REF!,0)</f>
        <v>#REF!</v>
      </c>
      <c r="G185" s="19" t="s">
        <v>639</v>
      </c>
      <c r="H185" s="19" t="s">
        <v>56</v>
      </c>
      <c r="I185" s="19"/>
      <c r="J185" s="19" t="s">
        <v>633</v>
      </c>
      <c r="K185" s="19" t="s">
        <v>20</v>
      </c>
      <c r="L185" s="3" t="str">
        <f>HYPERLINK(VLOOKUP(C185,BAPs!$A$2:$C$1048576,3,FALSE),VLOOKUP(C185,BAPs!$A$2:$C$1048576,2,FALSE))</f>
        <v>6 out of 10</v>
      </c>
    </row>
    <row r="186" spans="1:12" hidden="1">
      <c r="A186" s="19" t="s">
        <v>445</v>
      </c>
      <c r="B186" s="19" t="s">
        <v>12</v>
      </c>
      <c r="C186" s="19" t="s">
        <v>632</v>
      </c>
      <c r="D186" s="19" t="s">
        <v>632</v>
      </c>
      <c r="E186" s="19" t="s">
        <v>640</v>
      </c>
      <c r="F186" s="19" t="e">
        <f>MATCH(E186,#REF!,0)</f>
        <v>#REF!</v>
      </c>
      <c r="G186" s="19" t="s">
        <v>641</v>
      </c>
      <c r="H186" s="19" t="s">
        <v>56</v>
      </c>
      <c r="I186" s="19"/>
      <c r="J186" s="19" t="s">
        <v>633</v>
      </c>
      <c r="K186" s="19" t="s">
        <v>20</v>
      </c>
      <c r="L186" s="3" t="str">
        <f>HYPERLINK(VLOOKUP(C186,BAPs!$A$2:$C$1048576,3,FALSE),VLOOKUP(C186,BAPs!$A$2:$C$1048576,2,FALSE))</f>
        <v>6 out of 10</v>
      </c>
    </row>
    <row r="187" spans="1:12" hidden="1">
      <c r="A187" s="19" t="s">
        <v>445</v>
      </c>
      <c r="B187" s="19" t="s">
        <v>12</v>
      </c>
      <c r="C187" s="19" t="s">
        <v>632</v>
      </c>
      <c r="D187" s="19" t="s">
        <v>592</v>
      </c>
      <c r="E187" s="19" t="s">
        <v>593</v>
      </c>
      <c r="F187" s="19" t="e">
        <f>MATCH(E187,#REF!,0)</f>
        <v>#REF!</v>
      </c>
      <c r="G187" s="19" t="s">
        <v>594</v>
      </c>
      <c r="H187" s="19" t="s">
        <v>56</v>
      </c>
      <c r="I187" s="19"/>
      <c r="J187" s="19" t="s">
        <v>633</v>
      </c>
      <c r="K187" s="19" t="s">
        <v>20</v>
      </c>
      <c r="L187" s="3" t="str">
        <f>HYPERLINK(VLOOKUP(C187,BAPs!$A$2:$C$1048576,3,FALSE),VLOOKUP(C187,BAPs!$A$2:$C$1048576,2,FALSE))</f>
        <v>6 out of 10</v>
      </c>
    </row>
    <row r="188" spans="1:12" hidden="1">
      <c r="A188" s="19" t="s">
        <v>445</v>
      </c>
      <c r="B188" s="19" t="s">
        <v>12</v>
      </c>
      <c r="C188" s="19" t="s">
        <v>642</v>
      </c>
      <c r="D188" s="19" t="s">
        <v>642</v>
      </c>
      <c r="E188" s="19" t="s">
        <v>643</v>
      </c>
      <c r="F188" s="19" t="e">
        <f>MATCH(E188,#REF!,0)</f>
        <v>#REF!</v>
      </c>
      <c r="G188" s="19" t="s">
        <v>644</v>
      </c>
      <c r="H188" s="19" t="s">
        <v>56</v>
      </c>
      <c r="I188" s="19"/>
      <c r="J188" s="19" t="s">
        <v>645</v>
      </c>
      <c r="K188" s="19" t="s">
        <v>20</v>
      </c>
      <c r="L188" s="3" t="str">
        <f>HYPERLINK(VLOOKUP(C188,BAPs!$A$2:$C$1048576,3,FALSE),VLOOKUP(C188,BAPs!$A$2:$C$1048576,2,FALSE))</f>
        <v>4 out of 10</v>
      </c>
    </row>
    <row r="189" spans="1:12" hidden="1">
      <c r="A189" s="19" t="s">
        <v>445</v>
      </c>
      <c r="B189" s="19" t="s">
        <v>12</v>
      </c>
      <c r="C189" s="19" t="s">
        <v>646</v>
      </c>
      <c r="D189" s="19" t="s">
        <v>647</v>
      </c>
      <c r="E189" s="19" t="s">
        <v>648</v>
      </c>
      <c r="F189" s="19" t="e">
        <f>MATCH(E189,#REF!,0)</f>
        <v>#REF!</v>
      </c>
      <c r="G189" s="19" t="s">
        <v>649</v>
      </c>
      <c r="H189" s="19" t="s">
        <v>56</v>
      </c>
      <c r="I189" s="19"/>
      <c r="J189" s="19" t="s">
        <v>650</v>
      </c>
      <c r="K189" s="19" t="s">
        <v>20</v>
      </c>
      <c r="L189" s="3" t="str">
        <f>HYPERLINK(VLOOKUP(C189,BAPs!$A$2:$C$1048576,3,FALSE),VLOOKUP(C189,BAPs!$A$2:$C$1048576,2,FALSE))</f>
        <v>6 out of 10</v>
      </c>
    </row>
    <row r="190" spans="1:12" hidden="1">
      <c r="A190" s="19" t="s">
        <v>445</v>
      </c>
      <c r="B190" s="19" t="s">
        <v>12</v>
      </c>
      <c r="C190" s="19" t="s">
        <v>646</v>
      </c>
      <c r="D190" s="19" t="s">
        <v>651</v>
      </c>
      <c r="E190" s="19" t="s">
        <v>652</v>
      </c>
      <c r="F190" s="19" t="e">
        <f>MATCH(E190,#REF!,0)</f>
        <v>#REF!</v>
      </c>
      <c r="G190" s="19" t="s">
        <v>653</v>
      </c>
      <c r="H190" s="19" t="s">
        <v>56</v>
      </c>
      <c r="I190" s="19"/>
      <c r="J190" s="19" t="s">
        <v>650</v>
      </c>
      <c r="K190" s="19" t="s">
        <v>20</v>
      </c>
      <c r="L190" s="3" t="str">
        <f>HYPERLINK(VLOOKUP(C190,BAPs!$A$2:$C$1048576,3,FALSE),VLOOKUP(C190,BAPs!$A$2:$C$1048576,2,FALSE))</f>
        <v>6 out of 10</v>
      </c>
    </row>
    <row r="191" spans="1:12" hidden="1">
      <c r="A191" s="19" t="s">
        <v>445</v>
      </c>
      <c r="B191" s="19" t="s">
        <v>12</v>
      </c>
      <c r="C191" s="19" t="s">
        <v>646</v>
      </c>
      <c r="D191" s="19" t="s">
        <v>654</v>
      </c>
      <c r="E191" s="19" t="s">
        <v>655</v>
      </c>
      <c r="F191" s="19" t="e">
        <f>MATCH(E191,#REF!,0)</f>
        <v>#REF!</v>
      </c>
      <c r="G191" s="19" t="s">
        <v>656</v>
      </c>
      <c r="H191" s="19" t="s">
        <v>56</v>
      </c>
      <c r="I191" s="19"/>
      <c r="J191" s="19" t="s">
        <v>650</v>
      </c>
      <c r="K191" s="19" t="s">
        <v>20</v>
      </c>
      <c r="L191" s="3" t="str">
        <f>HYPERLINK(VLOOKUP(C191,BAPs!$A$2:$C$1048576,3,FALSE),VLOOKUP(C191,BAPs!$A$2:$C$1048576,2,FALSE))</f>
        <v>6 out of 10</v>
      </c>
    </row>
    <row r="192" spans="1:12" hidden="1">
      <c r="A192" s="19" t="s">
        <v>445</v>
      </c>
      <c r="B192" s="19" t="s">
        <v>12</v>
      </c>
      <c r="C192" s="19" t="s">
        <v>646</v>
      </c>
      <c r="D192" s="19" t="s">
        <v>657</v>
      </c>
      <c r="E192" s="19" t="s">
        <v>658</v>
      </c>
      <c r="F192" s="19" t="e">
        <f>MATCH(E192,#REF!,0)</f>
        <v>#REF!</v>
      </c>
      <c r="G192" s="19" t="s">
        <v>659</v>
      </c>
      <c r="H192" s="19" t="s">
        <v>56</v>
      </c>
      <c r="I192" s="19"/>
      <c r="J192" s="19" t="s">
        <v>650</v>
      </c>
      <c r="K192" s="19" t="s">
        <v>20</v>
      </c>
      <c r="L192" s="3" t="str">
        <f>HYPERLINK(VLOOKUP(C192,BAPs!$A$2:$C$1048576,3,FALSE),VLOOKUP(C192,BAPs!$A$2:$C$1048576,2,FALSE))</f>
        <v>6 out of 10</v>
      </c>
    </row>
    <row r="193" spans="1:12" hidden="1">
      <c r="A193" s="19" t="s">
        <v>445</v>
      </c>
      <c r="B193" s="19" t="s">
        <v>12</v>
      </c>
      <c r="C193" s="19" t="s">
        <v>646</v>
      </c>
      <c r="D193" s="19" t="s">
        <v>660</v>
      </c>
      <c r="E193" s="19" t="s">
        <v>661</v>
      </c>
      <c r="F193" s="19" t="e">
        <f>MATCH(E193,#REF!,0)</f>
        <v>#REF!</v>
      </c>
      <c r="G193" s="19" t="s">
        <v>662</v>
      </c>
      <c r="H193" s="19" t="s">
        <v>56</v>
      </c>
      <c r="I193" s="19"/>
      <c r="J193" s="19" t="s">
        <v>650</v>
      </c>
      <c r="K193" s="19" t="s">
        <v>20</v>
      </c>
      <c r="L193" s="3" t="str">
        <f>HYPERLINK(VLOOKUP(C193,BAPs!$A$2:$C$1048576,3,FALSE),VLOOKUP(C193,BAPs!$A$2:$C$1048576,2,FALSE))</f>
        <v>6 out of 10</v>
      </c>
    </row>
    <row r="194" spans="1:12" hidden="1">
      <c r="A194" s="19" t="s">
        <v>445</v>
      </c>
      <c r="B194" s="19" t="s">
        <v>12</v>
      </c>
      <c r="C194" s="19" t="s">
        <v>646</v>
      </c>
      <c r="D194" s="19" t="s">
        <v>663</v>
      </c>
      <c r="E194" s="19" t="s">
        <v>664</v>
      </c>
      <c r="F194" s="19" t="e">
        <f>MATCH(E194,#REF!,0)</f>
        <v>#REF!</v>
      </c>
      <c r="G194" s="19" t="s">
        <v>665</v>
      </c>
      <c r="H194" s="19" t="s">
        <v>56</v>
      </c>
      <c r="I194" s="19"/>
      <c r="J194" s="19" t="s">
        <v>650</v>
      </c>
      <c r="K194" s="19" t="s">
        <v>20</v>
      </c>
      <c r="L194" s="3" t="str">
        <f>HYPERLINK(VLOOKUP(C194,BAPs!$A$2:$C$1048576,3,FALSE),VLOOKUP(C194,BAPs!$A$2:$C$1048576,2,FALSE))</f>
        <v>6 out of 10</v>
      </c>
    </row>
    <row r="195" spans="1:12" hidden="1">
      <c r="A195" s="19" t="s">
        <v>445</v>
      </c>
      <c r="B195" s="19" t="s">
        <v>12</v>
      </c>
      <c r="C195" s="19" t="s">
        <v>646</v>
      </c>
      <c r="D195" s="19" t="s">
        <v>666</v>
      </c>
      <c r="E195" s="19" t="s">
        <v>667</v>
      </c>
      <c r="F195" s="19" t="e">
        <f>MATCH(E195,#REF!,0)</f>
        <v>#REF!</v>
      </c>
      <c r="G195" s="19" t="s">
        <v>668</v>
      </c>
      <c r="H195" s="19" t="s">
        <v>56</v>
      </c>
      <c r="I195" s="19"/>
      <c r="J195" s="19" t="s">
        <v>650</v>
      </c>
      <c r="K195" s="19" t="s">
        <v>20</v>
      </c>
      <c r="L195" s="3" t="str">
        <f>HYPERLINK(VLOOKUP(C195,BAPs!$A$2:$C$1048576,3,FALSE),VLOOKUP(C195,BAPs!$A$2:$C$1048576,2,FALSE))</f>
        <v>6 out of 10</v>
      </c>
    </row>
    <row r="196" spans="1:12" hidden="1">
      <c r="A196" s="19" t="s">
        <v>445</v>
      </c>
      <c r="B196" s="19" t="s">
        <v>12</v>
      </c>
      <c r="C196" s="19" t="s">
        <v>669</v>
      </c>
      <c r="D196" s="19" t="s">
        <v>670</v>
      </c>
      <c r="E196" s="19" t="s">
        <v>671</v>
      </c>
      <c r="F196" s="19" t="e">
        <f>MATCH(E196,#REF!,0)</f>
        <v>#REF!</v>
      </c>
      <c r="G196" s="19" t="s">
        <v>672</v>
      </c>
      <c r="H196" s="19" t="s">
        <v>56</v>
      </c>
      <c r="I196" s="19"/>
      <c r="J196" s="19" t="s">
        <v>673</v>
      </c>
      <c r="K196" s="19" t="s">
        <v>20</v>
      </c>
      <c r="L196" s="3" t="str">
        <f>HYPERLINK(VLOOKUP(C196,BAPs!$A$2:$C$1048576,3,FALSE),VLOOKUP(C196,BAPs!$A$2:$C$1048576,2,FALSE))</f>
        <v>5 out of 10</v>
      </c>
    </row>
    <row r="197" spans="1:12" hidden="1">
      <c r="A197" s="19" t="s">
        <v>445</v>
      </c>
      <c r="B197" s="19" t="s">
        <v>12</v>
      </c>
      <c r="C197" s="19" t="s">
        <v>669</v>
      </c>
      <c r="D197" s="19" t="s">
        <v>674</v>
      </c>
      <c r="E197" s="19" t="s">
        <v>675</v>
      </c>
      <c r="F197" s="19" t="e">
        <f>MATCH(E197,#REF!,0)</f>
        <v>#REF!</v>
      </c>
      <c r="G197" s="19" t="s">
        <v>676</v>
      </c>
      <c r="H197" s="19" t="s">
        <v>56</v>
      </c>
      <c r="I197" s="19"/>
      <c r="J197" s="19" t="s">
        <v>673</v>
      </c>
      <c r="K197" s="19" t="s">
        <v>20</v>
      </c>
      <c r="L197" s="3" t="str">
        <f>HYPERLINK(VLOOKUP(C197,BAPs!$A$2:$C$1048576,3,FALSE),VLOOKUP(C197,BAPs!$A$2:$C$1048576,2,FALSE))</f>
        <v>5 out of 10</v>
      </c>
    </row>
    <row r="198" spans="1:12" hidden="1">
      <c r="A198" s="19" t="s">
        <v>445</v>
      </c>
      <c r="B198" s="19" t="s">
        <v>12</v>
      </c>
      <c r="C198" s="19" t="s">
        <v>669</v>
      </c>
      <c r="D198" s="19" t="s">
        <v>677</v>
      </c>
      <c r="E198" s="19" t="s">
        <v>678</v>
      </c>
      <c r="F198" s="19" t="e">
        <f>MATCH(E198,#REF!,0)</f>
        <v>#REF!</v>
      </c>
      <c r="G198" s="19" t="s">
        <v>679</v>
      </c>
      <c r="H198" s="19" t="s">
        <v>56</v>
      </c>
      <c r="I198" s="19"/>
      <c r="J198" s="19" t="s">
        <v>673</v>
      </c>
      <c r="K198" s="19" t="s">
        <v>20</v>
      </c>
      <c r="L198" s="3" t="str">
        <f>HYPERLINK(VLOOKUP(C198,BAPs!$A$2:$C$1048576,3,FALSE),VLOOKUP(C198,BAPs!$A$2:$C$1048576,2,FALSE))</f>
        <v>5 out of 10</v>
      </c>
    </row>
    <row r="199" spans="1:12" hidden="1">
      <c r="A199" s="19" t="s">
        <v>445</v>
      </c>
      <c r="B199" s="19" t="s">
        <v>12</v>
      </c>
      <c r="C199" s="19" t="s">
        <v>680</v>
      </c>
      <c r="D199" s="19" t="s">
        <v>681</v>
      </c>
      <c r="E199" s="19" t="s">
        <v>682</v>
      </c>
      <c r="F199" s="19" t="e">
        <f>MATCH(E199,#REF!,0)</f>
        <v>#REF!</v>
      </c>
      <c r="G199" s="19" t="s">
        <v>683</v>
      </c>
      <c r="H199" s="19" t="s">
        <v>17</v>
      </c>
      <c r="I199" s="19" t="s">
        <v>18</v>
      </c>
      <c r="J199" s="19" t="s">
        <v>684</v>
      </c>
      <c r="K199" s="19" t="s">
        <v>20</v>
      </c>
      <c r="L199" s="3" t="str">
        <f>HYPERLINK(VLOOKUP(C199,BAPs!$A$2:$C$1048576,3,FALSE),VLOOKUP(C199,BAPs!$A$2:$C$1048576,2,FALSE))</f>
        <v>1 out of 10</v>
      </c>
    </row>
    <row r="200" spans="1:12" hidden="1">
      <c r="A200" s="19" t="s">
        <v>445</v>
      </c>
      <c r="B200" s="19" t="s">
        <v>12</v>
      </c>
      <c r="C200" s="19" t="s">
        <v>685</v>
      </c>
      <c r="D200" s="19" t="s">
        <v>686</v>
      </c>
      <c r="E200" s="19" t="s">
        <v>687</v>
      </c>
      <c r="F200" s="19" t="e">
        <f>MATCH(E200,#REF!,0)</f>
        <v>#REF!</v>
      </c>
      <c r="G200" s="19" t="s">
        <v>688</v>
      </c>
      <c r="H200" s="19" t="s">
        <v>17</v>
      </c>
      <c r="I200" s="19" t="s">
        <v>18</v>
      </c>
      <c r="J200" s="19" t="s">
        <v>689</v>
      </c>
      <c r="K200" s="19" t="s">
        <v>62</v>
      </c>
      <c r="L200" s="3" t="str">
        <f>HYPERLINK(VLOOKUP(C200,BAPs!$A$2:$C$1048576,3,FALSE),VLOOKUP(C200,BAPs!$A$2:$C$1048576,2,FALSE))</f>
        <v>9 out of 10</v>
      </c>
    </row>
    <row r="201" spans="1:12" hidden="1">
      <c r="A201" s="19" t="s">
        <v>445</v>
      </c>
      <c r="B201" s="19" t="s">
        <v>12</v>
      </c>
      <c r="C201" s="19" t="s">
        <v>690</v>
      </c>
      <c r="D201" s="19" t="s">
        <v>691</v>
      </c>
      <c r="E201" s="19" t="s">
        <v>692</v>
      </c>
      <c r="F201" s="19" t="e">
        <f>MATCH(E201,#REF!,0)</f>
        <v>#REF!</v>
      </c>
      <c r="G201" s="19" t="s">
        <v>693</v>
      </c>
      <c r="H201" s="19" t="s">
        <v>17</v>
      </c>
      <c r="I201" s="19"/>
      <c r="J201" s="19" t="s">
        <v>694</v>
      </c>
      <c r="K201" s="19" t="s">
        <v>20</v>
      </c>
      <c r="L201" s="3" t="str">
        <f>HYPERLINK(VLOOKUP(C201,BAPs!$A$2:$C$1048576,3,FALSE),VLOOKUP(C201,BAPs!$A$2:$C$1048576,2,FALSE))</f>
        <v>1 out of 10</v>
      </c>
    </row>
    <row r="202" spans="1:12" hidden="1">
      <c r="A202" s="19" t="s">
        <v>445</v>
      </c>
      <c r="B202" s="19" t="s">
        <v>12</v>
      </c>
      <c r="C202" s="19" t="s">
        <v>695</v>
      </c>
      <c r="D202" s="19" t="s">
        <v>696</v>
      </c>
      <c r="E202" s="19" t="s">
        <v>697</v>
      </c>
      <c r="F202" s="19" t="e">
        <f>MATCH(E202,#REF!,0)</f>
        <v>#REF!</v>
      </c>
      <c r="G202" s="19" t="s">
        <v>698</v>
      </c>
      <c r="H202" s="19" t="s">
        <v>52</v>
      </c>
      <c r="I202" s="19"/>
      <c r="J202" s="19" t="s">
        <v>699</v>
      </c>
      <c r="K202" s="19" t="s">
        <v>62</v>
      </c>
      <c r="L202" s="3" t="str">
        <f>HYPERLINK(VLOOKUP(C202,BAPs!$A$2:$C$1048576,3,FALSE),VLOOKUP(C202,BAPs!$A$2:$C$1048576,2,FALSE))</f>
        <v>9 out of 10</v>
      </c>
    </row>
    <row r="203" spans="1:12">
      <c r="A203" s="19" t="s">
        <v>445</v>
      </c>
      <c r="B203" s="19" t="s">
        <v>12</v>
      </c>
      <c r="C203" s="19" t="s">
        <v>700</v>
      </c>
      <c r="D203" s="19" t="s">
        <v>701</v>
      </c>
      <c r="E203" s="19" t="s">
        <v>702</v>
      </c>
      <c r="F203" s="19" t="e">
        <f>MATCH(E203,#REF!,0)</f>
        <v>#REF!</v>
      </c>
      <c r="G203" s="19" t="s">
        <v>703</v>
      </c>
      <c r="H203" s="19" t="s">
        <v>17</v>
      </c>
      <c r="I203" s="19"/>
      <c r="J203" s="19" t="s">
        <v>704</v>
      </c>
      <c r="K203" s="19" t="s">
        <v>20</v>
      </c>
      <c r="L203" s="3" t="str">
        <f>HYPERLINK(VLOOKUP(C203,BAPs!$A$2:$C$1048576,3,FALSE),VLOOKUP(C203,BAPs!$A$2:$C$1048576,2,FALSE))</f>
        <v>5 out of 10</v>
      </c>
    </row>
    <row r="204" spans="1:12" hidden="1">
      <c r="A204" s="19" t="s">
        <v>445</v>
      </c>
      <c r="B204" s="19" t="s">
        <v>12</v>
      </c>
      <c r="C204" s="19" t="s">
        <v>705</v>
      </c>
      <c r="D204" s="19" t="s">
        <v>706</v>
      </c>
      <c r="E204" s="19" t="s">
        <v>707</v>
      </c>
      <c r="F204" s="19" t="e">
        <f>MATCH(E204,#REF!,0)</f>
        <v>#REF!</v>
      </c>
      <c r="G204" s="19" t="s">
        <v>708</v>
      </c>
      <c r="H204" s="19" t="s">
        <v>56</v>
      </c>
      <c r="I204" s="19"/>
      <c r="J204" s="19" t="s">
        <v>709</v>
      </c>
      <c r="K204" s="19" t="s">
        <v>62</v>
      </c>
      <c r="L204" s="3" t="str">
        <f>HYPERLINK(VLOOKUP(C204,BAPs!$A$2:$C$1048576,3,FALSE),VLOOKUP(C204,BAPs!$A$2:$C$1048576,2,FALSE))</f>
        <v>10 out of 10</v>
      </c>
    </row>
    <row r="205" spans="1:12" hidden="1">
      <c r="A205" s="19" t="s">
        <v>710</v>
      </c>
      <c r="B205" s="19" t="s">
        <v>12</v>
      </c>
      <c r="C205" s="19" t="s">
        <v>711</v>
      </c>
      <c r="D205" s="19" t="s">
        <v>711</v>
      </c>
      <c r="E205" s="19" t="s">
        <v>712</v>
      </c>
      <c r="F205" s="19" t="e">
        <f>MATCH(E205,#REF!,0)</f>
        <v>#REF!</v>
      </c>
      <c r="G205" s="19" t="s">
        <v>713</v>
      </c>
      <c r="H205" s="19" t="s">
        <v>24</v>
      </c>
      <c r="I205" s="19" t="s">
        <v>18</v>
      </c>
      <c r="J205" s="19" t="s">
        <v>714</v>
      </c>
      <c r="K205" s="19" t="s">
        <v>62</v>
      </c>
      <c r="L205" s="3" t="str">
        <f>HYPERLINK(VLOOKUP(C205,BAPs!$A$2:$C$1048576,3,FALSE),VLOOKUP(C205,BAPs!$A$2:$C$1048576,2,FALSE))</f>
        <v>9 out of 10</v>
      </c>
    </row>
    <row r="206" spans="1:12" hidden="1">
      <c r="A206" s="19" t="s">
        <v>710</v>
      </c>
      <c r="B206" s="19" t="s">
        <v>12</v>
      </c>
      <c r="C206" s="19" t="s">
        <v>715</v>
      </c>
      <c r="D206" s="19" t="s">
        <v>715</v>
      </c>
      <c r="E206" s="19" t="s">
        <v>716</v>
      </c>
      <c r="F206" s="19" t="e">
        <f>MATCH(E206,#REF!,0)</f>
        <v>#REF!</v>
      </c>
      <c r="G206" s="19" t="s">
        <v>717</v>
      </c>
      <c r="H206" s="19" t="s">
        <v>17</v>
      </c>
      <c r="I206" s="19" t="s">
        <v>18</v>
      </c>
      <c r="J206" s="19" t="s">
        <v>718</v>
      </c>
      <c r="K206" s="19" t="s">
        <v>20</v>
      </c>
      <c r="L206" s="3" t="str">
        <f>HYPERLINK(VLOOKUP(C206,BAPs!$A$2:$C$1048576,3,FALSE),VLOOKUP(C206,BAPs!$A$2:$C$1048576,2,FALSE))</f>
        <v>4 out of 10</v>
      </c>
    </row>
    <row r="207" spans="1:12" hidden="1">
      <c r="A207" s="19" t="s">
        <v>710</v>
      </c>
      <c r="B207" s="19" t="s">
        <v>12</v>
      </c>
      <c r="C207" s="19" t="s">
        <v>719</v>
      </c>
      <c r="D207" s="19" t="s">
        <v>719</v>
      </c>
      <c r="E207" s="19" t="s">
        <v>720</v>
      </c>
      <c r="F207" s="19" t="e">
        <f>MATCH(E207,#REF!,0)</f>
        <v>#REF!</v>
      </c>
      <c r="G207" s="19" t="s">
        <v>721</v>
      </c>
      <c r="H207" s="19" t="s">
        <v>24</v>
      </c>
      <c r="I207" s="19"/>
      <c r="J207" s="19" t="s">
        <v>722</v>
      </c>
      <c r="K207" s="19" t="s">
        <v>62</v>
      </c>
      <c r="L207" s="3" t="str">
        <f>HYPERLINK(VLOOKUP(C207,BAPs!$A$2:$C$1048576,3,FALSE),VLOOKUP(C207,BAPs!$A$2:$C$1048576,2,FALSE))</f>
        <v>9 out of 10</v>
      </c>
    </row>
    <row r="208" spans="1:12" hidden="1">
      <c r="A208" s="19" t="s">
        <v>710</v>
      </c>
      <c r="B208" s="19" t="s">
        <v>12</v>
      </c>
      <c r="C208" s="19" t="s">
        <v>723</v>
      </c>
      <c r="D208" s="19" t="s">
        <v>723</v>
      </c>
      <c r="E208" s="19" t="s">
        <v>724</v>
      </c>
      <c r="F208" s="19" t="e">
        <f>MATCH(E208,#REF!,0)</f>
        <v>#REF!</v>
      </c>
      <c r="G208" s="19" t="s">
        <v>725</v>
      </c>
      <c r="H208" s="19" t="s">
        <v>17</v>
      </c>
      <c r="I208" s="19" t="s">
        <v>18</v>
      </c>
      <c r="J208" s="19" t="s">
        <v>726</v>
      </c>
      <c r="K208" s="19" t="s">
        <v>62</v>
      </c>
      <c r="L208" s="3" t="str">
        <f>HYPERLINK(VLOOKUP(C208,BAPs!$A$2:$C$1048576,3,FALSE),VLOOKUP(C208,BAPs!$A$2:$C$1048576,2,FALSE))</f>
        <v>10 out of 10</v>
      </c>
    </row>
    <row r="209" spans="1:12" hidden="1">
      <c r="A209" s="19" t="s">
        <v>710</v>
      </c>
      <c r="B209" s="19" t="s">
        <v>12</v>
      </c>
      <c r="C209" s="19" t="s">
        <v>727</v>
      </c>
      <c r="D209" s="19" t="s">
        <v>727</v>
      </c>
      <c r="E209" s="19" t="s">
        <v>728</v>
      </c>
      <c r="F209" s="19" t="e">
        <f>MATCH(E209,#REF!,0)</f>
        <v>#REF!</v>
      </c>
      <c r="G209" s="19" t="s">
        <v>729</v>
      </c>
      <c r="H209" s="19" t="s">
        <v>17</v>
      </c>
      <c r="I209" s="19" t="s">
        <v>18</v>
      </c>
      <c r="J209" s="19" t="s">
        <v>730</v>
      </c>
      <c r="K209" s="19" t="s">
        <v>62</v>
      </c>
      <c r="L209" s="3" t="str">
        <f>HYPERLINK(VLOOKUP(C209,BAPs!$A$2:$C$1048576,3,FALSE),VLOOKUP(C209,BAPs!$A$2:$C$1048576,2,FALSE))</f>
        <v>9 out of 10</v>
      </c>
    </row>
    <row r="210" spans="1:12" hidden="1">
      <c r="A210" s="19" t="s">
        <v>710</v>
      </c>
      <c r="B210" s="19" t="s">
        <v>12</v>
      </c>
      <c r="C210" s="19" t="s">
        <v>731</v>
      </c>
      <c r="D210" s="19" t="s">
        <v>731</v>
      </c>
      <c r="E210" s="19" t="s">
        <v>732</v>
      </c>
      <c r="F210" s="19" t="e">
        <f>MATCH(E210,#REF!,0)</f>
        <v>#REF!</v>
      </c>
      <c r="G210" s="19" t="s">
        <v>733</v>
      </c>
      <c r="H210" s="19" t="s">
        <v>17</v>
      </c>
      <c r="I210" s="19" t="s">
        <v>18</v>
      </c>
      <c r="J210" s="19" t="s">
        <v>734</v>
      </c>
      <c r="K210" s="19" t="s">
        <v>20</v>
      </c>
      <c r="L210" s="3" t="str">
        <f>HYPERLINK(VLOOKUP(C210,BAPs!$A$2:$C$1048576,3,FALSE),VLOOKUP(C210,BAPs!$A$2:$C$1048576,2,FALSE))</f>
        <v>6 out of 10</v>
      </c>
    </row>
    <row r="211" spans="1:12" hidden="1">
      <c r="A211" s="19" t="s">
        <v>710</v>
      </c>
      <c r="B211" s="19" t="s">
        <v>12</v>
      </c>
      <c r="C211" s="19" t="s">
        <v>735</v>
      </c>
      <c r="D211" s="19" t="s">
        <v>735</v>
      </c>
      <c r="E211" s="19" t="s">
        <v>736</v>
      </c>
      <c r="F211" s="19" t="e">
        <f>MATCH(E211,#REF!,0)</f>
        <v>#REF!</v>
      </c>
      <c r="G211" s="19" t="s">
        <v>737</v>
      </c>
      <c r="H211" s="19" t="s">
        <v>17</v>
      </c>
      <c r="I211" s="19" t="s">
        <v>18</v>
      </c>
      <c r="J211" s="19" t="s">
        <v>738</v>
      </c>
      <c r="K211" s="19" t="s">
        <v>62</v>
      </c>
      <c r="L211" s="3" t="str">
        <f>HYPERLINK(VLOOKUP(C211,BAPs!$A$2:$C$1048576,3,FALSE),VLOOKUP(C211,BAPs!$A$2:$C$1048576,2,FALSE))</f>
        <v>10 out of 10</v>
      </c>
    </row>
    <row r="212" spans="1:12" hidden="1">
      <c r="A212" s="19" t="s">
        <v>710</v>
      </c>
      <c r="B212" s="19" t="s">
        <v>12</v>
      </c>
      <c r="C212" s="19" t="s">
        <v>739</v>
      </c>
      <c r="D212" s="19" t="s">
        <v>740</v>
      </c>
      <c r="E212" s="19" t="s">
        <v>741</v>
      </c>
      <c r="F212" s="19" t="e">
        <f>MATCH(E212,#REF!,0)</f>
        <v>#REF!</v>
      </c>
      <c r="G212" s="19" t="s">
        <v>742</v>
      </c>
      <c r="H212" s="19" t="s">
        <v>17</v>
      </c>
      <c r="I212" s="19" t="s">
        <v>18</v>
      </c>
      <c r="J212" s="19" t="s">
        <v>743</v>
      </c>
      <c r="K212" s="19" t="s">
        <v>20</v>
      </c>
      <c r="L212" s="3" t="str">
        <f>HYPERLINK(VLOOKUP(C212,BAPs!$A$2:$C$1048576,3,FALSE),VLOOKUP(C212,BAPs!$A$2:$C$1048576,2,FALSE))</f>
        <v>1 out of 10</v>
      </c>
    </row>
    <row r="213" spans="1:12" hidden="1">
      <c r="A213" s="19" t="s">
        <v>710</v>
      </c>
      <c r="B213" s="19" t="s">
        <v>12</v>
      </c>
      <c r="C213" s="19" t="s">
        <v>739</v>
      </c>
      <c r="D213" s="19" t="s">
        <v>739</v>
      </c>
      <c r="E213" s="19" t="s">
        <v>744</v>
      </c>
      <c r="F213" s="19" t="e">
        <f>MATCH(E213,#REF!,0)</f>
        <v>#REF!</v>
      </c>
      <c r="G213" s="19" t="s">
        <v>745</v>
      </c>
      <c r="H213" s="19" t="s">
        <v>17</v>
      </c>
      <c r="I213" s="19" t="s">
        <v>18</v>
      </c>
      <c r="J213" s="19" t="s">
        <v>743</v>
      </c>
      <c r="K213" s="19" t="s">
        <v>20</v>
      </c>
      <c r="L213" s="3" t="str">
        <f>HYPERLINK(VLOOKUP(C213,BAPs!$A$2:$C$1048576,3,FALSE),VLOOKUP(C213,BAPs!$A$2:$C$1048576,2,FALSE))</f>
        <v>1 out of 10</v>
      </c>
    </row>
    <row r="214" spans="1:12" hidden="1">
      <c r="A214" s="19" t="s">
        <v>710</v>
      </c>
      <c r="B214" s="19" t="s">
        <v>12</v>
      </c>
      <c r="C214" s="19" t="s">
        <v>739</v>
      </c>
      <c r="D214" s="19" t="s">
        <v>746</v>
      </c>
      <c r="E214" s="19" t="s">
        <v>747</v>
      </c>
      <c r="F214" s="19" t="e">
        <f>MATCH(E214,#REF!,0)</f>
        <v>#REF!</v>
      </c>
      <c r="G214" s="19" t="s">
        <v>748</v>
      </c>
      <c r="H214" s="19" t="s">
        <v>17</v>
      </c>
      <c r="I214" s="19" t="s">
        <v>18</v>
      </c>
      <c r="J214" s="19" t="s">
        <v>743</v>
      </c>
      <c r="K214" s="19" t="s">
        <v>20</v>
      </c>
      <c r="L214" s="3" t="str">
        <f>HYPERLINK(VLOOKUP(C214,BAPs!$A$2:$C$1048576,3,FALSE),VLOOKUP(C214,BAPs!$A$2:$C$1048576,2,FALSE))</f>
        <v>1 out of 10</v>
      </c>
    </row>
    <row r="215" spans="1:12" hidden="1">
      <c r="A215" s="19" t="s">
        <v>710</v>
      </c>
      <c r="B215" s="19" t="s">
        <v>12</v>
      </c>
      <c r="C215" s="19" t="s">
        <v>749</v>
      </c>
      <c r="D215" s="19" t="s">
        <v>750</v>
      </c>
      <c r="E215" s="19" t="s">
        <v>751</v>
      </c>
      <c r="F215" s="19" t="e">
        <f>MATCH(E215,#REF!,0)</f>
        <v>#REF!</v>
      </c>
      <c r="G215" s="19" t="s">
        <v>752</v>
      </c>
      <c r="H215" s="19" t="s">
        <v>52</v>
      </c>
      <c r="I215" s="19"/>
      <c r="J215" s="19" t="s">
        <v>753</v>
      </c>
      <c r="K215" s="19" t="s">
        <v>20</v>
      </c>
      <c r="L215" s="3" t="str">
        <f>HYPERLINK(VLOOKUP(C215,BAPs!$A$2:$C$1048576,3,FALSE),VLOOKUP(C215,BAPs!$A$2:$C$1048576,2,FALSE))</f>
        <v>5 out of 10</v>
      </c>
    </row>
    <row r="216" spans="1:12" hidden="1">
      <c r="A216" s="19" t="s">
        <v>710</v>
      </c>
      <c r="B216" s="19" t="s">
        <v>12</v>
      </c>
      <c r="C216" s="19" t="s">
        <v>749</v>
      </c>
      <c r="D216" s="19" t="s">
        <v>754</v>
      </c>
      <c r="E216" s="19" t="s">
        <v>755</v>
      </c>
      <c r="F216" s="19" t="e">
        <f>MATCH(E216,#REF!,0)</f>
        <v>#REF!</v>
      </c>
      <c r="G216" s="19" t="s">
        <v>756</v>
      </c>
      <c r="H216" s="19" t="s">
        <v>52</v>
      </c>
      <c r="I216" s="19"/>
      <c r="J216" s="19" t="s">
        <v>753</v>
      </c>
      <c r="K216" s="19" t="s">
        <v>20</v>
      </c>
      <c r="L216" s="3" t="str">
        <f>HYPERLINK(VLOOKUP(C216,BAPs!$A$2:$C$1048576,3,FALSE),VLOOKUP(C216,BAPs!$A$2:$C$1048576,2,FALSE))</f>
        <v>5 out of 10</v>
      </c>
    </row>
    <row r="217" spans="1:12" hidden="1">
      <c r="A217" s="19" t="s">
        <v>710</v>
      </c>
      <c r="B217" s="19" t="s">
        <v>12</v>
      </c>
      <c r="C217" s="19" t="s">
        <v>757</v>
      </c>
      <c r="D217" s="19" t="s">
        <v>757</v>
      </c>
      <c r="E217" s="19" t="s">
        <v>758</v>
      </c>
      <c r="F217" s="19" t="e">
        <f>MATCH(E217,#REF!,0)</f>
        <v>#REF!</v>
      </c>
      <c r="G217" s="19" t="s">
        <v>759</v>
      </c>
      <c r="H217" s="19" t="s">
        <v>52</v>
      </c>
      <c r="I217" s="19"/>
      <c r="J217" s="19" t="s">
        <v>760</v>
      </c>
      <c r="K217" s="19" t="s">
        <v>20</v>
      </c>
      <c r="L217" s="3" t="str">
        <f>HYPERLINK(VLOOKUP(C217,BAPs!$A$2:$C$1048576,3,FALSE),VLOOKUP(C217,BAPs!$A$2:$C$1048576,2,FALSE))</f>
        <v>8 out of 10</v>
      </c>
    </row>
    <row r="218" spans="1:12" hidden="1">
      <c r="A218" s="19" t="s">
        <v>710</v>
      </c>
      <c r="B218" s="19" t="s">
        <v>12</v>
      </c>
      <c r="C218" s="19" t="s">
        <v>757</v>
      </c>
      <c r="D218" s="19" t="s">
        <v>761</v>
      </c>
      <c r="E218" s="19" t="s">
        <v>762</v>
      </c>
      <c r="F218" s="19" t="e">
        <f>MATCH(E218,#REF!,0)</f>
        <v>#REF!</v>
      </c>
      <c r="G218" s="19" t="s">
        <v>763</v>
      </c>
      <c r="H218" s="19" t="s">
        <v>17</v>
      </c>
      <c r="I218" s="19" t="s">
        <v>18</v>
      </c>
      <c r="J218" s="19" t="s">
        <v>760</v>
      </c>
      <c r="K218" s="19" t="s">
        <v>20</v>
      </c>
      <c r="L218" s="3" t="str">
        <f>HYPERLINK(VLOOKUP(C218,BAPs!$A$2:$C$1048576,3,FALSE),VLOOKUP(C218,BAPs!$A$2:$C$1048576,2,FALSE))</f>
        <v>8 out of 10</v>
      </c>
    </row>
    <row r="219" spans="1:12" hidden="1">
      <c r="A219" s="19" t="s">
        <v>710</v>
      </c>
      <c r="B219" s="19" t="s">
        <v>12</v>
      </c>
      <c r="C219" s="19" t="s">
        <v>764</v>
      </c>
      <c r="D219" s="19" t="s">
        <v>764</v>
      </c>
      <c r="E219" s="19" t="s">
        <v>765</v>
      </c>
      <c r="F219" s="19" t="e">
        <f>MATCH(E219,#REF!,0)</f>
        <v>#REF!</v>
      </c>
      <c r="G219" s="19" t="s">
        <v>766</v>
      </c>
      <c r="H219" s="19" t="s">
        <v>52</v>
      </c>
      <c r="I219" s="19"/>
      <c r="J219" s="19" t="s">
        <v>767</v>
      </c>
      <c r="K219" s="19" t="s">
        <v>20</v>
      </c>
      <c r="L219" s="3" t="str">
        <f>HYPERLINK(VLOOKUP(C219,BAPs!$A$2:$C$1048576,3,FALSE),VLOOKUP(C219,BAPs!$A$2:$C$1048576,2,FALSE))</f>
        <v>3 out of 10</v>
      </c>
    </row>
    <row r="220" spans="1:12" hidden="1">
      <c r="A220" s="19" t="s">
        <v>710</v>
      </c>
      <c r="B220" s="19" t="s">
        <v>12</v>
      </c>
      <c r="C220" s="19" t="s">
        <v>764</v>
      </c>
      <c r="D220" s="19" t="s">
        <v>768</v>
      </c>
      <c r="E220" s="19" t="s">
        <v>769</v>
      </c>
      <c r="F220" s="19" t="e">
        <f>MATCH(E220,#REF!,0)</f>
        <v>#REF!</v>
      </c>
      <c r="G220" s="19" t="s">
        <v>770</v>
      </c>
      <c r="H220" s="19" t="s">
        <v>17</v>
      </c>
      <c r="I220" s="19"/>
      <c r="J220" s="19" t="s">
        <v>767</v>
      </c>
      <c r="K220" s="19" t="s">
        <v>20</v>
      </c>
      <c r="L220" s="3" t="str">
        <f>HYPERLINK(VLOOKUP(C220,BAPs!$A$2:$C$1048576,3,FALSE),VLOOKUP(C220,BAPs!$A$2:$C$1048576,2,FALSE))</f>
        <v>3 out of 10</v>
      </c>
    </row>
    <row r="221" spans="1:12" hidden="1">
      <c r="A221" s="19" t="s">
        <v>710</v>
      </c>
      <c r="B221" s="19" t="s">
        <v>12</v>
      </c>
      <c r="C221" s="19" t="s">
        <v>764</v>
      </c>
      <c r="D221" s="19" t="s">
        <v>771</v>
      </c>
      <c r="E221" s="19" t="s">
        <v>772</v>
      </c>
      <c r="F221" s="19" t="e">
        <f>MATCH(E221,#REF!,0)</f>
        <v>#REF!</v>
      </c>
      <c r="G221" s="19" t="s">
        <v>773</v>
      </c>
      <c r="H221" s="19" t="s">
        <v>52</v>
      </c>
      <c r="I221" s="19"/>
      <c r="J221" s="19" t="s">
        <v>767</v>
      </c>
      <c r="K221" s="19" t="s">
        <v>20</v>
      </c>
      <c r="L221" s="3" t="str">
        <f>HYPERLINK(VLOOKUP(C221,BAPs!$A$2:$C$1048576,3,FALSE),VLOOKUP(C221,BAPs!$A$2:$C$1048576,2,FALSE))</f>
        <v>3 out of 10</v>
      </c>
    </row>
    <row r="222" spans="1:12" hidden="1">
      <c r="A222" s="19" t="s">
        <v>710</v>
      </c>
      <c r="B222" s="19" t="s">
        <v>12</v>
      </c>
      <c r="C222" s="19" t="s">
        <v>774</v>
      </c>
      <c r="D222" s="19" t="s">
        <v>774</v>
      </c>
      <c r="E222" s="19" t="s">
        <v>775</v>
      </c>
      <c r="F222" s="19" t="e">
        <f>MATCH(E222,#REF!,0)</f>
        <v>#REF!</v>
      </c>
      <c r="G222" s="19" t="s">
        <v>776</v>
      </c>
      <c r="H222" s="19" t="s">
        <v>17</v>
      </c>
      <c r="I222" s="19" t="s">
        <v>18</v>
      </c>
      <c r="J222" s="19" t="s">
        <v>777</v>
      </c>
      <c r="K222" s="19" t="s">
        <v>62</v>
      </c>
      <c r="L222" s="3" t="str">
        <f>HYPERLINK(VLOOKUP(C222,BAPs!$A$2:$C$1048576,3,FALSE),VLOOKUP(C222,BAPs!$A$2:$C$1048576,2,FALSE))</f>
        <v>9 out of 10</v>
      </c>
    </row>
    <row r="223" spans="1:12" hidden="1">
      <c r="A223" s="19" t="s">
        <v>710</v>
      </c>
      <c r="B223" s="19" t="s">
        <v>12</v>
      </c>
      <c r="C223" s="19" t="s">
        <v>774</v>
      </c>
      <c r="D223" s="19" t="s">
        <v>778</v>
      </c>
      <c r="E223" s="19" t="s">
        <v>779</v>
      </c>
      <c r="F223" s="19" t="e">
        <f>MATCH(E223,#REF!,0)</f>
        <v>#REF!</v>
      </c>
      <c r="G223" s="19" t="s">
        <v>780</v>
      </c>
      <c r="H223" s="19" t="s">
        <v>17</v>
      </c>
      <c r="I223" s="19" t="s">
        <v>18</v>
      </c>
      <c r="J223" s="19" t="s">
        <v>777</v>
      </c>
      <c r="K223" s="19" t="s">
        <v>62</v>
      </c>
      <c r="L223" s="3" t="str">
        <f>HYPERLINK(VLOOKUP(C223,BAPs!$A$2:$C$1048576,3,FALSE),VLOOKUP(C223,BAPs!$A$2:$C$1048576,2,FALSE))</f>
        <v>9 out of 10</v>
      </c>
    </row>
    <row r="224" spans="1:12" hidden="1">
      <c r="A224" s="19" t="s">
        <v>710</v>
      </c>
      <c r="B224" s="19" t="s">
        <v>12</v>
      </c>
      <c r="C224" s="19" t="s">
        <v>781</v>
      </c>
      <c r="D224" s="19" t="s">
        <v>781</v>
      </c>
      <c r="E224" s="19" t="s">
        <v>782</v>
      </c>
      <c r="F224" s="19" t="e">
        <f>MATCH(E224,#REF!,0)</f>
        <v>#REF!</v>
      </c>
      <c r="G224" s="19" t="s">
        <v>783</v>
      </c>
      <c r="H224" s="19" t="s">
        <v>17</v>
      </c>
      <c r="I224" s="19" t="s">
        <v>18</v>
      </c>
      <c r="J224" s="19" t="s">
        <v>784</v>
      </c>
      <c r="K224" s="19" t="s">
        <v>20</v>
      </c>
      <c r="L224" s="3" t="str">
        <f>HYPERLINK(VLOOKUP(C224,BAPs!$A$2:$C$1048576,3,FALSE),VLOOKUP(C224,BAPs!$A$2:$C$1048576,2,FALSE))</f>
        <v>8 out of 10</v>
      </c>
    </row>
    <row r="225" spans="1:12" hidden="1">
      <c r="A225" s="19" t="s">
        <v>710</v>
      </c>
      <c r="B225" s="19" t="s">
        <v>12</v>
      </c>
      <c r="C225" s="19" t="s">
        <v>781</v>
      </c>
      <c r="D225" s="19" t="s">
        <v>40</v>
      </c>
      <c r="E225" s="19" t="s">
        <v>41</v>
      </c>
      <c r="F225" s="19" t="e">
        <f>MATCH(E225,#REF!,0)</f>
        <v>#REF!</v>
      </c>
      <c r="G225" s="19" t="s">
        <v>42</v>
      </c>
      <c r="H225" s="19" t="s">
        <v>43</v>
      </c>
      <c r="I225" s="19" t="s">
        <v>18</v>
      </c>
      <c r="J225" s="19" t="s">
        <v>784</v>
      </c>
      <c r="K225" s="19" t="s">
        <v>20</v>
      </c>
      <c r="L225" s="3" t="str">
        <f>HYPERLINK(VLOOKUP(C225,BAPs!$A$2:$C$1048576,3,FALSE),VLOOKUP(C225,BAPs!$A$2:$C$1048576,2,FALSE))</f>
        <v>8 out of 10</v>
      </c>
    </row>
    <row r="226" spans="1:12" hidden="1">
      <c r="A226" s="19" t="s">
        <v>710</v>
      </c>
      <c r="B226" s="19" t="s">
        <v>12</v>
      </c>
      <c r="C226" s="19" t="s">
        <v>781</v>
      </c>
      <c r="D226" s="19" t="s">
        <v>785</v>
      </c>
      <c r="E226" s="19" t="s">
        <v>786</v>
      </c>
      <c r="F226" s="19" t="e">
        <f>MATCH(E226,#REF!,0)</f>
        <v>#REF!</v>
      </c>
      <c r="G226" s="19" t="s">
        <v>787</v>
      </c>
      <c r="H226" s="19" t="s">
        <v>84</v>
      </c>
      <c r="I226" s="19"/>
      <c r="J226" s="19" t="s">
        <v>784</v>
      </c>
      <c r="K226" s="19" t="s">
        <v>20</v>
      </c>
      <c r="L226" s="3" t="str">
        <f>HYPERLINK(VLOOKUP(C226,BAPs!$A$2:$C$1048576,3,FALSE),VLOOKUP(C226,BAPs!$A$2:$C$1048576,2,FALSE))</f>
        <v>8 out of 10</v>
      </c>
    </row>
    <row r="227" spans="1:12" hidden="1">
      <c r="A227" s="19" t="s">
        <v>710</v>
      </c>
      <c r="B227" s="19" t="s">
        <v>12</v>
      </c>
      <c r="C227" s="19" t="s">
        <v>788</v>
      </c>
      <c r="D227" s="19" t="s">
        <v>788</v>
      </c>
      <c r="E227" s="19" t="s">
        <v>789</v>
      </c>
      <c r="F227" s="19" t="e">
        <f>MATCH(E227,#REF!,0)</f>
        <v>#REF!</v>
      </c>
      <c r="G227" s="19" t="s">
        <v>790</v>
      </c>
      <c r="H227" s="19" t="s">
        <v>17</v>
      </c>
      <c r="I227" s="19" t="s">
        <v>18</v>
      </c>
      <c r="J227" s="19" t="s">
        <v>791</v>
      </c>
      <c r="K227" s="19" t="s">
        <v>62</v>
      </c>
      <c r="L227" s="3" t="str">
        <f>HYPERLINK(VLOOKUP(C227,BAPs!$A$2:$C$1048576,3,FALSE),VLOOKUP(C227,BAPs!$A$2:$C$1048576,2,FALSE))</f>
        <v>10 out of 10</v>
      </c>
    </row>
    <row r="228" spans="1:12" hidden="1">
      <c r="A228" s="19" t="s">
        <v>710</v>
      </c>
      <c r="B228" s="19" t="s">
        <v>12</v>
      </c>
      <c r="C228" s="19" t="s">
        <v>792</v>
      </c>
      <c r="D228" s="19" t="s">
        <v>792</v>
      </c>
      <c r="E228" s="19" t="s">
        <v>793</v>
      </c>
      <c r="F228" s="19" t="e">
        <f>MATCH(E228,#REF!,0)</f>
        <v>#REF!</v>
      </c>
      <c r="G228" s="19" t="s">
        <v>794</v>
      </c>
      <c r="H228" s="19" t="s">
        <v>17</v>
      </c>
      <c r="I228" s="19" t="s">
        <v>18</v>
      </c>
      <c r="J228" s="19" t="s">
        <v>795</v>
      </c>
      <c r="K228" s="19" t="s">
        <v>20</v>
      </c>
      <c r="L228" s="3" t="str">
        <f>HYPERLINK(VLOOKUP(C228,BAPs!$A$2:$C$1048576,3,FALSE),VLOOKUP(C228,BAPs!$A$2:$C$1048576,2,FALSE))</f>
        <v>8 out of 10</v>
      </c>
    </row>
    <row r="229" spans="1:12" hidden="1">
      <c r="A229" s="19" t="s">
        <v>710</v>
      </c>
      <c r="B229" s="19" t="s">
        <v>12</v>
      </c>
      <c r="C229" s="19" t="s">
        <v>792</v>
      </c>
      <c r="D229" s="19" t="s">
        <v>778</v>
      </c>
      <c r="E229" s="19" t="s">
        <v>779</v>
      </c>
      <c r="F229" s="19" t="e">
        <f>MATCH(E229,#REF!,0)</f>
        <v>#REF!</v>
      </c>
      <c r="G229" s="19" t="s">
        <v>780</v>
      </c>
      <c r="H229" s="19" t="s">
        <v>17</v>
      </c>
      <c r="I229" s="19" t="s">
        <v>18</v>
      </c>
      <c r="J229" s="19" t="s">
        <v>795</v>
      </c>
      <c r="K229" s="19" t="s">
        <v>20</v>
      </c>
      <c r="L229" s="3" t="str">
        <f>HYPERLINK(VLOOKUP(C229,BAPs!$A$2:$C$1048576,3,FALSE),VLOOKUP(C229,BAPs!$A$2:$C$1048576,2,FALSE))</f>
        <v>8 out of 10</v>
      </c>
    </row>
    <row r="230" spans="1:12" hidden="1">
      <c r="A230" s="19" t="s">
        <v>710</v>
      </c>
      <c r="B230" s="19" t="s">
        <v>12</v>
      </c>
      <c r="C230" s="19" t="s">
        <v>796</v>
      </c>
      <c r="D230" s="19" t="s">
        <v>796</v>
      </c>
      <c r="E230" s="19" t="s">
        <v>797</v>
      </c>
      <c r="F230" s="19" t="e">
        <f>MATCH(E230,#REF!,0)</f>
        <v>#REF!</v>
      </c>
      <c r="G230" s="19" t="s">
        <v>798</v>
      </c>
      <c r="H230" s="19" t="s">
        <v>52</v>
      </c>
      <c r="I230" s="19"/>
      <c r="J230" s="19" t="s">
        <v>799</v>
      </c>
      <c r="K230" s="19" t="s">
        <v>62</v>
      </c>
      <c r="L230" s="3" t="str">
        <f>HYPERLINK(VLOOKUP(C230,BAPs!$A$2:$C$1048576,3,FALSE),VLOOKUP(C230,BAPs!$A$2:$C$1048576,2,FALSE))</f>
        <v>9 out of 10</v>
      </c>
    </row>
    <row r="231" spans="1:12" hidden="1">
      <c r="A231" s="19" t="s">
        <v>710</v>
      </c>
      <c r="B231" s="19" t="s">
        <v>12</v>
      </c>
      <c r="C231" s="19" t="s">
        <v>800</v>
      </c>
      <c r="D231" s="19" t="s">
        <v>801</v>
      </c>
      <c r="E231" s="19" t="s">
        <v>802</v>
      </c>
      <c r="F231" s="19" t="e">
        <f>MATCH(E231,#REF!,0)</f>
        <v>#REF!</v>
      </c>
      <c r="G231" s="19" t="s">
        <v>803</v>
      </c>
      <c r="H231" s="19" t="s">
        <v>84</v>
      </c>
      <c r="I231" s="19"/>
      <c r="J231" s="19" t="s">
        <v>804</v>
      </c>
      <c r="K231" s="19" t="s">
        <v>20</v>
      </c>
      <c r="L231" s="3" t="str">
        <f>HYPERLINK(VLOOKUP(C231,BAPs!$A$2:$C$1048576,3,FALSE),VLOOKUP(C231,BAPs!$A$2:$C$1048576,2,FALSE))</f>
        <v>4 out of 10</v>
      </c>
    </row>
    <row r="232" spans="1:12" hidden="1">
      <c r="A232" s="19" t="s">
        <v>710</v>
      </c>
      <c r="B232" s="19" t="s">
        <v>12</v>
      </c>
      <c r="C232" s="19" t="s">
        <v>800</v>
      </c>
      <c r="D232" s="19" t="s">
        <v>800</v>
      </c>
      <c r="E232" s="19" t="s">
        <v>805</v>
      </c>
      <c r="F232" s="19" t="e">
        <f>MATCH(E232,#REF!,0)</f>
        <v>#REF!</v>
      </c>
      <c r="G232" s="19" t="s">
        <v>806</v>
      </c>
      <c r="H232" s="19" t="s">
        <v>52</v>
      </c>
      <c r="I232" s="19"/>
      <c r="J232" s="19" t="s">
        <v>804</v>
      </c>
      <c r="K232" s="19" t="s">
        <v>20</v>
      </c>
      <c r="L232" s="3" t="str">
        <f>HYPERLINK(VLOOKUP(C232,BAPs!$A$2:$C$1048576,3,FALSE),VLOOKUP(C232,BAPs!$A$2:$C$1048576,2,FALSE))</f>
        <v>4 out of 10</v>
      </c>
    </row>
    <row r="233" spans="1:12" hidden="1">
      <c r="A233" s="19" t="s">
        <v>710</v>
      </c>
      <c r="B233" s="19" t="s">
        <v>12</v>
      </c>
      <c r="C233" s="19" t="s">
        <v>807</v>
      </c>
      <c r="D233" s="19" t="s">
        <v>807</v>
      </c>
      <c r="E233" s="19" t="s">
        <v>808</v>
      </c>
      <c r="F233" s="19" t="e">
        <f>MATCH(E233,#REF!,0)</f>
        <v>#REF!</v>
      </c>
      <c r="G233" s="19" t="s">
        <v>809</v>
      </c>
      <c r="H233" s="19" t="s">
        <v>17</v>
      </c>
      <c r="I233" s="19" t="s">
        <v>18</v>
      </c>
      <c r="J233" s="19" t="s">
        <v>810</v>
      </c>
      <c r="K233" s="19" t="s">
        <v>62</v>
      </c>
      <c r="L233" s="3" t="str">
        <f>HYPERLINK(VLOOKUP(C233,BAPs!$A$2:$C$1048576,3,FALSE),VLOOKUP(C233,BAPs!$A$2:$C$1048576,2,FALSE))</f>
        <v>10 out of 10</v>
      </c>
    </row>
    <row r="234" spans="1:12" hidden="1">
      <c r="A234" s="19" t="s">
        <v>710</v>
      </c>
      <c r="B234" s="19" t="s">
        <v>12</v>
      </c>
      <c r="C234" s="19" t="s">
        <v>807</v>
      </c>
      <c r="D234" s="19" t="s">
        <v>811</v>
      </c>
      <c r="E234" s="19" t="s">
        <v>812</v>
      </c>
      <c r="F234" s="19" t="e">
        <f>MATCH(E234,#REF!,0)</f>
        <v>#REF!</v>
      </c>
      <c r="G234" s="19" t="s">
        <v>813</v>
      </c>
      <c r="H234" s="19" t="s">
        <v>52</v>
      </c>
      <c r="I234" s="19"/>
      <c r="J234" s="19" t="s">
        <v>810</v>
      </c>
      <c r="K234" s="19" t="s">
        <v>62</v>
      </c>
      <c r="L234" s="3" t="str">
        <f>HYPERLINK(VLOOKUP(C234,BAPs!$A$2:$C$1048576,3,FALSE),VLOOKUP(C234,BAPs!$A$2:$C$1048576,2,FALSE))</f>
        <v>10 out of 10</v>
      </c>
    </row>
    <row r="235" spans="1:12" hidden="1">
      <c r="A235" s="19" t="s">
        <v>710</v>
      </c>
      <c r="B235" s="19" t="s">
        <v>12</v>
      </c>
      <c r="C235" s="19" t="s">
        <v>807</v>
      </c>
      <c r="D235" s="19" t="s">
        <v>364</v>
      </c>
      <c r="E235" s="19" t="s">
        <v>365</v>
      </c>
      <c r="F235" s="19" t="e">
        <f>MATCH(E235,#REF!,0)</f>
        <v>#REF!</v>
      </c>
      <c r="G235" s="19" t="s">
        <v>366</v>
      </c>
      <c r="H235" s="19" t="s">
        <v>43</v>
      </c>
      <c r="I235" s="19"/>
      <c r="J235" s="19" t="s">
        <v>810</v>
      </c>
      <c r="K235" s="19" t="s">
        <v>62</v>
      </c>
      <c r="L235" s="3" t="str">
        <f>HYPERLINK(VLOOKUP(C235,BAPs!$A$2:$C$1048576,3,FALSE),VLOOKUP(C235,BAPs!$A$2:$C$1048576,2,FALSE))</f>
        <v>10 out of 10</v>
      </c>
    </row>
    <row r="236" spans="1:12" hidden="1">
      <c r="A236" s="19" t="s">
        <v>710</v>
      </c>
      <c r="B236" s="19" t="s">
        <v>12</v>
      </c>
      <c r="C236" s="19" t="s">
        <v>814</v>
      </c>
      <c r="D236" s="19" t="s">
        <v>40</v>
      </c>
      <c r="E236" s="19" t="s">
        <v>41</v>
      </c>
      <c r="F236" s="19" t="e">
        <f>MATCH(E236,#REF!,0)</f>
        <v>#REF!</v>
      </c>
      <c r="G236" s="19" t="s">
        <v>42</v>
      </c>
      <c r="H236" s="19" t="s">
        <v>43</v>
      </c>
      <c r="I236" s="19" t="s">
        <v>18</v>
      </c>
      <c r="J236" s="19" t="s">
        <v>815</v>
      </c>
      <c r="K236" s="19" t="s">
        <v>62</v>
      </c>
      <c r="L236" s="3" t="str">
        <f>HYPERLINK(VLOOKUP(C236,BAPs!$A$2:$C$1048576,3,FALSE),VLOOKUP(C236,BAPs!$A$2:$C$1048576,2,FALSE))</f>
        <v>10 out of 10</v>
      </c>
    </row>
    <row r="237" spans="1:12" hidden="1">
      <c r="A237" s="19" t="s">
        <v>710</v>
      </c>
      <c r="B237" s="19" t="s">
        <v>12</v>
      </c>
      <c r="C237" s="19" t="s">
        <v>814</v>
      </c>
      <c r="D237" s="19" t="s">
        <v>814</v>
      </c>
      <c r="E237" s="19" t="s">
        <v>816</v>
      </c>
      <c r="F237" s="19" t="e">
        <f>MATCH(E237,#REF!,0)</f>
        <v>#REF!</v>
      </c>
      <c r="G237" s="19" t="s">
        <v>817</v>
      </c>
      <c r="H237" s="19" t="s">
        <v>24</v>
      </c>
      <c r="I237" s="19"/>
      <c r="J237" s="19" t="s">
        <v>815</v>
      </c>
      <c r="K237" s="19" t="s">
        <v>62</v>
      </c>
      <c r="L237" s="3" t="str">
        <f>HYPERLINK(VLOOKUP(C237,BAPs!$A$2:$C$1048576,3,FALSE),VLOOKUP(C237,BAPs!$A$2:$C$1048576,2,FALSE))</f>
        <v>10 out of 10</v>
      </c>
    </row>
    <row r="238" spans="1:12" hidden="1">
      <c r="A238" s="19" t="s">
        <v>710</v>
      </c>
      <c r="B238" s="19" t="s">
        <v>12</v>
      </c>
      <c r="C238" s="19" t="s">
        <v>818</v>
      </c>
      <c r="D238" s="19" t="s">
        <v>819</v>
      </c>
      <c r="E238" s="19" t="s">
        <v>820</v>
      </c>
      <c r="F238" s="19" t="e">
        <f>MATCH(E238,#REF!,0)</f>
        <v>#REF!</v>
      </c>
      <c r="G238" s="19" t="s">
        <v>821</v>
      </c>
      <c r="H238" s="19" t="s">
        <v>17</v>
      </c>
      <c r="I238" s="19" t="s">
        <v>18</v>
      </c>
      <c r="J238" s="19" t="s">
        <v>822</v>
      </c>
      <c r="K238" s="19" t="s">
        <v>62</v>
      </c>
      <c r="L238" s="3" t="str">
        <f>HYPERLINK(VLOOKUP(C238,BAPs!$A$2:$C$1048576,3,FALSE),VLOOKUP(C238,BAPs!$A$2:$C$1048576,2,FALSE))</f>
        <v>10 out of 10</v>
      </c>
    </row>
    <row r="239" spans="1:12" hidden="1">
      <c r="A239" s="19" t="s">
        <v>710</v>
      </c>
      <c r="B239" s="19" t="s">
        <v>12</v>
      </c>
      <c r="C239" s="19" t="s">
        <v>823</v>
      </c>
      <c r="D239" s="19" t="s">
        <v>824</v>
      </c>
      <c r="E239" s="19" t="s">
        <v>825</v>
      </c>
      <c r="F239" s="19" t="e">
        <f>MATCH(E239,#REF!,0)</f>
        <v>#REF!</v>
      </c>
      <c r="G239" s="19" t="s">
        <v>826</v>
      </c>
      <c r="H239" s="19" t="s">
        <v>56</v>
      </c>
      <c r="I239" s="19"/>
      <c r="J239" s="19" t="s">
        <v>827</v>
      </c>
      <c r="K239" s="19" t="s">
        <v>62</v>
      </c>
      <c r="L239" s="3" t="str">
        <f>HYPERLINK(VLOOKUP(C239,BAPs!$A$2:$C$1048576,3,FALSE),VLOOKUP(C239,BAPs!$A$2:$C$1048576,2,FALSE))</f>
        <v>10 out of 10</v>
      </c>
    </row>
    <row r="240" spans="1:12" hidden="1">
      <c r="A240" s="19" t="s">
        <v>710</v>
      </c>
      <c r="B240" s="19" t="s">
        <v>12</v>
      </c>
      <c r="C240" s="19" t="s">
        <v>823</v>
      </c>
      <c r="D240" s="19" t="s">
        <v>828</v>
      </c>
      <c r="E240" s="19" t="s">
        <v>829</v>
      </c>
      <c r="F240" s="19" t="e">
        <f>MATCH(E240,#REF!,0)</f>
        <v>#REF!</v>
      </c>
      <c r="G240" s="19" t="s">
        <v>830</v>
      </c>
      <c r="H240" s="19" t="s">
        <v>56</v>
      </c>
      <c r="I240" s="19"/>
      <c r="J240" s="19" t="s">
        <v>827</v>
      </c>
      <c r="K240" s="19" t="s">
        <v>62</v>
      </c>
      <c r="L240" s="3" t="str">
        <f>HYPERLINK(VLOOKUP(C240,BAPs!$A$2:$C$1048576,3,FALSE),VLOOKUP(C240,BAPs!$A$2:$C$1048576,2,FALSE))</f>
        <v>10 out of 10</v>
      </c>
    </row>
    <row r="241" spans="1:12" hidden="1">
      <c r="A241" s="19" t="s">
        <v>710</v>
      </c>
      <c r="B241" s="19" t="s">
        <v>12</v>
      </c>
      <c r="C241" s="19" t="s">
        <v>823</v>
      </c>
      <c r="D241" s="19" t="s">
        <v>831</v>
      </c>
      <c r="E241" s="19" t="s">
        <v>832</v>
      </c>
      <c r="F241" s="19" t="e">
        <f>MATCH(E241,#REF!,0)</f>
        <v>#REF!</v>
      </c>
      <c r="G241" s="19" t="s">
        <v>833</v>
      </c>
      <c r="H241" s="19" t="s">
        <v>56</v>
      </c>
      <c r="I241" s="19"/>
      <c r="J241" s="19" t="s">
        <v>827</v>
      </c>
      <c r="K241" s="19" t="s">
        <v>62</v>
      </c>
      <c r="L241" s="3" t="str">
        <f>HYPERLINK(VLOOKUP(C241,BAPs!$A$2:$C$1048576,3,FALSE),VLOOKUP(C241,BAPs!$A$2:$C$1048576,2,FALSE))</f>
        <v>10 out of 10</v>
      </c>
    </row>
    <row r="242" spans="1:12" hidden="1">
      <c r="A242" s="19" t="s">
        <v>710</v>
      </c>
      <c r="B242" s="19" t="s">
        <v>12</v>
      </c>
      <c r="C242" s="19" t="s">
        <v>823</v>
      </c>
      <c r="D242" s="19" t="s">
        <v>53</v>
      </c>
      <c r="E242" s="19" t="s">
        <v>54</v>
      </c>
      <c r="F242" s="19" t="e">
        <f>MATCH(E242,#REF!,0)</f>
        <v>#REF!</v>
      </c>
      <c r="G242" s="19" t="s">
        <v>55</v>
      </c>
      <c r="H242" s="19" t="s">
        <v>56</v>
      </c>
      <c r="I242" s="19"/>
      <c r="J242" s="19" t="s">
        <v>827</v>
      </c>
      <c r="K242" s="19" t="s">
        <v>62</v>
      </c>
      <c r="L242" s="3" t="str">
        <f>HYPERLINK(VLOOKUP(C242,BAPs!$A$2:$C$1048576,3,FALSE),VLOOKUP(C242,BAPs!$A$2:$C$1048576,2,FALSE))</f>
        <v>10 out of 10</v>
      </c>
    </row>
    <row r="243" spans="1:12" hidden="1">
      <c r="A243" s="19" t="s">
        <v>710</v>
      </c>
      <c r="B243" s="19" t="s">
        <v>12</v>
      </c>
      <c r="C243" s="19" t="s">
        <v>834</v>
      </c>
      <c r="D243" s="19" t="s">
        <v>835</v>
      </c>
      <c r="E243" s="19" t="s">
        <v>836</v>
      </c>
      <c r="F243" s="19" t="e">
        <f>MATCH(E243,#REF!,0)</f>
        <v>#REF!</v>
      </c>
      <c r="G243" s="19" t="s">
        <v>837</v>
      </c>
      <c r="H243" s="19" t="s">
        <v>56</v>
      </c>
      <c r="I243" s="19"/>
      <c r="J243" s="19" t="s">
        <v>838</v>
      </c>
      <c r="K243" s="19" t="s">
        <v>20</v>
      </c>
      <c r="L243" s="3" t="str">
        <f>HYPERLINK(VLOOKUP(C243,BAPs!$A$2:$C$1048576,3,FALSE),VLOOKUP(C243,BAPs!$A$2:$C$1048576,2,FALSE))</f>
        <v>6 out of 10</v>
      </c>
    </row>
    <row r="244" spans="1:12" hidden="1">
      <c r="A244" s="19" t="s">
        <v>710</v>
      </c>
      <c r="B244" s="19" t="s">
        <v>12</v>
      </c>
      <c r="C244" s="19" t="s">
        <v>834</v>
      </c>
      <c r="D244" s="19" t="s">
        <v>839</v>
      </c>
      <c r="E244" s="19" t="s">
        <v>840</v>
      </c>
      <c r="F244" s="19" t="e">
        <f>MATCH(E244,#REF!,0)</f>
        <v>#REF!</v>
      </c>
      <c r="G244" s="19" t="s">
        <v>841</v>
      </c>
      <c r="H244" s="19" t="s">
        <v>56</v>
      </c>
      <c r="I244" s="19"/>
      <c r="J244" s="19" t="s">
        <v>838</v>
      </c>
      <c r="K244" s="19" t="s">
        <v>20</v>
      </c>
      <c r="L244" s="3" t="str">
        <f>HYPERLINK(VLOOKUP(C244,BAPs!$A$2:$C$1048576,3,FALSE),VLOOKUP(C244,BAPs!$A$2:$C$1048576,2,FALSE))</f>
        <v>6 out of 10</v>
      </c>
    </row>
    <row r="245" spans="1:12" hidden="1">
      <c r="A245" s="19" t="s">
        <v>710</v>
      </c>
      <c r="B245" s="19" t="s">
        <v>12</v>
      </c>
      <c r="C245" s="19" t="s">
        <v>834</v>
      </c>
      <c r="D245" s="19" t="s">
        <v>842</v>
      </c>
      <c r="E245" s="19" t="s">
        <v>843</v>
      </c>
      <c r="F245" s="19" t="e">
        <f>MATCH(E245,#REF!,0)</f>
        <v>#REF!</v>
      </c>
      <c r="G245" s="19" t="s">
        <v>844</v>
      </c>
      <c r="H245" s="19" t="s">
        <v>56</v>
      </c>
      <c r="I245" s="19"/>
      <c r="J245" s="19" t="s">
        <v>838</v>
      </c>
      <c r="K245" s="19" t="s">
        <v>20</v>
      </c>
      <c r="L245" s="3" t="str">
        <f>HYPERLINK(VLOOKUP(C245,BAPs!$A$2:$C$1048576,3,FALSE),VLOOKUP(C245,BAPs!$A$2:$C$1048576,2,FALSE))</f>
        <v>6 out of 10</v>
      </c>
    </row>
    <row r="246" spans="1:12" hidden="1">
      <c r="A246" s="19" t="s">
        <v>710</v>
      </c>
      <c r="B246" s="19" t="s">
        <v>12</v>
      </c>
      <c r="C246" s="19" t="s">
        <v>834</v>
      </c>
      <c r="D246" s="19" t="s">
        <v>845</v>
      </c>
      <c r="E246" s="19" t="s">
        <v>846</v>
      </c>
      <c r="F246" s="19" t="e">
        <f>MATCH(E246,#REF!,0)</f>
        <v>#REF!</v>
      </c>
      <c r="G246" s="19" t="s">
        <v>847</v>
      </c>
      <c r="H246" s="19" t="s">
        <v>56</v>
      </c>
      <c r="I246" s="19"/>
      <c r="J246" s="19" t="s">
        <v>838</v>
      </c>
      <c r="K246" s="19" t="s">
        <v>20</v>
      </c>
      <c r="L246" s="3" t="str">
        <f>HYPERLINK(VLOOKUP(C246,BAPs!$A$2:$C$1048576,3,FALSE),VLOOKUP(C246,BAPs!$A$2:$C$1048576,2,FALSE))</f>
        <v>6 out of 10</v>
      </c>
    </row>
    <row r="247" spans="1:12" hidden="1">
      <c r="A247" s="19" t="s">
        <v>710</v>
      </c>
      <c r="B247" s="19" t="s">
        <v>12</v>
      </c>
      <c r="C247" s="19" t="s">
        <v>834</v>
      </c>
      <c r="D247" s="19" t="s">
        <v>834</v>
      </c>
      <c r="E247" s="19" t="s">
        <v>848</v>
      </c>
      <c r="F247" s="19" t="e">
        <f>MATCH(E247,#REF!,0)</f>
        <v>#REF!</v>
      </c>
      <c r="G247" s="19" t="s">
        <v>849</v>
      </c>
      <c r="H247" s="19" t="s">
        <v>56</v>
      </c>
      <c r="I247" s="19"/>
      <c r="J247" s="19" t="s">
        <v>838</v>
      </c>
      <c r="K247" s="19" t="s">
        <v>20</v>
      </c>
      <c r="L247" s="3" t="str">
        <f>HYPERLINK(VLOOKUP(C247,BAPs!$A$2:$C$1048576,3,FALSE),VLOOKUP(C247,BAPs!$A$2:$C$1048576,2,FALSE))</f>
        <v>6 out of 10</v>
      </c>
    </row>
    <row r="248" spans="1:12" hidden="1">
      <c r="A248" s="19" t="s">
        <v>710</v>
      </c>
      <c r="B248" s="19" t="s">
        <v>12</v>
      </c>
      <c r="C248" s="19" t="s">
        <v>834</v>
      </c>
      <c r="D248" s="19" t="s">
        <v>850</v>
      </c>
      <c r="E248" s="19" t="s">
        <v>851</v>
      </c>
      <c r="F248" s="19" t="e">
        <f>MATCH(E248,#REF!,0)</f>
        <v>#REF!</v>
      </c>
      <c r="G248" s="19" t="s">
        <v>852</v>
      </c>
      <c r="H248" s="19" t="s">
        <v>56</v>
      </c>
      <c r="I248" s="19"/>
      <c r="J248" s="19" t="s">
        <v>838</v>
      </c>
      <c r="K248" s="19" t="s">
        <v>20</v>
      </c>
      <c r="L248" s="3" t="str">
        <f>HYPERLINK(VLOOKUP(C248,BAPs!$A$2:$C$1048576,3,FALSE),VLOOKUP(C248,BAPs!$A$2:$C$1048576,2,FALSE))</f>
        <v>6 out of 10</v>
      </c>
    </row>
    <row r="249" spans="1:12" hidden="1">
      <c r="A249" s="19" t="s">
        <v>710</v>
      </c>
      <c r="B249" s="19" t="s">
        <v>12</v>
      </c>
      <c r="C249" s="19" t="s">
        <v>834</v>
      </c>
      <c r="D249" s="19" t="s">
        <v>592</v>
      </c>
      <c r="E249" s="19" t="s">
        <v>593</v>
      </c>
      <c r="F249" s="19" t="e">
        <f>MATCH(E249,#REF!,0)</f>
        <v>#REF!</v>
      </c>
      <c r="G249" s="19" t="s">
        <v>594</v>
      </c>
      <c r="H249" s="19" t="s">
        <v>56</v>
      </c>
      <c r="I249" s="19"/>
      <c r="J249" s="19" t="s">
        <v>838</v>
      </c>
      <c r="K249" s="19" t="s">
        <v>20</v>
      </c>
      <c r="L249" s="3" t="str">
        <f>HYPERLINK(VLOOKUP(C249,BAPs!$A$2:$C$1048576,3,FALSE),VLOOKUP(C249,BAPs!$A$2:$C$1048576,2,FALSE))</f>
        <v>6 out of 10</v>
      </c>
    </row>
    <row r="250" spans="1:12" hidden="1">
      <c r="A250" s="19" t="s">
        <v>710</v>
      </c>
      <c r="B250" s="19" t="s">
        <v>12</v>
      </c>
      <c r="C250" s="19" t="s">
        <v>853</v>
      </c>
      <c r="D250" s="19" t="s">
        <v>74</v>
      </c>
      <c r="E250" s="19" t="s">
        <v>75</v>
      </c>
      <c r="F250" s="19" t="e">
        <f>MATCH(E250,#REF!,0)</f>
        <v>#REF!</v>
      </c>
      <c r="G250" s="19" t="s">
        <v>76</v>
      </c>
      <c r="H250" s="19" t="s">
        <v>43</v>
      </c>
      <c r="I250" s="19" t="s">
        <v>18</v>
      </c>
      <c r="J250" s="19" t="s">
        <v>854</v>
      </c>
      <c r="K250" s="19" t="s">
        <v>20</v>
      </c>
      <c r="L250" s="3" t="str">
        <f>HYPERLINK(VLOOKUP(C250,BAPs!$A$2:$C$1048576,3,FALSE),VLOOKUP(C250,BAPs!$A$2:$C$1048576,2,FALSE))</f>
        <v>4 out of 10</v>
      </c>
    </row>
    <row r="251" spans="1:12" hidden="1">
      <c r="A251" s="19" t="s">
        <v>710</v>
      </c>
      <c r="B251" s="19" t="s">
        <v>12</v>
      </c>
      <c r="C251" s="19" t="s">
        <v>853</v>
      </c>
      <c r="D251" s="19" t="s">
        <v>855</v>
      </c>
      <c r="E251" s="19" t="s">
        <v>856</v>
      </c>
      <c r="F251" s="19" t="e">
        <f>MATCH(E251,#REF!,0)</f>
        <v>#REF!</v>
      </c>
      <c r="G251" s="19" t="s">
        <v>857</v>
      </c>
      <c r="H251" s="19" t="s">
        <v>56</v>
      </c>
      <c r="I251" s="19"/>
      <c r="J251" s="19" t="s">
        <v>854</v>
      </c>
      <c r="K251" s="19" t="s">
        <v>20</v>
      </c>
      <c r="L251" s="3" t="str">
        <f>HYPERLINK(VLOOKUP(C251,BAPs!$A$2:$C$1048576,3,FALSE),VLOOKUP(C251,BAPs!$A$2:$C$1048576,2,FALSE))</f>
        <v>4 out of 10</v>
      </c>
    </row>
    <row r="252" spans="1:12" hidden="1">
      <c r="A252" s="19" t="s">
        <v>710</v>
      </c>
      <c r="B252" s="19" t="s">
        <v>12</v>
      </c>
      <c r="C252" s="19" t="s">
        <v>853</v>
      </c>
      <c r="D252" s="19" t="s">
        <v>858</v>
      </c>
      <c r="E252" s="19" t="s">
        <v>859</v>
      </c>
      <c r="F252" s="19" t="e">
        <f>MATCH(E252,#REF!,0)</f>
        <v>#REF!</v>
      </c>
      <c r="G252" s="19" t="s">
        <v>860</v>
      </c>
      <c r="H252" s="19" t="s">
        <v>56</v>
      </c>
      <c r="I252" s="19"/>
      <c r="J252" s="19" t="s">
        <v>854</v>
      </c>
      <c r="K252" s="19" t="s">
        <v>20</v>
      </c>
      <c r="L252" s="3" t="str">
        <f>HYPERLINK(VLOOKUP(C252,BAPs!$A$2:$C$1048576,3,FALSE),VLOOKUP(C252,BAPs!$A$2:$C$1048576,2,FALSE))</f>
        <v>4 out of 10</v>
      </c>
    </row>
    <row r="253" spans="1:12" hidden="1">
      <c r="A253" s="19" t="s">
        <v>710</v>
      </c>
      <c r="B253" s="19" t="s">
        <v>12</v>
      </c>
      <c r="C253" s="19" t="s">
        <v>853</v>
      </c>
      <c r="D253" s="19" t="s">
        <v>861</v>
      </c>
      <c r="E253" s="19" t="s">
        <v>862</v>
      </c>
      <c r="F253" s="19" t="e">
        <f>MATCH(E253,#REF!,0)</f>
        <v>#REF!</v>
      </c>
      <c r="G253" s="19" t="s">
        <v>863</v>
      </c>
      <c r="H253" s="19" t="s">
        <v>56</v>
      </c>
      <c r="I253" s="19"/>
      <c r="J253" s="19" t="s">
        <v>854</v>
      </c>
      <c r="K253" s="19" t="s">
        <v>20</v>
      </c>
      <c r="L253" s="3" t="str">
        <f>HYPERLINK(VLOOKUP(C253,BAPs!$A$2:$C$1048576,3,FALSE),VLOOKUP(C253,BAPs!$A$2:$C$1048576,2,FALSE))</f>
        <v>4 out of 10</v>
      </c>
    </row>
    <row r="254" spans="1:12" hidden="1">
      <c r="A254" s="19" t="s">
        <v>710</v>
      </c>
      <c r="B254" s="19" t="s">
        <v>12</v>
      </c>
      <c r="C254" s="19" t="s">
        <v>853</v>
      </c>
      <c r="D254" s="19" t="s">
        <v>864</v>
      </c>
      <c r="E254" s="19" t="s">
        <v>865</v>
      </c>
      <c r="F254" s="19" t="e">
        <f>MATCH(E254,#REF!,0)</f>
        <v>#REF!</v>
      </c>
      <c r="G254" s="19" t="s">
        <v>866</v>
      </c>
      <c r="H254" s="19" t="s">
        <v>56</v>
      </c>
      <c r="I254" s="19"/>
      <c r="J254" s="19" t="s">
        <v>854</v>
      </c>
      <c r="K254" s="19" t="s">
        <v>20</v>
      </c>
      <c r="L254" s="3" t="str">
        <f>HYPERLINK(VLOOKUP(C254,BAPs!$A$2:$C$1048576,3,FALSE),VLOOKUP(C254,BAPs!$A$2:$C$1048576,2,FALSE))</f>
        <v>4 out of 10</v>
      </c>
    </row>
    <row r="255" spans="1:12" hidden="1">
      <c r="A255" s="19" t="s">
        <v>710</v>
      </c>
      <c r="B255" s="19" t="s">
        <v>12</v>
      </c>
      <c r="C255" s="19" t="s">
        <v>853</v>
      </c>
      <c r="D255" s="19" t="s">
        <v>867</v>
      </c>
      <c r="E255" s="19" t="s">
        <v>868</v>
      </c>
      <c r="F255" s="19" t="e">
        <f>MATCH(E255,#REF!,0)</f>
        <v>#REF!</v>
      </c>
      <c r="G255" s="19" t="s">
        <v>869</v>
      </c>
      <c r="H255" s="19" t="s">
        <v>56</v>
      </c>
      <c r="I255" s="19"/>
      <c r="J255" s="19" t="s">
        <v>854</v>
      </c>
      <c r="K255" s="19" t="s">
        <v>20</v>
      </c>
      <c r="L255" s="3" t="str">
        <f>HYPERLINK(VLOOKUP(C255,BAPs!$A$2:$C$1048576,3,FALSE),VLOOKUP(C255,BAPs!$A$2:$C$1048576,2,FALSE))</f>
        <v>4 out of 10</v>
      </c>
    </row>
    <row r="256" spans="1:12" hidden="1">
      <c r="A256" s="19" t="s">
        <v>710</v>
      </c>
      <c r="B256" s="19" t="s">
        <v>12</v>
      </c>
      <c r="C256" s="19" t="s">
        <v>870</v>
      </c>
      <c r="D256" s="19" t="s">
        <v>801</v>
      </c>
      <c r="E256" s="19" t="s">
        <v>802</v>
      </c>
      <c r="F256" s="19" t="e">
        <f>MATCH(E256,#REF!,0)</f>
        <v>#REF!</v>
      </c>
      <c r="G256" s="19" t="s">
        <v>803</v>
      </c>
      <c r="H256" s="19" t="s">
        <v>84</v>
      </c>
      <c r="I256" s="19"/>
      <c r="J256" s="19" t="s">
        <v>871</v>
      </c>
      <c r="K256" s="19" t="s">
        <v>62</v>
      </c>
      <c r="L256" s="3" t="str">
        <f>HYPERLINK(VLOOKUP(C256,BAPs!$A$2:$C$1048576,3,FALSE),VLOOKUP(C256,BAPs!$A$2:$C$1048576,2,FALSE))</f>
        <v>9 out of 10</v>
      </c>
    </row>
    <row r="257" spans="1:12" hidden="1">
      <c r="A257" s="19" t="s">
        <v>710</v>
      </c>
      <c r="B257" s="19" t="s">
        <v>12</v>
      </c>
      <c r="C257" s="19" t="s">
        <v>870</v>
      </c>
      <c r="D257" s="19" t="s">
        <v>872</v>
      </c>
      <c r="E257" s="19" t="s">
        <v>873</v>
      </c>
      <c r="F257" s="19" t="e">
        <f>MATCH(E257,#REF!,0)</f>
        <v>#REF!</v>
      </c>
      <c r="G257" s="19" t="s">
        <v>874</v>
      </c>
      <c r="H257" s="19" t="s">
        <v>56</v>
      </c>
      <c r="I257" s="19"/>
      <c r="J257" s="19" t="s">
        <v>871</v>
      </c>
      <c r="K257" s="19" t="s">
        <v>62</v>
      </c>
      <c r="L257" s="3" t="str">
        <f>HYPERLINK(VLOOKUP(C257,BAPs!$A$2:$C$1048576,3,FALSE),VLOOKUP(C257,BAPs!$A$2:$C$1048576,2,FALSE))</f>
        <v>9 out of 10</v>
      </c>
    </row>
    <row r="258" spans="1:12" hidden="1">
      <c r="A258" s="19" t="s">
        <v>710</v>
      </c>
      <c r="B258" s="19" t="s">
        <v>12</v>
      </c>
      <c r="C258" s="19" t="s">
        <v>870</v>
      </c>
      <c r="D258" s="19" t="s">
        <v>875</v>
      </c>
      <c r="E258" s="19" t="s">
        <v>876</v>
      </c>
      <c r="F258" s="19" t="e">
        <f>MATCH(E258,#REF!,0)</f>
        <v>#REF!</v>
      </c>
      <c r="G258" s="19" t="s">
        <v>877</v>
      </c>
      <c r="H258" s="19" t="s">
        <v>56</v>
      </c>
      <c r="I258" s="19"/>
      <c r="J258" s="19" t="s">
        <v>871</v>
      </c>
      <c r="K258" s="19" t="s">
        <v>62</v>
      </c>
      <c r="L258" s="3" t="str">
        <f>HYPERLINK(VLOOKUP(C258,BAPs!$A$2:$C$1048576,3,FALSE),VLOOKUP(C258,BAPs!$A$2:$C$1048576,2,FALSE))</f>
        <v>9 out of 10</v>
      </c>
    </row>
    <row r="259" spans="1:12" hidden="1">
      <c r="A259" s="19" t="s">
        <v>710</v>
      </c>
      <c r="B259" s="19" t="s">
        <v>12</v>
      </c>
      <c r="C259" s="19" t="s">
        <v>870</v>
      </c>
      <c r="D259" s="19" t="s">
        <v>878</v>
      </c>
      <c r="E259" s="19" t="s">
        <v>879</v>
      </c>
      <c r="F259" s="19" t="e">
        <f>MATCH(E259,#REF!,0)</f>
        <v>#REF!</v>
      </c>
      <c r="G259" s="19" t="s">
        <v>880</v>
      </c>
      <c r="H259" s="19" t="s">
        <v>56</v>
      </c>
      <c r="I259" s="19"/>
      <c r="J259" s="19" t="s">
        <v>871</v>
      </c>
      <c r="K259" s="19" t="s">
        <v>62</v>
      </c>
      <c r="L259" s="3" t="str">
        <f>HYPERLINK(VLOOKUP(C259,BAPs!$A$2:$C$1048576,3,FALSE),VLOOKUP(C259,BAPs!$A$2:$C$1048576,2,FALSE))</f>
        <v>9 out of 10</v>
      </c>
    </row>
    <row r="260" spans="1:12" hidden="1">
      <c r="A260" s="19" t="s">
        <v>710</v>
      </c>
      <c r="B260" s="19" t="s">
        <v>12</v>
      </c>
      <c r="C260" s="19" t="s">
        <v>870</v>
      </c>
      <c r="D260" s="19" t="s">
        <v>881</v>
      </c>
      <c r="E260" s="19" t="s">
        <v>882</v>
      </c>
      <c r="F260" s="19" t="e">
        <f>MATCH(E260,#REF!,0)</f>
        <v>#REF!</v>
      </c>
      <c r="G260" s="19" t="s">
        <v>883</v>
      </c>
      <c r="H260" s="19" t="s">
        <v>56</v>
      </c>
      <c r="I260" s="19"/>
      <c r="J260" s="19" t="s">
        <v>871</v>
      </c>
      <c r="K260" s="19" t="s">
        <v>62</v>
      </c>
      <c r="L260" s="3" t="str">
        <f>HYPERLINK(VLOOKUP(C260,BAPs!$A$2:$C$1048576,3,FALSE),VLOOKUP(C260,BAPs!$A$2:$C$1048576,2,FALSE))</f>
        <v>9 out of 10</v>
      </c>
    </row>
    <row r="261" spans="1:12" hidden="1">
      <c r="A261" s="19" t="s">
        <v>710</v>
      </c>
      <c r="B261" s="19" t="s">
        <v>12</v>
      </c>
      <c r="C261" s="19" t="s">
        <v>870</v>
      </c>
      <c r="D261" s="19" t="s">
        <v>884</v>
      </c>
      <c r="E261" s="19" t="s">
        <v>885</v>
      </c>
      <c r="F261" s="19" t="e">
        <f>MATCH(E261,#REF!,0)</f>
        <v>#REF!</v>
      </c>
      <c r="G261" s="19" t="s">
        <v>886</v>
      </c>
      <c r="H261" s="19" t="s">
        <v>56</v>
      </c>
      <c r="I261" s="19"/>
      <c r="J261" s="19" t="s">
        <v>871</v>
      </c>
      <c r="K261" s="19" t="s">
        <v>62</v>
      </c>
      <c r="L261" s="3" t="str">
        <f>HYPERLINK(VLOOKUP(C261,BAPs!$A$2:$C$1048576,3,FALSE),VLOOKUP(C261,BAPs!$A$2:$C$1048576,2,FALSE))</f>
        <v>9 out of 10</v>
      </c>
    </row>
    <row r="262" spans="1:12" hidden="1">
      <c r="A262" s="19" t="s">
        <v>710</v>
      </c>
      <c r="B262" s="19" t="s">
        <v>12</v>
      </c>
      <c r="C262" s="19" t="s">
        <v>870</v>
      </c>
      <c r="D262" s="19" t="s">
        <v>887</v>
      </c>
      <c r="E262" s="19" t="s">
        <v>888</v>
      </c>
      <c r="F262" s="19" t="e">
        <f>MATCH(E262,#REF!,0)</f>
        <v>#REF!</v>
      </c>
      <c r="G262" s="19" t="s">
        <v>889</v>
      </c>
      <c r="H262" s="19" t="s">
        <v>56</v>
      </c>
      <c r="I262" s="19"/>
      <c r="J262" s="19" t="s">
        <v>871</v>
      </c>
      <c r="K262" s="19" t="s">
        <v>62</v>
      </c>
      <c r="L262" s="3" t="str">
        <f>HYPERLINK(VLOOKUP(C262,BAPs!$A$2:$C$1048576,3,FALSE),VLOOKUP(C262,BAPs!$A$2:$C$1048576,2,FALSE))</f>
        <v>9 out of 10</v>
      </c>
    </row>
    <row r="263" spans="1:12" hidden="1">
      <c r="A263" s="19" t="s">
        <v>710</v>
      </c>
      <c r="B263" s="19" t="s">
        <v>12</v>
      </c>
      <c r="C263" s="19" t="s">
        <v>890</v>
      </c>
      <c r="D263" s="19" t="s">
        <v>801</v>
      </c>
      <c r="E263" s="19" t="s">
        <v>802</v>
      </c>
      <c r="F263" s="19" t="e">
        <f>MATCH(E263,#REF!,0)</f>
        <v>#REF!</v>
      </c>
      <c r="G263" s="19" t="s">
        <v>803</v>
      </c>
      <c r="H263" s="19" t="s">
        <v>84</v>
      </c>
      <c r="I263" s="19"/>
      <c r="J263" s="19" t="s">
        <v>891</v>
      </c>
      <c r="K263" s="19" t="s">
        <v>20</v>
      </c>
      <c r="L263" s="3" t="str">
        <f>HYPERLINK(VLOOKUP(C263,BAPs!$A$2:$C$1048576,3,FALSE),VLOOKUP(C263,BAPs!$A$2:$C$1048576,2,FALSE))</f>
        <v>5 out of 10</v>
      </c>
    </row>
    <row r="264" spans="1:12" hidden="1">
      <c r="A264" s="19" t="s">
        <v>710</v>
      </c>
      <c r="B264" s="19" t="s">
        <v>12</v>
      </c>
      <c r="C264" s="19" t="s">
        <v>890</v>
      </c>
      <c r="D264" s="19" t="s">
        <v>892</v>
      </c>
      <c r="E264" s="19" t="s">
        <v>893</v>
      </c>
      <c r="F264" s="19" t="e">
        <f>MATCH(E264,#REF!,0)</f>
        <v>#REF!</v>
      </c>
      <c r="G264" s="19" t="s">
        <v>894</v>
      </c>
      <c r="H264" s="19" t="s">
        <v>56</v>
      </c>
      <c r="I264" s="19"/>
      <c r="J264" s="19" t="s">
        <v>891</v>
      </c>
      <c r="K264" s="19" t="s">
        <v>20</v>
      </c>
      <c r="L264" s="3" t="str">
        <f>HYPERLINK(VLOOKUP(C264,BAPs!$A$2:$C$1048576,3,FALSE),VLOOKUP(C264,BAPs!$A$2:$C$1048576,2,FALSE))</f>
        <v>5 out of 10</v>
      </c>
    </row>
    <row r="265" spans="1:12" hidden="1">
      <c r="A265" s="19" t="s">
        <v>710</v>
      </c>
      <c r="B265" s="19" t="s">
        <v>12</v>
      </c>
      <c r="C265" s="19" t="s">
        <v>890</v>
      </c>
      <c r="D265" s="19" t="s">
        <v>890</v>
      </c>
      <c r="E265" s="19" t="s">
        <v>895</v>
      </c>
      <c r="F265" s="19" t="e">
        <f>MATCH(E265,#REF!,0)</f>
        <v>#REF!</v>
      </c>
      <c r="G265" s="19" t="s">
        <v>896</v>
      </c>
      <c r="H265" s="19" t="s">
        <v>56</v>
      </c>
      <c r="I265" s="19"/>
      <c r="J265" s="19" t="s">
        <v>891</v>
      </c>
      <c r="K265" s="19" t="s">
        <v>20</v>
      </c>
      <c r="L265" s="3" t="str">
        <f>HYPERLINK(VLOOKUP(C265,BAPs!$A$2:$C$1048576,3,FALSE),VLOOKUP(C265,BAPs!$A$2:$C$1048576,2,FALSE))</f>
        <v>5 out of 10</v>
      </c>
    </row>
    <row r="266" spans="1:12" hidden="1">
      <c r="A266" s="19" t="s">
        <v>710</v>
      </c>
      <c r="B266" s="19" t="s">
        <v>12</v>
      </c>
      <c r="C266" s="19" t="s">
        <v>897</v>
      </c>
      <c r="D266" s="19" t="s">
        <v>898</v>
      </c>
      <c r="E266" s="19" t="s">
        <v>899</v>
      </c>
      <c r="F266" s="19" t="e">
        <f>MATCH(E266,#REF!,0)</f>
        <v>#REF!</v>
      </c>
      <c r="G266" s="19" t="s">
        <v>900</v>
      </c>
      <c r="H266" s="19" t="s">
        <v>24</v>
      </c>
      <c r="I266" s="19"/>
      <c r="J266" s="19" t="s">
        <v>901</v>
      </c>
      <c r="K266" s="19" t="s">
        <v>62</v>
      </c>
      <c r="L266" s="3" t="str">
        <f>HYPERLINK(VLOOKUP(C266,BAPs!$A$2:$C$1048576,3,FALSE),VLOOKUP(C266,BAPs!$A$2:$C$1048576,2,FALSE))</f>
        <v>10 out of 10</v>
      </c>
    </row>
    <row r="267" spans="1:12" hidden="1">
      <c r="A267" s="19" t="s">
        <v>710</v>
      </c>
      <c r="B267" s="19" t="s">
        <v>12</v>
      </c>
      <c r="C267" s="19" t="s">
        <v>897</v>
      </c>
      <c r="D267" s="19" t="s">
        <v>897</v>
      </c>
      <c r="E267" s="19" t="s">
        <v>902</v>
      </c>
      <c r="F267" s="19" t="e">
        <f>MATCH(E267,#REF!,0)</f>
        <v>#REF!</v>
      </c>
      <c r="G267" s="19" t="s">
        <v>903</v>
      </c>
      <c r="H267" s="19" t="s">
        <v>24</v>
      </c>
      <c r="I267" s="19"/>
      <c r="J267" s="19" t="s">
        <v>901</v>
      </c>
      <c r="K267" s="19" t="s">
        <v>62</v>
      </c>
      <c r="L267" s="3" t="str">
        <f>HYPERLINK(VLOOKUP(C267,BAPs!$A$2:$C$1048576,3,FALSE),VLOOKUP(C267,BAPs!$A$2:$C$1048576,2,FALSE))</f>
        <v>10 out of 10</v>
      </c>
    </row>
    <row r="268" spans="1:12" hidden="1">
      <c r="A268" s="19" t="s">
        <v>710</v>
      </c>
      <c r="B268" s="19" t="s">
        <v>12</v>
      </c>
      <c r="C268" s="19" t="s">
        <v>897</v>
      </c>
      <c r="D268" s="19" t="s">
        <v>778</v>
      </c>
      <c r="E268" s="19" t="s">
        <v>779</v>
      </c>
      <c r="F268" s="19" t="e">
        <f>MATCH(E268,#REF!,0)</f>
        <v>#REF!</v>
      </c>
      <c r="G268" s="19" t="s">
        <v>780</v>
      </c>
      <c r="H268" s="19" t="s">
        <v>17</v>
      </c>
      <c r="I268" s="19" t="s">
        <v>18</v>
      </c>
      <c r="J268" s="19" t="s">
        <v>901</v>
      </c>
      <c r="K268" s="19" t="s">
        <v>62</v>
      </c>
      <c r="L268" s="3" t="str">
        <f>HYPERLINK(VLOOKUP(C268,BAPs!$A$2:$C$1048576,3,FALSE),VLOOKUP(C268,BAPs!$A$2:$C$1048576,2,FALSE))</f>
        <v>10 out of 10</v>
      </c>
    </row>
    <row r="269" spans="1:12" hidden="1">
      <c r="A269" s="19" t="s">
        <v>710</v>
      </c>
      <c r="B269" s="19" t="s">
        <v>12</v>
      </c>
      <c r="C269" s="19" t="s">
        <v>904</v>
      </c>
      <c r="D269" s="19" t="s">
        <v>592</v>
      </c>
      <c r="E269" s="19" t="s">
        <v>593</v>
      </c>
      <c r="F269" s="19" t="e">
        <f>MATCH(E269,#REF!,0)</f>
        <v>#REF!</v>
      </c>
      <c r="G269" s="19" t="s">
        <v>594</v>
      </c>
      <c r="H269" s="19" t="s">
        <v>56</v>
      </c>
      <c r="I269" s="19"/>
      <c r="J269" s="19" t="s">
        <v>905</v>
      </c>
      <c r="K269" s="19" t="s">
        <v>20</v>
      </c>
      <c r="L269" s="3" t="str">
        <f>HYPERLINK(VLOOKUP(C269,BAPs!$A$2:$C$1048576,3,FALSE),VLOOKUP(C269,BAPs!$A$2:$C$1048576,2,FALSE))</f>
        <v>1 out of 10</v>
      </c>
    </row>
    <row r="270" spans="1:12" hidden="1">
      <c r="A270" s="19" t="s">
        <v>710</v>
      </c>
      <c r="B270" s="19" t="s">
        <v>12</v>
      </c>
      <c r="C270" s="19" t="s">
        <v>906</v>
      </c>
      <c r="D270" s="19" t="s">
        <v>907</v>
      </c>
      <c r="E270" s="19" t="s">
        <v>908</v>
      </c>
      <c r="F270" s="19" t="e">
        <f>MATCH(E270,#REF!,0)</f>
        <v>#REF!</v>
      </c>
      <c r="G270" s="19" t="s">
        <v>909</v>
      </c>
      <c r="H270" s="19" t="s">
        <v>56</v>
      </c>
      <c r="I270" s="19"/>
      <c r="J270" s="19" t="s">
        <v>910</v>
      </c>
      <c r="K270" s="19" t="s">
        <v>62</v>
      </c>
      <c r="L270" s="3" t="str">
        <f>HYPERLINK(VLOOKUP(C270,BAPs!$A$2:$C$1048576,3,FALSE),VLOOKUP(C270,BAPs!$A$2:$C$1048576,2,FALSE))</f>
        <v>9 out of 10</v>
      </c>
    </row>
    <row r="271" spans="1:12" hidden="1">
      <c r="A271" s="19" t="s">
        <v>710</v>
      </c>
      <c r="B271" s="19" t="s">
        <v>12</v>
      </c>
      <c r="C271" s="19" t="s">
        <v>906</v>
      </c>
      <c r="D271" s="19" t="s">
        <v>911</v>
      </c>
      <c r="E271" s="19" t="s">
        <v>912</v>
      </c>
      <c r="F271" s="19" t="e">
        <f>MATCH(E271,#REF!,0)</f>
        <v>#REF!</v>
      </c>
      <c r="G271" s="19" t="s">
        <v>913</v>
      </c>
      <c r="H271" s="19" t="s">
        <v>84</v>
      </c>
      <c r="I271" s="19"/>
      <c r="J271" s="19" t="s">
        <v>910</v>
      </c>
      <c r="K271" s="19" t="s">
        <v>62</v>
      </c>
      <c r="L271" s="3" t="str">
        <f>HYPERLINK(VLOOKUP(C271,BAPs!$A$2:$C$1048576,3,FALSE),VLOOKUP(C271,BAPs!$A$2:$C$1048576,2,FALSE))</f>
        <v>9 out of 10</v>
      </c>
    </row>
    <row r="272" spans="1:12" hidden="1">
      <c r="A272" s="19" t="s">
        <v>914</v>
      </c>
      <c r="B272" s="19" t="s">
        <v>12</v>
      </c>
      <c r="C272" s="19" t="s">
        <v>915</v>
      </c>
      <c r="D272" s="19" t="s">
        <v>911</v>
      </c>
      <c r="E272" s="19" t="s">
        <v>912</v>
      </c>
      <c r="F272" s="19" t="e">
        <f>MATCH(E272,#REF!,0)</f>
        <v>#REF!</v>
      </c>
      <c r="G272" s="19" t="s">
        <v>913</v>
      </c>
      <c r="H272" s="19" t="s">
        <v>84</v>
      </c>
      <c r="I272" s="19"/>
      <c r="J272" s="19" t="s">
        <v>916</v>
      </c>
      <c r="K272" s="19" t="s">
        <v>62</v>
      </c>
      <c r="L272" s="3" t="str">
        <f>HYPERLINK(VLOOKUP(C272,BAPs!$A$2:$C$1048576,3,FALSE),VLOOKUP(C272,BAPs!$A$2:$C$1048576,2,FALSE))</f>
        <v>9 out of 10</v>
      </c>
    </row>
    <row r="273" spans="1:12" hidden="1">
      <c r="A273" s="19" t="s">
        <v>914</v>
      </c>
      <c r="B273" s="19" t="s">
        <v>12</v>
      </c>
      <c r="C273" s="19" t="s">
        <v>917</v>
      </c>
      <c r="D273" s="19" t="s">
        <v>21</v>
      </c>
      <c r="E273" s="19" t="s">
        <v>22</v>
      </c>
      <c r="F273" s="19" t="e">
        <f>MATCH(E273,#REF!,0)</f>
        <v>#REF!</v>
      </c>
      <c r="G273" s="19" t="s">
        <v>23</v>
      </c>
      <c r="H273" s="19" t="s">
        <v>24</v>
      </c>
      <c r="I273" s="19" t="s">
        <v>18</v>
      </c>
      <c r="J273" s="19" t="s">
        <v>918</v>
      </c>
      <c r="K273" s="19" t="s">
        <v>20</v>
      </c>
      <c r="L273" s="3" t="str">
        <f>HYPERLINK(VLOOKUP(C273,BAPs!$A$2:$C$1048576,3,FALSE),VLOOKUP(C273,BAPs!$A$2:$C$1048576,2,FALSE))</f>
        <v>4 out of 10</v>
      </c>
    </row>
    <row r="274" spans="1:12" hidden="1">
      <c r="A274" s="19" t="s">
        <v>914</v>
      </c>
      <c r="B274" s="19" t="s">
        <v>12</v>
      </c>
      <c r="C274" s="19" t="s">
        <v>917</v>
      </c>
      <c r="D274" s="19" t="s">
        <v>919</v>
      </c>
      <c r="E274" s="19" t="s">
        <v>920</v>
      </c>
      <c r="F274" s="19" t="e">
        <f>MATCH(E274,#REF!,0)</f>
        <v>#REF!</v>
      </c>
      <c r="G274" s="19" t="s">
        <v>921</v>
      </c>
      <c r="H274" s="19" t="s">
        <v>17</v>
      </c>
      <c r="I274" s="19" t="s">
        <v>18</v>
      </c>
      <c r="J274" s="19" t="s">
        <v>918</v>
      </c>
      <c r="K274" s="19" t="s">
        <v>20</v>
      </c>
      <c r="L274" s="3" t="str">
        <f>HYPERLINK(VLOOKUP(C274,BAPs!$A$2:$C$1048576,3,FALSE),VLOOKUP(C274,BAPs!$A$2:$C$1048576,2,FALSE))</f>
        <v>4 out of 10</v>
      </c>
    </row>
    <row r="275" spans="1:12" hidden="1">
      <c r="A275" s="19" t="s">
        <v>914</v>
      </c>
      <c r="B275" s="19" t="s">
        <v>12</v>
      </c>
      <c r="C275" s="19" t="s">
        <v>922</v>
      </c>
      <c r="D275" s="19" t="s">
        <v>923</v>
      </c>
      <c r="E275" s="19" t="s">
        <v>924</v>
      </c>
      <c r="F275" s="19" t="e">
        <f>MATCH(E275,#REF!,0)</f>
        <v>#REF!</v>
      </c>
      <c r="G275" s="19" t="s">
        <v>925</v>
      </c>
      <c r="H275" s="19" t="s">
        <v>56</v>
      </c>
      <c r="I275" s="19"/>
      <c r="J275" s="19" t="s">
        <v>926</v>
      </c>
      <c r="K275" s="19" t="s">
        <v>62</v>
      </c>
      <c r="L275" s="3" t="str">
        <f>HYPERLINK(VLOOKUP(C275,BAPs!$A$2:$C$1048576,3,FALSE),VLOOKUP(C275,BAPs!$A$2:$C$1048576,2,FALSE))</f>
        <v>9 out of 10</v>
      </c>
    </row>
    <row r="276" spans="1:12" hidden="1">
      <c r="A276" s="19" t="s">
        <v>914</v>
      </c>
      <c r="B276" s="19" t="s">
        <v>12</v>
      </c>
      <c r="C276" s="19" t="s">
        <v>922</v>
      </c>
      <c r="D276" s="19" t="s">
        <v>364</v>
      </c>
      <c r="E276" s="19" t="s">
        <v>365</v>
      </c>
      <c r="F276" s="19" t="e">
        <f>MATCH(E276,#REF!,0)</f>
        <v>#REF!</v>
      </c>
      <c r="G276" s="19" t="s">
        <v>366</v>
      </c>
      <c r="H276" s="19" t="s">
        <v>43</v>
      </c>
      <c r="I276" s="19"/>
      <c r="J276" s="19" t="s">
        <v>926</v>
      </c>
      <c r="K276" s="19" t="s">
        <v>62</v>
      </c>
      <c r="L276" s="3" t="str">
        <f>HYPERLINK(VLOOKUP(C276,BAPs!$A$2:$C$1048576,3,FALSE),VLOOKUP(C276,BAPs!$A$2:$C$1048576,2,FALSE))</f>
        <v>9 out of 10</v>
      </c>
    </row>
    <row r="277" spans="1:12" hidden="1">
      <c r="A277" s="19" t="s">
        <v>914</v>
      </c>
      <c r="B277" s="19" t="s">
        <v>12</v>
      </c>
      <c r="C277" s="19" t="s">
        <v>927</v>
      </c>
      <c r="D277" s="19" t="s">
        <v>928</v>
      </c>
      <c r="E277" s="19" t="s">
        <v>929</v>
      </c>
      <c r="F277" s="19" t="e">
        <f>MATCH(E277,#REF!,0)</f>
        <v>#REF!</v>
      </c>
      <c r="G277" s="19" t="s">
        <v>930</v>
      </c>
      <c r="H277" s="19" t="s">
        <v>17</v>
      </c>
      <c r="I277" s="19" t="s">
        <v>18</v>
      </c>
      <c r="J277" s="19" t="s">
        <v>931</v>
      </c>
      <c r="K277" s="19" t="s">
        <v>20</v>
      </c>
      <c r="L277" s="3" t="str">
        <f>HYPERLINK(VLOOKUP(C277,BAPs!$A$2:$C$1048576,3,FALSE),VLOOKUP(C277,BAPs!$A$2:$C$1048576,2,FALSE))</f>
        <v>8 out of 10</v>
      </c>
    </row>
    <row r="278" spans="1:12" hidden="1">
      <c r="A278" s="19" t="s">
        <v>914</v>
      </c>
      <c r="B278" s="19" t="s">
        <v>12</v>
      </c>
      <c r="C278" s="19" t="s">
        <v>927</v>
      </c>
      <c r="D278" s="19" t="s">
        <v>932</v>
      </c>
      <c r="E278" s="19" t="s">
        <v>933</v>
      </c>
      <c r="F278" s="19" t="e">
        <f>MATCH(E278,#REF!,0)</f>
        <v>#REF!</v>
      </c>
      <c r="G278" s="19" t="s">
        <v>934</v>
      </c>
      <c r="H278" s="19" t="s">
        <v>17</v>
      </c>
      <c r="I278" s="19" t="s">
        <v>18</v>
      </c>
      <c r="J278" s="19" t="s">
        <v>931</v>
      </c>
      <c r="K278" s="19" t="s">
        <v>20</v>
      </c>
      <c r="L278" s="3" t="str">
        <f>HYPERLINK(VLOOKUP(C278,BAPs!$A$2:$C$1048576,3,FALSE),VLOOKUP(C278,BAPs!$A$2:$C$1048576,2,FALSE))</f>
        <v>8 out of 10</v>
      </c>
    </row>
    <row r="279" spans="1:12" hidden="1">
      <c r="A279" s="19" t="s">
        <v>914</v>
      </c>
      <c r="B279" s="19" t="s">
        <v>12</v>
      </c>
      <c r="C279" s="19" t="s">
        <v>927</v>
      </c>
      <c r="D279" s="19" t="s">
        <v>935</v>
      </c>
      <c r="E279" s="19" t="s">
        <v>936</v>
      </c>
      <c r="F279" s="19" t="e">
        <f>MATCH(E279,#REF!,0)</f>
        <v>#REF!</v>
      </c>
      <c r="G279" s="19" t="s">
        <v>937</v>
      </c>
      <c r="H279" s="19" t="s">
        <v>17</v>
      </c>
      <c r="I279" s="19" t="s">
        <v>18</v>
      </c>
      <c r="J279" s="19" t="s">
        <v>931</v>
      </c>
      <c r="K279" s="19" t="s">
        <v>20</v>
      </c>
      <c r="L279" s="3" t="str">
        <f>HYPERLINK(VLOOKUP(C279,BAPs!$A$2:$C$1048576,3,FALSE),VLOOKUP(C279,BAPs!$A$2:$C$1048576,2,FALSE))</f>
        <v>8 out of 10</v>
      </c>
    </row>
    <row r="280" spans="1:12" hidden="1">
      <c r="A280" s="19" t="s">
        <v>914</v>
      </c>
      <c r="B280" s="19" t="s">
        <v>12</v>
      </c>
      <c r="C280" s="19" t="s">
        <v>938</v>
      </c>
      <c r="D280" s="19" t="s">
        <v>939</v>
      </c>
      <c r="E280" s="19" t="s">
        <v>940</v>
      </c>
      <c r="F280" s="19" t="e">
        <f>MATCH(E280,#REF!,0)</f>
        <v>#REF!</v>
      </c>
      <c r="G280" s="19" t="s">
        <v>941</v>
      </c>
      <c r="H280" s="19" t="s">
        <v>52</v>
      </c>
      <c r="I280" s="19"/>
      <c r="J280" s="19" t="s">
        <v>942</v>
      </c>
      <c r="K280" s="19" t="s">
        <v>20</v>
      </c>
      <c r="L280" s="3" t="str">
        <f>HYPERLINK(VLOOKUP(C280,BAPs!$A$2:$C$1048576,3,FALSE),VLOOKUP(C280,BAPs!$A$2:$C$1048576,2,FALSE))</f>
        <v>1 out of 10</v>
      </c>
    </row>
    <row r="281" spans="1:12" hidden="1">
      <c r="A281" s="19" t="s">
        <v>914</v>
      </c>
      <c r="B281" s="19" t="s">
        <v>12</v>
      </c>
      <c r="C281" s="19" t="s">
        <v>938</v>
      </c>
      <c r="D281" s="19" t="s">
        <v>943</v>
      </c>
      <c r="E281" s="19" t="s">
        <v>944</v>
      </c>
      <c r="F281" s="19" t="e">
        <f>MATCH(E281,#REF!,0)</f>
        <v>#REF!</v>
      </c>
      <c r="G281" s="19" t="s">
        <v>945</v>
      </c>
      <c r="H281" s="19" t="s">
        <v>52</v>
      </c>
      <c r="I281" s="19"/>
      <c r="J281" s="19" t="s">
        <v>942</v>
      </c>
      <c r="K281" s="19" t="s">
        <v>20</v>
      </c>
      <c r="L281" s="3" t="str">
        <f>HYPERLINK(VLOOKUP(C281,BAPs!$A$2:$C$1048576,3,FALSE),VLOOKUP(C281,BAPs!$A$2:$C$1048576,2,FALSE))</f>
        <v>1 out of 10</v>
      </c>
    </row>
    <row r="282" spans="1:12" hidden="1">
      <c r="A282" s="19" t="s">
        <v>914</v>
      </c>
      <c r="B282" s="19" t="s">
        <v>12</v>
      </c>
      <c r="C282" s="19" t="s">
        <v>938</v>
      </c>
      <c r="D282" s="19" t="s">
        <v>946</v>
      </c>
      <c r="E282" s="19" t="s">
        <v>947</v>
      </c>
      <c r="F282" s="19" t="e">
        <f>MATCH(E282,#REF!,0)</f>
        <v>#REF!</v>
      </c>
      <c r="G282" s="19" t="s">
        <v>948</v>
      </c>
      <c r="H282" s="19" t="s">
        <v>24</v>
      </c>
      <c r="I282" s="19"/>
      <c r="J282" s="19" t="s">
        <v>942</v>
      </c>
      <c r="K282" s="19" t="s">
        <v>20</v>
      </c>
      <c r="L282" s="3" t="str">
        <f>HYPERLINK(VLOOKUP(C282,BAPs!$A$2:$C$1048576,3,FALSE),VLOOKUP(C282,BAPs!$A$2:$C$1048576,2,FALSE))</f>
        <v>1 out of 10</v>
      </c>
    </row>
    <row r="283" spans="1:12" hidden="1">
      <c r="A283" s="19" t="s">
        <v>914</v>
      </c>
      <c r="B283" s="19" t="s">
        <v>12</v>
      </c>
      <c r="C283" s="19" t="s">
        <v>949</v>
      </c>
      <c r="D283" s="19" t="s">
        <v>949</v>
      </c>
      <c r="E283" s="19" t="s">
        <v>950</v>
      </c>
      <c r="F283" s="19" t="e">
        <f>MATCH(E283,#REF!,0)</f>
        <v>#REF!</v>
      </c>
      <c r="G283" s="19" t="s">
        <v>951</v>
      </c>
      <c r="H283" s="19" t="s">
        <v>52</v>
      </c>
      <c r="I283" s="19"/>
      <c r="J283" s="19" t="s">
        <v>952</v>
      </c>
      <c r="K283" s="19" t="s">
        <v>20</v>
      </c>
      <c r="L283" s="3" t="str">
        <f>HYPERLINK(VLOOKUP(C283,BAPs!$A$2:$C$1048576,3,FALSE),VLOOKUP(C283,BAPs!$A$2:$C$1048576,2,FALSE))</f>
        <v>1 out of 10</v>
      </c>
    </row>
    <row r="284" spans="1:12" hidden="1">
      <c r="A284" s="19" t="s">
        <v>914</v>
      </c>
      <c r="B284" s="19" t="s">
        <v>12</v>
      </c>
      <c r="C284" s="19" t="s">
        <v>949</v>
      </c>
      <c r="D284" s="19" t="s">
        <v>953</v>
      </c>
      <c r="E284" s="19" t="s">
        <v>954</v>
      </c>
      <c r="F284" s="19" t="e">
        <f>MATCH(E284,#REF!,0)</f>
        <v>#REF!</v>
      </c>
      <c r="G284" s="19" t="s">
        <v>955</v>
      </c>
      <c r="H284" s="19" t="s">
        <v>52</v>
      </c>
      <c r="I284" s="19"/>
      <c r="J284" s="19" t="s">
        <v>952</v>
      </c>
      <c r="K284" s="19" t="s">
        <v>20</v>
      </c>
      <c r="L284" s="3" t="str">
        <f>HYPERLINK(VLOOKUP(C284,BAPs!$A$2:$C$1048576,3,FALSE),VLOOKUP(C284,BAPs!$A$2:$C$1048576,2,FALSE))</f>
        <v>1 out of 10</v>
      </c>
    </row>
    <row r="285" spans="1:12" hidden="1">
      <c r="A285" s="19" t="s">
        <v>914</v>
      </c>
      <c r="B285" s="19" t="s">
        <v>12</v>
      </c>
      <c r="C285" s="19" t="s">
        <v>956</v>
      </c>
      <c r="D285" s="19" t="s">
        <v>244</v>
      </c>
      <c r="E285" s="19" t="s">
        <v>245</v>
      </c>
      <c r="F285" s="19" t="e">
        <f>MATCH(E285,#REF!,0)</f>
        <v>#REF!</v>
      </c>
      <c r="G285" s="19" t="s">
        <v>246</v>
      </c>
      <c r="H285" s="19" t="s">
        <v>24</v>
      </c>
      <c r="I285" s="19"/>
      <c r="J285" s="19" t="s">
        <v>957</v>
      </c>
      <c r="K285" s="19" t="s">
        <v>20</v>
      </c>
      <c r="L285" s="3" t="str">
        <f>HYPERLINK(VLOOKUP(C285,BAPs!$A$2:$C$1048576,3,FALSE),VLOOKUP(C285,BAPs!$A$2:$C$1048576,2,FALSE))</f>
        <v>1 out of 10</v>
      </c>
    </row>
    <row r="286" spans="1:12" hidden="1">
      <c r="A286" s="19" t="s">
        <v>914</v>
      </c>
      <c r="B286" s="19" t="s">
        <v>12</v>
      </c>
      <c r="C286" s="19" t="s">
        <v>958</v>
      </c>
      <c r="D286" s="19" t="s">
        <v>959</v>
      </c>
      <c r="E286" s="19" t="s">
        <v>960</v>
      </c>
      <c r="F286" s="19" t="e">
        <f>MATCH(E286,#REF!,0)</f>
        <v>#REF!</v>
      </c>
      <c r="G286" s="19" t="s">
        <v>961</v>
      </c>
      <c r="H286" s="19" t="s">
        <v>84</v>
      </c>
      <c r="I286" s="19"/>
      <c r="J286" s="19" t="s">
        <v>962</v>
      </c>
      <c r="K286" s="19" t="s">
        <v>62</v>
      </c>
      <c r="L286" s="3" t="str">
        <f>HYPERLINK(VLOOKUP(C286,BAPs!$A$2:$C$1048576,3,FALSE),VLOOKUP(C286,BAPs!$A$2:$C$1048576,2,FALSE))</f>
        <v>9 out of 10</v>
      </c>
    </row>
    <row r="287" spans="1:12" hidden="1">
      <c r="A287" s="19" t="s">
        <v>914</v>
      </c>
      <c r="B287" s="19" t="s">
        <v>12</v>
      </c>
      <c r="C287" s="19" t="s">
        <v>958</v>
      </c>
      <c r="D287" s="19" t="s">
        <v>963</v>
      </c>
      <c r="E287" s="19" t="s">
        <v>964</v>
      </c>
      <c r="F287" s="19" t="e">
        <f>MATCH(E287,#REF!,0)</f>
        <v>#REF!</v>
      </c>
      <c r="G287" s="19" t="s">
        <v>965</v>
      </c>
      <c r="H287" s="19" t="s">
        <v>56</v>
      </c>
      <c r="I287" s="19"/>
      <c r="J287" s="19" t="s">
        <v>962</v>
      </c>
      <c r="K287" s="19" t="s">
        <v>62</v>
      </c>
      <c r="L287" s="3" t="str">
        <f>HYPERLINK(VLOOKUP(C287,BAPs!$A$2:$C$1048576,3,FALSE),VLOOKUP(C287,BAPs!$A$2:$C$1048576,2,FALSE))</f>
        <v>9 out of 10</v>
      </c>
    </row>
    <row r="288" spans="1:12" hidden="1">
      <c r="A288" s="19" t="s">
        <v>914</v>
      </c>
      <c r="B288" s="19" t="s">
        <v>12</v>
      </c>
      <c r="C288" s="19" t="s">
        <v>958</v>
      </c>
      <c r="D288" s="19" t="s">
        <v>966</v>
      </c>
      <c r="E288" s="19" t="s">
        <v>967</v>
      </c>
      <c r="F288" s="19" t="e">
        <f>MATCH(E288,#REF!,0)</f>
        <v>#REF!</v>
      </c>
      <c r="G288" s="19" t="s">
        <v>968</v>
      </c>
      <c r="H288" s="19" t="s">
        <v>84</v>
      </c>
      <c r="I288" s="19"/>
      <c r="J288" s="19" t="s">
        <v>962</v>
      </c>
      <c r="K288" s="19" t="s">
        <v>62</v>
      </c>
      <c r="L288" s="3" t="str">
        <f>HYPERLINK(VLOOKUP(C288,BAPs!$A$2:$C$1048576,3,FALSE),VLOOKUP(C288,BAPs!$A$2:$C$1048576,2,FALSE))</f>
        <v>9 out of 10</v>
      </c>
    </row>
    <row r="289" spans="1:12" hidden="1">
      <c r="A289" s="19" t="s">
        <v>914</v>
      </c>
      <c r="B289" s="19" t="s">
        <v>12</v>
      </c>
      <c r="C289" s="19" t="s">
        <v>969</v>
      </c>
      <c r="D289" s="19" t="s">
        <v>970</v>
      </c>
      <c r="E289" s="19" t="s">
        <v>971</v>
      </c>
      <c r="F289" s="19" t="e">
        <f>MATCH(E289,#REF!,0)</f>
        <v>#REF!</v>
      </c>
      <c r="G289" s="19" t="s">
        <v>972</v>
      </c>
      <c r="H289" s="19" t="s">
        <v>24</v>
      </c>
      <c r="I289" s="19" t="s">
        <v>18</v>
      </c>
      <c r="J289" s="19" t="s">
        <v>973</v>
      </c>
      <c r="K289" s="19" t="s">
        <v>62</v>
      </c>
      <c r="L289" s="3" t="str">
        <f>HYPERLINK(VLOOKUP(C289,BAPs!$A$2:$C$1048576,3,FALSE),VLOOKUP(C289,BAPs!$A$2:$C$1048576,2,FALSE))</f>
        <v>9 out of 10</v>
      </c>
    </row>
    <row r="290" spans="1:12" hidden="1">
      <c r="A290" s="19" t="s">
        <v>914</v>
      </c>
      <c r="B290" s="19" t="s">
        <v>12</v>
      </c>
      <c r="C290" s="19" t="s">
        <v>969</v>
      </c>
      <c r="D290" s="19" t="s">
        <v>974</v>
      </c>
      <c r="E290" s="19" t="s">
        <v>975</v>
      </c>
      <c r="F290" s="19" t="e">
        <f>MATCH(E290,#REF!,0)</f>
        <v>#REF!</v>
      </c>
      <c r="G290" s="19" t="s">
        <v>976</v>
      </c>
      <c r="H290" s="19" t="s">
        <v>52</v>
      </c>
      <c r="I290" s="19"/>
      <c r="J290" s="19" t="s">
        <v>973</v>
      </c>
      <c r="K290" s="19" t="s">
        <v>62</v>
      </c>
      <c r="L290" s="3" t="str">
        <f>HYPERLINK(VLOOKUP(C290,BAPs!$A$2:$C$1048576,3,FALSE),VLOOKUP(C290,BAPs!$A$2:$C$1048576,2,FALSE))</f>
        <v>9 out of 10</v>
      </c>
    </row>
    <row r="291" spans="1:12" hidden="1">
      <c r="A291" s="19" t="s">
        <v>914</v>
      </c>
      <c r="B291" s="19" t="s">
        <v>12</v>
      </c>
      <c r="C291" s="19" t="s">
        <v>977</v>
      </c>
      <c r="D291" s="19" t="s">
        <v>978</v>
      </c>
      <c r="E291" s="19" t="s">
        <v>979</v>
      </c>
      <c r="F291" s="19" t="e">
        <f>MATCH(E291,#REF!,0)</f>
        <v>#REF!</v>
      </c>
      <c r="G291" s="19" t="s">
        <v>980</v>
      </c>
      <c r="H291" s="19" t="s">
        <v>24</v>
      </c>
      <c r="I291" s="19"/>
      <c r="J291" s="19" t="s">
        <v>981</v>
      </c>
      <c r="K291" s="19" t="s">
        <v>62</v>
      </c>
      <c r="L291" s="3" t="str">
        <f>HYPERLINK(VLOOKUP(C291,BAPs!$A$2:$C$1048576,3,FALSE),VLOOKUP(C291,BAPs!$A$2:$C$1048576,2,FALSE))</f>
        <v>9 out of 10</v>
      </c>
    </row>
    <row r="292" spans="1:12" hidden="1">
      <c r="A292" s="19" t="s">
        <v>914</v>
      </c>
      <c r="B292" s="19" t="s">
        <v>12</v>
      </c>
      <c r="C292" s="19" t="s">
        <v>977</v>
      </c>
      <c r="D292" s="19" t="s">
        <v>555</v>
      </c>
      <c r="E292" s="19" t="s">
        <v>982</v>
      </c>
      <c r="F292" s="19" t="e">
        <f>MATCH(E292,#REF!,0)</f>
        <v>#REF!</v>
      </c>
      <c r="G292" s="19" t="s">
        <v>983</v>
      </c>
      <c r="H292" s="19" t="s">
        <v>24</v>
      </c>
      <c r="I292" s="19" t="s">
        <v>18</v>
      </c>
      <c r="J292" s="19" t="s">
        <v>981</v>
      </c>
      <c r="K292" s="19" t="s">
        <v>62</v>
      </c>
      <c r="L292" s="3" t="str">
        <f>HYPERLINK(VLOOKUP(C292,BAPs!$A$2:$C$1048576,3,FALSE),VLOOKUP(C292,BAPs!$A$2:$C$1048576,2,FALSE))</f>
        <v>9 out of 10</v>
      </c>
    </row>
    <row r="293" spans="1:12" hidden="1">
      <c r="A293" s="19" t="s">
        <v>914</v>
      </c>
      <c r="B293" s="19" t="s">
        <v>12</v>
      </c>
      <c r="C293" s="19" t="s">
        <v>977</v>
      </c>
      <c r="D293" s="19" t="s">
        <v>984</v>
      </c>
      <c r="E293" s="19" t="s">
        <v>985</v>
      </c>
      <c r="F293" s="19" t="e">
        <f>MATCH(E293,#REF!,0)</f>
        <v>#REF!</v>
      </c>
      <c r="G293" s="19" t="s">
        <v>986</v>
      </c>
      <c r="H293" s="19" t="s">
        <v>52</v>
      </c>
      <c r="I293" s="19"/>
      <c r="J293" s="19" t="s">
        <v>981</v>
      </c>
      <c r="K293" s="19" t="s">
        <v>62</v>
      </c>
      <c r="L293" s="3" t="str">
        <f>HYPERLINK(VLOOKUP(C293,BAPs!$A$2:$C$1048576,3,FALSE),VLOOKUP(C293,BAPs!$A$2:$C$1048576,2,FALSE))</f>
        <v>9 out of 10</v>
      </c>
    </row>
    <row r="294" spans="1:12" hidden="1">
      <c r="A294" s="19" t="s">
        <v>914</v>
      </c>
      <c r="B294" s="19" t="s">
        <v>12</v>
      </c>
      <c r="C294" s="19" t="s">
        <v>987</v>
      </c>
      <c r="D294" s="19" t="s">
        <v>126</v>
      </c>
      <c r="E294" s="19" t="s">
        <v>127</v>
      </c>
      <c r="F294" s="19" t="e">
        <f>MATCH(E294,#REF!,0)</f>
        <v>#REF!</v>
      </c>
      <c r="G294" s="19" t="s">
        <v>128</v>
      </c>
      <c r="H294" s="19" t="s">
        <v>43</v>
      </c>
      <c r="I294" s="19" t="s">
        <v>18</v>
      </c>
      <c r="J294" s="19" t="s">
        <v>988</v>
      </c>
      <c r="K294" s="19" t="s">
        <v>20</v>
      </c>
      <c r="L294" s="3" t="str">
        <f>HYPERLINK(VLOOKUP(C294,BAPs!$A$2:$C$1048576,3,FALSE),VLOOKUP(C294,BAPs!$A$2:$C$1048576,2,FALSE))</f>
        <v>1 out of 10</v>
      </c>
    </row>
    <row r="295" spans="1:12" hidden="1">
      <c r="A295" s="19" t="s">
        <v>914</v>
      </c>
      <c r="B295" s="19" t="s">
        <v>12</v>
      </c>
      <c r="C295" s="19" t="s">
        <v>987</v>
      </c>
      <c r="D295" s="19" t="s">
        <v>989</v>
      </c>
      <c r="E295" s="19" t="s">
        <v>990</v>
      </c>
      <c r="F295" s="19" t="e">
        <f>MATCH(E295,#REF!,0)</f>
        <v>#REF!</v>
      </c>
      <c r="G295" s="19" t="s">
        <v>991</v>
      </c>
      <c r="H295" s="19" t="s">
        <v>17</v>
      </c>
      <c r="I295" s="19" t="s">
        <v>18</v>
      </c>
      <c r="J295" s="19" t="s">
        <v>988</v>
      </c>
      <c r="K295" s="19" t="s">
        <v>20</v>
      </c>
      <c r="L295" s="3" t="str">
        <f>HYPERLINK(VLOOKUP(C295,BAPs!$A$2:$C$1048576,3,FALSE),VLOOKUP(C295,BAPs!$A$2:$C$1048576,2,FALSE))</f>
        <v>1 out of 10</v>
      </c>
    </row>
    <row r="296" spans="1:12" hidden="1">
      <c r="A296" s="19" t="s">
        <v>914</v>
      </c>
      <c r="B296" s="19" t="s">
        <v>12</v>
      </c>
      <c r="C296" s="19" t="s">
        <v>987</v>
      </c>
      <c r="D296" s="19" t="s">
        <v>992</v>
      </c>
      <c r="E296" s="19" t="s">
        <v>993</v>
      </c>
      <c r="F296" s="19" t="e">
        <f>MATCH(E296,#REF!,0)</f>
        <v>#REF!</v>
      </c>
      <c r="G296" s="19" t="s">
        <v>994</v>
      </c>
      <c r="H296" s="19" t="s">
        <v>995</v>
      </c>
      <c r="I296" s="19"/>
      <c r="J296" s="19" t="s">
        <v>988</v>
      </c>
      <c r="K296" s="19" t="s">
        <v>20</v>
      </c>
      <c r="L296" s="3" t="str">
        <f>HYPERLINK(VLOOKUP(C296,BAPs!$A$2:$C$1048576,3,FALSE),VLOOKUP(C296,BAPs!$A$2:$C$1048576,2,FALSE))</f>
        <v>1 out of 10</v>
      </c>
    </row>
    <row r="297" spans="1:12" hidden="1">
      <c r="A297" s="19" t="s">
        <v>914</v>
      </c>
      <c r="B297" s="19" t="s">
        <v>12</v>
      </c>
      <c r="C297" s="19" t="s">
        <v>996</v>
      </c>
      <c r="D297" s="19" t="s">
        <v>74</v>
      </c>
      <c r="E297" s="19" t="s">
        <v>75</v>
      </c>
      <c r="F297" s="19" t="e">
        <f>MATCH(E297,#REF!,0)</f>
        <v>#REF!</v>
      </c>
      <c r="G297" s="19" t="s">
        <v>76</v>
      </c>
      <c r="H297" s="19" t="s">
        <v>43</v>
      </c>
      <c r="I297" s="19" t="s">
        <v>18</v>
      </c>
      <c r="J297" s="19" t="s">
        <v>997</v>
      </c>
      <c r="K297" s="19" t="s">
        <v>20</v>
      </c>
      <c r="L297" s="3" t="str">
        <f>HYPERLINK(VLOOKUP(C297,BAPs!$A$2:$C$1048576,3,FALSE),VLOOKUP(C297,BAPs!$A$2:$C$1048576,2,FALSE))</f>
        <v>1 out of 10</v>
      </c>
    </row>
    <row r="298" spans="1:12" hidden="1">
      <c r="A298" s="19" t="s">
        <v>914</v>
      </c>
      <c r="B298" s="19" t="s">
        <v>12</v>
      </c>
      <c r="C298" s="19" t="s">
        <v>996</v>
      </c>
      <c r="D298" s="19" t="s">
        <v>998</v>
      </c>
      <c r="E298" s="19" t="s">
        <v>999</v>
      </c>
      <c r="F298" s="19" t="e">
        <f>MATCH(E298,#REF!,0)</f>
        <v>#REF!</v>
      </c>
      <c r="G298" s="19" t="s">
        <v>1000</v>
      </c>
      <c r="H298" s="19" t="s">
        <v>17</v>
      </c>
      <c r="I298" s="19" t="s">
        <v>18</v>
      </c>
      <c r="J298" s="19" t="s">
        <v>997</v>
      </c>
      <c r="K298" s="19" t="s">
        <v>20</v>
      </c>
      <c r="L298" s="3" t="str">
        <f>HYPERLINK(VLOOKUP(C298,BAPs!$A$2:$C$1048576,3,FALSE),VLOOKUP(C298,BAPs!$A$2:$C$1048576,2,FALSE))</f>
        <v>1 out of 10</v>
      </c>
    </row>
    <row r="299" spans="1:12" hidden="1">
      <c r="A299" s="19" t="s">
        <v>914</v>
      </c>
      <c r="B299" s="19" t="s">
        <v>12</v>
      </c>
      <c r="C299" s="19" t="s">
        <v>1001</v>
      </c>
      <c r="D299" s="19" t="s">
        <v>1002</v>
      </c>
      <c r="E299" s="19" t="s">
        <v>1003</v>
      </c>
      <c r="F299" s="19" t="e">
        <f>MATCH(E299,#REF!,0)</f>
        <v>#REF!</v>
      </c>
      <c r="G299" s="19" t="s">
        <v>1004</v>
      </c>
      <c r="H299" s="19" t="s">
        <v>56</v>
      </c>
      <c r="I299" s="19"/>
      <c r="J299" s="19" t="s">
        <v>1005</v>
      </c>
      <c r="K299" s="19" t="s">
        <v>20</v>
      </c>
      <c r="L299" s="3" t="str">
        <f>HYPERLINK(VLOOKUP(C299,BAPs!$A$2:$C$1048576,3,FALSE),VLOOKUP(C299,BAPs!$A$2:$C$1048576,2,FALSE))</f>
        <v>7 out of 10</v>
      </c>
    </row>
    <row r="300" spans="1:12" hidden="1">
      <c r="A300" s="19" t="s">
        <v>914</v>
      </c>
      <c r="B300" s="19" t="s">
        <v>12</v>
      </c>
      <c r="C300" s="19" t="s">
        <v>1001</v>
      </c>
      <c r="D300" s="19" t="s">
        <v>1006</v>
      </c>
      <c r="E300" s="19" t="s">
        <v>1007</v>
      </c>
      <c r="F300" s="19" t="e">
        <f>MATCH(E300,#REF!,0)</f>
        <v>#REF!</v>
      </c>
      <c r="G300" s="19" t="s">
        <v>1008</v>
      </c>
      <c r="H300" s="19" t="s">
        <v>56</v>
      </c>
      <c r="I300" s="19"/>
      <c r="J300" s="19" t="s">
        <v>1005</v>
      </c>
      <c r="K300" s="19" t="s">
        <v>20</v>
      </c>
      <c r="L300" s="3" t="str">
        <f>HYPERLINK(VLOOKUP(C300,BAPs!$A$2:$C$1048576,3,FALSE),VLOOKUP(C300,BAPs!$A$2:$C$1048576,2,FALSE))</f>
        <v>7 out of 10</v>
      </c>
    </row>
    <row r="301" spans="1:12" hidden="1">
      <c r="A301" s="19" t="s">
        <v>914</v>
      </c>
      <c r="B301" s="19" t="s">
        <v>12</v>
      </c>
      <c r="C301" s="19" t="s">
        <v>1001</v>
      </c>
      <c r="D301" s="19" t="s">
        <v>1009</v>
      </c>
      <c r="E301" s="19" t="s">
        <v>1010</v>
      </c>
      <c r="F301" s="19" t="e">
        <f>MATCH(E301,#REF!,0)</f>
        <v>#REF!</v>
      </c>
      <c r="G301" s="19" t="s">
        <v>1011</v>
      </c>
      <c r="H301" s="19" t="s">
        <v>56</v>
      </c>
      <c r="I301" s="19"/>
      <c r="J301" s="19" t="s">
        <v>1005</v>
      </c>
      <c r="K301" s="19" t="s">
        <v>20</v>
      </c>
      <c r="L301" s="3" t="str">
        <f>HYPERLINK(VLOOKUP(C301,BAPs!$A$2:$C$1048576,3,FALSE),VLOOKUP(C301,BAPs!$A$2:$C$1048576,2,FALSE))</f>
        <v>7 out of 10</v>
      </c>
    </row>
    <row r="302" spans="1:12" hidden="1">
      <c r="A302" s="19" t="s">
        <v>914</v>
      </c>
      <c r="B302" s="19" t="s">
        <v>12</v>
      </c>
      <c r="C302" s="19" t="s">
        <v>1001</v>
      </c>
      <c r="D302" s="19" t="s">
        <v>1012</v>
      </c>
      <c r="E302" s="19" t="s">
        <v>1013</v>
      </c>
      <c r="F302" s="19" t="e">
        <f>MATCH(E302,#REF!,0)</f>
        <v>#REF!</v>
      </c>
      <c r="G302" s="19" t="s">
        <v>1014</v>
      </c>
      <c r="H302" s="19" t="s">
        <v>56</v>
      </c>
      <c r="I302" s="19"/>
      <c r="J302" s="19" t="s">
        <v>1005</v>
      </c>
      <c r="K302" s="19" t="s">
        <v>20</v>
      </c>
      <c r="L302" s="3" t="str">
        <f>HYPERLINK(VLOOKUP(C302,BAPs!$A$2:$C$1048576,3,FALSE),VLOOKUP(C302,BAPs!$A$2:$C$1048576,2,FALSE))</f>
        <v>7 out of 10</v>
      </c>
    </row>
    <row r="303" spans="1:12" hidden="1">
      <c r="A303" s="19" t="s">
        <v>914</v>
      </c>
      <c r="B303" s="19" t="s">
        <v>12</v>
      </c>
      <c r="C303" s="19" t="s">
        <v>1015</v>
      </c>
      <c r="D303" s="19" t="s">
        <v>1016</v>
      </c>
      <c r="E303" s="19" t="s">
        <v>1017</v>
      </c>
      <c r="F303" s="19" t="e">
        <f>MATCH(E303,#REF!,0)</f>
        <v>#REF!</v>
      </c>
      <c r="G303" s="19" t="s">
        <v>1018</v>
      </c>
      <c r="H303" s="19" t="s">
        <v>84</v>
      </c>
      <c r="I303" s="19"/>
      <c r="J303" s="19" t="s">
        <v>1019</v>
      </c>
      <c r="K303" s="19" t="s">
        <v>62</v>
      </c>
      <c r="L303" s="3" t="str">
        <f>HYPERLINK(VLOOKUP(C303,BAPs!$A$2:$C$1048576,3,FALSE),VLOOKUP(C303,BAPs!$A$2:$C$1048576,2,FALSE))</f>
        <v>10 out of 10</v>
      </c>
    </row>
    <row r="304" spans="1:12" hidden="1">
      <c r="A304" s="19" t="s">
        <v>914</v>
      </c>
      <c r="B304" s="19" t="s">
        <v>12</v>
      </c>
      <c r="C304" s="19" t="s">
        <v>1015</v>
      </c>
      <c r="D304" s="19" t="s">
        <v>1020</v>
      </c>
      <c r="E304" s="19" t="s">
        <v>1021</v>
      </c>
      <c r="F304" s="19" t="e">
        <f>MATCH(E304,#REF!,0)</f>
        <v>#REF!</v>
      </c>
      <c r="G304" s="19" t="s">
        <v>1022</v>
      </c>
      <c r="H304" s="19" t="s">
        <v>56</v>
      </c>
      <c r="I304" s="19"/>
      <c r="J304" s="19" t="s">
        <v>1019</v>
      </c>
      <c r="K304" s="19" t="s">
        <v>62</v>
      </c>
      <c r="L304" s="3" t="str">
        <f>HYPERLINK(VLOOKUP(C304,BAPs!$A$2:$C$1048576,3,FALSE),VLOOKUP(C304,BAPs!$A$2:$C$1048576,2,FALSE))</f>
        <v>10 out of 10</v>
      </c>
    </row>
    <row r="305" spans="1:12" hidden="1">
      <c r="A305" s="19" t="s">
        <v>914</v>
      </c>
      <c r="B305" s="19" t="s">
        <v>12</v>
      </c>
      <c r="C305" s="19" t="s">
        <v>1015</v>
      </c>
      <c r="D305" s="19" t="s">
        <v>592</v>
      </c>
      <c r="E305" s="19" t="s">
        <v>593</v>
      </c>
      <c r="F305" s="19" t="e">
        <f>MATCH(E305,#REF!,0)</f>
        <v>#REF!</v>
      </c>
      <c r="G305" s="19" t="s">
        <v>594</v>
      </c>
      <c r="H305" s="19" t="s">
        <v>56</v>
      </c>
      <c r="I305" s="19"/>
      <c r="J305" s="19" t="s">
        <v>1019</v>
      </c>
      <c r="K305" s="19" t="s">
        <v>62</v>
      </c>
      <c r="L305" s="3" t="str">
        <f>HYPERLINK(VLOOKUP(C305,BAPs!$A$2:$C$1048576,3,FALSE),VLOOKUP(C305,BAPs!$A$2:$C$1048576,2,FALSE))</f>
        <v>10 out of 10</v>
      </c>
    </row>
    <row r="306" spans="1:12" hidden="1">
      <c r="A306" s="19" t="s">
        <v>914</v>
      </c>
      <c r="B306" s="19" t="s">
        <v>12</v>
      </c>
      <c r="C306" s="19" t="s">
        <v>1023</v>
      </c>
      <c r="D306" s="19" t="s">
        <v>1024</v>
      </c>
      <c r="E306" s="19" t="s">
        <v>1025</v>
      </c>
      <c r="F306" s="19" t="e">
        <f>MATCH(E306,#REF!,0)</f>
        <v>#REF!</v>
      </c>
      <c r="G306" s="19" t="s">
        <v>1026</v>
      </c>
      <c r="H306" s="19" t="s">
        <v>43</v>
      </c>
      <c r="I306" s="19"/>
      <c r="J306" s="19" t="s">
        <v>1027</v>
      </c>
      <c r="K306" s="19" t="s">
        <v>62</v>
      </c>
      <c r="L306" s="3" t="str">
        <f>HYPERLINK(VLOOKUP(C306,BAPs!$A$2:$C$1048576,3,FALSE),VLOOKUP(C306,BAPs!$A$2:$C$1048576,2,FALSE))</f>
        <v>9 out of 10</v>
      </c>
    </row>
    <row r="307" spans="1:12" hidden="1">
      <c r="A307" s="19" t="s">
        <v>914</v>
      </c>
      <c r="B307" s="19" t="s">
        <v>12</v>
      </c>
      <c r="C307" s="19" t="s">
        <v>1028</v>
      </c>
      <c r="D307" s="19" t="s">
        <v>1029</v>
      </c>
      <c r="E307" s="19" t="s">
        <v>1030</v>
      </c>
      <c r="F307" s="19" t="e">
        <f>MATCH(E307,#REF!,0)</f>
        <v>#REF!</v>
      </c>
      <c r="G307" s="19" t="s">
        <v>1031</v>
      </c>
      <c r="H307" s="19" t="s">
        <v>56</v>
      </c>
      <c r="I307" s="19"/>
      <c r="J307" s="19" t="s">
        <v>1032</v>
      </c>
      <c r="K307" s="19" t="s">
        <v>62</v>
      </c>
      <c r="L307" s="3" t="str">
        <f>HYPERLINK(VLOOKUP(C307,BAPs!$A$2:$C$1048576,3,FALSE),VLOOKUP(C307,BAPs!$A$2:$C$1048576,2,FALSE))</f>
        <v>9 out of 10</v>
      </c>
    </row>
    <row r="308" spans="1:12" hidden="1">
      <c r="A308" s="19" t="s">
        <v>914</v>
      </c>
      <c r="B308" s="19" t="s">
        <v>12</v>
      </c>
      <c r="C308" s="19" t="s">
        <v>1033</v>
      </c>
      <c r="D308" s="19" t="s">
        <v>1034</v>
      </c>
      <c r="E308" s="19" t="s">
        <v>1035</v>
      </c>
      <c r="F308" s="19" t="e">
        <f>MATCH(E308,#REF!,0)</f>
        <v>#REF!</v>
      </c>
      <c r="G308" s="19" t="s">
        <v>1036</v>
      </c>
      <c r="H308" s="19" t="s">
        <v>56</v>
      </c>
      <c r="I308" s="19"/>
      <c r="J308" s="19" t="s">
        <v>1037</v>
      </c>
      <c r="K308" s="19" t="s">
        <v>62</v>
      </c>
      <c r="L308" s="3" t="str">
        <f>HYPERLINK(VLOOKUP(C308,BAPs!$A$2:$C$1048576,3,FALSE),VLOOKUP(C308,BAPs!$A$2:$C$1048576,2,FALSE))</f>
        <v>10 out of 10</v>
      </c>
    </row>
    <row r="309" spans="1:12" hidden="1">
      <c r="A309" s="19" t="s">
        <v>914</v>
      </c>
      <c r="B309" s="19" t="s">
        <v>12</v>
      </c>
      <c r="C309" s="19" t="s">
        <v>1038</v>
      </c>
      <c r="D309" s="19" t="s">
        <v>244</v>
      </c>
      <c r="E309" s="19" t="s">
        <v>245</v>
      </c>
      <c r="F309" s="19" t="e">
        <f>MATCH(E309,#REF!,0)</f>
        <v>#REF!</v>
      </c>
      <c r="G309" s="19" t="s">
        <v>246</v>
      </c>
      <c r="H309" s="19" t="s">
        <v>24</v>
      </c>
      <c r="I309" s="19"/>
      <c r="J309" s="19" t="s">
        <v>1039</v>
      </c>
      <c r="K309" s="19" t="s">
        <v>62</v>
      </c>
      <c r="L309" s="3" t="str">
        <f>HYPERLINK(VLOOKUP(C309,BAPs!$A$2:$C$1048576,3,FALSE),VLOOKUP(C309,BAPs!$A$2:$C$1048576,2,FALSE))</f>
        <v>10 out of 10</v>
      </c>
    </row>
    <row r="310" spans="1:12" hidden="1">
      <c r="A310" s="19" t="s">
        <v>914</v>
      </c>
      <c r="B310" s="19" t="s">
        <v>12</v>
      </c>
      <c r="C310" s="19" t="s">
        <v>1038</v>
      </c>
      <c r="D310" s="19" t="s">
        <v>1040</v>
      </c>
      <c r="E310" s="19" t="s">
        <v>1041</v>
      </c>
      <c r="F310" s="19" t="e">
        <f>MATCH(E310,#REF!,0)</f>
        <v>#REF!</v>
      </c>
      <c r="G310" s="19" t="s">
        <v>1042</v>
      </c>
      <c r="H310" s="19" t="s">
        <v>84</v>
      </c>
      <c r="I310" s="19"/>
      <c r="J310" s="19" t="s">
        <v>1039</v>
      </c>
      <c r="K310" s="19" t="s">
        <v>62</v>
      </c>
      <c r="L310" s="3" t="str">
        <f>HYPERLINK(VLOOKUP(C310,BAPs!$A$2:$C$1048576,3,FALSE),VLOOKUP(C310,BAPs!$A$2:$C$1048576,2,FALSE))</f>
        <v>10 out of 10</v>
      </c>
    </row>
    <row r="311" spans="1:12" hidden="1">
      <c r="A311" s="19" t="s">
        <v>1043</v>
      </c>
      <c r="B311" s="19" t="s">
        <v>1044</v>
      </c>
      <c r="C311" s="19" t="s">
        <v>1045</v>
      </c>
      <c r="D311" s="19" t="s">
        <v>1045</v>
      </c>
      <c r="E311" s="19" t="s">
        <v>1046</v>
      </c>
      <c r="F311" s="19" t="e">
        <f>MATCH(E311,#REF!,0)</f>
        <v>#REF!</v>
      </c>
      <c r="G311" s="19" t="s">
        <v>1047</v>
      </c>
      <c r="H311" s="19" t="s">
        <v>17</v>
      </c>
      <c r="I311" s="19"/>
      <c r="J311" s="19" t="s">
        <v>1048</v>
      </c>
      <c r="K311" s="19" t="s">
        <v>20</v>
      </c>
      <c r="L311" s="3" t="str">
        <f>HYPERLINK(VLOOKUP(C311,BAPs!$A$2:$C$1048576,3,FALSE),VLOOKUP(C311,BAPs!$A$2:$C$1048576,2,FALSE))</f>
        <v>8 out of 10</v>
      </c>
    </row>
    <row r="312" spans="1:12" hidden="1">
      <c r="A312" s="19" t="s">
        <v>1043</v>
      </c>
      <c r="B312" s="19" t="s">
        <v>1044</v>
      </c>
      <c r="C312" s="19" t="s">
        <v>1049</v>
      </c>
      <c r="D312" s="19" t="s">
        <v>1049</v>
      </c>
      <c r="E312" s="19" t="s">
        <v>1050</v>
      </c>
      <c r="F312" s="19" t="e">
        <f>MATCH(E312,#REF!,0)</f>
        <v>#REF!</v>
      </c>
      <c r="G312" s="19" t="s">
        <v>1051</v>
      </c>
      <c r="H312" s="19" t="s">
        <v>17</v>
      </c>
      <c r="I312" s="19" t="s">
        <v>18</v>
      </c>
      <c r="J312" s="19" t="s">
        <v>1052</v>
      </c>
      <c r="K312" s="19" t="s">
        <v>20</v>
      </c>
      <c r="L312" s="3" t="str">
        <f>HYPERLINK(VLOOKUP(C312,BAPs!$A$2:$C$1048576,3,FALSE),VLOOKUP(C312,BAPs!$A$2:$C$1048576,2,FALSE))</f>
        <v>1 out of 10</v>
      </c>
    </row>
    <row r="313" spans="1:12" hidden="1">
      <c r="A313" s="19" t="s">
        <v>1043</v>
      </c>
      <c r="B313" s="19" t="s">
        <v>1044</v>
      </c>
      <c r="C313" s="19" t="s">
        <v>1053</v>
      </c>
      <c r="D313" s="19" t="s">
        <v>1053</v>
      </c>
      <c r="E313" s="19" t="s">
        <v>1054</v>
      </c>
      <c r="F313" s="19" t="e">
        <f>MATCH(E313,#REF!,0)</f>
        <v>#REF!</v>
      </c>
      <c r="G313" s="19" t="s">
        <v>1055</v>
      </c>
      <c r="H313" s="19" t="s">
        <v>17</v>
      </c>
      <c r="I313" s="19" t="s">
        <v>18</v>
      </c>
      <c r="J313" s="19" t="s">
        <v>1056</v>
      </c>
      <c r="K313" s="19" t="s">
        <v>20</v>
      </c>
      <c r="L313" s="3" t="str">
        <f>HYPERLINK(VLOOKUP(C313,BAPs!$A$2:$C$1048576,3,FALSE),VLOOKUP(C313,BAPs!$A$2:$C$1048576,2,FALSE))</f>
        <v>1 out of 10</v>
      </c>
    </row>
    <row r="314" spans="1:12" hidden="1">
      <c r="A314" s="19" t="s">
        <v>1043</v>
      </c>
      <c r="B314" s="19" t="s">
        <v>1044</v>
      </c>
      <c r="C314" s="19" t="s">
        <v>1057</v>
      </c>
      <c r="D314" s="19" t="s">
        <v>1057</v>
      </c>
      <c r="E314" s="19" t="s">
        <v>1058</v>
      </c>
      <c r="F314" s="19" t="e">
        <f>MATCH(E314,#REF!,0)</f>
        <v>#REF!</v>
      </c>
      <c r="G314" s="19" t="s">
        <v>1059</v>
      </c>
      <c r="H314" s="19" t="s">
        <v>17</v>
      </c>
      <c r="I314" s="19" t="s">
        <v>18</v>
      </c>
      <c r="J314" s="19" t="s">
        <v>1060</v>
      </c>
      <c r="K314" s="19" t="s">
        <v>20</v>
      </c>
      <c r="L314" s="3" t="str">
        <f>HYPERLINK(VLOOKUP(C314,BAPs!$A$2:$C$1048576,3,FALSE),VLOOKUP(C314,BAPs!$A$2:$C$1048576,2,FALSE))</f>
        <v>5 out of 10</v>
      </c>
    </row>
    <row r="315" spans="1:12" hidden="1">
      <c r="A315" s="19" t="s">
        <v>1043</v>
      </c>
      <c r="B315" s="19" t="s">
        <v>1044</v>
      </c>
      <c r="C315" s="19" t="s">
        <v>1057</v>
      </c>
      <c r="D315" s="19" t="s">
        <v>1061</v>
      </c>
      <c r="E315" s="19" t="s">
        <v>1062</v>
      </c>
      <c r="F315" s="19" t="e">
        <f>MATCH(E315,#REF!,0)</f>
        <v>#REF!</v>
      </c>
      <c r="G315" s="19" t="s">
        <v>1063</v>
      </c>
      <c r="H315" s="19" t="s">
        <v>52</v>
      </c>
      <c r="I315" s="19"/>
      <c r="J315" s="19" t="s">
        <v>1060</v>
      </c>
      <c r="K315" s="19" t="s">
        <v>20</v>
      </c>
      <c r="L315" s="3" t="str">
        <f>HYPERLINK(VLOOKUP(C315,BAPs!$A$2:$C$1048576,3,FALSE),VLOOKUP(C315,BAPs!$A$2:$C$1048576,2,FALSE))</f>
        <v>5 out of 10</v>
      </c>
    </row>
    <row r="316" spans="1:12" hidden="1">
      <c r="A316" s="19" t="s">
        <v>1043</v>
      </c>
      <c r="B316" s="19" t="s">
        <v>1044</v>
      </c>
      <c r="C316" s="19" t="s">
        <v>1057</v>
      </c>
      <c r="D316" s="19" t="s">
        <v>1064</v>
      </c>
      <c r="E316" s="19" t="s">
        <v>1065</v>
      </c>
      <c r="F316" s="19" t="e">
        <f>MATCH(E316,#REF!,0)</f>
        <v>#REF!</v>
      </c>
      <c r="G316" s="19" t="s">
        <v>1066</v>
      </c>
      <c r="H316" s="19" t="s">
        <v>43</v>
      </c>
      <c r="I316" s="19"/>
      <c r="J316" s="19" t="s">
        <v>1060</v>
      </c>
      <c r="K316" s="19" t="s">
        <v>20</v>
      </c>
      <c r="L316" s="3" t="str">
        <f>HYPERLINK(VLOOKUP(C316,BAPs!$A$2:$C$1048576,3,FALSE),VLOOKUP(C316,BAPs!$A$2:$C$1048576,2,FALSE))</f>
        <v>5 out of 10</v>
      </c>
    </row>
    <row r="317" spans="1:12" hidden="1">
      <c r="A317" s="19" t="s">
        <v>1043</v>
      </c>
      <c r="B317" s="19" t="s">
        <v>1044</v>
      </c>
      <c r="C317" s="19" t="s">
        <v>1067</v>
      </c>
      <c r="D317" s="19" t="s">
        <v>1067</v>
      </c>
      <c r="E317" s="19" t="s">
        <v>1068</v>
      </c>
      <c r="F317" s="19" t="e">
        <f>MATCH(E317,#REF!,0)</f>
        <v>#REF!</v>
      </c>
      <c r="G317" s="19" t="s">
        <v>1069</v>
      </c>
      <c r="H317" s="19" t="s">
        <v>52</v>
      </c>
      <c r="I317" s="19"/>
      <c r="J317" s="19" t="s">
        <v>1070</v>
      </c>
      <c r="K317" s="19" t="s">
        <v>20</v>
      </c>
      <c r="L317" s="3" t="str">
        <f>HYPERLINK(VLOOKUP(C317,BAPs!$A$2:$C$1048576,3,FALSE),VLOOKUP(C317,BAPs!$A$2:$C$1048576,2,FALSE))</f>
        <v>8 out of 10</v>
      </c>
    </row>
    <row r="318" spans="1:12" hidden="1">
      <c r="A318" s="19" t="s">
        <v>1043</v>
      </c>
      <c r="B318" s="19" t="s">
        <v>1044</v>
      </c>
      <c r="C318" s="19" t="s">
        <v>1067</v>
      </c>
      <c r="D318" s="19" t="s">
        <v>1071</v>
      </c>
      <c r="E318" s="19" t="s">
        <v>1072</v>
      </c>
      <c r="F318" s="19" t="e">
        <f>MATCH(E318,#REF!,0)</f>
        <v>#REF!</v>
      </c>
      <c r="G318" s="19" t="s">
        <v>1073</v>
      </c>
      <c r="H318" s="19" t="s">
        <v>24</v>
      </c>
      <c r="I318" s="19"/>
      <c r="J318" s="19" t="s">
        <v>1070</v>
      </c>
      <c r="K318" s="19" t="s">
        <v>20</v>
      </c>
      <c r="L318" s="3" t="str">
        <f>HYPERLINK(VLOOKUP(C318,BAPs!$A$2:$C$1048576,3,FALSE),VLOOKUP(C318,BAPs!$A$2:$C$1048576,2,FALSE))</f>
        <v>8 out of 10</v>
      </c>
    </row>
    <row r="319" spans="1:12" hidden="1">
      <c r="A319" s="19" t="s">
        <v>1043</v>
      </c>
      <c r="B319" s="19" t="s">
        <v>1044</v>
      </c>
      <c r="C319" s="19" t="s">
        <v>1067</v>
      </c>
      <c r="D319" s="19" t="s">
        <v>1074</v>
      </c>
      <c r="E319" s="19" t="s">
        <v>1075</v>
      </c>
      <c r="F319" s="19" t="e">
        <f>MATCH(E319,#REF!,0)</f>
        <v>#REF!</v>
      </c>
      <c r="G319" s="19" t="s">
        <v>1076</v>
      </c>
      <c r="H319" s="19" t="s">
        <v>17</v>
      </c>
      <c r="I319" s="19" t="s">
        <v>18</v>
      </c>
      <c r="J319" s="19" t="s">
        <v>1070</v>
      </c>
      <c r="K319" s="19" t="s">
        <v>20</v>
      </c>
      <c r="L319" s="3" t="str">
        <f>HYPERLINK(VLOOKUP(C319,BAPs!$A$2:$C$1048576,3,FALSE),VLOOKUP(C319,BAPs!$A$2:$C$1048576,2,FALSE))</f>
        <v>8 out of 10</v>
      </c>
    </row>
    <row r="320" spans="1:12" hidden="1">
      <c r="A320" s="19" t="s">
        <v>1043</v>
      </c>
      <c r="B320" s="19" t="s">
        <v>1044</v>
      </c>
      <c r="C320" s="19" t="s">
        <v>1077</v>
      </c>
      <c r="D320" s="19" t="s">
        <v>1078</v>
      </c>
      <c r="E320" s="19" t="s">
        <v>1079</v>
      </c>
      <c r="F320" s="19" t="e">
        <f>MATCH(E320,#REF!,0)</f>
        <v>#REF!</v>
      </c>
      <c r="G320" s="19" t="s">
        <v>1080</v>
      </c>
      <c r="H320" s="19" t="s">
        <v>24</v>
      </c>
      <c r="I320" s="19"/>
      <c r="J320" s="19" t="s">
        <v>1081</v>
      </c>
      <c r="K320" s="19" t="s">
        <v>62</v>
      </c>
      <c r="L320" s="3" t="str">
        <f>HYPERLINK(VLOOKUP(C320,BAPs!$A$2:$C$1048576,3,FALSE),VLOOKUP(C320,BAPs!$A$2:$C$1048576,2,FALSE))</f>
        <v>9 out of 10</v>
      </c>
    </row>
    <row r="321" spans="1:12" hidden="1">
      <c r="A321" s="19" t="s">
        <v>1043</v>
      </c>
      <c r="B321" s="19" t="s">
        <v>1044</v>
      </c>
      <c r="C321" s="19" t="s">
        <v>1077</v>
      </c>
      <c r="D321" s="19" t="s">
        <v>1082</v>
      </c>
      <c r="E321" s="19" t="s">
        <v>1083</v>
      </c>
      <c r="F321" s="19" t="e">
        <f>MATCH(E321,#REF!,0)</f>
        <v>#REF!</v>
      </c>
      <c r="G321" s="19" t="s">
        <v>1084</v>
      </c>
      <c r="H321" s="19" t="s">
        <v>43</v>
      </c>
      <c r="I321" s="19"/>
      <c r="J321" s="19" t="s">
        <v>1081</v>
      </c>
      <c r="K321" s="19" t="s">
        <v>62</v>
      </c>
      <c r="L321" s="3" t="str">
        <f>HYPERLINK(VLOOKUP(C321,BAPs!$A$2:$C$1048576,3,FALSE),VLOOKUP(C321,BAPs!$A$2:$C$1048576,2,FALSE))</f>
        <v>9 out of 10</v>
      </c>
    </row>
    <row r="322" spans="1:12" hidden="1">
      <c r="A322" s="19" t="s">
        <v>1043</v>
      </c>
      <c r="B322" s="19" t="s">
        <v>1044</v>
      </c>
      <c r="C322" s="19" t="s">
        <v>1085</v>
      </c>
      <c r="D322" s="19" t="s">
        <v>1085</v>
      </c>
      <c r="E322" s="19" t="s">
        <v>1086</v>
      </c>
      <c r="F322" s="19" t="e">
        <f>MATCH(E322,#REF!,0)</f>
        <v>#REF!</v>
      </c>
      <c r="G322" s="19" t="s">
        <v>1087</v>
      </c>
      <c r="H322" s="19" t="s">
        <v>24</v>
      </c>
      <c r="I322" s="19" t="s">
        <v>18</v>
      </c>
      <c r="J322" s="19" t="s">
        <v>1088</v>
      </c>
      <c r="K322" s="19" t="s">
        <v>20</v>
      </c>
      <c r="L322" s="3" t="str">
        <f>HYPERLINK(VLOOKUP(C322,BAPs!$A$2:$C$1048576,3,FALSE),VLOOKUP(C322,BAPs!$A$2:$C$1048576,2,FALSE))</f>
        <v>1 out of 10</v>
      </c>
    </row>
    <row r="323" spans="1:12" hidden="1">
      <c r="A323" s="19" t="s">
        <v>1043</v>
      </c>
      <c r="B323" s="19" t="s">
        <v>1044</v>
      </c>
      <c r="C323" s="19" t="s">
        <v>1089</v>
      </c>
      <c r="D323" s="19" t="s">
        <v>1064</v>
      </c>
      <c r="E323" s="19" t="s">
        <v>1065</v>
      </c>
      <c r="F323" s="19" t="e">
        <f>MATCH(E323,#REF!,0)</f>
        <v>#REF!</v>
      </c>
      <c r="G323" s="19" t="s">
        <v>1066</v>
      </c>
      <c r="H323" s="19" t="s">
        <v>43</v>
      </c>
      <c r="I323" s="19"/>
      <c r="J323" s="19" t="s">
        <v>1090</v>
      </c>
      <c r="K323" s="19" t="s">
        <v>62</v>
      </c>
      <c r="L323" s="3" t="str">
        <f>HYPERLINK(VLOOKUP(C323,BAPs!$A$2:$C$1048576,3,FALSE),VLOOKUP(C323,BAPs!$A$2:$C$1048576,2,FALSE))</f>
        <v>10 out of 10</v>
      </c>
    </row>
    <row r="324" spans="1:12" hidden="1">
      <c r="A324" s="19" t="s">
        <v>1043</v>
      </c>
      <c r="B324" s="19" t="s">
        <v>1044</v>
      </c>
      <c r="C324" s="19" t="s">
        <v>1089</v>
      </c>
      <c r="D324" s="19" t="s">
        <v>1091</v>
      </c>
      <c r="E324" s="19" t="s">
        <v>1092</v>
      </c>
      <c r="F324" s="19" t="e">
        <f>MATCH(E324,#REF!,0)</f>
        <v>#REF!</v>
      </c>
      <c r="G324" s="19" t="s">
        <v>1093</v>
      </c>
      <c r="H324" s="19" t="s">
        <v>56</v>
      </c>
      <c r="I324" s="19"/>
      <c r="J324" s="19" t="s">
        <v>1090</v>
      </c>
      <c r="K324" s="19" t="s">
        <v>62</v>
      </c>
      <c r="L324" s="3" t="str">
        <f>HYPERLINK(VLOOKUP(C324,BAPs!$A$2:$C$1048576,3,FALSE),VLOOKUP(C324,BAPs!$A$2:$C$1048576,2,FALSE))</f>
        <v>10 out of 10</v>
      </c>
    </row>
    <row r="325" spans="1:12" hidden="1">
      <c r="A325" s="19" t="s">
        <v>1043</v>
      </c>
      <c r="B325" s="19" t="s">
        <v>1044</v>
      </c>
      <c r="C325" s="19" t="s">
        <v>1089</v>
      </c>
      <c r="D325" s="19" t="s">
        <v>1094</v>
      </c>
      <c r="E325" s="19" t="s">
        <v>1095</v>
      </c>
      <c r="F325" s="19" t="e">
        <f>MATCH(E325,#REF!,0)</f>
        <v>#REF!</v>
      </c>
      <c r="G325" s="19" t="s">
        <v>1096</v>
      </c>
      <c r="H325" s="19" t="s">
        <v>84</v>
      </c>
      <c r="I325" s="19"/>
      <c r="J325" s="19" t="s">
        <v>1090</v>
      </c>
      <c r="K325" s="19" t="s">
        <v>62</v>
      </c>
      <c r="L325" s="3" t="str">
        <f>HYPERLINK(VLOOKUP(C325,BAPs!$A$2:$C$1048576,3,FALSE),VLOOKUP(C325,BAPs!$A$2:$C$1048576,2,FALSE))</f>
        <v>10 out of 10</v>
      </c>
    </row>
    <row r="326" spans="1:12" hidden="1">
      <c r="A326" s="19" t="s">
        <v>1043</v>
      </c>
      <c r="B326" s="19" t="s">
        <v>1044</v>
      </c>
      <c r="C326" s="19" t="s">
        <v>1097</v>
      </c>
      <c r="D326" s="19" t="s">
        <v>1098</v>
      </c>
      <c r="E326" s="19" t="s">
        <v>1099</v>
      </c>
      <c r="F326" s="19" t="e">
        <f>MATCH(E326,#REF!,0)</f>
        <v>#REF!</v>
      </c>
      <c r="G326" s="19" t="s">
        <v>1100</v>
      </c>
      <c r="H326" s="19" t="s">
        <v>17</v>
      </c>
      <c r="I326" s="19" t="s">
        <v>18</v>
      </c>
      <c r="J326" s="19" t="s">
        <v>1101</v>
      </c>
      <c r="K326" s="19" t="s">
        <v>62</v>
      </c>
      <c r="L326" s="3" t="str">
        <f>HYPERLINK(VLOOKUP(C326,BAPs!$A$2:$C$1048576,3,FALSE),VLOOKUP(C326,BAPs!$A$2:$C$1048576,2,FALSE))</f>
        <v>10 out of 10</v>
      </c>
    </row>
    <row r="327" spans="1:12" hidden="1">
      <c r="A327" s="19" t="s">
        <v>1043</v>
      </c>
      <c r="B327" s="19" t="s">
        <v>1044</v>
      </c>
      <c r="C327" s="19" t="s">
        <v>1097</v>
      </c>
      <c r="D327" s="19" t="s">
        <v>1064</v>
      </c>
      <c r="E327" s="19" t="s">
        <v>1065</v>
      </c>
      <c r="F327" s="19" t="e">
        <f>MATCH(E327,#REF!,0)</f>
        <v>#REF!</v>
      </c>
      <c r="G327" s="19" t="s">
        <v>1066</v>
      </c>
      <c r="H327" s="19" t="s">
        <v>43</v>
      </c>
      <c r="I327" s="19"/>
      <c r="J327" s="19" t="s">
        <v>1101</v>
      </c>
      <c r="K327" s="19" t="s">
        <v>62</v>
      </c>
      <c r="L327" s="3" t="str">
        <f>HYPERLINK(VLOOKUP(C327,BAPs!$A$2:$C$1048576,3,FALSE),VLOOKUP(C327,BAPs!$A$2:$C$1048576,2,FALSE))</f>
        <v>10 out of 10</v>
      </c>
    </row>
    <row r="328" spans="1:12" hidden="1">
      <c r="A328" s="19" t="s">
        <v>1043</v>
      </c>
      <c r="B328" s="19" t="s">
        <v>1044</v>
      </c>
      <c r="C328" s="19" t="s">
        <v>1102</v>
      </c>
      <c r="D328" s="19" t="s">
        <v>1102</v>
      </c>
      <c r="E328" s="19" t="s">
        <v>1103</v>
      </c>
      <c r="F328" s="19" t="e">
        <f>MATCH(E328,#REF!,0)</f>
        <v>#REF!</v>
      </c>
      <c r="G328" s="19" t="s">
        <v>1104</v>
      </c>
      <c r="H328" s="19" t="s">
        <v>56</v>
      </c>
      <c r="I328" s="19"/>
      <c r="J328" s="19" t="s">
        <v>1105</v>
      </c>
      <c r="K328" s="19" t="s">
        <v>20</v>
      </c>
      <c r="L328" s="3" t="str">
        <f>HYPERLINK(VLOOKUP(C328,BAPs!$A$2:$C$1048576,3,FALSE),VLOOKUP(C328,BAPs!$A$2:$C$1048576,2,FALSE))</f>
        <v>8 out of 10</v>
      </c>
    </row>
    <row r="329" spans="1:12" hidden="1">
      <c r="A329" s="19" t="s">
        <v>1043</v>
      </c>
      <c r="B329" s="19" t="s">
        <v>1044</v>
      </c>
      <c r="C329" s="19" t="s">
        <v>1106</v>
      </c>
      <c r="D329" s="19" t="s">
        <v>1107</v>
      </c>
      <c r="E329" s="19" t="s">
        <v>1108</v>
      </c>
      <c r="F329" s="19" t="e">
        <f>MATCH(E329,#REF!,0)</f>
        <v>#REF!</v>
      </c>
      <c r="G329" s="19" t="s">
        <v>1109</v>
      </c>
      <c r="H329" s="19" t="s">
        <v>56</v>
      </c>
      <c r="I329" s="19"/>
      <c r="J329" s="19" t="s">
        <v>1110</v>
      </c>
      <c r="K329" s="19" t="s">
        <v>62</v>
      </c>
      <c r="L329" s="3" t="str">
        <f>HYPERLINK(VLOOKUP(C329,BAPs!$A$2:$C$1048576,3,FALSE),VLOOKUP(C329,BAPs!$A$2:$C$1048576,2,FALSE))</f>
        <v>9 out of 10</v>
      </c>
    </row>
    <row r="330" spans="1:12" hidden="1">
      <c r="A330" s="19" t="s">
        <v>1043</v>
      </c>
      <c r="B330" s="19" t="s">
        <v>1044</v>
      </c>
      <c r="C330" s="19" t="s">
        <v>1106</v>
      </c>
      <c r="D330" s="19" t="s">
        <v>1082</v>
      </c>
      <c r="E330" s="19" t="s">
        <v>1083</v>
      </c>
      <c r="F330" s="19" t="e">
        <f>MATCH(E330,#REF!,0)</f>
        <v>#REF!</v>
      </c>
      <c r="G330" s="19" t="s">
        <v>1084</v>
      </c>
      <c r="H330" s="19" t="s">
        <v>43</v>
      </c>
      <c r="I330" s="19"/>
      <c r="J330" s="19" t="s">
        <v>1110</v>
      </c>
      <c r="K330" s="19" t="s">
        <v>62</v>
      </c>
      <c r="L330" s="3" t="str">
        <f>HYPERLINK(VLOOKUP(C330,BAPs!$A$2:$C$1048576,3,FALSE),VLOOKUP(C330,BAPs!$A$2:$C$1048576,2,FALSE))</f>
        <v>9 out of 10</v>
      </c>
    </row>
    <row r="331" spans="1:12" hidden="1">
      <c r="A331" s="19" t="s">
        <v>1043</v>
      </c>
      <c r="B331" s="19" t="s">
        <v>1044</v>
      </c>
      <c r="C331" s="19" t="s">
        <v>1106</v>
      </c>
      <c r="D331" s="19" t="s">
        <v>1111</v>
      </c>
      <c r="E331" s="19" t="s">
        <v>1112</v>
      </c>
      <c r="F331" s="19" t="e">
        <f>MATCH(E331,#REF!,0)</f>
        <v>#REF!</v>
      </c>
      <c r="G331" s="19" t="s">
        <v>1113</v>
      </c>
      <c r="H331" s="19" t="s">
        <v>56</v>
      </c>
      <c r="I331" s="19"/>
      <c r="J331" s="19" t="s">
        <v>1110</v>
      </c>
      <c r="K331" s="19" t="s">
        <v>62</v>
      </c>
      <c r="L331" s="3" t="str">
        <f>HYPERLINK(VLOOKUP(C331,BAPs!$A$2:$C$1048576,3,FALSE),VLOOKUP(C331,BAPs!$A$2:$C$1048576,2,FALSE))</f>
        <v>9 out of 10</v>
      </c>
    </row>
    <row r="332" spans="1:12" hidden="1">
      <c r="A332" s="19" t="s">
        <v>1043</v>
      </c>
      <c r="B332" s="19" t="s">
        <v>1044</v>
      </c>
      <c r="C332" s="19" t="s">
        <v>1114</v>
      </c>
      <c r="D332" s="19" t="s">
        <v>1064</v>
      </c>
      <c r="E332" s="19" t="s">
        <v>1065</v>
      </c>
      <c r="F332" s="19" t="e">
        <f>MATCH(E332,#REF!,0)</f>
        <v>#REF!</v>
      </c>
      <c r="G332" s="19" t="s">
        <v>1066</v>
      </c>
      <c r="H332" s="19" t="s">
        <v>43</v>
      </c>
      <c r="I332" s="19"/>
      <c r="J332" s="19" t="s">
        <v>1115</v>
      </c>
      <c r="K332" s="19" t="s">
        <v>20</v>
      </c>
      <c r="L332" s="3" t="str">
        <f>HYPERLINK(VLOOKUP(C332,BAPs!$A$2:$C$1048576,3,FALSE),VLOOKUP(C332,BAPs!$A$2:$C$1048576,2,FALSE))</f>
        <v>7 out of 10</v>
      </c>
    </row>
    <row r="333" spans="1:12" hidden="1">
      <c r="A333" s="19" t="s">
        <v>1043</v>
      </c>
      <c r="B333" s="19" t="s">
        <v>1044</v>
      </c>
      <c r="C333" s="19" t="s">
        <v>1114</v>
      </c>
      <c r="D333" s="19" t="s">
        <v>1116</v>
      </c>
      <c r="E333" s="19" t="s">
        <v>1117</v>
      </c>
      <c r="F333" s="19" t="e">
        <f>MATCH(E333,#REF!,0)</f>
        <v>#REF!</v>
      </c>
      <c r="G333" s="19" t="s">
        <v>1118</v>
      </c>
      <c r="H333" s="19" t="s">
        <v>56</v>
      </c>
      <c r="I333" s="19"/>
      <c r="J333" s="19" t="s">
        <v>1115</v>
      </c>
      <c r="K333" s="19" t="s">
        <v>20</v>
      </c>
      <c r="L333" s="3" t="str">
        <f>HYPERLINK(VLOOKUP(C333,BAPs!$A$2:$C$1048576,3,FALSE),VLOOKUP(C333,BAPs!$A$2:$C$1048576,2,FALSE))</f>
        <v>7 out of 10</v>
      </c>
    </row>
    <row r="334" spans="1:12" hidden="1">
      <c r="A334" s="19" t="s">
        <v>1043</v>
      </c>
      <c r="B334" s="19" t="s">
        <v>1044</v>
      </c>
      <c r="C334" s="19" t="s">
        <v>1114</v>
      </c>
      <c r="D334" s="19" t="s">
        <v>1119</v>
      </c>
      <c r="E334" s="19" t="s">
        <v>1120</v>
      </c>
      <c r="F334" s="19" t="e">
        <f>MATCH(E334,#REF!,0)</f>
        <v>#REF!</v>
      </c>
      <c r="G334" s="19" t="s">
        <v>1121</v>
      </c>
      <c r="H334" s="19" t="s">
        <v>56</v>
      </c>
      <c r="I334" s="19"/>
      <c r="J334" s="19" t="s">
        <v>1115</v>
      </c>
      <c r="K334" s="19" t="s">
        <v>20</v>
      </c>
      <c r="L334" s="3" t="str">
        <f>HYPERLINK(VLOOKUP(C334,BAPs!$A$2:$C$1048576,3,FALSE),VLOOKUP(C334,BAPs!$A$2:$C$1048576,2,FALSE))</f>
        <v>7 out of 10</v>
      </c>
    </row>
    <row r="335" spans="1:12" hidden="1">
      <c r="A335" s="19" t="s">
        <v>1043</v>
      </c>
      <c r="B335" s="19" t="s">
        <v>1044</v>
      </c>
      <c r="C335" s="19" t="s">
        <v>1114</v>
      </c>
      <c r="D335" s="19" t="s">
        <v>1122</v>
      </c>
      <c r="E335" s="19" t="s">
        <v>1123</v>
      </c>
      <c r="F335" s="19" t="e">
        <f>MATCH(E335,#REF!,0)</f>
        <v>#REF!</v>
      </c>
      <c r="G335" s="19" t="s">
        <v>1124</v>
      </c>
      <c r="H335" s="19" t="s">
        <v>52</v>
      </c>
      <c r="I335" s="19"/>
      <c r="J335" s="19" t="s">
        <v>1115</v>
      </c>
      <c r="K335" s="19" t="s">
        <v>20</v>
      </c>
      <c r="L335" s="3" t="str">
        <f>HYPERLINK(VLOOKUP(C335,BAPs!$A$2:$C$1048576,3,FALSE),VLOOKUP(C335,BAPs!$A$2:$C$1048576,2,FALSE))</f>
        <v>7 out of 10</v>
      </c>
    </row>
    <row r="336" spans="1:12" hidden="1">
      <c r="A336" s="19" t="s">
        <v>1043</v>
      </c>
      <c r="B336" s="19" t="s">
        <v>1044</v>
      </c>
      <c r="C336" s="19" t="s">
        <v>1125</v>
      </c>
      <c r="D336" s="19" t="s">
        <v>1089</v>
      </c>
      <c r="E336" s="19" t="s">
        <v>1126</v>
      </c>
      <c r="F336" s="19" t="e">
        <f>MATCH(E336,#REF!,0)</f>
        <v>#REF!</v>
      </c>
      <c r="G336" s="19" t="s">
        <v>1127</v>
      </c>
      <c r="H336" s="19" t="s">
        <v>52</v>
      </c>
      <c r="I336" s="19"/>
      <c r="J336" s="19" t="s">
        <v>1128</v>
      </c>
      <c r="K336" s="19" t="s">
        <v>62</v>
      </c>
      <c r="L336" s="3" t="str">
        <f>HYPERLINK(VLOOKUP(C336,BAPs!$A$2:$C$1048576,3,FALSE),VLOOKUP(C336,BAPs!$A$2:$C$1048576,2,FALSE))</f>
        <v>10 out of 10</v>
      </c>
    </row>
    <row r="337" spans="1:12" hidden="1">
      <c r="A337" s="19" t="s">
        <v>1043</v>
      </c>
      <c r="B337" s="19" t="s">
        <v>1044</v>
      </c>
      <c r="C337" s="19" t="s">
        <v>1129</v>
      </c>
      <c r="D337" s="19" t="s">
        <v>1130</v>
      </c>
      <c r="E337" s="19" t="s">
        <v>1131</v>
      </c>
      <c r="F337" s="19" t="e">
        <f>MATCH(E337,#REF!,0)</f>
        <v>#REF!</v>
      </c>
      <c r="G337" s="19" t="s">
        <v>1132</v>
      </c>
      <c r="H337" s="19" t="s">
        <v>24</v>
      </c>
      <c r="I337" s="19"/>
      <c r="J337" s="19" t="s">
        <v>1133</v>
      </c>
      <c r="K337" s="19" t="s">
        <v>62</v>
      </c>
      <c r="L337" s="3" t="str">
        <f>HYPERLINK(VLOOKUP(C337,BAPs!$A$2:$C$1048576,3,FALSE),VLOOKUP(C337,BAPs!$A$2:$C$1048576,2,FALSE))</f>
        <v>9 out of 10</v>
      </c>
    </row>
    <row r="338" spans="1:12" hidden="1">
      <c r="A338" s="19" t="s">
        <v>1043</v>
      </c>
      <c r="B338" s="19" t="s">
        <v>1044</v>
      </c>
      <c r="C338" s="19" t="s">
        <v>1134</v>
      </c>
      <c r="D338" s="19" t="s">
        <v>1135</v>
      </c>
      <c r="E338" s="19" t="s">
        <v>1136</v>
      </c>
      <c r="F338" s="19" t="e">
        <f>MATCH(E338,#REF!,0)</f>
        <v>#REF!</v>
      </c>
      <c r="G338" s="19" t="s">
        <v>1137</v>
      </c>
      <c r="H338" s="19" t="s">
        <v>56</v>
      </c>
      <c r="I338" s="19"/>
      <c r="J338" s="19" t="s">
        <v>1138</v>
      </c>
      <c r="K338" s="19" t="s">
        <v>62</v>
      </c>
      <c r="L338" s="3" t="str">
        <f>HYPERLINK(VLOOKUP(C338,BAPs!$A$2:$C$1048576,3,FALSE),VLOOKUP(C338,BAPs!$A$2:$C$1048576,2,FALSE))</f>
        <v>9 out of 10</v>
      </c>
    </row>
    <row r="339" spans="1:12" hidden="1">
      <c r="A339" s="19" t="s">
        <v>1043</v>
      </c>
      <c r="B339" s="19" t="s">
        <v>1044</v>
      </c>
      <c r="C339" s="19" t="s">
        <v>1134</v>
      </c>
      <c r="D339" s="19" t="s">
        <v>1139</v>
      </c>
      <c r="E339" s="19" t="s">
        <v>1140</v>
      </c>
      <c r="F339" s="19" t="e">
        <f>MATCH(E339,#REF!,0)</f>
        <v>#REF!</v>
      </c>
      <c r="G339" s="19" t="s">
        <v>1141</v>
      </c>
      <c r="H339" s="19" t="s">
        <v>56</v>
      </c>
      <c r="I339" s="19"/>
      <c r="J339" s="19" t="s">
        <v>1138</v>
      </c>
      <c r="K339" s="19" t="s">
        <v>62</v>
      </c>
      <c r="L339" s="3" t="str">
        <f>HYPERLINK(VLOOKUP(C339,BAPs!$A$2:$C$1048576,3,FALSE),VLOOKUP(C339,BAPs!$A$2:$C$1048576,2,FALSE))</f>
        <v>9 out of 10</v>
      </c>
    </row>
    <row r="340" spans="1:12" hidden="1">
      <c r="A340" s="19" t="s">
        <v>1043</v>
      </c>
      <c r="B340" s="19" t="s">
        <v>1044</v>
      </c>
      <c r="C340" s="19" t="s">
        <v>1134</v>
      </c>
      <c r="D340" s="19" t="s">
        <v>1142</v>
      </c>
      <c r="E340" s="19" t="s">
        <v>1143</v>
      </c>
      <c r="F340" s="19" t="e">
        <f>MATCH(E340,#REF!,0)</f>
        <v>#REF!</v>
      </c>
      <c r="G340" s="19" t="s">
        <v>1144</v>
      </c>
      <c r="H340" s="19" t="s">
        <v>56</v>
      </c>
      <c r="I340" s="19"/>
      <c r="J340" s="19" t="s">
        <v>1138</v>
      </c>
      <c r="K340" s="19" t="s">
        <v>62</v>
      </c>
      <c r="L340" s="3" t="str">
        <f>HYPERLINK(VLOOKUP(C340,BAPs!$A$2:$C$1048576,3,FALSE),VLOOKUP(C340,BAPs!$A$2:$C$1048576,2,FALSE))</f>
        <v>9 out of 10</v>
      </c>
    </row>
    <row r="341" spans="1:12" hidden="1">
      <c r="A341" s="19" t="s">
        <v>1043</v>
      </c>
      <c r="B341" s="19" t="s">
        <v>1044</v>
      </c>
      <c r="C341" s="19" t="s">
        <v>1145</v>
      </c>
      <c r="D341" s="19" t="s">
        <v>1146</v>
      </c>
      <c r="E341" s="19" t="s">
        <v>1147</v>
      </c>
      <c r="F341" s="19" t="e">
        <f>MATCH(E341,#REF!,0)</f>
        <v>#REF!</v>
      </c>
      <c r="G341" s="19" t="s">
        <v>1148</v>
      </c>
      <c r="H341" s="19" t="s">
        <v>56</v>
      </c>
      <c r="I341" s="19"/>
      <c r="J341" s="19" t="s">
        <v>1149</v>
      </c>
      <c r="K341" s="19" t="s">
        <v>62</v>
      </c>
      <c r="L341" s="3" t="str">
        <f>HYPERLINK(VLOOKUP(C341,BAPs!$A$2:$C$1048576,3,FALSE),VLOOKUP(C341,BAPs!$A$2:$C$1048576,2,FALSE))</f>
        <v>10 out of 10</v>
      </c>
    </row>
    <row r="342" spans="1:12" hidden="1">
      <c r="A342" s="19" t="s">
        <v>1043</v>
      </c>
      <c r="B342" s="19" t="s">
        <v>1044</v>
      </c>
      <c r="C342" s="19" t="s">
        <v>1150</v>
      </c>
      <c r="D342" s="19" t="s">
        <v>1151</v>
      </c>
      <c r="E342" s="19" t="s">
        <v>1152</v>
      </c>
      <c r="F342" s="19" t="e">
        <f>MATCH(E342,#REF!,0)</f>
        <v>#REF!</v>
      </c>
      <c r="G342" s="19" t="s">
        <v>1153</v>
      </c>
      <c r="H342" s="19" t="s">
        <v>56</v>
      </c>
      <c r="I342" s="19"/>
      <c r="J342" s="19" t="s">
        <v>1154</v>
      </c>
      <c r="K342" s="19" t="s">
        <v>62</v>
      </c>
      <c r="L342" s="3" t="str">
        <f>HYPERLINK(VLOOKUP(C342,BAPs!$A$2:$C$1048576,3,FALSE),VLOOKUP(C342,BAPs!$A$2:$C$1048576,2,FALSE))</f>
        <v>10 out of 10</v>
      </c>
    </row>
    <row r="343" spans="1:12" hidden="1">
      <c r="A343" s="19" t="s">
        <v>1155</v>
      </c>
      <c r="B343" s="19" t="s">
        <v>1044</v>
      </c>
      <c r="C343" s="19" t="s">
        <v>1156</v>
      </c>
      <c r="D343" s="19" t="s">
        <v>1156</v>
      </c>
      <c r="E343" s="19" t="s">
        <v>1157</v>
      </c>
      <c r="F343" s="19" t="e">
        <f>MATCH(E343,#REF!,0)</f>
        <v>#REF!</v>
      </c>
      <c r="G343" s="19" t="s">
        <v>1158</v>
      </c>
      <c r="H343" s="19" t="s">
        <v>17</v>
      </c>
      <c r="I343" s="19" t="s">
        <v>18</v>
      </c>
      <c r="J343" s="19" t="s">
        <v>1159</v>
      </c>
      <c r="K343" s="19" t="s">
        <v>20</v>
      </c>
      <c r="L343" s="3" t="str">
        <f>HYPERLINK(VLOOKUP(C343,BAPs!$A$2:$C$1048576,3,FALSE),VLOOKUP(C343,BAPs!$A$2:$C$1048576,2,FALSE))</f>
        <v>3 out of 10</v>
      </c>
    </row>
    <row r="344" spans="1:12" hidden="1">
      <c r="A344" s="19" t="s">
        <v>1155</v>
      </c>
      <c r="B344" s="19" t="s">
        <v>1044</v>
      </c>
      <c r="C344" s="19" t="s">
        <v>1156</v>
      </c>
      <c r="D344" s="19" t="s">
        <v>1160</v>
      </c>
      <c r="E344" s="19" t="s">
        <v>1161</v>
      </c>
      <c r="F344" s="19" t="e">
        <f>MATCH(E344,#REF!,0)</f>
        <v>#REF!</v>
      </c>
      <c r="G344" s="19" t="s">
        <v>1162</v>
      </c>
      <c r="H344" s="19" t="s">
        <v>17</v>
      </c>
      <c r="I344" s="19"/>
      <c r="J344" s="19" t="s">
        <v>1159</v>
      </c>
      <c r="K344" s="19" t="s">
        <v>20</v>
      </c>
      <c r="L344" s="3" t="str">
        <f>HYPERLINK(VLOOKUP(C344,BAPs!$A$2:$C$1048576,3,FALSE),VLOOKUP(C344,BAPs!$A$2:$C$1048576,2,FALSE))</f>
        <v>3 out of 10</v>
      </c>
    </row>
    <row r="345" spans="1:12" hidden="1">
      <c r="A345" s="19" t="s">
        <v>1155</v>
      </c>
      <c r="B345" s="19" t="s">
        <v>1044</v>
      </c>
      <c r="C345" s="19" t="s">
        <v>1163</v>
      </c>
      <c r="D345" s="19" t="s">
        <v>1164</v>
      </c>
      <c r="E345" s="19" t="s">
        <v>1165</v>
      </c>
      <c r="F345" s="19" t="e">
        <f>MATCH(E345,#REF!,0)</f>
        <v>#REF!</v>
      </c>
      <c r="G345" s="19" t="s">
        <v>1166</v>
      </c>
      <c r="H345" s="19" t="s">
        <v>24</v>
      </c>
      <c r="I345" s="19"/>
      <c r="J345" s="19" t="s">
        <v>1167</v>
      </c>
      <c r="K345" s="19" t="s">
        <v>20</v>
      </c>
      <c r="L345" s="3" t="str">
        <f>HYPERLINK(VLOOKUP(C345,BAPs!$A$2:$C$1048576,3,FALSE),VLOOKUP(C345,BAPs!$A$2:$C$1048576,2,FALSE))</f>
        <v>1 out of 10</v>
      </c>
    </row>
    <row r="346" spans="1:12" hidden="1">
      <c r="A346" s="19" t="s">
        <v>1155</v>
      </c>
      <c r="B346" s="19" t="s">
        <v>1044</v>
      </c>
      <c r="C346" s="19" t="s">
        <v>1163</v>
      </c>
      <c r="D346" s="19" t="s">
        <v>1168</v>
      </c>
      <c r="E346" s="19" t="s">
        <v>1169</v>
      </c>
      <c r="F346" s="19" t="e">
        <f>MATCH(E346,#REF!,0)</f>
        <v>#REF!</v>
      </c>
      <c r="G346" s="19" t="s">
        <v>1170</v>
      </c>
      <c r="H346" s="19" t="s">
        <v>43</v>
      </c>
      <c r="I346" s="19" t="s">
        <v>18</v>
      </c>
      <c r="J346" s="19" t="s">
        <v>1167</v>
      </c>
      <c r="K346" s="19" t="s">
        <v>20</v>
      </c>
      <c r="L346" s="3" t="str">
        <f>HYPERLINK(VLOOKUP(C346,BAPs!$A$2:$C$1048576,3,FALSE),VLOOKUP(C346,BAPs!$A$2:$C$1048576,2,FALSE))</f>
        <v>1 out of 10</v>
      </c>
    </row>
    <row r="347" spans="1:12" hidden="1">
      <c r="A347" s="19" t="s">
        <v>1155</v>
      </c>
      <c r="B347" s="19" t="s">
        <v>1044</v>
      </c>
      <c r="C347" s="19" t="s">
        <v>1171</v>
      </c>
      <c r="D347" s="19" t="s">
        <v>1172</v>
      </c>
      <c r="E347" s="19" t="s">
        <v>1173</v>
      </c>
      <c r="F347" s="19" t="e">
        <f>MATCH(E347,#REF!,0)</f>
        <v>#REF!</v>
      </c>
      <c r="G347" s="19" t="s">
        <v>1174</v>
      </c>
      <c r="H347" s="19" t="s">
        <v>24</v>
      </c>
      <c r="I347" s="19"/>
      <c r="J347" s="19" t="s">
        <v>1175</v>
      </c>
      <c r="K347" s="19" t="s">
        <v>20</v>
      </c>
      <c r="L347" s="3" t="str">
        <f>HYPERLINK(VLOOKUP(C347,BAPs!$A$2:$C$1048576,3,FALSE),VLOOKUP(C347,BAPs!$A$2:$C$1048576,2,FALSE))</f>
        <v>8 out of 10</v>
      </c>
    </row>
    <row r="348" spans="1:12" hidden="1">
      <c r="A348" s="19" t="s">
        <v>1155</v>
      </c>
      <c r="B348" s="19" t="s">
        <v>1044</v>
      </c>
      <c r="C348" s="19" t="s">
        <v>1171</v>
      </c>
      <c r="D348" s="19" t="s">
        <v>1171</v>
      </c>
      <c r="E348" s="19" t="s">
        <v>1176</v>
      </c>
      <c r="F348" s="19" t="e">
        <f>MATCH(E348,#REF!,0)</f>
        <v>#REF!</v>
      </c>
      <c r="G348" s="19" t="s">
        <v>1177</v>
      </c>
      <c r="H348" s="19" t="s">
        <v>84</v>
      </c>
      <c r="I348" s="19"/>
      <c r="J348" s="19" t="s">
        <v>1175</v>
      </c>
      <c r="K348" s="19" t="s">
        <v>20</v>
      </c>
      <c r="L348" s="3" t="str">
        <f>HYPERLINK(VLOOKUP(C348,BAPs!$A$2:$C$1048576,3,FALSE),VLOOKUP(C348,BAPs!$A$2:$C$1048576,2,FALSE))</f>
        <v>8 out of 10</v>
      </c>
    </row>
    <row r="349" spans="1:12" hidden="1">
      <c r="A349" s="19" t="s">
        <v>1155</v>
      </c>
      <c r="B349" s="19" t="s">
        <v>1044</v>
      </c>
      <c r="C349" s="19" t="s">
        <v>1171</v>
      </c>
      <c r="D349" s="19" t="s">
        <v>1178</v>
      </c>
      <c r="E349" s="19" t="s">
        <v>1179</v>
      </c>
      <c r="F349" s="19" t="e">
        <f>MATCH(E349,#REF!,0)</f>
        <v>#REF!</v>
      </c>
      <c r="G349" s="19" t="s">
        <v>1180</v>
      </c>
      <c r="H349" s="19" t="s">
        <v>43</v>
      </c>
      <c r="I349" s="19" t="s">
        <v>18</v>
      </c>
      <c r="J349" s="19" t="s">
        <v>1175</v>
      </c>
      <c r="K349" s="19" t="s">
        <v>20</v>
      </c>
      <c r="L349" s="3" t="str">
        <f>HYPERLINK(VLOOKUP(C349,BAPs!$A$2:$C$1048576,3,FALSE),VLOOKUP(C349,BAPs!$A$2:$C$1048576,2,FALSE))</f>
        <v>8 out of 10</v>
      </c>
    </row>
    <row r="350" spans="1:12" hidden="1">
      <c r="A350" s="19" t="s">
        <v>1155</v>
      </c>
      <c r="B350" s="19" t="s">
        <v>1044</v>
      </c>
      <c r="C350" s="19" t="s">
        <v>1181</v>
      </c>
      <c r="D350" s="19" t="s">
        <v>1181</v>
      </c>
      <c r="E350" s="19" t="s">
        <v>1182</v>
      </c>
      <c r="F350" s="19" t="e">
        <f>MATCH(E350,#REF!,0)</f>
        <v>#REF!</v>
      </c>
      <c r="G350" s="19" t="s">
        <v>1183</v>
      </c>
      <c r="H350" s="19" t="s">
        <v>24</v>
      </c>
      <c r="I350" s="19" t="s">
        <v>18</v>
      </c>
      <c r="J350" s="19" t="s">
        <v>1184</v>
      </c>
      <c r="K350" s="19" t="s">
        <v>20</v>
      </c>
      <c r="L350" s="3" t="str">
        <f>HYPERLINK(VLOOKUP(C350,BAPs!$A$2:$C$1048576,3,FALSE),VLOOKUP(C350,BAPs!$A$2:$C$1048576,2,FALSE))</f>
        <v>2 out of 10</v>
      </c>
    </row>
    <row r="351" spans="1:12" hidden="1">
      <c r="A351" s="19" t="s">
        <v>1155</v>
      </c>
      <c r="B351" s="19" t="s">
        <v>1044</v>
      </c>
      <c r="C351" s="19" t="s">
        <v>1185</v>
      </c>
      <c r="D351" s="19" t="s">
        <v>1185</v>
      </c>
      <c r="E351" s="19" t="s">
        <v>1186</v>
      </c>
      <c r="F351" s="19" t="e">
        <f>MATCH(E351,#REF!,0)</f>
        <v>#REF!</v>
      </c>
      <c r="G351" s="19" t="s">
        <v>1187</v>
      </c>
      <c r="H351" s="19" t="s">
        <v>17</v>
      </c>
      <c r="I351" s="19" t="s">
        <v>18</v>
      </c>
      <c r="J351" s="19" t="s">
        <v>1188</v>
      </c>
      <c r="K351" s="19" t="s">
        <v>62</v>
      </c>
      <c r="L351" s="3" t="str">
        <f>HYPERLINK(VLOOKUP(C351,BAPs!$A$2:$C$1048576,3,FALSE),VLOOKUP(C351,BAPs!$A$2:$C$1048576,2,FALSE))</f>
        <v>9 out of 10</v>
      </c>
    </row>
    <row r="352" spans="1:12" hidden="1">
      <c r="A352" s="19" t="s">
        <v>1155</v>
      </c>
      <c r="B352" s="19" t="s">
        <v>1044</v>
      </c>
      <c r="C352" s="19" t="s">
        <v>1189</v>
      </c>
      <c r="D352" s="19" t="s">
        <v>1189</v>
      </c>
      <c r="E352" s="19" t="s">
        <v>1190</v>
      </c>
      <c r="F352" s="19" t="e">
        <f>MATCH(E352,#REF!,0)</f>
        <v>#REF!</v>
      </c>
      <c r="G352" s="19" t="s">
        <v>1191</v>
      </c>
      <c r="H352" s="19" t="s">
        <v>17</v>
      </c>
      <c r="I352" s="19" t="s">
        <v>18</v>
      </c>
      <c r="J352" s="19" t="s">
        <v>1192</v>
      </c>
      <c r="K352" s="19" t="s">
        <v>20</v>
      </c>
      <c r="L352" s="3" t="str">
        <f>HYPERLINK(VLOOKUP(C352,BAPs!$A$2:$C$1048576,3,FALSE),VLOOKUP(C352,BAPs!$A$2:$C$1048576,2,FALSE))</f>
        <v>4 out of 10</v>
      </c>
    </row>
    <row r="353" spans="1:12" hidden="1">
      <c r="A353" s="19" t="s">
        <v>1155</v>
      </c>
      <c r="B353" s="19" t="s">
        <v>1044</v>
      </c>
      <c r="C353" s="19" t="s">
        <v>1189</v>
      </c>
      <c r="D353" s="19" t="s">
        <v>1168</v>
      </c>
      <c r="E353" s="19" t="s">
        <v>1169</v>
      </c>
      <c r="F353" s="19" t="e">
        <f>MATCH(E353,#REF!,0)</f>
        <v>#REF!</v>
      </c>
      <c r="G353" s="19" t="s">
        <v>1170</v>
      </c>
      <c r="H353" s="19" t="s">
        <v>43</v>
      </c>
      <c r="I353" s="19" t="s">
        <v>18</v>
      </c>
      <c r="J353" s="19" t="s">
        <v>1192</v>
      </c>
      <c r="K353" s="19" t="s">
        <v>20</v>
      </c>
      <c r="L353" s="3" t="str">
        <f>HYPERLINK(VLOOKUP(C353,BAPs!$A$2:$C$1048576,3,FALSE),VLOOKUP(C353,BAPs!$A$2:$C$1048576,2,FALSE))</f>
        <v>4 out of 10</v>
      </c>
    </row>
    <row r="354" spans="1:12" hidden="1">
      <c r="A354" s="19" t="s">
        <v>1155</v>
      </c>
      <c r="B354" s="19" t="s">
        <v>1044</v>
      </c>
      <c r="C354" s="19" t="s">
        <v>1193</v>
      </c>
      <c r="D354" s="19" t="s">
        <v>1193</v>
      </c>
      <c r="E354" s="19" t="s">
        <v>1194</v>
      </c>
      <c r="F354" s="19" t="e">
        <f>MATCH(E354,#REF!,0)</f>
        <v>#REF!</v>
      </c>
      <c r="G354" s="19" t="s">
        <v>1195</v>
      </c>
      <c r="H354" s="19" t="s">
        <v>52</v>
      </c>
      <c r="I354" s="19"/>
      <c r="J354" s="19" t="s">
        <v>1196</v>
      </c>
      <c r="K354" s="19" t="s">
        <v>20</v>
      </c>
      <c r="L354" s="3" t="str">
        <f>HYPERLINK(VLOOKUP(C354,BAPs!$A$2:$C$1048576,3,FALSE),VLOOKUP(C354,BAPs!$A$2:$C$1048576,2,FALSE))</f>
        <v>7 out of 10</v>
      </c>
    </row>
    <row r="355" spans="1:12" hidden="1">
      <c r="A355" s="19" t="s">
        <v>1155</v>
      </c>
      <c r="B355" s="19" t="s">
        <v>1044</v>
      </c>
      <c r="C355" s="19" t="s">
        <v>1193</v>
      </c>
      <c r="D355" s="19" t="s">
        <v>1197</v>
      </c>
      <c r="E355" s="19" t="s">
        <v>1198</v>
      </c>
      <c r="F355" s="19" t="e">
        <f>MATCH(E355,#REF!,0)</f>
        <v>#REF!</v>
      </c>
      <c r="G355" s="19" t="s">
        <v>1199</v>
      </c>
      <c r="H355" s="19" t="s">
        <v>56</v>
      </c>
      <c r="I355" s="19"/>
      <c r="J355" s="19" t="s">
        <v>1196</v>
      </c>
      <c r="K355" s="19" t="s">
        <v>20</v>
      </c>
      <c r="L355" s="3" t="str">
        <f>HYPERLINK(VLOOKUP(C355,BAPs!$A$2:$C$1048576,3,FALSE),VLOOKUP(C355,BAPs!$A$2:$C$1048576,2,FALSE))</f>
        <v>7 out of 10</v>
      </c>
    </row>
    <row r="356" spans="1:12" hidden="1">
      <c r="A356" s="19" t="s">
        <v>1155</v>
      </c>
      <c r="B356" s="19" t="s">
        <v>1044</v>
      </c>
      <c r="C356" s="19" t="s">
        <v>1200</v>
      </c>
      <c r="D356" s="19" t="s">
        <v>1200</v>
      </c>
      <c r="E356" s="19" t="s">
        <v>1201</v>
      </c>
      <c r="F356" s="19" t="e">
        <f>MATCH(E356,#REF!,0)</f>
        <v>#REF!</v>
      </c>
      <c r="G356" s="19" t="s">
        <v>1202</v>
      </c>
      <c r="H356" s="19" t="s">
        <v>17</v>
      </c>
      <c r="I356" s="19" t="s">
        <v>18</v>
      </c>
      <c r="J356" s="19" t="s">
        <v>1203</v>
      </c>
      <c r="K356" s="19" t="s">
        <v>62</v>
      </c>
      <c r="L356" s="3" t="str">
        <f>HYPERLINK(VLOOKUP(C356,BAPs!$A$2:$C$1048576,3,FALSE),VLOOKUP(C356,BAPs!$A$2:$C$1048576,2,FALSE))</f>
        <v>9 out of 10</v>
      </c>
    </row>
    <row r="357" spans="1:12" hidden="1">
      <c r="A357" s="19" t="s">
        <v>1155</v>
      </c>
      <c r="B357" s="19" t="s">
        <v>1044</v>
      </c>
      <c r="C357" s="19" t="s">
        <v>1204</v>
      </c>
      <c r="D357" s="19" t="s">
        <v>1204</v>
      </c>
      <c r="E357" s="19" t="s">
        <v>1205</v>
      </c>
      <c r="F357" s="19" t="e">
        <f>MATCH(E357,#REF!,0)</f>
        <v>#REF!</v>
      </c>
      <c r="G357" s="19" t="s">
        <v>1206</v>
      </c>
      <c r="H357" s="19" t="s">
        <v>17</v>
      </c>
      <c r="I357" s="19" t="s">
        <v>18</v>
      </c>
      <c r="J357" s="19" t="s">
        <v>1207</v>
      </c>
      <c r="K357" s="19" t="s">
        <v>20</v>
      </c>
      <c r="L357" s="3" t="str">
        <f>HYPERLINK(VLOOKUP(C357,BAPs!$A$2:$C$1048576,3,FALSE),VLOOKUP(C357,BAPs!$A$2:$C$1048576,2,FALSE))</f>
        <v>8 out of 10</v>
      </c>
    </row>
    <row r="358" spans="1:12" hidden="1">
      <c r="A358" s="19" t="s">
        <v>1155</v>
      </c>
      <c r="B358" s="19" t="s">
        <v>1044</v>
      </c>
      <c r="C358" s="19" t="s">
        <v>1208</v>
      </c>
      <c r="D358" s="19" t="s">
        <v>1208</v>
      </c>
      <c r="E358" s="19" t="s">
        <v>1209</v>
      </c>
      <c r="F358" s="19" t="e">
        <f>MATCH(E358,#REF!,0)</f>
        <v>#REF!</v>
      </c>
      <c r="G358" s="19" t="s">
        <v>1210</v>
      </c>
      <c r="H358" s="19" t="s">
        <v>52</v>
      </c>
      <c r="I358" s="19"/>
      <c r="J358" s="19" t="s">
        <v>1211</v>
      </c>
      <c r="K358" s="19" t="s">
        <v>20</v>
      </c>
      <c r="L358" s="3" t="str">
        <f>HYPERLINK(VLOOKUP(C358,BAPs!$A$2:$C$1048576,3,FALSE),VLOOKUP(C358,BAPs!$A$2:$C$1048576,2,FALSE))</f>
        <v>3 out of 10</v>
      </c>
    </row>
    <row r="359" spans="1:12" hidden="1">
      <c r="A359" s="19" t="s">
        <v>1155</v>
      </c>
      <c r="B359" s="19" t="s">
        <v>1044</v>
      </c>
      <c r="C359" s="19" t="s">
        <v>1212</v>
      </c>
      <c r="D359" s="19" t="s">
        <v>1212</v>
      </c>
      <c r="E359" s="19" t="s">
        <v>1213</v>
      </c>
      <c r="F359" s="19" t="e">
        <f>MATCH(E359,#REF!,0)</f>
        <v>#REF!</v>
      </c>
      <c r="G359" s="19" t="s">
        <v>1214</v>
      </c>
      <c r="H359" s="19" t="s">
        <v>553</v>
      </c>
      <c r="I359" s="19" t="s">
        <v>18</v>
      </c>
      <c r="J359" s="19" t="s">
        <v>1215</v>
      </c>
      <c r="K359" s="19" t="s">
        <v>20</v>
      </c>
      <c r="L359" s="3" t="str">
        <f>HYPERLINK(VLOOKUP(C359,BAPs!$A$2:$C$1048576,3,FALSE),VLOOKUP(C359,BAPs!$A$2:$C$1048576,2,FALSE))</f>
        <v>1 out of 10</v>
      </c>
    </row>
    <row r="360" spans="1:12" hidden="1">
      <c r="A360" s="19" t="s">
        <v>1155</v>
      </c>
      <c r="B360" s="19" t="s">
        <v>1044</v>
      </c>
      <c r="C360" s="19" t="s">
        <v>1216</v>
      </c>
      <c r="D360" s="19" t="s">
        <v>1178</v>
      </c>
      <c r="E360" s="19" t="s">
        <v>1179</v>
      </c>
      <c r="F360" s="19" t="e">
        <f>MATCH(E360,#REF!,0)</f>
        <v>#REF!</v>
      </c>
      <c r="G360" s="19" t="s">
        <v>1180</v>
      </c>
      <c r="H360" s="19" t="s">
        <v>43</v>
      </c>
      <c r="I360" s="19" t="s">
        <v>18</v>
      </c>
      <c r="J360" s="19" t="s">
        <v>1217</v>
      </c>
      <c r="K360" s="19" t="s">
        <v>20</v>
      </c>
      <c r="L360" s="3" t="str">
        <f>HYPERLINK(VLOOKUP(C360,BAPs!$A$2:$C$1048576,3,FALSE),VLOOKUP(C360,BAPs!$A$2:$C$1048576,2,FALSE))</f>
        <v>3 out of 10</v>
      </c>
    </row>
    <row r="361" spans="1:12" hidden="1">
      <c r="A361" s="19" t="s">
        <v>1155</v>
      </c>
      <c r="B361" s="19" t="s">
        <v>1044</v>
      </c>
      <c r="C361" s="19" t="s">
        <v>1216</v>
      </c>
      <c r="D361" s="19" t="s">
        <v>1216</v>
      </c>
      <c r="E361" s="19" t="s">
        <v>1218</v>
      </c>
      <c r="F361" s="19" t="e">
        <f>MATCH(E361,#REF!,0)</f>
        <v>#REF!</v>
      </c>
      <c r="G361" s="19" t="s">
        <v>1219</v>
      </c>
      <c r="H361" s="19" t="s">
        <v>17</v>
      </c>
      <c r="I361" s="19" t="s">
        <v>18</v>
      </c>
      <c r="J361" s="19" t="s">
        <v>1217</v>
      </c>
      <c r="K361" s="19" t="s">
        <v>20</v>
      </c>
      <c r="L361" s="3" t="str">
        <f>HYPERLINK(VLOOKUP(C361,BAPs!$A$2:$C$1048576,3,FALSE),VLOOKUP(C361,BAPs!$A$2:$C$1048576,2,FALSE))</f>
        <v>3 out of 10</v>
      </c>
    </row>
    <row r="362" spans="1:12" hidden="1">
      <c r="A362" s="19" t="s">
        <v>1155</v>
      </c>
      <c r="B362" s="19" t="s">
        <v>1044</v>
      </c>
      <c r="C362" s="19" t="s">
        <v>1220</v>
      </c>
      <c r="D362" s="19" t="s">
        <v>1221</v>
      </c>
      <c r="E362" s="19" t="s">
        <v>1222</v>
      </c>
      <c r="F362" s="19" t="e">
        <f>MATCH(E362,#REF!,0)</f>
        <v>#REF!</v>
      </c>
      <c r="G362" s="19" t="s">
        <v>1223</v>
      </c>
      <c r="H362" s="19" t="s">
        <v>56</v>
      </c>
      <c r="I362" s="19"/>
      <c r="J362" s="19" t="s">
        <v>1224</v>
      </c>
      <c r="K362" s="19" t="s">
        <v>20</v>
      </c>
      <c r="L362" s="3" t="str">
        <f>HYPERLINK(VLOOKUP(C362,BAPs!$A$2:$C$1048576,3,FALSE),VLOOKUP(C362,BAPs!$A$2:$C$1048576,2,FALSE))</f>
        <v>8 out of 10</v>
      </c>
    </row>
    <row r="363" spans="1:12" hidden="1">
      <c r="A363" s="19" t="s">
        <v>1155</v>
      </c>
      <c r="B363" s="19" t="s">
        <v>1044</v>
      </c>
      <c r="C363" s="19" t="s">
        <v>1220</v>
      </c>
      <c r="D363" s="19" t="s">
        <v>1225</v>
      </c>
      <c r="E363" s="19" t="s">
        <v>1226</v>
      </c>
      <c r="F363" s="19" t="e">
        <f>MATCH(E363,#REF!,0)</f>
        <v>#REF!</v>
      </c>
      <c r="G363" s="19" t="s">
        <v>1227</v>
      </c>
      <c r="H363" s="19" t="s">
        <v>56</v>
      </c>
      <c r="I363" s="19"/>
      <c r="J363" s="19" t="s">
        <v>1224</v>
      </c>
      <c r="K363" s="19" t="s">
        <v>20</v>
      </c>
      <c r="L363" s="3" t="str">
        <f>HYPERLINK(VLOOKUP(C363,BAPs!$A$2:$C$1048576,3,FALSE),VLOOKUP(C363,BAPs!$A$2:$C$1048576,2,FALSE))</f>
        <v>8 out of 10</v>
      </c>
    </row>
    <row r="364" spans="1:12" hidden="1">
      <c r="A364" s="19" t="s">
        <v>1155</v>
      </c>
      <c r="B364" s="19" t="s">
        <v>1044</v>
      </c>
      <c r="C364" s="19" t="s">
        <v>1220</v>
      </c>
      <c r="D364" s="19" t="s">
        <v>1228</v>
      </c>
      <c r="E364" s="19" t="s">
        <v>1229</v>
      </c>
      <c r="F364" s="19" t="e">
        <f>MATCH(E364,#REF!,0)</f>
        <v>#REF!</v>
      </c>
      <c r="G364" s="19" t="s">
        <v>1230</v>
      </c>
      <c r="H364" s="19" t="s">
        <v>56</v>
      </c>
      <c r="I364" s="19"/>
      <c r="J364" s="19" t="s">
        <v>1224</v>
      </c>
      <c r="K364" s="19" t="s">
        <v>20</v>
      </c>
      <c r="L364" s="3" t="str">
        <f>HYPERLINK(VLOOKUP(C364,BAPs!$A$2:$C$1048576,3,FALSE),VLOOKUP(C364,BAPs!$A$2:$C$1048576,2,FALSE))</f>
        <v>8 out of 10</v>
      </c>
    </row>
    <row r="365" spans="1:12" hidden="1">
      <c r="A365" s="19" t="s">
        <v>1155</v>
      </c>
      <c r="B365" s="19" t="s">
        <v>1044</v>
      </c>
      <c r="C365" s="19" t="s">
        <v>1231</v>
      </c>
      <c r="D365" s="19" t="s">
        <v>1231</v>
      </c>
      <c r="E365" s="19" t="s">
        <v>1232</v>
      </c>
      <c r="F365" s="19" t="e">
        <f>MATCH(E365,#REF!,0)</f>
        <v>#REF!</v>
      </c>
      <c r="G365" s="19" t="s">
        <v>1233</v>
      </c>
      <c r="H365" s="19" t="s">
        <v>56</v>
      </c>
      <c r="I365" s="19"/>
      <c r="J365" s="19" t="s">
        <v>1234</v>
      </c>
      <c r="K365" s="19" t="s">
        <v>20</v>
      </c>
      <c r="L365" s="3" t="str">
        <f>HYPERLINK(VLOOKUP(C365,BAPs!$A$2:$C$1048576,3,FALSE),VLOOKUP(C365,BAPs!$A$2:$C$1048576,2,FALSE))</f>
        <v>1 out of 10</v>
      </c>
    </row>
    <row r="366" spans="1:12" hidden="1">
      <c r="A366" s="19" t="s">
        <v>1155</v>
      </c>
      <c r="B366" s="19" t="s">
        <v>1044</v>
      </c>
      <c r="C366" s="19" t="s">
        <v>1235</v>
      </c>
      <c r="D366" s="19" t="s">
        <v>1236</v>
      </c>
      <c r="E366" s="19" t="s">
        <v>1237</v>
      </c>
      <c r="F366" s="19" t="e">
        <f>MATCH(E366,#REF!,0)</f>
        <v>#REF!</v>
      </c>
      <c r="G366" s="19" t="s">
        <v>1238</v>
      </c>
      <c r="H366" s="19" t="s">
        <v>56</v>
      </c>
      <c r="I366" s="19"/>
      <c r="J366" s="19" t="s">
        <v>1239</v>
      </c>
      <c r="K366" s="19" t="s">
        <v>20</v>
      </c>
      <c r="L366" s="3" t="str">
        <f>HYPERLINK(VLOOKUP(C366,BAPs!$A$2:$C$1048576,3,FALSE),VLOOKUP(C366,BAPs!$A$2:$C$1048576,2,FALSE))</f>
        <v>6 out of 10</v>
      </c>
    </row>
    <row r="367" spans="1:12" hidden="1">
      <c r="A367" s="19" t="s">
        <v>1155</v>
      </c>
      <c r="B367" s="19" t="s">
        <v>1044</v>
      </c>
      <c r="C367" s="19" t="s">
        <v>1235</v>
      </c>
      <c r="D367" s="19" t="s">
        <v>1240</v>
      </c>
      <c r="E367" s="19" t="s">
        <v>1241</v>
      </c>
      <c r="F367" s="19" t="e">
        <f>MATCH(E367,#REF!,0)</f>
        <v>#REF!</v>
      </c>
      <c r="G367" s="19" t="s">
        <v>1242</v>
      </c>
      <c r="H367" s="19" t="s">
        <v>56</v>
      </c>
      <c r="I367" s="19"/>
      <c r="J367" s="19" t="s">
        <v>1239</v>
      </c>
      <c r="K367" s="19" t="s">
        <v>20</v>
      </c>
      <c r="L367" s="3" t="str">
        <f>HYPERLINK(VLOOKUP(C367,BAPs!$A$2:$C$1048576,3,FALSE),VLOOKUP(C367,BAPs!$A$2:$C$1048576,2,FALSE))</f>
        <v>6 out of 10</v>
      </c>
    </row>
    <row r="368" spans="1:12" hidden="1">
      <c r="A368" s="19" t="s">
        <v>1155</v>
      </c>
      <c r="B368" s="19" t="s">
        <v>1044</v>
      </c>
      <c r="C368" s="19" t="s">
        <v>1235</v>
      </c>
      <c r="D368" s="19" t="s">
        <v>1243</v>
      </c>
      <c r="E368" s="19" t="s">
        <v>1244</v>
      </c>
      <c r="F368" s="19" t="e">
        <f>MATCH(E368,#REF!,0)</f>
        <v>#REF!</v>
      </c>
      <c r="G368" s="19" t="s">
        <v>1245</v>
      </c>
      <c r="H368" s="19" t="s">
        <v>56</v>
      </c>
      <c r="I368" s="19"/>
      <c r="J368" s="19" t="s">
        <v>1239</v>
      </c>
      <c r="K368" s="19" t="s">
        <v>20</v>
      </c>
      <c r="L368" s="3" t="str">
        <f>HYPERLINK(VLOOKUP(C368,BAPs!$A$2:$C$1048576,3,FALSE),VLOOKUP(C368,BAPs!$A$2:$C$1048576,2,FALSE))</f>
        <v>6 out of 10</v>
      </c>
    </row>
    <row r="369" spans="1:12" hidden="1">
      <c r="A369" s="19" t="s">
        <v>1246</v>
      </c>
      <c r="B369" s="19" t="s">
        <v>1044</v>
      </c>
      <c r="C369" s="19" t="s">
        <v>1247</v>
      </c>
      <c r="D369" s="19" t="s">
        <v>1247</v>
      </c>
      <c r="E369" s="19" t="s">
        <v>1248</v>
      </c>
      <c r="F369" s="19" t="e">
        <f>MATCH(E369,#REF!,0)</f>
        <v>#REF!</v>
      </c>
      <c r="G369" s="19" t="s">
        <v>1249</v>
      </c>
      <c r="H369" s="19" t="s">
        <v>17</v>
      </c>
      <c r="I369" s="19"/>
      <c r="J369" s="19" t="s">
        <v>1250</v>
      </c>
      <c r="K369" s="19" t="s">
        <v>20</v>
      </c>
      <c r="L369" s="3" t="str">
        <f>HYPERLINK(VLOOKUP(C369,BAPs!$A$2:$C$1048576,3,FALSE),VLOOKUP(C369,BAPs!$A$2:$C$1048576,2,FALSE))</f>
        <v>3 out of 10</v>
      </c>
    </row>
    <row r="370" spans="1:12" hidden="1">
      <c r="A370" s="19" t="s">
        <v>1246</v>
      </c>
      <c r="B370" s="19" t="s">
        <v>1044</v>
      </c>
      <c r="C370" s="19" t="s">
        <v>1251</v>
      </c>
      <c r="D370" s="19" t="s">
        <v>1251</v>
      </c>
      <c r="E370" s="19" t="s">
        <v>1252</v>
      </c>
      <c r="F370" s="19" t="e">
        <f>MATCH(E370,#REF!,0)</f>
        <v>#REF!</v>
      </c>
      <c r="G370" s="19" t="s">
        <v>1253</v>
      </c>
      <c r="H370" s="19" t="s">
        <v>17</v>
      </c>
      <c r="I370" s="19" t="s">
        <v>18</v>
      </c>
      <c r="J370" s="19" t="s">
        <v>1254</v>
      </c>
      <c r="K370" s="19" t="s">
        <v>62</v>
      </c>
      <c r="L370" s="3" t="str">
        <f>HYPERLINK(VLOOKUP(C370,BAPs!$A$2:$C$1048576,3,FALSE),VLOOKUP(C370,BAPs!$A$2:$C$1048576,2,FALSE))</f>
        <v>10 out of 10</v>
      </c>
    </row>
    <row r="371" spans="1:12" hidden="1">
      <c r="A371" s="19" t="s">
        <v>1246</v>
      </c>
      <c r="B371" s="19" t="s">
        <v>1044</v>
      </c>
      <c r="C371" s="19" t="s">
        <v>1255</v>
      </c>
      <c r="D371" s="19" t="s">
        <v>1255</v>
      </c>
      <c r="E371" s="19" t="s">
        <v>1256</v>
      </c>
      <c r="F371" s="19" t="e">
        <f>MATCH(E371,#REF!,0)</f>
        <v>#REF!</v>
      </c>
      <c r="G371" s="19" t="s">
        <v>1257</v>
      </c>
      <c r="H371" s="19" t="s">
        <v>17</v>
      </c>
      <c r="I371" s="19" t="s">
        <v>18</v>
      </c>
      <c r="J371" s="19" t="s">
        <v>1258</v>
      </c>
      <c r="K371" s="19" t="s">
        <v>62</v>
      </c>
      <c r="L371" s="3" t="str">
        <f>HYPERLINK(VLOOKUP(C371,BAPs!$A$2:$C$1048576,3,FALSE),VLOOKUP(C371,BAPs!$A$2:$C$1048576,2,FALSE))</f>
        <v>9 out of 10</v>
      </c>
    </row>
    <row r="372" spans="1:12" hidden="1">
      <c r="A372" s="19" t="s">
        <v>1246</v>
      </c>
      <c r="B372" s="19" t="s">
        <v>1044</v>
      </c>
      <c r="C372" s="19" t="s">
        <v>1259</v>
      </c>
      <c r="D372" s="19" t="s">
        <v>1259</v>
      </c>
      <c r="E372" s="19" t="s">
        <v>1260</v>
      </c>
      <c r="F372" s="19" t="e">
        <f>MATCH(E372,#REF!,0)</f>
        <v>#REF!</v>
      </c>
      <c r="G372" s="19" t="s">
        <v>1261</v>
      </c>
      <c r="H372" s="19" t="s">
        <v>52</v>
      </c>
      <c r="I372" s="19"/>
      <c r="J372" s="19" t="s">
        <v>1262</v>
      </c>
      <c r="K372" s="19" t="s">
        <v>20</v>
      </c>
      <c r="L372" s="3" t="str">
        <f>HYPERLINK(VLOOKUP(C372,BAPs!$A$2:$C$1048576,3,FALSE),VLOOKUP(C372,BAPs!$A$2:$C$1048576,2,FALSE))</f>
        <v>6 out of 10</v>
      </c>
    </row>
    <row r="373" spans="1:12" hidden="1">
      <c r="A373" s="19" t="s">
        <v>1246</v>
      </c>
      <c r="B373" s="19" t="s">
        <v>1044</v>
      </c>
      <c r="C373" s="19" t="s">
        <v>1263</v>
      </c>
      <c r="D373" s="19" t="s">
        <v>1264</v>
      </c>
      <c r="E373" s="19" t="s">
        <v>1265</v>
      </c>
      <c r="F373" s="19" t="e">
        <f>MATCH(E373,#REF!,0)</f>
        <v>#REF!</v>
      </c>
      <c r="G373" s="19" t="s">
        <v>1266</v>
      </c>
      <c r="H373" s="19" t="s">
        <v>43</v>
      </c>
      <c r="I373" s="19"/>
      <c r="J373" s="19" t="s">
        <v>1267</v>
      </c>
      <c r="K373" s="19" t="s">
        <v>62</v>
      </c>
      <c r="L373" s="3" t="str">
        <f>HYPERLINK(VLOOKUP(C373,BAPs!$A$2:$C$1048576,3,FALSE),VLOOKUP(C373,BAPs!$A$2:$C$1048576,2,FALSE))</f>
        <v>9 out of 10</v>
      </c>
    </row>
    <row r="374" spans="1:12" hidden="1">
      <c r="A374" s="19" t="s">
        <v>1246</v>
      </c>
      <c r="B374" s="19" t="s">
        <v>1044</v>
      </c>
      <c r="C374" s="19" t="s">
        <v>1263</v>
      </c>
      <c r="D374" s="19" t="s">
        <v>1263</v>
      </c>
      <c r="E374" s="19" t="s">
        <v>1268</v>
      </c>
      <c r="F374" s="19" t="e">
        <f>MATCH(E374,#REF!,0)</f>
        <v>#REF!</v>
      </c>
      <c r="G374" s="19" t="s">
        <v>1269</v>
      </c>
      <c r="H374" s="19" t="s">
        <v>52</v>
      </c>
      <c r="I374" s="19"/>
      <c r="J374" s="19" t="s">
        <v>1267</v>
      </c>
      <c r="K374" s="19" t="s">
        <v>62</v>
      </c>
      <c r="L374" s="3" t="str">
        <f>HYPERLINK(VLOOKUP(C374,BAPs!$A$2:$C$1048576,3,FALSE),VLOOKUP(C374,BAPs!$A$2:$C$1048576,2,FALSE))</f>
        <v>9 out of 10</v>
      </c>
    </row>
    <row r="375" spans="1:12" hidden="1">
      <c r="A375" s="19" t="s">
        <v>1246</v>
      </c>
      <c r="B375" s="19" t="s">
        <v>1044</v>
      </c>
      <c r="C375" s="19" t="s">
        <v>1270</v>
      </c>
      <c r="D375" s="19" t="s">
        <v>1270</v>
      </c>
      <c r="E375" s="19" t="s">
        <v>1271</v>
      </c>
      <c r="F375" s="19" t="e">
        <f>MATCH(E375,#REF!,0)</f>
        <v>#REF!</v>
      </c>
      <c r="G375" s="19" t="s">
        <v>1272</v>
      </c>
      <c r="H375" s="19" t="s">
        <v>17</v>
      </c>
      <c r="I375" s="19" t="s">
        <v>18</v>
      </c>
      <c r="J375" s="19" t="s">
        <v>1273</v>
      </c>
      <c r="K375" s="19" t="s">
        <v>20</v>
      </c>
      <c r="L375" s="3" t="str">
        <f>HYPERLINK(VLOOKUP(C375,BAPs!$A$2:$C$1048576,3,FALSE),VLOOKUP(C375,BAPs!$A$2:$C$1048576,2,FALSE))</f>
        <v>4 out of 10</v>
      </c>
    </row>
    <row r="376" spans="1:12" hidden="1">
      <c r="A376" s="19" t="s">
        <v>1246</v>
      </c>
      <c r="B376" s="19" t="s">
        <v>1044</v>
      </c>
      <c r="C376" s="19" t="s">
        <v>1274</v>
      </c>
      <c r="D376" s="19" t="s">
        <v>1274</v>
      </c>
      <c r="E376" s="19" t="s">
        <v>1275</v>
      </c>
      <c r="F376" s="19" t="e">
        <f>MATCH(E376,#REF!,0)</f>
        <v>#REF!</v>
      </c>
      <c r="G376" s="19" t="s">
        <v>1276</v>
      </c>
      <c r="H376" s="19" t="s">
        <v>17</v>
      </c>
      <c r="I376" s="19" t="s">
        <v>18</v>
      </c>
      <c r="J376" s="19" t="s">
        <v>1277</v>
      </c>
      <c r="K376" s="19" t="s">
        <v>20</v>
      </c>
      <c r="L376" s="3" t="str">
        <f>HYPERLINK(VLOOKUP(C376,BAPs!$A$2:$C$1048576,3,FALSE),VLOOKUP(C376,BAPs!$A$2:$C$1048576,2,FALSE))</f>
        <v>8 out of 10</v>
      </c>
    </row>
    <row r="377" spans="1:12" hidden="1">
      <c r="A377" s="19" t="s">
        <v>1246</v>
      </c>
      <c r="B377" s="19" t="s">
        <v>1044</v>
      </c>
      <c r="C377" s="19" t="s">
        <v>1278</v>
      </c>
      <c r="D377" s="19" t="s">
        <v>1278</v>
      </c>
      <c r="E377" s="19" t="s">
        <v>1279</v>
      </c>
      <c r="F377" s="19" t="e">
        <f>MATCH(E377,#REF!,0)</f>
        <v>#REF!</v>
      </c>
      <c r="G377" s="19" t="s">
        <v>1280</v>
      </c>
      <c r="H377" s="19" t="s">
        <v>17</v>
      </c>
      <c r="I377" s="19" t="s">
        <v>18</v>
      </c>
      <c r="J377" s="19" t="s">
        <v>1281</v>
      </c>
      <c r="K377" s="19" t="s">
        <v>20</v>
      </c>
      <c r="L377" s="3" t="str">
        <f>HYPERLINK(VLOOKUP(C377,BAPs!$A$2:$C$1048576,3,FALSE),VLOOKUP(C377,BAPs!$A$2:$C$1048576,2,FALSE))</f>
        <v>3 out of 10</v>
      </c>
    </row>
    <row r="378" spans="1:12" hidden="1">
      <c r="A378" s="19" t="s">
        <v>1246</v>
      </c>
      <c r="B378" s="19" t="s">
        <v>1044</v>
      </c>
      <c r="C378" s="19" t="s">
        <v>1278</v>
      </c>
      <c r="D378" s="19" t="s">
        <v>1064</v>
      </c>
      <c r="E378" s="19" t="s">
        <v>1065</v>
      </c>
      <c r="F378" s="19" t="e">
        <f>MATCH(E378,#REF!,0)</f>
        <v>#REF!</v>
      </c>
      <c r="G378" s="19" t="s">
        <v>1066</v>
      </c>
      <c r="H378" s="19" t="s">
        <v>43</v>
      </c>
      <c r="I378" s="19"/>
      <c r="J378" s="19" t="s">
        <v>1281</v>
      </c>
      <c r="K378" s="19" t="s">
        <v>20</v>
      </c>
      <c r="L378" s="3" t="str">
        <f>HYPERLINK(VLOOKUP(C378,BAPs!$A$2:$C$1048576,3,FALSE),VLOOKUP(C378,BAPs!$A$2:$C$1048576,2,FALSE))</f>
        <v>3 out of 10</v>
      </c>
    </row>
    <row r="379" spans="1:12" hidden="1">
      <c r="A379" s="19" t="s">
        <v>1246</v>
      </c>
      <c r="B379" s="19" t="s">
        <v>1044</v>
      </c>
      <c r="C379" s="19" t="s">
        <v>1282</v>
      </c>
      <c r="D379" s="19" t="s">
        <v>1283</v>
      </c>
      <c r="E379" s="19" t="s">
        <v>1284</v>
      </c>
      <c r="F379" s="19" t="e">
        <f>MATCH(E379,#REF!,0)</f>
        <v>#REF!</v>
      </c>
      <c r="G379" s="19" t="s">
        <v>1285</v>
      </c>
      <c r="H379" s="19" t="s">
        <v>52</v>
      </c>
      <c r="I379" s="19"/>
      <c r="J379" s="19" t="s">
        <v>1286</v>
      </c>
      <c r="K379" s="19" t="s">
        <v>20</v>
      </c>
      <c r="L379" s="3" t="str">
        <f>HYPERLINK(VLOOKUP(C379,BAPs!$A$2:$C$1048576,3,FALSE),VLOOKUP(C379,BAPs!$A$2:$C$1048576,2,FALSE))</f>
        <v>6 out of 10</v>
      </c>
    </row>
    <row r="380" spans="1:12" hidden="1">
      <c r="A380" s="19" t="s">
        <v>1246</v>
      </c>
      <c r="B380" s="19" t="s">
        <v>1044</v>
      </c>
      <c r="C380" s="19" t="s">
        <v>1287</v>
      </c>
      <c r="D380" s="19" t="s">
        <v>1288</v>
      </c>
      <c r="E380" s="19" t="s">
        <v>1289</v>
      </c>
      <c r="F380" s="19" t="e">
        <f>MATCH(E380,#REF!,0)</f>
        <v>#REF!</v>
      </c>
      <c r="G380" s="19" t="s">
        <v>1290</v>
      </c>
      <c r="H380" s="19" t="s">
        <v>17</v>
      </c>
      <c r="I380" s="19"/>
      <c r="J380" s="19" t="s">
        <v>1291</v>
      </c>
      <c r="K380" s="19" t="s">
        <v>20</v>
      </c>
      <c r="L380" s="3" t="str">
        <f>HYPERLINK(VLOOKUP(C380,BAPs!$A$2:$C$1048576,3,FALSE),VLOOKUP(C380,BAPs!$A$2:$C$1048576,2,FALSE))</f>
        <v>3 out of 10</v>
      </c>
    </row>
    <row r="381" spans="1:12" hidden="1">
      <c r="A381" s="19" t="s">
        <v>1246</v>
      </c>
      <c r="B381" s="19" t="s">
        <v>1044</v>
      </c>
      <c r="C381" s="19" t="s">
        <v>1287</v>
      </c>
      <c r="D381" s="19" t="s">
        <v>1168</v>
      </c>
      <c r="E381" s="19" t="s">
        <v>1169</v>
      </c>
      <c r="F381" s="19" t="e">
        <f>MATCH(E381,#REF!,0)</f>
        <v>#REF!</v>
      </c>
      <c r="G381" s="19" t="s">
        <v>1170</v>
      </c>
      <c r="H381" s="19" t="s">
        <v>43</v>
      </c>
      <c r="I381" s="19" t="s">
        <v>18</v>
      </c>
      <c r="J381" s="19" t="s">
        <v>1291</v>
      </c>
      <c r="K381" s="19" t="s">
        <v>20</v>
      </c>
      <c r="L381" s="3" t="str">
        <f>HYPERLINK(VLOOKUP(C381,BAPs!$A$2:$C$1048576,3,FALSE),VLOOKUP(C381,BAPs!$A$2:$C$1048576,2,FALSE))</f>
        <v>3 out of 10</v>
      </c>
    </row>
    <row r="382" spans="1:12" hidden="1">
      <c r="A382" s="19" t="s">
        <v>1246</v>
      </c>
      <c r="B382" s="19" t="s">
        <v>1044</v>
      </c>
      <c r="C382" s="19" t="s">
        <v>1287</v>
      </c>
      <c r="D382" s="19" t="s">
        <v>1292</v>
      </c>
      <c r="E382" s="19" t="s">
        <v>1293</v>
      </c>
      <c r="F382" s="19" t="e">
        <f>MATCH(E382,#REF!,0)</f>
        <v>#REF!</v>
      </c>
      <c r="G382" s="19" t="s">
        <v>1294</v>
      </c>
      <c r="H382" s="19" t="s">
        <v>56</v>
      </c>
      <c r="I382" s="19"/>
      <c r="J382" s="19" t="s">
        <v>1291</v>
      </c>
      <c r="K382" s="19" t="s">
        <v>20</v>
      </c>
      <c r="L382" s="3" t="str">
        <f>HYPERLINK(VLOOKUP(C382,BAPs!$A$2:$C$1048576,3,FALSE),VLOOKUP(C382,BAPs!$A$2:$C$1048576,2,FALSE))</f>
        <v>3 out of 10</v>
      </c>
    </row>
    <row r="383" spans="1:12" hidden="1">
      <c r="A383" s="19" t="s">
        <v>1246</v>
      </c>
      <c r="B383" s="19" t="s">
        <v>1044</v>
      </c>
      <c r="C383" s="19" t="s">
        <v>1287</v>
      </c>
      <c r="D383" s="19" t="s">
        <v>1295</v>
      </c>
      <c r="E383" s="19" t="s">
        <v>1296</v>
      </c>
      <c r="F383" s="19" t="e">
        <f>MATCH(E383,#REF!,0)</f>
        <v>#REF!</v>
      </c>
      <c r="G383" s="19" t="s">
        <v>1297</v>
      </c>
      <c r="H383" s="19" t="s">
        <v>84</v>
      </c>
      <c r="I383" s="19"/>
      <c r="J383" s="19" t="s">
        <v>1291</v>
      </c>
      <c r="K383" s="19" t="s">
        <v>20</v>
      </c>
      <c r="L383" s="3" t="str">
        <f>HYPERLINK(VLOOKUP(C383,BAPs!$A$2:$C$1048576,3,FALSE),VLOOKUP(C383,BAPs!$A$2:$C$1048576,2,FALSE))</f>
        <v>3 out of 10</v>
      </c>
    </row>
    <row r="384" spans="1:12" hidden="1">
      <c r="A384" s="19" t="s">
        <v>1246</v>
      </c>
      <c r="B384" s="19" t="s">
        <v>1044</v>
      </c>
      <c r="C384" s="19" t="s">
        <v>1298</v>
      </c>
      <c r="D384" s="19" t="s">
        <v>1298</v>
      </c>
      <c r="E384" s="19" t="s">
        <v>1299</v>
      </c>
      <c r="F384" s="19" t="e">
        <f>MATCH(E384,#REF!,0)</f>
        <v>#REF!</v>
      </c>
      <c r="G384" s="19" t="s">
        <v>1300</v>
      </c>
      <c r="H384" s="19" t="s">
        <v>17</v>
      </c>
      <c r="I384" s="19"/>
      <c r="J384" s="19" t="s">
        <v>1301</v>
      </c>
      <c r="K384" s="19" t="s">
        <v>62</v>
      </c>
      <c r="L384" s="3" t="str">
        <f>HYPERLINK(VLOOKUP(C384,BAPs!$A$2:$C$1048576,3,FALSE),VLOOKUP(C384,BAPs!$A$2:$C$1048576,2,FALSE))</f>
        <v>9 out of 10</v>
      </c>
    </row>
    <row r="385" spans="1:12" hidden="1">
      <c r="A385" s="19" t="s">
        <v>1246</v>
      </c>
      <c r="B385" s="19" t="s">
        <v>1044</v>
      </c>
      <c r="C385" s="19" t="s">
        <v>1302</v>
      </c>
      <c r="D385" s="19" t="s">
        <v>1303</v>
      </c>
      <c r="E385" s="19" t="s">
        <v>1304</v>
      </c>
      <c r="F385" s="19" t="e">
        <f>MATCH(E385,#REF!,0)</f>
        <v>#REF!</v>
      </c>
      <c r="G385" s="19" t="s">
        <v>1305</v>
      </c>
      <c r="H385" s="19" t="s">
        <v>17</v>
      </c>
      <c r="I385" s="19" t="s">
        <v>18</v>
      </c>
      <c r="J385" s="19" t="s">
        <v>1306</v>
      </c>
      <c r="K385" s="19" t="s">
        <v>62</v>
      </c>
      <c r="L385" s="3" t="str">
        <f>HYPERLINK(VLOOKUP(C385,BAPs!$A$2:$C$1048576,3,FALSE),VLOOKUP(C385,BAPs!$A$2:$C$1048576,2,FALSE))</f>
        <v>10 out of 10</v>
      </c>
    </row>
    <row r="386" spans="1:12" hidden="1">
      <c r="A386" s="19" t="s">
        <v>1246</v>
      </c>
      <c r="B386" s="19" t="s">
        <v>1044</v>
      </c>
      <c r="C386" s="19" t="s">
        <v>1302</v>
      </c>
      <c r="D386" s="19" t="s">
        <v>1307</v>
      </c>
      <c r="E386" s="19" t="s">
        <v>1308</v>
      </c>
      <c r="F386" s="19" t="e">
        <f>MATCH(E386,#REF!,0)</f>
        <v>#REF!</v>
      </c>
      <c r="G386" s="19" t="s">
        <v>1309</v>
      </c>
      <c r="H386" s="19" t="s">
        <v>52</v>
      </c>
      <c r="I386" s="19"/>
      <c r="J386" s="19" t="s">
        <v>1306</v>
      </c>
      <c r="K386" s="19" t="s">
        <v>62</v>
      </c>
      <c r="L386" s="3" t="str">
        <f>HYPERLINK(VLOOKUP(C386,BAPs!$A$2:$C$1048576,3,FALSE),VLOOKUP(C386,BAPs!$A$2:$C$1048576,2,FALSE))</f>
        <v>10 out of 10</v>
      </c>
    </row>
    <row r="387" spans="1:12" hidden="1">
      <c r="A387" s="19" t="s">
        <v>1246</v>
      </c>
      <c r="B387" s="19" t="s">
        <v>1044</v>
      </c>
      <c r="C387" s="19" t="s">
        <v>1310</v>
      </c>
      <c r="D387" s="19" t="s">
        <v>1264</v>
      </c>
      <c r="E387" s="19" t="s">
        <v>1265</v>
      </c>
      <c r="F387" s="19" t="e">
        <f>MATCH(E387,#REF!,0)</f>
        <v>#REF!</v>
      </c>
      <c r="G387" s="19" t="s">
        <v>1266</v>
      </c>
      <c r="H387" s="19" t="s">
        <v>43</v>
      </c>
      <c r="I387" s="19"/>
      <c r="J387" s="19" t="s">
        <v>1311</v>
      </c>
      <c r="K387" s="19" t="s">
        <v>62</v>
      </c>
      <c r="L387" s="3" t="str">
        <f>HYPERLINK(VLOOKUP(C387,BAPs!$A$2:$C$1048576,3,FALSE),VLOOKUP(C387,BAPs!$A$2:$C$1048576,2,FALSE))</f>
        <v>10 out of 10</v>
      </c>
    </row>
    <row r="388" spans="1:12" hidden="1">
      <c r="A388" s="19" t="s">
        <v>1246</v>
      </c>
      <c r="B388" s="19" t="s">
        <v>1044</v>
      </c>
      <c r="C388" s="19" t="s">
        <v>1310</v>
      </c>
      <c r="D388" s="19" t="s">
        <v>1270</v>
      </c>
      <c r="E388" s="19" t="s">
        <v>1271</v>
      </c>
      <c r="F388" s="19" t="e">
        <f>MATCH(E388,#REF!,0)</f>
        <v>#REF!</v>
      </c>
      <c r="G388" s="19" t="s">
        <v>1272</v>
      </c>
      <c r="H388" s="19" t="s">
        <v>17</v>
      </c>
      <c r="I388" s="19" t="s">
        <v>18</v>
      </c>
      <c r="J388" s="19" t="s">
        <v>1311</v>
      </c>
      <c r="K388" s="19" t="s">
        <v>62</v>
      </c>
      <c r="L388" s="3" t="str">
        <f>HYPERLINK(VLOOKUP(C388,BAPs!$A$2:$C$1048576,3,FALSE),VLOOKUP(C388,BAPs!$A$2:$C$1048576,2,FALSE))</f>
        <v>10 out of 10</v>
      </c>
    </row>
    <row r="389" spans="1:12" hidden="1">
      <c r="A389" s="19" t="s">
        <v>1246</v>
      </c>
      <c r="B389" s="19" t="s">
        <v>1044</v>
      </c>
      <c r="C389" s="19" t="s">
        <v>1310</v>
      </c>
      <c r="D389" s="19" t="s">
        <v>1312</v>
      </c>
      <c r="E389" s="19" t="s">
        <v>1313</v>
      </c>
      <c r="F389" s="19" t="e">
        <f>MATCH(E389,#REF!,0)</f>
        <v>#REF!</v>
      </c>
      <c r="G389" s="19" t="s">
        <v>1314</v>
      </c>
      <c r="H389" s="19" t="s">
        <v>52</v>
      </c>
      <c r="I389" s="19"/>
      <c r="J389" s="19" t="s">
        <v>1311</v>
      </c>
      <c r="K389" s="19" t="s">
        <v>62</v>
      </c>
      <c r="L389" s="3" t="str">
        <f>HYPERLINK(VLOOKUP(C389,BAPs!$A$2:$C$1048576,3,FALSE),VLOOKUP(C389,BAPs!$A$2:$C$1048576,2,FALSE))</f>
        <v>10 out of 10</v>
      </c>
    </row>
    <row r="390" spans="1:12" hidden="1">
      <c r="A390" s="19" t="s">
        <v>1246</v>
      </c>
      <c r="B390" s="19" t="s">
        <v>1044</v>
      </c>
      <c r="C390" s="19" t="s">
        <v>1315</v>
      </c>
      <c r="D390" s="19" t="s">
        <v>1316</v>
      </c>
      <c r="E390" s="19" t="s">
        <v>1317</v>
      </c>
      <c r="F390" s="19" t="e">
        <f>MATCH(E390,#REF!,0)</f>
        <v>#REF!</v>
      </c>
      <c r="G390" s="19" t="s">
        <v>1318</v>
      </c>
      <c r="H390" s="19" t="s">
        <v>56</v>
      </c>
      <c r="I390" s="19"/>
      <c r="J390" s="19" t="s">
        <v>1319</v>
      </c>
      <c r="K390" s="19" t="s">
        <v>62</v>
      </c>
      <c r="L390" s="3" t="str">
        <f>HYPERLINK(VLOOKUP(C390,BAPs!$A$2:$C$1048576,3,FALSE),VLOOKUP(C390,BAPs!$A$2:$C$1048576,2,FALSE))</f>
        <v>9 out of 10</v>
      </c>
    </row>
    <row r="391" spans="1:12" hidden="1">
      <c r="A391" s="19" t="s">
        <v>1246</v>
      </c>
      <c r="B391" s="19" t="s">
        <v>1044</v>
      </c>
      <c r="C391" s="19" t="s">
        <v>1315</v>
      </c>
      <c r="D391" s="19" t="s">
        <v>1320</v>
      </c>
      <c r="E391" s="19" t="s">
        <v>1321</v>
      </c>
      <c r="F391" s="19" t="e">
        <f>MATCH(E391,#REF!,0)</f>
        <v>#REF!</v>
      </c>
      <c r="G391" s="19" t="s">
        <v>1322</v>
      </c>
      <c r="H391" s="19" t="s">
        <v>56</v>
      </c>
      <c r="I391" s="19"/>
      <c r="J391" s="19" t="s">
        <v>1319</v>
      </c>
      <c r="K391" s="19" t="s">
        <v>62</v>
      </c>
      <c r="L391" s="3" t="str">
        <f>HYPERLINK(VLOOKUP(C391,BAPs!$A$2:$C$1048576,3,FALSE),VLOOKUP(C391,BAPs!$A$2:$C$1048576,2,FALSE))</f>
        <v>9 out of 10</v>
      </c>
    </row>
    <row r="392" spans="1:12" hidden="1">
      <c r="A392" s="19" t="s">
        <v>1246</v>
      </c>
      <c r="B392" s="19" t="s">
        <v>1044</v>
      </c>
      <c r="C392" s="19" t="s">
        <v>1315</v>
      </c>
      <c r="D392" s="19" t="s">
        <v>1323</v>
      </c>
      <c r="E392" s="19" t="s">
        <v>1324</v>
      </c>
      <c r="F392" s="19" t="e">
        <f>MATCH(E392,#REF!,0)</f>
        <v>#REF!</v>
      </c>
      <c r="G392" s="19" t="s">
        <v>1325</v>
      </c>
      <c r="H392" s="19" t="s">
        <v>84</v>
      </c>
      <c r="I392" s="19"/>
      <c r="J392" s="19" t="s">
        <v>1319</v>
      </c>
      <c r="K392" s="19" t="s">
        <v>62</v>
      </c>
      <c r="L392" s="3" t="str">
        <f>HYPERLINK(VLOOKUP(C392,BAPs!$A$2:$C$1048576,3,FALSE),VLOOKUP(C392,BAPs!$A$2:$C$1048576,2,FALSE))</f>
        <v>9 out of 10</v>
      </c>
    </row>
    <row r="393" spans="1:12" hidden="1">
      <c r="A393" s="19" t="s">
        <v>1246</v>
      </c>
      <c r="B393" s="19" t="s">
        <v>1044</v>
      </c>
      <c r="C393" s="19" t="s">
        <v>1315</v>
      </c>
      <c r="D393" s="19" t="s">
        <v>1326</v>
      </c>
      <c r="E393" s="19" t="s">
        <v>1327</v>
      </c>
      <c r="F393" s="19" t="e">
        <f>MATCH(E393,#REF!,0)</f>
        <v>#REF!</v>
      </c>
      <c r="G393" s="19" t="s">
        <v>1328</v>
      </c>
      <c r="H393" s="19" t="s">
        <v>56</v>
      </c>
      <c r="I393" s="19"/>
      <c r="J393" s="19" t="s">
        <v>1319</v>
      </c>
      <c r="K393" s="19" t="s">
        <v>62</v>
      </c>
      <c r="L393" s="3" t="str">
        <f>HYPERLINK(VLOOKUP(C393,BAPs!$A$2:$C$1048576,3,FALSE),VLOOKUP(C393,BAPs!$A$2:$C$1048576,2,FALSE))</f>
        <v>9 out of 10</v>
      </c>
    </row>
    <row r="394" spans="1:12" hidden="1">
      <c r="A394" s="19" t="s">
        <v>1246</v>
      </c>
      <c r="B394" s="19" t="s">
        <v>1044</v>
      </c>
      <c r="C394" s="19" t="s">
        <v>1329</v>
      </c>
      <c r="D394" s="19" t="s">
        <v>1107</v>
      </c>
      <c r="E394" s="19" t="s">
        <v>1108</v>
      </c>
      <c r="F394" s="19" t="e">
        <f>MATCH(E394,#REF!,0)</f>
        <v>#REF!</v>
      </c>
      <c r="G394" s="19" t="s">
        <v>1109</v>
      </c>
      <c r="H394" s="19" t="s">
        <v>56</v>
      </c>
      <c r="I394" s="19"/>
      <c r="J394" s="19" t="s">
        <v>1330</v>
      </c>
      <c r="K394" s="19" t="s">
        <v>62</v>
      </c>
      <c r="L394" s="3" t="str">
        <f>HYPERLINK(VLOOKUP(C394,BAPs!$A$2:$C$1048576,3,FALSE),VLOOKUP(C394,BAPs!$A$2:$C$1048576,2,FALSE))</f>
        <v>10 out of 10</v>
      </c>
    </row>
    <row r="395" spans="1:12" hidden="1">
      <c r="A395" s="19" t="s">
        <v>1246</v>
      </c>
      <c r="B395" s="19" t="s">
        <v>1044</v>
      </c>
      <c r="C395" s="19" t="s">
        <v>1329</v>
      </c>
      <c r="D395" s="19" t="s">
        <v>1331</v>
      </c>
      <c r="E395" s="19" t="s">
        <v>1332</v>
      </c>
      <c r="F395" s="19" t="e">
        <f>MATCH(E395,#REF!,0)</f>
        <v>#REF!</v>
      </c>
      <c r="G395" s="19" t="s">
        <v>1333</v>
      </c>
      <c r="H395" s="19" t="s">
        <v>56</v>
      </c>
      <c r="I395" s="19"/>
      <c r="J395" s="19" t="s">
        <v>1330</v>
      </c>
      <c r="K395" s="19" t="s">
        <v>62</v>
      </c>
      <c r="L395" s="3" t="str">
        <f>HYPERLINK(VLOOKUP(C395,BAPs!$A$2:$C$1048576,3,FALSE),VLOOKUP(C395,BAPs!$A$2:$C$1048576,2,FALSE))</f>
        <v>10 out of 10</v>
      </c>
    </row>
    <row r="396" spans="1:12" hidden="1">
      <c r="A396" s="19" t="s">
        <v>1246</v>
      </c>
      <c r="B396" s="19" t="s">
        <v>1044</v>
      </c>
      <c r="C396" s="19" t="s">
        <v>1334</v>
      </c>
      <c r="D396" s="19" t="s">
        <v>1335</v>
      </c>
      <c r="E396" s="19" t="s">
        <v>1336</v>
      </c>
      <c r="F396" s="19" t="e">
        <f>MATCH(E396,#REF!,0)</f>
        <v>#REF!</v>
      </c>
      <c r="G396" s="19" t="s">
        <v>1337</v>
      </c>
      <c r="H396" s="19" t="s">
        <v>52</v>
      </c>
      <c r="I396" s="19"/>
      <c r="J396" s="19" t="s">
        <v>1338</v>
      </c>
      <c r="K396" s="19" t="s">
        <v>20</v>
      </c>
      <c r="L396" s="3" t="str">
        <f>HYPERLINK(VLOOKUP(C396,BAPs!$A$2:$C$1048576,3,FALSE),VLOOKUP(C396,BAPs!$A$2:$C$1048576,2,FALSE))</f>
        <v>6 out of 10</v>
      </c>
    </row>
    <row r="397" spans="1:12" hidden="1">
      <c r="A397" s="19" t="s">
        <v>1246</v>
      </c>
      <c r="B397" s="19" t="s">
        <v>1044</v>
      </c>
      <c r="C397" s="19" t="s">
        <v>1334</v>
      </c>
      <c r="D397" s="19" t="s">
        <v>1339</v>
      </c>
      <c r="E397" s="19" t="s">
        <v>1340</v>
      </c>
      <c r="F397" s="19" t="e">
        <f>MATCH(E397,#REF!,0)</f>
        <v>#REF!</v>
      </c>
      <c r="G397" s="19" t="s">
        <v>1341</v>
      </c>
      <c r="H397" s="19" t="s">
        <v>56</v>
      </c>
      <c r="I397" s="19"/>
      <c r="J397" s="19" t="s">
        <v>1338</v>
      </c>
      <c r="K397" s="19" t="s">
        <v>20</v>
      </c>
      <c r="L397" s="3" t="str">
        <f>HYPERLINK(VLOOKUP(C397,BAPs!$A$2:$C$1048576,3,FALSE),VLOOKUP(C397,BAPs!$A$2:$C$1048576,2,FALSE))</f>
        <v>6 out of 10</v>
      </c>
    </row>
    <row r="398" spans="1:12" hidden="1">
      <c r="A398" s="19" t="s">
        <v>1246</v>
      </c>
      <c r="B398" s="19" t="s">
        <v>1044</v>
      </c>
      <c r="C398" s="19" t="s">
        <v>1342</v>
      </c>
      <c r="D398" s="19" t="s">
        <v>1343</v>
      </c>
      <c r="E398" s="19" t="s">
        <v>1344</v>
      </c>
      <c r="F398" s="19" t="e">
        <f>MATCH(E398,#REF!,0)</f>
        <v>#REF!</v>
      </c>
      <c r="G398" s="19" t="s">
        <v>1345</v>
      </c>
      <c r="H398" s="19" t="s">
        <v>17</v>
      </c>
      <c r="I398" s="19" t="s">
        <v>18</v>
      </c>
      <c r="J398" s="19" t="s">
        <v>1346</v>
      </c>
      <c r="K398" s="19" t="s">
        <v>62</v>
      </c>
      <c r="L398" s="3" t="str">
        <f>HYPERLINK(VLOOKUP(C398,BAPs!$A$2:$C$1048576,3,FALSE),VLOOKUP(C398,BAPs!$A$2:$C$1048576,2,FALSE))</f>
        <v>10 out of 10</v>
      </c>
    </row>
    <row r="399" spans="1:12" hidden="1">
      <c r="A399" s="19" t="s">
        <v>1246</v>
      </c>
      <c r="B399" s="19" t="s">
        <v>1044</v>
      </c>
      <c r="C399" s="19" t="s">
        <v>1347</v>
      </c>
      <c r="D399" s="19" t="s">
        <v>1348</v>
      </c>
      <c r="E399" s="19" t="s">
        <v>1349</v>
      </c>
      <c r="F399" s="19" t="e">
        <f>MATCH(E399,#REF!,0)</f>
        <v>#REF!</v>
      </c>
      <c r="G399" s="19" t="s">
        <v>1350</v>
      </c>
      <c r="H399" s="19" t="s">
        <v>17</v>
      </c>
      <c r="I399" s="19" t="s">
        <v>18</v>
      </c>
      <c r="J399" s="19" t="s">
        <v>1351</v>
      </c>
      <c r="K399" s="19" t="s">
        <v>20</v>
      </c>
      <c r="L399" s="3" t="str">
        <f>HYPERLINK(VLOOKUP(C399,BAPs!$A$2:$C$1048576,3,FALSE),VLOOKUP(C399,BAPs!$A$2:$C$1048576,2,FALSE))</f>
        <v>4 out of 10</v>
      </c>
    </row>
    <row r="400" spans="1:12" hidden="1">
      <c r="A400" s="19" t="s">
        <v>1246</v>
      </c>
      <c r="B400" s="19" t="s">
        <v>1044</v>
      </c>
      <c r="C400" s="19" t="s">
        <v>1352</v>
      </c>
      <c r="D400" s="19" t="s">
        <v>1353</v>
      </c>
      <c r="E400" s="19" t="s">
        <v>1354</v>
      </c>
      <c r="F400" s="19" t="e">
        <f>MATCH(E400,#REF!,0)</f>
        <v>#REF!</v>
      </c>
      <c r="G400" s="19" t="s">
        <v>1355</v>
      </c>
      <c r="H400" s="19" t="s">
        <v>56</v>
      </c>
      <c r="I400" s="19"/>
      <c r="J400" s="19" t="s">
        <v>1356</v>
      </c>
      <c r="K400" s="19" t="s">
        <v>20</v>
      </c>
      <c r="L400" s="3" t="str">
        <f>HYPERLINK(VLOOKUP(C400,BAPs!$A$2:$C$1048576,3,FALSE),VLOOKUP(C400,BAPs!$A$2:$C$1048576,2,FALSE))</f>
        <v>4 out of 10</v>
      </c>
    </row>
    <row r="401" spans="1:12" hidden="1">
      <c r="A401" s="19" t="s">
        <v>1246</v>
      </c>
      <c r="B401" s="19" t="s">
        <v>1044</v>
      </c>
      <c r="C401" s="19" t="s">
        <v>1352</v>
      </c>
      <c r="D401" s="19" t="s">
        <v>1357</v>
      </c>
      <c r="E401" s="19" t="s">
        <v>1358</v>
      </c>
      <c r="F401" s="19" t="e">
        <f>MATCH(E401,#REF!,0)</f>
        <v>#REF!</v>
      </c>
      <c r="G401" s="19" t="s">
        <v>1359</v>
      </c>
      <c r="H401" s="19" t="s">
        <v>56</v>
      </c>
      <c r="I401" s="19"/>
      <c r="J401" s="19" t="s">
        <v>1356</v>
      </c>
      <c r="K401" s="19" t="s">
        <v>20</v>
      </c>
      <c r="L401" s="3" t="str">
        <f>HYPERLINK(VLOOKUP(C401,BAPs!$A$2:$C$1048576,3,FALSE),VLOOKUP(C401,BAPs!$A$2:$C$1048576,2,FALSE))</f>
        <v>4 out of 10</v>
      </c>
    </row>
    <row r="402" spans="1:12" hidden="1">
      <c r="A402" s="19" t="s">
        <v>1246</v>
      </c>
      <c r="B402" s="19" t="s">
        <v>1044</v>
      </c>
      <c r="C402" s="19" t="s">
        <v>1360</v>
      </c>
      <c r="D402" s="19" t="s">
        <v>1361</v>
      </c>
      <c r="E402" s="19" t="s">
        <v>1362</v>
      </c>
      <c r="F402" s="19" t="e">
        <f>MATCH(E402,#REF!,0)</f>
        <v>#REF!</v>
      </c>
      <c r="G402" s="19" t="s">
        <v>1363</v>
      </c>
      <c r="H402" s="19" t="s">
        <v>56</v>
      </c>
      <c r="I402" s="19"/>
      <c r="J402" s="19" t="s">
        <v>1364</v>
      </c>
      <c r="K402" s="19" t="s">
        <v>62</v>
      </c>
      <c r="L402" s="3" t="str">
        <f>HYPERLINK(VLOOKUP(C402,BAPs!$A$2:$C$1048576,3,FALSE),VLOOKUP(C402,BAPs!$A$2:$C$1048576,2,FALSE))</f>
        <v>9 out of 10</v>
      </c>
    </row>
    <row r="403" spans="1:12" hidden="1">
      <c r="A403" s="19" t="s">
        <v>1246</v>
      </c>
      <c r="B403" s="19" t="s">
        <v>1044</v>
      </c>
      <c r="C403" s="19" t="s">
        <v>1365</v>
      </c>
      <c r="D403" s="19" t="s">
        <v>1366</v>
      </c>
      <c r="E403" s="19" t="s">
        <v>1367</v>
      </c>
      <c r="F403" s="19" t="e">
        <f>MATCH(E403,#REF!,0)</f>
        <v>#REF!</v>
      </c>
      <c r="G403" s="19" t="s">
        <v>1368</v>
      </c>
      <c r="H403" s="19" t="s">
        <v>56</v>
      </c>
      <c r="I403" s="19"/>
      <c r="J403" s="19" t="s">
        <v>1369</v>
      </c>
      <c r="K403" s="19" t="s">
        <v>62</v>
      </c>
      <c r="L403" s="3" t="str">
        <f>HYPERLINK(VLOOKUP(C403,BAPs!$A$2:$C$1048576,3,FALSE),VLOOKUP(C403,BAPs!$A$2:$C$1048576,2,FALSE))</f>
        <v>9 out of 10</v>
      </c>
    </row>
    <row r="404" spans="1:12" hidden="1">
      <c r="A404" s="19" t="s">
        <v>1246</v>
      </c>
      <c r="B404" s="19" t="s">
        <v>1044</v>
      </c>
      <c r="C404" s="19" t="s">
        <v>1370</v>
      </c>
      <c r="D404" s="19" t="s">
        <v>1371</v>
      </c>
      <c r="E404" s="19" t="s">
        <v>1372</v>
      </c>
      <c r="F404" s="19" t="e">
        <f>MATCH(E404,#REF!,0)</f>
        <v>#REF!</v>
      </c>
      <c r="G404" s="19" t="s">
        <v>1373</v>
      </c>
      <c r="H404" s="19" t="s">
        <v>24</v>
      </c>
      <c r="I404" s="19"/>
      <c r="J404" s="19" t="s">
        <v>1374</v>
      </c>
      <c r="K404" s="19" t="s">
        <v>62</v>
      </c>
      <c r="L404" s="3" t="str">
        <f>HYPERLINK(VLOOKUP(C404,BAPs!$A$2:$C$1048576,3,FALSE),VLOOKUP(C404,BAPs!$A$2:$C$1048576,2,FALSE))</f>
        <v>10 out of 10</v>
      </c>
    </row>
    <row r="405" spans="1:12" hidden="1">
      <c r="A405" s="19" t="s">
        <v>1375</v>
      </c>
      <c r="B405" s="19" t="s">
        <v>1044</v>
      </c>
      <c r="C405" s="19" t="s">
        <v>1376</v>
      </c>
      <c r="D405" s="19" t="s">
        <v>1376</v>
      </c>
      <c r="E405" s="19" t="s">
        <v>1377</v>
      </c>
      <c r="F405" s="19" t="e">
        <f>MATCH(E405,#REF!,0)</f>
        <v>#REF!</v>
      </c>
      <c r="G405" s="19" t="s">
        <v>1378</v>
      </c>
      <c r="H405" s="19" t="s">
        <v>17</v>
      </c>
      <c r="I405" s="19" t="s">
        <v>18</v>
      </c>
      <c r="J405" s="19" t="s">
        <v>1379</v>
      </c>
      <c r="K405" s="19" t="s">
        <v>62</v>
      </c>
      <c r="L405" s="3" t="str">
        <f>HYPERLINK(VLOOKUP(C405,BAPs!$A$2:$C$1048576,3,FALSE),VLOOKUP(C405,BAPs!$A$2:$C$1048576,2,FALSE))</f>
        <v>9 out of 10</v>
      </c>
    </row>
    <row r="406" spans="1:12" hidden="1">
      <c r="A406" s="19" t="s">
        <v>1375</v>
      </c>
      <c r="B406" s="19" t="s">
        <v>1044</v>
      </c>
      <c r="C406" s="19" t="s">
        <v>1376</v>
      </c>
      <c r="D406" s="19" t="s">
        <v>1078</v>
      </c>
      <c r="E406" s="19" t="s">
        <v>1079</v>
      </c>
      <c r="F406" s="19" t="e">
        <f>MATCH(E406,#REF!,0)</f>
        <v>#REF!</v>
      </c>
      <c r="G406" s="19" t="s">
        <v>1080</v>
      </c>
      <c r="H406" s="19" t="s">
        <v>24</v>
      </c>
      <c r="I406" s="19"/>
      <c r="J406" s="19" t="s">
        <v>1379</v>
      </c>
      <c r="K406" s="19" t="s">
        <v>62</v>
      </c>
      <c r="L406" s="3" t="str">
        <f>HYPERLINK(VLOOKUP(C406,BAPs!$A$2:$C$1048576,3,FALSE),VLOOKUP(C406,BAPs!$A$2:$C$1048576,2,FALSE))</f>
        <v>9 out of 10</v>
      </c>
    </row>
    <row r="407" spans="1:12" hidden="1">
      <c r="A407" s="19" t="s">
        <v>1375</v>
      </c>
      <c r="B407" s="19" t="s">
        <v>1044</v>
      </c>
      <c r="C407" s="19" t="s">
        <v>1376</v>
      </c>
      <c r="D407" s="19" t="s">
        <v>1380</v>
      </c>
      <c r="E407" s="19" t="s">
        <v>1381</v>
      </c>
      <c r="F407" s="19" t="e">
        <f>MATCH(E407,#REF!,0)</f>
        <v>#REF!</v>
      </c>
      <c r="G407" s="19" t="s">
        <v>1382</v>
      </c>
      <c r="H407" s="19" t="s">
        <v>52</v>
      </c>
      <c r="I407" s="19"/>
      <c r="J407" s="19" t="s">
        <v>1379</v>
      </c>
      <c r="K407" s="19" t="s">
        <v>62</v>
      </c>
      <c r="L407" s="3" t="str">
        <f>HYPERLINK(VLOOKUP(C407,BAPs!$A$2:$C$1048576,3,FALSE),VLOOKUP(C407,BAPs!$A$2:$C$1048576,2,FALSE))</f>
        <v>9 out of 10</v>
      </c>
    </row>
    <row r="408" spans="1:12" hidden="1">
      <c r="A408" s="19" t="s">
        <v>1375</v>
      </c>
      <c r="B408" s="19" t="s">
        <v>1044</v>
      </c>
      <c r="C408" s="19" t="s">
        <v>1383</v>
      </c>
      <c r="D408" s="19" t="s">
        <v>1383</v>
      </c>
      <c r="E408" s="19" t="s">
        <v>1384</v>
      </c>
      <c r="F408" s="19" t="e">
        <f>MATCH(E408,#REF!,0)</f>
        <v>#REF!</v>
      </c>
      <c r="G408" s="19" t="s">
        <v>1385</v>
      </c>
      <c r="H408" s="19" t="s">
        <v>52</v>
      </c>
      <c r="I408" s="19"/>
      <c r="J408" s="19" t="s">
        <v>1386</v>
      </c>
      <c r="K408" s="19" t="s">
        <v>62</v>
      </c>
      <c r="L408" s="3" t="str">
        <f>HYPERLINK(VLOOKUP(C408,BAPs!$A$2:$C$1048576,3,FALSE),VLOOKUP(C408,BAPs!$A$2:$C$1048576,2,FALSE))</f>
        <v>9 out of 10</v>
      </c>
    </row>
    <row r="409" spans="1:12" hidden="1">
      <c r="A409" s="19" t="s">
        <v>1375</v>
      </c>
      <c r="B409" s="19" t="s">
        <v>1044</v>
      </c>
      <c r="C409" s="19" t="s">
        <v>1383</v>
      </c>
      <c r="D409" s="19" t="s">
        <v>1178</v>
      </c>
      <c r="E409" s="19" t="s">
        <v>1179</v>
      </c>
      <c r="F409" s="19" t="e">
        <f>MATCH(E409,#REF!,0)</f>
        <v>#REF!</v>
      </c>
      <c r="G409" s="19" t="s">
        <v>1180</v>
      </c>
      <c r="H409" s="19" t="s">
        <v>43</v>
      </c>
      <c r="I409" s="19" t="s">
        <v>18</v>
      </c>
      <c r="J409" s="19" t="s">
        <v>1386</v>
      </c>
      <c r="K409" s="19" t="s">
        <v>62</v>
      </c>
      <c r="L409" s="3" t="str">
        <f>HYPERLINK(VLOOKUP(C409,BAPs!$A$2:$C$1048576,3,FALSE),VLOOKUP(C409,BAPs!$A$2:$C$1048576,2,FALSE))</f>
        <v>9 out of 10</v>
      </c>
    </row>
    <row r="410" spans="1:12" hidden="1">
      <c r="A410" s="19" t="s">
        <v>1375</v>
      </c>
      <c r="B410" s="19" t="s">
        <v>1044</v>
      </c>
      <c r="C410" s="19" t="s">
        <v>1383</v>
      </c>
      <c r="D410" s="19" t="s">
        <v>1387</v>
      </c>
      <c r="E410" s="19" t="s">
        <v>1388</v>
      </c>
      <c r="F410" s="19" t="e">
        <f>MATCH(E410,#REF!,0)</f>
        <v>#REF!</v>
      </c>
      <c r="G410" s="19" t="s">
        <v>1389</v>
      </c>
      <c r="H410" s="19" t="s">
        <v>17</v>
      </c>
      <c r="I410" s="19" t="s">
        <v>18</v>
      </c>
      <c r="J410" s="19" t="s">
        <v>1386</v>
      </c>
      <c r="K410" s="19" t="s">
        <v>62</v>
      </c>
      <c r="L410" s="3" t="str">
        <f>HYPERLINK(VLOOKUP(C410,BAPs!$A$2:$C$1048576,3,FALSE),VLOOKUP(C410,BAPs!$A$2:$C$1048576,2,FALSE))</f>
        <v>9 out of 10</v>
      </c>
    </row>
    <row r="411" spans="1:12" hidden="1">
      <c r="A411" s="19" t="s">
        <v>1375</v>
      </c>
      <c r="B411" s="19" t="s">
        <v>1044</v>
      </c>
      <c r="C411" s="19" t="s">
        <v>1390</v>
      </c>
      <c r="D411" s="19" t="s">
        <v>1391</v>
      </c>
      <c r="E411" s="19" t="s">
        <v>1392</v>
      </c>
      <c r="F411" s="19" t="e">
        <f>MATCH(E411,#REF!,0)</f>
        <v>#REF!</v>
      </c>
      <c r="G411" s="19" t="s">
        <v>1393</v>
      </c>
      <c r="H411" s="19" t="s">
        <v>17</v>
      </c>
      <c r="I411" s="19" t="s">
        <v>18</v>
      </c>
      <c r="J411" s="19" t="s">
        <v>1394</v>
      </c>
      <c r="K411" s="19" t="s">
        <v>20</v>
      </c>
      <c r="L411" s="3" t="str">
        <f>HYPERLINK(VLOOKUP(C411,BAPs!$A$2:$C$1048576,3,FALSE),VLOOKUP(C411,BAPs!$A$2:$C$1048576,2,FALSE))</f>
        <v>3 out of 10</v>
      </c>
    </row>
    <row r="412" spans="1:12" hidden="1">
      <c r="A412" s="19" t="s">
        <v>1375</v>
      </c>
      <c r="B412" s="19" t="s">
        <v>1044</v>
      </c>
      <c r="C412" s="19" t="s">
        <v>1390</v>
      </c>
      <c r="D412" s="19" t="s">
        <v>1390</v>
      </c>
      <c r="E412" s="19" t="s">
        <v>1395</v>
      </c>
      <c r="F412" s="19" t="e">
        <f>MATCH(E412,#REF!,0)</f>
        <v>#REF!</v>
      </c>
      <c r="G412" s="19" t="s">
        <v>1396</v>
      </c>
      <c r="H412" s="19" t="s">
        <v>17</v>
      </c>
      <c r="I412" s="19" t="s">
        <v>18</v>
      </c>
      <c r="J412" s="19" t="s">
        <v>1394</v>
      </c>
      <c r="K412" s="19" t="s">
        <v>20</v>
      </c>
      <c r="L412" s="3" t="str">
        <f>HYPERLINK(VLOOKUP(C412,BAPs!$A$2:$C$1048576,3,FALSE),VLOOKUP(C412,BAPs!$A$2:$C$1048576,2,FALSE))</f>
        <v>3 out of 10</v>
      </c>
    </row>
    <row r="413" spans="1:12" hidden="1">
      <c r="A413" s="19" t="s">
        <v>1375</v>
      </c>
      <c r="B413" s="19" t="s">
        <v>1044</v>
      </c>
      <c r="C413" s="19" t="s">
        <v>1397</v>
      </c>
      <c r="D413" s="19" t="s">
        <v>1397</v>
      </c>
      <c r="E413" s="19" t="s">
        <v>1398</v>
      </c>
      <c r="F413" s="19" t="e">
        <f>MATCH(E413,#REF!,0)</f>
        <v>#REF!</v>
      </c>
      <c r="G413" s="19" t="s">
        <v>1399</v>
      </c>
      <c r="H413" s="19" t="s">
        <v>24</v>
      </c>
      <c r="I413" s="19" t="s">
        <v>18</v>
      </c>
      <c r="J413" s="19" t="s">
        <v>1400</v>
      </c>
      <c r="K413" s="19" t="s">
        <v>20</v>
      </c>
      <c r="L413" s="3" t="str">
        <f>HYPERLINK(VLOOKUP(C413,BAPs!$A$2:$C$1048576,3,FALSE),VLOOKUP(C413,BAPs!$A$2:$C$1048576,2,FALSE))</f>
        <v>6 out of 10</v>
      </c>
    </row>
    <row r="414" spans="1:12" hidden="1">
      <c r="A414" s="19" t="s">
        <v>1375</v>
      </c>
      <c r="B414" s="19" t="s">
        <v>1044</v>
      </c>
      <c r="C414" s="19" t="s">
        <v>1397</v>
      </c>
      <c r="D414" s="19" t="s">
        <v>1401</v>
      </c>
      <c r="E414" s="19" t="s">
        <v>1402</v>
      </c>
      <c r="F414" s="19" t="e">
        <f>MATCH(E414,#REF!,0)</f>
        <v>#REF!</v>
      </c>
      <c r="G414" s="19" t="s">
        <v>1403</v>
      </c>
      <c r="H414" s="19" t="s">
        <v>24</v>
      </c>
      <c r="I414" s="19"/>
      <c r="J414" s="19" t="s">
        <v>1400</v>
      </c>
      <c r="K414" s="19" t="s">
        <v>20</v>
      </c>
      <c r="L414" s="3" t="str">
        <f>HYPERLINK(VLOOKUP(C414,BAPs!$A$2:$C$1048576,3,FALSE),VLOOKUP(C414,BAPs!$A$2:$C$1048576,2,FALSE))</f>
        <v>6 out of 10</v>
      </c>
    </row>
    <row r="415" spans="1:12" hidden="1">
      <c r="A415" s="19" t="s">
        <v>1375</v>
      </c>
      <c r="B415" s="19" t="s">
        <v>1044</v>
      </c>
      <c r="C415" s="19" t="s">
        <v>1404</v>
      </c>
      <c r="D415" s="19" t="s">
        <v>1405</v>
      </c>
      <c r="E415" s="19" t="s">
        <v>1406</v>
      </c>
      <c r="F415" s="19" t="e">
        <f>MATCH(E415,#REF!,0)</f>
        <v>#REF!</v>
      </c>
      <c r="G415" s="19" t="s">
        <v>1407</v>
      </c>
      <c r="H415" s="19" t="s">
        <v>52</v>
      </c>
      <c r="I415" s="19"/>
      <c r="J415" s="19" t="s">
        <v>1408</v>
      </c>
      <c r="K415" s="19" t="s">
        <v>20</v>
      </c>
      <c r="L415" s="3" t="str">
        <f>HYPERLINK(VLOOKUP(C415,BAPs!$A$2:$C$1048576,3,FALSE),VLOOKUP(C415,BAPs!$A$2:$C$1048576,2,FALSE))</f>
        <v>6 out of 10</v>
      </c>
    </row>
    <row r="416" spans="1:12" hidden="1">
      <c r="A416" s="19" t="s">
        <v>1375</v>
      </c>
      <c r="B416" s="19" t="s">
        <v>1044</v>
      </c>
      <c r="C416" s="19" t="s">
        <v>1404</v>
      </c>
      <c r="D416" s="19" t="s">
        <v>1409</v>
      </c>
      <c r="E416" s="19" t="s">
        <v>1410</v>
      </c>
      <c r="F416" s="19" t="e">
        <f>MATCH(E416,#REF!,0)</f>
        <v>#REF!</v>
      </c>
      <c r="G416" s="19" t="s">
        <v>1411</v>
      </c>
      <c r="H416" s="19" t="s">
        <v>52</v>
      </c>
      <c r="I416" s="19"/>
      <c r="J416" s="19" t="s">
        <v>1408</v>
      </c>
      <c r="K416" s="19" t="s">
        <v>20</v>
      </c>
      <c r="L416" s="3" t="str">
        <f>HYPERLINK(VLOOKUP(C416,BAPs!$A$2:$C$1048576,3,FALSE),VLOOKUP(C416,BAPs!$A$2:$C$1048576,2,FALSE))</f>
        <v>6 out of 10</v>
      </c>
    </row>
    <row r="417" spans="1:12" hidden="1">
      <c r="A417" s="19" t="s">
        <v>1375</v>
      </c>
      <c r="B417" s="19" t="s">
        <v>1044</v>
      </c>
      <c r="C417" s="19" t="s">
        <v>1404</v>
      </c>
      <c r="D417" s="19" t="s">
        <v>1412</v>
      </c>
      <c r="E417" s="19" t="s">
        <v>1413</v>
      </c>
      <c r="F417" s="19" t="e">
        <f>MATCH(E417,#REF!,0)</f>
        <v>#REF!</v>
      </c>
      <c r="G417" s="19" t="s">
        <v>1414</v>
      </c>
      <c r="H417" s="19" t="s">
        <v>17</v>
      </c>
      <c r="I417" s="19"/>
      <c r="J417" s="19" t="s">
        <v>1408</v>
      </c>
      <c r="K417" s="19" t="s">
        <v>20</v>
      </c>
      <c r="L417" s="3" t="str">
        <f>HYPERLINK(VLOOKUP(C417,BAPs!$A$2:$C$1048576,3,FALSE),VLOOKUP(C417,BAPs!$A$2:$C$1048576,2,FALSE))</f>
        <v>6 out of 10</v>
      </c>
    </row>
    <row r="418" spans="1:12" hidden="1">
      <c r="A418" s="19" t="s">
        <v>1375</v>
      </c>
      <c r="B418" s="19" t="s">
        <v>1044</v>
      </c>
      <c r="C418" s="19" t="s">
        <v>1415</v>
      </c>
      <c r="D418" s="19" t="s">
        <v>1415</v>
      </c>
      <c r="E418" s="19" t="s">
        <v>1416</v>
      </c>
      <c r="F418" s="19" t="e">
        <f>MATCH(E418,#REF!,0)</f>
        <v>#REF!</v>
      </c>
      <c r="G418" s="19" t="s">
        <v>1417</v>
      </c>
      <c r="H418" s="19" t="s">
        <v>17</v>
      </c>
      <c r="I418" s="19" t="s">
        <v>18</v>
      </c>
      <c r="J418" s="19" t="s">
        <v>1418</v>
      </c>
      <c r="K418" s="19" t="s">
        <v>20</v>
      </c>
      <c r="L418" s="3" t="str">
        <f>HYPERLINK(VLOOKUP(C418,BAPs!$A$2:$C$1048576,3,FALSE),VLOOKUP(C418,BAPs!$A$2:$C$1048576,2,FALSE))</f>
        <v>4 out of 10</v>
      </c>
    </row>
    <row r="419" spans="1:12" hidden="1">
      <c r="A419" s="19" t="s">
        <v>1375</v>
      </c>
      <c r="B419" s="19" t="s">
        <v>1044</v>
      </c>
      <c r="C419" s="19" t="s">
        <v>1415</v>
      </c>
      <c r="D419" s="19" t="s">
        <v>1419</v>
      </c>
      <c r="E419" s="19" t="s">
        <v>1420</v>
      </c>
      <c r="F419" s="19" t="e">
        <f>MATCH(E419,#REF!,0)</f>
        <v>#REF!</v>
      </c>
      <c r="G419" s="19" t="s">
        <v>1421</v>
      </c>
      <c r="H419" s="19" t="s">
        <v>52</v>
      </c>
      <c r="I419" s="19"/>
      <c r="J419" s="19" t="s">
        <v>1418</v>
      </c>
      <c r="K419" s="19" t="s">
        <v>20</v>
      </c>
      <c r="L419" s="3" t="str">
        <f>HYPERLINK(VLOOKUP(C419,BAPs!$A$2:$C$1048576,3,FALSE),VLOOKUP(C419,BAPs!$A$2:$C$1048576,2,FALSE))</f>
        <v>4 out of 10</v>
      </c>
    </row>
    <row r="420" spans="1:12" hidden="1">
      <c r="A420" s="19" t="s">
        <v>1375</v>
      </c>
      <c r="B420" s="19" t="s">
        <v>1044</v>
      </c>
      <c r="C420" s="19" t="s">
        <v>1422</v>
      </c>
      <c r="D420" s="19" t="s">
        <v>1422</v>
      </c>
      <c r="E420" s="19" t="s">
        <v>1423</v>
      </c>
      <c r="F420" s="19" t="e">
        <f>MATCH(E420,#REF!,0)</f>
        <v>#REF!</v>
      </c>
      <c r="G420" s="19" t="s">
        <v>1424</v>
      </c>
      <c r="H420" s="19" t="s">
        <v>56</v>
      </c>
      <c r="I420" s="19"/>
      <c r="J420" s="19" t="s">
        <v>1425</v>
      </c>
      <c r="K420" s="19" t="s">
        <v>20</v>
      </c>
      <c r="L420" s="3" t="str">
        <f>HYPERLINK(VLOOKUP(C420,BAPs!$A$2:$C$1048576,3,FALSE),VLOOKUP(C420,BAPs!$A$2:$C$1048576,2,FALSE))</f>
        <v>3 out of 10</v>
      </c>
    </row>
    <row r="421" spans="1:12" hidden="1">
      <c r="A421" s="19" t="s">
        <v>1375</v>
      </c>
      <c r="B421" s="19" t="s">
        <v>1044</v>
      </c>
      <c r="C421" s="19" t="s">
        <v>1422</v>
      </c>
      <c r="D421" s="19" t="s">
        <v>1426</v>
      </c>
      <c r="E421" s="19" t="s">
        <v>1427</v>
      </c>
      <c r="F421" s="19" t="e">
        <f>MATCH(E421,#REF!,0)</f>
        <v>#REF!</v>
      </c>
      <c r="G421" s="19" t="s">
        <v>1428</v>
      </c>
      <c r="H421" s="19" t="s">
        <v>56</v>
      </c>
      <c r="I421" s="19"/>
      <c r="J421" s="19" t="s">
        <v>1425</v>
      </c>
      <c r="K421" s="19" t="s">
        <v>20</v>
      </c>
      <c r="L421" s="3" t="str">
        <f>HYPERLINK(VLOOKUP(C421,BAPs!$A$2:$C$1048576,3,FALSE),VLOOKUP(C421,BAPs!$A$2:$C$1048576,2,FALSE))</f>
        <v>3 out of 10</v>
      </c>
    </row>
    <row r="422" spans="1:12" hidden="1">
      <c r="A422" s="19" t="s">
        <v>1375</v>
      </c>
      <c r="B422" s="19" t="s">
        <v>1044</v>
      </c>
      <c r="C422" s="19" t="s">
        <v>1422</v>
      </c>
      <c r="D422" s="19" t="s">
        <v>1429</v>
      </c>
      <c r="E422" s="19" t="s">
        <v>1430</v>
      </c>
      <c r="F422" s="19" t="e">
        <f>MATCH(E422,#REF!,0)</f>
        <v>#REF!</v>
      </c>
      <c r="G422" s="19" t="s">
        <v>1431</v>
      </c>
      <c r="H422" s="19" t="s">
        <v>56</v>
      </c>
      <c r="I422" s="19"/>
      <c r="J422" s="19" t="s">
        <v>1425</v>
      </c>
      <c r="K422" s="19" t="s">
        <v>20</v>
      </c>
      <c r="L422" s="3" t="str">
        <f>HYPERLINK(VLOOKUP(C422,BAPs!$A$2:$C$1048576,3,FALSE),VLOOKUP(C422,BAPs!$A$2:$C$1048576,2,FALSE))</f>
        <v>3 out of 10</v>
      </c>
    </row>
    <row r="423" spans="1:12" hidden="1">
      <c r="A423" s="19" t="s">
        <v>1375</v>
      </c>
      <c r="B423" s="19" t="s">
        <v>1044</v>
      </c>
      <c r="C423" s="19" t="s">
        <v>1432</v>
      </c>
      <c r="D423" s="19" t="s">
        <v>1433</v>
      </c>
      <c r="E423" s="19" t="s">
        <v>1434</v>
      </c>
      <c r="F423" s="19" t="e">
        <f>MATCH(E423,#REF!,0)</f>
        <v>#REF!</v>
      </c>
      <c r="G423" s="19" t="s">
        <v>1435</v>
      </c>
      <c r="H423" s="19" t="s">
        <v>24</v>
      </c>
      <c r="I423" s="19"/>
      <c r="J423" s="19" t="s">
        <v>1436</v>
      </c>
      <c r="K423" s="19" t="s">
        <v>62</v>
      </c>
      <c r="L423" s="3" t="str">
        <f>HYPERLINK(VLOOKUP(C423,BAPs!$A$2:$C$1048576,3,FALSE),VLOOKUP(C423,BAPs!$A$2:$C$1048576,2,FALSE))</f>
        <v>9 out of 10</v>
      </c>
    </row>
    <row r="424" spans="1:12" hidden="1">
      <c r="A424" s="19" t="s">
        <v>1375</v>
      </c>
      <c r="B424" s="19" t="s">
        <v>1044</v>
      </c>
      <c r="C424" s="19" t="s">
        <v>1437</v>
      </c>
      <c r="D424" s="19" t="s">
        <v>1438</v>
      </c>
      <c r="E424" s="19" t="s">
        <v>1439</v>
      </c>
      <c r="F424" s="19" t="e">
        <f>MATCH(E424,#REF!,0)</f>
        <v>#REF!</v>
      </c>
      <c r="G424" s="19" t="s">
        <v>1440</v>
      </c>
      <c r="H424" s="19" t="s">
        <v>56</v>
      </c>
      <c r="I424" s="19"/>
      <c r="J424" s="19" t="s">
        <v>1441</v>
      </c>
      <c r="K424" s="19" t="s">
        <v>62</v>
      </c>
      <c r="L424" s="3" t="str">
        <f>HYPERLINK(VLOOKUP(C424,BAPs!$A$2:$C$1048576,3,FALSE),VLOOKUP(C424,BAPs!$A$2:$C$1048576,2,FALSE))</f>
        <v>9 out of 10</v>
      </c>
    </row>
    <row r="425" spans="1:12" hidden="1">
      <c r="A425" s="19" t="s">
        <v>1442</v>
      </c>
      <c r="B425" s="19" t="s">
        <v>1044</v>
      </c>
      <c r="C425" s="19" t="s">
        <v>1443</v>
      </c>
      <c r="D425" s="19" t="s">
        <v>1443</v>
      </c>
      <c r="E425" s="19" t="s">
        <v>1444</v>
      </c>
      <c r="F425" s="19" t="e">
        <f>MATCH(E425,#REF!,0)</f>
        <v>#REF!</v>
      </c>
      <c r="G425" s="19" t="s">
        <v>1445</v>
      </c>
      <c r="H425" s="19" t="s">
        <v>52</v>
      </c>
      <c r="I425" s="19"/>
      <c r="J425" s="19" t="s">
        <v>1446</v>
      </c>
      <c r="K425" s="19" t="s">
        <v>62</v>
      </c>
      <c r="L425" s="3" t="str">
        <f>HYPERLINK(VLOOKUP(C425,BAPs!$A$2:$C$1048576,3,FALSE),VLOOKUP(C425,BAPs!$A$2:$C$1048576,2,FALSE))</f>
        <v>10 out of 10</v>
      </c>
    </row>
    <row r="426" spans="1:12" hidden="1">
      <c r="A426" s="19" t="s">
        <v>1442</v>
      </c>
      <c r="B426" s="19" t="s">
        <v>1044</v>
      </c>
      <c r="C426" s="19" t="s">
        <v>1443</v>
      </c>
      <c r="D426" s="19" t="s">
        <v>1178</v>
      </c>
      <c r="E426" s="19" t="s">
        <v>1179</v>
      </c>
      <c r="F426" s="19" t="e">
        <f>MATCH(E426,#REF!,0)</f>
        <v>#REF!</v>
      </c>
      <c r="G426" s="19" t="s">
        <v>1180</v>
      </c>
      <c r="H426" s="19" t="s">
        <v>43</v>
      </c>
      <c r="I426" s="19" t="s">
        <v>18</v>
      </c>
      <c r="J426" s="19" t="s">
        <v>1446</v>
      </c>
      <c r="K426" s="19" t="s">
        <v>62</v>
      </c>
      <c r="L426" s="3" t="str">
        <f>HYPERLINK(VLOOKUP(C426,BAPs!$A$2:$C$1048576,3,FALSE),VLOOKUP(C426,BAPs!$A$2:$C$1048576,2,FALSE))</f>
        <v>10 out of 10</v>
      </c>
    </row>
    <row r="427" spans="1:12" hidden="1">
      <c r="A427" s="19" t="s">
        <v>1442</v>
      </c>
      <c r="B427" s="19" t="s">
        <v>1044</v>
      </c>
      <c r="C427" s="19" t="s">
        <v>1443</v>
      </c>
      <c r="D427" s="19" t="s">
        <v>1447</v>
      </c>
      <c r="E427" s="19" t="s">
        <v>1448</v>
      </c>
      <c r="F427" s="19" t="e">
        <f>MATCH(E427,#REF!,0)</f>
        <v>#REF!</v>
      </c>
      <c r="G427" s="19" t="s">
        <v>1449</v>
      </c>
      <c r="H427" s="19" t="s">
        <v>24</v>
      </c>
      <c r="I427" s="19"/>
      <c r="J427" s="19" t="s">
        <v>1446</v>
      </c>
      <c r="K427" s="19" t="s">
        <v>62</v>
      </c>
      <c r="L427" s="3" t="str">
        <f>HYPERLINK(VLOOKUP(C427,BAPs!$A$2:$C$1048576,3,FALSE),VLOOKUP(C427,BAPs!$A$2:$C$1048576,2,FALSE))</f>
        <v>10 out of 10</v>
      </c>
    </row>
    <row r="428" spans="1:12" hidden="1">
      <c r="A428" s="19" t="s">
        <v>1442</v>
      </c>
      <c r="B428" s="19" t="s">
        <v>1044</v>
      </c>
      <c r="C428" s="19" t="s">
        <v>1450</v>
      </c>
      <c r="D428" s="19" t="s">
        <v>1450</v>
      </c>
      <c r="E428" s="19" t="s">
        <v>1451</v>
      </c>
      <c r="F428" s="19" t="e">
        <f>MATCH(E428,#REF!,0)</f>
        <v>#REF!</v>
      </c>
      <c r="G428" s="19" t="s">
        <v>1452</v>
      </c>
      <c r="H428" s="19" t="s">
        <v>17</v>
      </c>
      <c r="I428" s="19" t="s">
        <v>18</v>
      </c>
      <c r="J428" s="19" t="s">
        <v>1453</v>
      </c>
      <c r="K428" s="19" t="s">
        <v>62</v>
      </c>
      <c r="L428" s="3" t="str">
        <f>HYPERLINK(VLOOKUP(C428,BAPs!$A$2:$C$1048576,3,FALSE),VLOOKUP(C428,BAPs!$A$2:$C$1048576,2,FALSE))</f>
        <v>9 out of 10</v>
      </c>
    </row>
    <row r="429" spans="1:12" hidden="1">
      <c r="A429" s="19" t="s">
        <v>1442</v>
      </c>
      <c r="B429" s="19" t="s">
        <v>1044</v>
      </c>
      <c r="C429" s="19" t="s">
        <v>1454</v>
      </c>
      <c r="D429" s="19" t="s">
        <v>1455</v>
      </c>
      <c r="E429" s="19" t="s">
        <v>1456</v>
      </c>
      <c r="F429" s="19" t="e">
        <f>MATCH(E429,#REF!,0)</f>
        <v>#REF!</v>
      </c>
      <c r="G429" s="19" t="s">
        <v>1457</v>
      </c>
      <c r="H429" s="19" t="s">
        <v>24</v>
      </c>
      <c r="I429" s="19"/>
      <c r="J429" s="19" t="s">
        <v>1458</v>
      </c>
      <c r="K429" s="19" t="s">
        <v>62</v>
      </c>
      <c r="L429" s="3" t="str">
        <f>HYPERLINK(VLOOKUP(C429,BAPs!$A$2:$C$1048576,3,FALSE),VLOOKUP(C429,BAPs!$A$2:$C$1048576,2,FALSE))</f>
        <v>10 out of 10</v>
      </c>
    </row>
    <row r="430" spans="1:12" hidden="1">
      <c r="A430" s="19" t="s">
        <v>1442</v>
      </c>
      <c r="B430" s="19" t="s">
        <v>1044</v>
      </c>
      <c r="C430" s="19" t="s">
        <v>1454</v>
      </c>
      <c r="D430" s="19" t="s">
        <v>1459</v>
      </c>
      <c r="E430" s="19" t="s">
        <v>1460</v>
      </c>
      <c r="F430" s="19" t="e">
        <f>MATCH(E430,#REF!,0)</f>
        <v>#REF!</v>
      </c>
      <c r="G430" s="19" t="s">
        <v>1461</v>
      </c>
      <c r="H430" s="19" t="s">
        <v>17</v>
      </c>
      <c r="I430" s="19" t="s">
        <v>18</v>
      </c>
      <c r="J430" s="19" t="s">
        <v>1458</v>
      </c>
      <c r="K430" s="19" t="s">
        <v>62</v>
      </c>
      <c r="L430" s="3" t="str">
        <f>HYPERLINK(VLOOKUP(C430,BAPs!$A$2:$C$1048576,3,FALSE),VLOOKUP(C430,BAPs!$A$2:$C$1048576,2,FALSE))</f>
        <v>10 out of 10</v>
      </c>
    </row>
    <row r="431" spans="1:12" hidden="1">
      <c r="A431" s="19" t="s">
        <v>1442</v>
      </c>
      <c r="B431" s="19" t="s">
        <v>1044</v>
      </c>
      <c r="C431" s="19" t="s">
        <v>1462</v>
      </c>
      <c r="D431" s="19" t="s">
        <v>1462</v>
      </c>
      <c r="E431" s="19" t="s">
        <v>1463</v>
      </c>
      <c r="F431" s="19" t="e">
        <f>MATCH(E431,#REF!,0)</f>
        <v>#REF!</v>
      </c>
      <c r="G431" s="19" t="s">
        <v>1464</v>
      </c>
      <c r="H431" s="19" t="s">
        <v>17</v>
      </c>
      <c r="I431" s="19" t="s">
        <v>18</v>
      </c>
      <c r="J431" s="19" t="s">
        <v>1465</v>
      </c>
      <c r="K431" s="19" t="s">
        <v>20</v>
      </c>
      <c r="L431" s="3" t="str">
        <f>HYPERLINK(VLOOKUP(C431,BAPs!$A$2:$C$1048576,3,FALSE),VLOOKUP(C431,BAPs!$A$2:$C$1048576,2,FALSE))</f>
        <v>1 out of 10</v>
      </c>
    </row>
    <row r="432" spans="1:12" hidden="1">
      <c r="A432" s="19" t="s">
        <v>1442</v>
      </c>
      <c r="B432" s="19" t="s">
        <v>1044</v>
      </c>
      <c r="C432" s="19" t="s">
        <v>1462</v>
      </c>
      <c r="D432" s="19" t="s">
        <v>1466</v>
      </c>
      <c r="E432" s="19" t="s">
        <v>1467</v>
      </c>
      <c r="F432" s="19" t="e">
        <f>MATCH(E432,#REF!,0)</f>
        <v>#REF!</v>
      </c>
      <c r="G432" s="19" t="s">
        <v>1468</v>
      </c>
      <c r="H432" s="19" t="s">
        <v>24</v>
      </c>
      <c r="I432" s="19"/>
      <c r="J432" s="19" t="s">
        <v>1465</v>
      </c>
      <c r="K432" s="19" t="s">
        <v>20</v>
      </c>
      <c r="L432" s="3" t="str">
        <f>HYPERLINK(VLOOKUP(C432,BAPs!$A$2:$C$1048576,3,FALSE),VLOOKUP(C432,BAPs!$A$2:$C$1048576,2,FALSE))</f>
        <v>1 out of 10</v>
      </c>
    </row>
    <row r="433" spans="1:12" hidden="1">
      <c r="A433" s="19" t="s">
        <v>1442</v>
      </c>
      <c r="B433" s="19" t="s">
        <v>1044</v>
      </c>
      <c r="C433" s="19" t="s">
        <v>1469</v>
      </c>
      <c r="D433" s="19" t="s">
        <v>1469</v>
      </c>
      <c r="E433" s="19" t="s">
        <v>1470</v>
      </c>
      <c r="F433" s="19" t="e">
        <f>MATCH(E433,#REF!,0)</f>
        <v>#REF!</v>
      </c>
      <c r="G433" s="19" t="s">
        <v>1471</v>
      </c>
      <c r="H433" s="19" t="s">
        <v>24</v>
      </c>
      <c r="I433" s="19" t="s">
        <v>18</v>
      </c>
      <c r="J433" s="19" t="s">
        <v>1472</v>
      </c>
      <c r="K433" s="19" t="s">
        <v>20</v>
      </c>
      <c r="L433" s="3" t="str">
        <f>HYPERLINK(VLOOKUP(C433,BAPs!$A$2:$C$1048576,3,FALSE),VLOOKUP(C433,BAPs!$A$2:$C$1048576,2,FALSE))</f>
        <v>1 out of 10</v>
      </c>
    </row>
    <row r="434" spans="1:12" hidden="1">
      <c r="A434" s="19" t="s">
        <v>1442</v>
      </c>
      <c r="B434" s="19" t="s">
        <v>1044</v>
      </c>
      <c r="C434" s="19" t="s">
        <v>1469</v>
      </c>
      <c r="D434" s="19" t="s">
        <v>1473</v>
      </c>
      <c r="E434" s="19" t="s">
        <v>1474</v>
      </c>
      <c r="F434" s="19" t="e">
        <f>MATCH(E434,#REF!,0)</f>
        <v>#REF!</v>
      </c>
      <c r="G434" s="19" t="s">
        <v>1475</v>
      </c>
      <c r="H434" s="19" t="s">
        <v>24</v>
      </c>
      <c r="I434" s="19"/>
      <c r="J434" s="19" t="s">
        <v>1472</v>
      </c>
      <c r="K434" s="19" t="s">
        <v>20</v>
      </c>
      <c r="L434" s="3" t="str">
        <f>HYPERLINK(VLOOKUP(C434,BAPs!$A$2:$C$1048576,3,FALSE),VLOOKUP(C434,BAPs!$A$2:$C$1048576,2,FALSE))</f>
        <v>1 out of 10</v>
      </c>
    </row>
    <row r="435" spans="1:12" hidden="1">
      <c r="A435" s="19" t="s">
        <v>1442</v>
      </c>
      <c r="B435" s="19" t="s">
        <v>1044</v>
      </c>
      <c r="C435" s="19" t="s">
        <v>1476</v>
      </c>
      <c r="D435" s="19" t="s">
        <v>1476</v>
      </c>
      <c r="E435" s="19" t="s">
        <v>1477</v>
      </c>
      <c r="F435" s="19" t="e">
        <f>MATCH(E435,#REF!,0)</f>
        <v>#REF!</v>
      </c>
      <c r="G435" s="19" t="s">
        <v>1478</v>
      </c>
      <c r="H435" s="19" t="s">
        <v>24</v>
      </c>
      <c r="I435" s="19" t="s">
        <v>18</v>
      </c>
      <c r="J435" s="19" t="s">
        <v>1479</v>
      </c>
      <c r="K435" s="19" t="s">
        <v>62</v>
      </c>
      <c r="L435" s="3" t="str">
        <f>HYPERLINK(VLOOKUP(C435,BAPs!$A$2:$C$1048576,3,FALSE),VLOOKUP(C435,BAPs!$A$2:$C$1048576,2,FALSE))</f>
        <v>9 out of 10</v>
      </c>
    </row>
    <row r="436" spans="1:12" hidden="1">
      <c r="A436" s="19" t="s">
        <v>1442</v>
      </c>
      <c r="B436" s="19" t="s">
        <v>1044</v>
      </c>
      <c r="C436" s="19" t="s">
        <v>1476</v>
      </c>
      <c r="D436" s="19" t="s">
        <v>1480</v>
      </c>
      <c r="E436" s="19" t="s">
        <v>1481</v>
      </c>
      <c r="F436" s="19" t="e">
        <f>MATCH(E436,#REF!,0)</f>
        <v>#REF!</v>
      </c>
      <c r="G436" s="19" t="s">
        <v>1482</v>
      </c>
      <c r="H436" s="19" t="s">
        <v>24</v>
      </c>
      <c r="I436" s="19"/>
      <c r="J436" s="19" t="s">
        <v>1479</v>
      </c>
      <c r="K436" s="19" t="s">
        <v>62</v>
      </c>
      <c r="L436" s="3" t="str">
        <f>HYPERLINK(VLOOKUP(C436,BAPs!$A$2:$C$1048576,3,FALSE),VLOOKUP(C436,BAPs!$A$2:$C$1048576,2,FALSE))</f>
        <v>9 out of 10</v>
      </c>
    </row>
    <row r="437" spans="1:12" hidden="1">
      <c r="A437" s="19" t="s">
        <v>1442</v>
      </c>
      <c r="B437" s="19" t="s">
        <v>1044</v>
      </c>
      <c r="C437" s="19" t="s">
        <v>1483</v>
      </c>
      <c r="D437" s="19" t="s">
        <v>1483</v>
      </c>
      <c r="E437" s="19" t="s">
        <v>1484</v>
      </c>
      <c r="F437" s="19" t="e">
        <f>MATCH(E437,#REF!,0)</f>
        <v>#REF!</v>
      </c>
      <c r="G437" s="19" t="s">
        <v>1485</v>
      </c>
      <c r="H437" s="19" t="s">
        <v>52</v>
      </c>
      <c r="I437" s="19"/>
      <c r="J437" s="19" t="s">
        <v>1486</v>
      </c>
      <c r="K437" s="19" t="s">
        <v>20</v>
      </c>
      <c r="L437" s="3" t="str">
        <f>HYPERLINK(VLOOKUP(C437,BAPs!$A$2:$C$1048576,3,FALSE),VLOOKUP(C437,BAPs!$A$2:$C$1048576,2,FALSE))</f>
        <v>8 out of 10</v>
      </c>
    </row>
    <row r="438" spans="1:12" hidden="1">
      <c r="A438" s="19" t="s">
        <v>1442</v>
      </c>
      <c r="B438" s="19" t="s">
        <v>1044</v>
      </c>
      <c r="C438" s="19" t="s">
        <v>1483</v>
      </c>
      <c r="D438" s="19" t="s">
        <v>1487</v>
      </c>
      <c r="E438" s="19" t="s">
        <v>1488</v>
      </c>
      <c r="F438" s="19" t="e">
        <f>MATCH(E438,#REF!,0)</f>
        <v>#REF!</v>
      </c>
      <c r="G438" s="19" t="s">
        <v>1489</v>
      </c>
      <c r="H438" s="19" t="s">
        <v>24</v>
      </c>
      <c r="I438" s="19"/>
      <c r="J438" s="19" t="s">
        <v>1486</v>
      </c>
      <c r="K438" s="19" t="s">
        <v>20</v>
      </c>
      <c r="L438" s="3" t="str">
        <f>HYPERLINK(VLOOKUP(C438,BAPs!$A$2:$C$1048576,3,FALSE),VLOOKUP(C438,BAPs!$A$2:$C$1048576,2,FALSE))</f>
        <v>8 out of 10</v>
      </c>
    </row>
    <row r="439" spans="1:12" hidden="1">
      <c r="A439" s="19" t="s">
        <v>1442</v>
      </c>
      <c r="B439" s="19" t="s">
        <v>1044</v>
      </c>
      <c r="C439" s="19" t="s">
        <v>1490</v>
      </c>
      <c r="D439" s="19" t="s">
        <v>1490</v>
      </c>
      <c r="E439" s="19" t="s">
        <v>1491</v>
      </c>
      <c r="F439" s="19" t="e">
        <f>MATCH(E439,#REF!,0)</f>
        <v>#REF!</v>
      </c>
      <c r="G439" s="19" t="s">
        <v>1492</v>
      </c>
      <c r="H439" s="19" t="s">
        <v>17</v>
      </c>
      <c r="I439" s="19" t="s">
        <v>18</v>
      </c>
      <c r="J439" s="19" t="s">
        <v>1493</v>
      </c>
      <c r="K439" s="19" t="s">
        <v>20</v>
      </c>
      <c r="L439" s="3" t="str">
        <f>HYPERLINK(VLOOKUP(C439,BAPs!$A$2:$C$1048576,3,FALSE),VLOOKUP(C439,BAPs!$A$2:$C$1048576,2,FALSE))</f>
        <v>1 out of 10</v>
      </c>
    </row>
    <row r="440" spans="1:12" hidden="1">
      <c r="A440" s="19" t="s">
        <v>1442</v>
      </c>
      <c r="B440" s="19" t="s">
        <v>1044</v>
      </c>
      <c r="C440" s="19" t="s">
        <v>1494</v>
      </c>
      <c r="D440" s="19" t="s">
        <v>1494</v>
      </c>
      <c r="E440" s="19" t="s">
        <v>1495</v>
      </c>
      <c r="F440" s="19" t="e">
        <f>MATCH(E440,#REF!,0)</f>
        <v>#REF!</v>
      </c>
      <c r="G440" s="19" t="s">
        <v>1496</v>
      </c>
      <c r="H440" s="19" t="s">
        <v>17</v>
      </c>
      <c r="I440" s="19" t="s">
        <v>18</v>
      </c>
      <c r="J440" s="19" t="s">
        <v>1497</v>
      </c>
      <c r="K440" s="19" t="s">
        <v>20</v>
      </c>
      <c r="L440" s="3" t="str">
        <f>HYPERLINK(VLOOKUP(C440,BAPs!$A$2:$C$1048576,3,FALSE),VLOOKUP(C440,BAPs!$A$2:$C$1048576,2,FALSE))</f>
        <v>8 out of 10</v>
      </c>
    </row>
    <row r="441" spans="1:12" hidden="1">
      <c r="A441" s="19" t="s">
        <v>1442</v>
      </c>
      <c r="B441" s="19" t="s">
        <v>1044</v>
      </c>
      <c r="C441" s="19" t="s">
        <v>1494</v>
      </c>
      <c r="D441" s="19" t="s">
        <v>1480</v>
      </c>
      <c r="E441" s="19" t="s">
        <v>1481</v>
      </c>
      <c r="F441" s="19" t="e">
        <f>MATCH(E441,#REF!,0)</f>
        <v>#REF!</v>
      </c>
      <c r="G441" s="19" t="s">
        <v>1482</v>
      </c>
      <c r="H441" s="19" t="s">
        <v>24</v>
      </c>
      <c r="I441" s="19"/>
      <c r="J441" s="19" t="s">
        <v>1497</v>
      </c>
      <c r="K441" s="19" t="s">
        <v>20</v>
      </c>
      <c r="L441" s="3" t="str">
        <f>HYPERLINK(VLOOKUP(C441,BAPs!$A$2:$C$1048576,3,FALSE),VLOOKUP(C441,BAPs!$A$2:$C$1048576,2,FALSE))</f>
        <v>8 out of 10</v>
      </c>
    </row>
    <row r="442" spans="1:12" hidden="1">
      <c r="A442" s="19" t="s">
        <v>1442</v>
      </c>
      <c r="B442" s="19" t="s">
        <v>1044</v>
      </c>
      <c r="C442" s="19" t="s">
        <v>1498</v>
      </c>
      <c r="D442" s="19" t="s">
        <v>1499</v>
      </c>
      <c r="E442" s="19" t="s">
        <v>1500</v>
      </c>
      <c r="F442" s="19" t="e">
        <f>MATCH(E442,#REF!,0)</f>
        <v>#REF!</v>
      </c>
      <c r="G442" s="19" t="s">
        <v>1501</v>
      </c>
      <c r="H442" s="19" t="s">
        <v>43</v>
      </c>
      <c r="I442" s="19"/>
      <c r="J442" s="19" t="s">
        <v>1502</v>
      </c>
      <c r="K442" s="19" t="s">
        <v>20</v>
      </c>
      <c r="L442" s="3" t="str">
        <f>HYPERLINK(VLOOKUP(C442,BAPs!$A$2:$C$1048576,3,FALSE),VLOOKUP(C442,BAPs!$A$2:$C$1048576,2,FALSE))</f>
        <v>3 out of 10</v>
      </c>
    </row>
    <row r="443" spans="1:12" hidden="1">
      <c r="A443" s="19" t="s">
        <v>1442</v>
      </c>
      <c r="B443" s="19" t="s">
        <v>1044</v>
      </c>
      <c r="C443" s="19" t="s">
        <v>1498</v>
      </c>
      <c r="D443" s="19" t="s">
        <v>1503</v>
      </c>
      <c r="E443" s="19" t="s">
        <v>1504</v>
      </c>
      <c r="F443" s="19" t="e">
        <f>MATCH(E443,#REF!,0)</f>
        <v>#REF!</v>
      </c>
      <c r="G443" s="19" t="s">
        <v>1505</v>
      </c>
      <c r="H443" s="19" t="s">
        <v>52</v>
      </c>
      <c r="I443" s="19"/>
      <c r="J443" s="19" t="s">
        <v>1502</v>
      </c>
      <c r="K443" s="19" t="s">
        <v>20</v>
      </c>
      <c r="L443" s="3" t="str">
        <f>HYPERLINK(VLOOKUP(C443,BAPs!$A$2:$C$1048576,3,FALSE),VLOOKUP(C443,BAPs!$A$2:$C$1048576,2,FALSE))</f>
        <v>3 out of 10</v>
      </c>
    </row>
    <row r="444" spans="1:12" hidden="1">
      <c r="A444" s="19" t="s">
        <v>1442</v>
      </c>
      <c r="B444" s="19" t="s">
        <v>1044</v>
      </c>
      <c r="C444" s="19" t="s">
        <v>1506</v>
      </c>
      <c r="D444" s="19" t="s">
        <v>1506</v>
      </c>
      <c r="E444" s="19" t="s">
        <v>1507</v>
      </c>
      <c r="F444" s="19" t="e">
        <f>MATCH(E444,#REF!,0)</f>
        <v>#REF!</v>
      </c>
      <c r="G444" s="19" t="s">
        <v>1508</v>
      </c>
      <c r="H444" s="19" t="s">
        <v>17</v>
      </c>
      <c r="I444" s="19" t="s">
        <v>18</v>
      </c>
      <c r="J444" s="19" t="s">
        <v>1509</v>
      </c>
      <c r="K444" s="19" t="s">
        <v>20</v>
      </c>
      <c r="L444" s="3" t="str">
        <f>HYPERLINK(VLOOKUP(C444,BAPs!$A$2:$C$1048576,3,FALSE),VLOOKUP(C444,BAPs!$A$2:$C$1048576,2,FALSE))</f>
        <v>4 out of 10</v>
      </c>
    </row>
    <row r="445" spans="1:12" hidden="1">
      <c r="A445" s="19" t="s">
        <v>1442</v>
      </c>
      <c r="B445" s="19" t="s">
        <v>1044</v>
      </c>
      <c r="C445" s="19" t="s">
        <v>1510</v>
      </c>
      <c r="D445" s="19" t="s">
        <v>1510</v>
      </c>
      <c r="E445" s="19" t="s">
        <v>1511</v>
      </c>
      <c r="F445" s="19" t="e">
        <f>MATCH(E445,#REF!,0)</f>
        <v>#REF!</v>
      </c>
      <c r="G445" s="19" t="s">
        <v>1512</v>
      </c>
      <c r="H445" s="19" t="s">
        <v>17</v>
      </c>
      <c r="I445" s="19" t="s">
        <v>18</v>
      </c>
      <c r="J445" s="19" t="s">
        <v>1513</v>
      </c>
      <c r="K445" s="19" t="s">
        <v>20</v>
      </c>
      <c r="L445" s="3" t="str">
        <f>HYPERLINK(VLOOKUP(C445,BAPs!$A$2:$C$1048576,3,FALSE),VLOOKUP(C445,BAPs!$A$2:$C$1048576,2,FALSE))</f>
        <v>6 out of 10</v>
      </c>
    </row>
    <row r="446" spans="1:12" hidden="1">
      <c r="A446" s="19" t="s">
        <v>1442</v>
      </c>
      <c r="B446" s="19" t="s">
        <v>1044</v>
      </c>
      <c r="C446" s="19" t="s">
        <v>1510</v>
      </c>
      <c r="D446" s="19" t="s">
        <v>1514</v>
      </c>
      <c r="E446" s="19" t="s">
        <v>1515</v>
      </c>
      <c r="F446" s="19" t="e">
        <f>MATCH(E446,#REF!,0)</f>
        <v>#REF!</v>
      </c>
      <c r="G446" s="19" t="s">
        <v>1516</v>
      </c>
      <c r="H446" s="19" t="s">
        <v>17</v>
      </c>
      <c r="I446" s="19" t="s">
        <v>18</v>
      </c>
      <c r="J446" s="19" t="s">
        <v>1513</v>
      </c>
      <c r="K446" s="19" t="s">
        <v>20</v>
      </c>
      <c r="L446" s="3" t="str">
        <f>HYPERLINK(VLOOKUP(C446,BAPs!$A$2:$C$1048576,3,FALSE),VLOOKUP(C446,BAPs!$A$2:$C$1048576,2,FALSE))</f>
        <v>6 out of 10</v>
      </c>
    </row>
    <row r="447" spans="1:12" hidden="1">
      <c r="A447" s="19" t="s">
        <v>1442</v>
      </c>
      <c r="B447" s="19" t="s">
        <v>1044</v>
      </c>
      <c r="C447" s="19" t="s">
        <v>1517</v>
      </c>
      <c r="D447" s="19" t="s">
        <v>1517</v>
      </c>
      <c r="E447" s="19" t="s">
        <v>1518</v>
      </c>
      <c r="F447" s="19" t="e">
        <f>MATCH(E447,#REF!,0)</f>
        <v>#REF!</v>
      </c>
      <c r="G447" s="19" t="s">
        <v>1519</v>
      </c>
      <c r="H447" s="19" t="s">
        <v>17</v>
      </c>
      <c r="I447" s="19"/>
      <c r="J447" s="19" t="s">
        <v>1520</v>
      </c>
      <c r="K447" s="19" t="s">
        <v>20</v>
      </c>
      <c r="L447" s="3" t="str">
        <f>HYPERLINK(VLOOKUP(C447,BAPs!$A$2:$C$1048576,3,FALSE),VLOOKUP(C447,BAPs!$A$2:$C$1048576,2,FALSE))</f>
        <v>1 out of 10</v>
      </c>
    </row>
    <row r="448" spans="1:12" hidden="1">
      <c r="A448" s="19" t="s">
        <v>1442</v>
      </c>
      <c r="B448" s="19" t="s">
        <v>1044</v>
      </c>
      <c r="C448" s="19" t="s">
        <v>1521</v>
      </c>
      <c r="D448" s="19" t="s">
        <v>1522</v>
      </c>
      <c r="E448" s="19" t="s">
        <v>1523</v>
      </c>
      <c r="F448" s="19" t="e">
        <f>MATCH(E448,#REF!,0)</f>
        <v>#REF!</v>
      </c>
      <c r="G448" s="19" t="s">
        <v>1524</v>
      </c>
      <c r="H448" s="19" t="s">
        <v>56</v>
      </c>
      <c r="I448" s="19"/>
      <c r="J448" s="19" t="s">
        <v>1525</v>
      </c>
      <c r="K448" s="19" t="s">
        <v>62</v>
      </c>
      <c r="L448" s="3" t="str">
        <f>HYPERLINK(VLOOKUP(C448,BAPs!$A$2:$C$1048576,3,FALSE),VLOOKUP(C448,BAPs!$A$2:$C$1048576,2,FALSE))</f>
        <v>9 out of 10</v>
      </c>
    </row>
    <row r="449" spans="1:12" hidden="1">
      <c r="A449" s="19" t="s">
        <v>1442</v>
      </c>
      <c r="B449" s="19" t="s">
        <v>1044</v>
      </c>
      <c r="C449" s="19" t="s">
        <v>1521</v>
      </c>
      <c r="D449" s="19" t="s">
        <v>1526</v>
      </c>
      <c r="E449" s="19" t="s">
        <v>1527</v>
      </c>
      <c r="F449" s="19" t="e">
        <f>MATCH(E449,#REF!,0)</f>
        <v>#REF!</v>
      </c>
      <c r="G449" s="19" t="s">
        <v>1528</v>
      </c>
      <c r="H449" s="19" t="s">
        <v>56</v>
      </c>
      <c r="I449" s="19"/>
      <c r="J449" s="19" t="s">
        <v>1525</v>
      </c>
      <c r="K449" s="19" t="s">
        <v>62</v>
      </c>
      <c r="L449" s="3" t="str">
        <f>HYPERLINK(VLOOKUP(C449,BAPs!$A$2:$C$1048576,3,FALSE),VLOOKUP(C449,BAPs!$A$2:$C$1048576,2,FALSE))</f>
        <v>9 out of 10</v>
      </c>
    </row>
    <row r="450" spans="1:12" hidden="1">
      <c r="A450" s="19" t="s">
        <v>1442</v>
      </c>
      <c r="B450" s="19" t="s">
        <v>1044</v>
      </c>
      <c r="C450" s="19" t="s">
        <v>1521</v>
      </c>
      <c r="D450" s="19" t="s">
        <v>1529</v>
      </c>
      <c r="E450" s="19" t="s">
        <v>1530</v>
      </c>
      <c r="F450" s="19" t="e">
        <f>MATCH(E450,#REF!,0)</f>
        <v>#REF!</v>
      </c>
      <c r="G450" s="19" t="s">
        <v>1531</v>
      </c>
      <c r="H450" s="19" t="s">
        <v>56</v>
      </c>
      <c r="I450" s="19"/>
      <c r="J450" s="19" t="s">
        <v>1525</v>
      </c>
      <c r="K450" s="19" t="s">
        <v>62</v>
      </c>
      <c r="L450" s="3" t="str">
        <f>HYPERLINK(VLOOKUP(C450,BAPs!$A$2:$C$1048576,3,FALSE),VLOOKUP(C450,BAPs!$A$2:$C$1048576,2,FALSE))</f>
        <v>9 out of 10</v>
      </c>
    </row>
    <row r="451" spans="1:12" hidden="1">
      <c r="A451" s="19" t="s">
        <v>1442</v>
      </c>
      <c r="B451" s="19" t="s">
        <v>1044</v>
      </c>
      <c r="C451" s="19" t="s">
        <v>1521</v>
      </c>
      <c r="D451" s="19" t="s">
        <v>1532</v>
      </c>
      <c r="E451" s="19" t="s">
        <v>1533</v>
      </c>
      <c r="F451" s="19" t="e">
        <f>MATCH(E451,#REF!,0)</f>
        <v>#REF!</v>
      </c>
      <c r="G451" s="19" t="s">
        <v>1534</v>
      </c>
      <c r="H451" s="19" t="s">
        <v>56</v>
      </c>
      <c r="I451" s="19"/>
      <c r="J451" s="19" t="s">
        <v>1525</v>
      </c>
      <c r="K451" s="19" t="s">
        <v>62</v>
      </c>
      <c r="L451" s="3" t="str">
        <f>HYPERLINK(VLOOKUP(C451,BAPs!$A$2:$C$1048576,3,FALSE),VLOOKUP(C451,BAPs!$A$2:$C$1048576,2,FALSE))</f>
        <v>9 out of 10</v>
      </c>
    </row>
    <row r="452" spans="1:12" hidden="1">
      <c r="A452" s="19" t="s">
        <v>1442</v>
      </c>
      <c r="B452" s="19" t="s">
        <v>1044</v>
      </c>
      <c r="C452" s="19" t="s">
        <v>1535</v>
      </c>
      <c r="D452" s="19" t="s">
        <v>1536</v>
      </c>
      <c r="E452" s="19" t="s">
        <v>1537</v>
      </c>
      <c r="F452" s="19" t="e">
        <f>MATCH(E452,#REF!,0)</f>
        <v>#REF!</v>
      </c>
      <c r="G452" s="19" t="s">
        <v>1538</v>
      </c>
      <c r="H452" s="19" t="s">
        <v>84</v>
      </c>
      <c r="I452" s="19"/>
      <c r="J452" s="19" t="s">
        <v>1539</v>
      </c>
      <c r="K452" s="19" t="s">
        <v>20</v>
      </c>
      <c r="L452" s="3" t="str">
        <f>HYPERLINK(VLOOKUP(C452,BAPs!$A$2:$C$1048576,3,FALSE),VLOOKUP(C452,BAPs!$A$2:$C$1048576,2,FALSE))</f>
        <v>8 out of 10</v>
      </c>
    </row>
    <row r="453" spans="1:12" hidden="1">
      <c r="A453" s="19" t="s">
        <v>1442</v>
      </c>
      <c r="B453" s="19" t="s">
        <v>1044</v>
      </c>
      <c r="C453" s="19" t="s">
        <v>1535</v>
      </c>
      <c r="D453" s="19" t="s">
        <v>1540</v>
      </c>
      <c r="E453" s="19" t="s">
        <v>1541</v>
      </c>
      <c r="F453" s="19" t="e">
        <f>MATCH(E453,#REF!,0)</f>
        <v>#REF!</v>
      </c>
      <c r="G453" s="19" t="s">
        <v>1542</v>
      </c>
      <c r="H453" s="19" t="s">
        <v>56</v>
      </c>
      <c r="I453" s="19"/>
      <c r="J453" s="19" t="s">
        <v>1539</v>
      </c>
      <c r="K453" s="19" t="s">
        <v>20</v>
      </c>
      <c r="L453" s="3" t="str">
        <f>HYPERLINK(VLOOKUP(C453,BAPs!$A$2:$C$1048576,3,FALSE),VLOOKUP(C453,BAPs!$A$2:$C$1048576,2,FALSE))</f>
        <v>8 out of 10</v>
      </c>
    </row>
    <row r="454" spans="1:12" hidden="1">
      <c r="A454" s="19" t="s">
        <v>1442</v>
      </c>
      <c r="B454" s="19" t="s">
        <v>1044</v>
      </c>
      <c r="C454" s="19" t="s">
        <v>1535</v>
      </c>
      <c r="D454" s="19" t="s">
        <v>1543</v>
      </c>
      <c r="E454" s="19" t="s">
        <v>1544</v>
      </c>
      <c r="F454" s="19" t="e">
        <f>MATCH(E454,#REF!,0)</f>
        <v>#REF!</v>
      </c>
      <c r="G454" s="19" t="s">
        <v>1545</v>
      </c>
      <c r="H454" s="19" t="s">
        <v>56</v>
      </c>
      <c r="I454" s="19"/>
      <c r="J454" s="19" t="s">
        <v>1539</v>
      </c>
      <c r="K454" s="19" t="s">
        <v>20</v>
      </c>
      <c r="L454" s="3" t="str">
        <f>HYPERLINK(VLOOKUP(C454,BAPs!$A$2:$C$1048576,3,FALSE),VLOOKUP(C454,BAPs!$A$2:$C$1048576,2,FALSE))</f>
        <v>8 out of 10</v>
      </c>
    </row>
    <row r="455" spans="1:12" hidden="1">
      <c r="A455" s="19" t="s">
        <v>1442</v>
      </c>
      <c r="B455" s="19" t="s">
        <v>1044</v>
      </c>
      <c r="C455" s="19" t="s">
        <v>1535</v>
      </c>
      <c r="D455" s="19" t="s">
        <v>1546</v>
      </c>
      <c r="E455" s="19" t="s">
        <v>1547</v>
      </c>
      <c r="F455" s="19" t="e">
        <f>MATCH(E455,#REF!,0)</f>
        <v>#REF!</v>
      </c>
      <c r="G455" s="19" t="s">
        <v>1548</v>
      </c>
      <c r="H455" s="19" t="s">
        <v>56</v>
      </c>
      <c r="I455" s="19"/>
      <c r="J455" s="19" t="s">
        <v>1539</v>
      </c>
      <c r="K455" s="19" t="s">
        <v>20</v>
      </c>
      <c r="L455" s="3" t="str">
        <f>HYPERLINK(VLOOKUP(C455,BAPs!$A$2:$C$1048576,3,FALSE),VLOOKUP(C455,BAPs!$A$2:$C$1048576,2,FALSE))</f>
        <v>8 out of 10</v>
      </c>
    </row>
    <row r="456" spans="1:12" hidden="1">
      <c r="A456" s="19" t="s">
        <v>1442</v>
      </c>
      <c r="B456" s="19" t="s">
        <v>1044</v>
      </c>
      <c r="C456" s="19" t="s">
        <v>1535</v>
      </c>
      <c r="D456" s="19" t="s">
        <v>1549</v>
      </c>
      <c r="E456" s="19" t="s">
        <v>1550</v>
      </c>
      <c r="F456" s="19" t="e">
        <f>MATCH(E456,#REF!,0)</f>
        <v>#REF!</v>
      </c>
      <c r="G456" s="19" t="s">
        <v>1551</v>
      </c>
      <c r="H456" s="19" t="s">
        <v>84</v>
      </c>
      <c r="I456" s="19"/>
      <c r="J456" s="19" t="s">
        <v>1539</v>
      </c>
      <c r="K456" s="19" t="s">
        <v>20</v>
      </c>
      <c r="L456" s="3" t="str">
        <f>HYPERLINK(VLOOKUP(C456,BAPs!$A$2:$C$1048576,3,FALSE),VLOOKUP(C456,BAPs!$A$2:$C$1048576,2,FALSE))</f>
        <v>8 out of 10</v>
      </c>
    </row>
    <row r="457" spans="1:12" hidden="1">
      <c r="A457" s="19" t="s">
        <v>1442</v>
      </c>
      <c r="B457" s="19" t="s">
        <v>1044</v>
      </c>
      <c r="C457" s="19" t="s">
        <v>1552</v>
      </c>
      <c r="D457" s="19" t="s">
        <v>1552</v>
      </c>
      <c r="E457" s="19" t="s">
        <v>1553</v>
      </c>
      <c r="F457" s="19" t="e">
        <f>MATCH(E457,#REF!,0)</f>
        <v>#REF!</v>
      </c>
      <c r="G457" s="19" t="s">
        <v>1554</v>
      </c>
      <c r="H457" s="19" t="s">
        <v>84</v>
      </c>
      <c r="I457" s="19"/>
      <c r="J457" s="19" t="s">
        <v>1555</v>
      </c>
      <c r="K457" s="19" t="s">
        <v>62</v>
      </c>
      <c r="L457" s="3" t="str">
        <f>HYPERLINK(VLOOKUP(C457,BAPs!$A$2:$C$1048576,3,FALSE),VLOOKUP(C457,BAPs!$A$2:$C$1048576,2,FALSE))</f>
        <v>9 out of 10</v>
      </c>
    </row>
    <row r="458" spans="1:12" hidden="1">
      <c r="A458" s="19" t="s">
        <v>1442</v>
      </c>
      <c r="B458" s="19" t="s">
        <v>1044</v>
      </c>
      <c r="C458" s="19" t="s">
        <v>1556</v>
      </c>
      <c r="D458" s="19" t="s">
        <v>1556</v>
      </c>
      <c r="E458" s="19" t="s">
        <v>1557</v>
      </c>
      <c r="F458" s="19" t="e">
        <f>MATCH(E458,#REF!,0)</f>
        <v>#REF!</v>
      </c>
      <c r="G458" s="19" t="s">
        <v>1558</v>
      </c>
      <c r="H458" s="19" t="s">
        <v>56</v>
      </c>
      <c r="I458" s="19"/>
      <c r="J458" s="19" t="s">
        <v>1559</v>
      </c>
      <c r="K458" s="19" t="s">
        <v>20</v>
      </c>
      <c r="L458" s="3" t="str">
        <f>HYPERLINK(VLOOKUP(C458,BAPs!$A$2:$C$1048576,3,FALSE),VLOOKUP(C458,BAPs!$A$2:$C$1048576,2,FALSE))</f>
        <v>5 out of 10</v>
      </c>
    </row>
    <row r="459" spans="1:12" hidden="1">
      <c r="A459" s="19" t="s">
        <v>1442</v>
      </c>
      <c r="B459" s="19" t="s">
        <v>1044</v>
      </c>
      <c r="C459" s="19" t="s">
        <v>1556</v>
      </c>
      <c r="D459" s="19" t="s">
        <v>1560</v>
      </c>
      <c r="E459" s="19" t="s">
        <v>1561</v>
      </c>
      <c r="F459" s="19" t="e">
        <f>MATCH(E459,#REF!,0)</f>
        <v>#REF!</v>
      </c>
      <c r="G459" s="19" t="s">
        <v>1562</v>
      </c>
      <c r="H459" s="19" t="s">
        <v>56</v>
      </c>
      <c r="I459" s="19"/>
      <c r="J459" s="19" t="s">
        <v>1559</v>
      </c>
      <c r="K459" s="19" t="s">
        <v>20</v>
      </c>
      <c r="L459" s="3" t="str">
        <f>HYPERLINK(VLOOKUP(C459,BAPs!$A$2:$C$1048576,3,FALSE),VLOOKUP(C459,BAPs!$A$2:$C$1048576,2,FALSE))</f>
        <v>5 out of 10</v>
      </c>
    </row>
    <row r="460" spans="1:12" hidden="1">
      <c r="A460" s="19" t="s">
        <v>1442</v>
      </c>
      <c r="B460" s="19" t="s">
        <v>1044</v>
      </c>
      <c r="C460" s="19" t="s">
        <v>1563</v>
      </c>
      <c r="D460" s="19" t="s">
        <v>1564</v>
      </c>
      <c r="E460" s="19" t="s">
        <v>1565</v>
      </c>
      <c r="F460" s="19" t="e">
        <f>MATCH(E460,#REF!,0)</f>
        <v>#REF!</v>
      </c>
      <c r="G460" s="19" t="s">
        <v>1566</v>
      </c>
      <c r="H460" s="19" t="s">
        <v>56</v>
      </c>
      <c r="I460" s="19"/>
      <c r="J460" s="19" t="s">
        <v>1567</v>
      </c>
      <c r="K460" s="19" t="s">
        <v>62</v>
      </c>
      <c r="L460" s="3" t="str">
        <f>HYPERLINK(VLOOKUP(C460,BAPs!$A$2:$C$1048576,3,FALSE),VLOOKUP(C460,BAPs!$A$2:$C$1048576,2,FALSE))</f>
        <v>9 out of 10</v>
      </c>
    </row>
    <row r="461" spans="1:12" hidden="1">
      <c r="A461" s="19" t="s">
        <v>1442</v>
      </c>
      <c r="B461" s="19" t="s">
        <v>1044</v>
      </c>
      <c r="C461" s="19" t="s">
        <v>1563</v>
      </c>
      <c r="D461" s="19" t="s">
        <v>1568</v>
      </c>
      <c r="E461" s="19" t="s">
        <v>1569</v>
      </c>
      <c r="F461" s="19" t="e">
        <f>MATCH(E461,#REF!,0)</f>
        <v>#REF!</v>
      </c>
      <c r="G461" s="19" t="s">
        <v>1570</v>
      </c>
      <c r="H461" s="19" t="s">
        <v>56</v>
      </c>
      <c r="I461" s="19"/>
      <c r="J461" s="19" t="s">
        <v>1567</v>
      </c>
      <c r="K461" s="19" t="s">
        <v>62</v>
      </c>
      <c r="L461" s="3" t="str">
        <f>HYPERLINK(VLOOKUP(C461,BAPs!$A$2:$C$1048576,3,FALSE),VLOOKUP(C461,BAPs!$A$2:$C$1048576,2,FALSE))</f>
        <v>9 out of 10</v>
      </c>
    </row>
    <row r="462" spans="1:12" hidden="1">
      <c r="A462" s="19" t="s">
        <v>1442</v>
      </c>
      <c r="B462" s="19" t="s">
        <v>1044</v>
      </c>
      <c r="C462" s="19" t="s">
        <v>1571</v>
      </c>
      <c r="D462" s="19" t="s">
        <v>1572</v>
      </c>
      <c r="E462" s="19" t="s">
        <v>1573</v>
      </c>
      <c r="F462" s="19" t="e">
        <f>MATCH(E462,#REF!,0)</f>
        <v>#REF!</v>
      </c>
      <c r="G462" s="19" t="s">
        <v>1574</v>
      </c>
      <c r="H462" s="19" t="s">
        <v>56</v>
      </c>
      <c r="I462" s="19"/>
      <c r="J462" s="19" t="s">
        <v>1575</v>
      </c>
      <c r="K462" s="19" t="s">
        <v>20</v>
      </c>
      <c r="L462" s="3" t="str">
        <f>HYPERLINK(VLOOKUP(C462,BAPs!$A$2:$C$1048576,3,FALSE),VLOOKUP(C462,BAPs!$A$2:$C$1048576,2,FALSE))</f>
        <v>8 out of 10</v>
      </c>
    </row>
    <row r="463" spans="1:12" hidden="1">
      <c r="A463" s="19" t="s">
        <v>1442</v>
      </c>
      <c r="B463" s="19" t="s">
        <v>1044</v>
      </c>
      <c r="C463" s="19" t="s">
        <v>1576</v>
      </c>
      <c r="D463" s="19" t="s">
        <v>1577</v>
      </c>
      <c r="E463" s="19" t="s">
        <v>1578</v>
      </c>
      <c r="F463" s="19" t="e">
        <f>MATCH(E463,#REF!,0)</f>
        <v>#REF!</v>
      </c>
      <c r="G463" s="19" t="s">
        <v>1579</v>
      </c>
      <c r="H463" s="19" t="s">
        <v>56</v>
      </c>
      <c r="I463" s="19"/>
      <c r="J463" s="19" t="s">
        <v>1580</v>
      </c>
      <c r="K463" s="19" t="s">
        <v>62</v>
      </c>
      <c r="L463" s="3" t="str">
        <f>HYPERLINK(VLOOKUP(C463,BAPs!$A$2:$C$1048576,3,FALSE),VLOOKUP(C463,BAPs!$A$2:$C$1048576,2,FALSE))</f>
        <v>9 out of 10</v>
      </c>
    </row>
    <row r="464" spans="1:12" hidden="1">
      <c r="A464" s="19" t="s">
        <v>1442</v>
      </c>
      <c r="B464" s="19" t="s">
        <v>1044</v>
      </c>
      <c r="C464" s="19" t="s">
        <v>1576</v>
      </c>
      <c r="D464" s="19" t="s">
        <v>1581</v>
      </c>
      <c r="E464" s="19" t="s">
        <v>1582</v>
      </c>
      <c r="F464" s="19" t="e">
        <f>MATCH(E464,#REF!,0)</f>
        <v>#REF!</v>
      </c>
      <c r="G464" s="19" t="s">
        <v>1583</v>
      </c>
      <c r="H464" s="19" t="s">
        <v>56</v>
      </c>
      <c r="I464" s="19"/>
      <c r="J464" s="19" t="s">
        <v>1580</v>
      </c>
      <c r="K464" s="19" t="s">
        <v>62</v>
      </c>
      <c r="L464" s="3" t="str">
        <f>HYPERLINK(VLOOKUP(C464,BAPs!$A$2:$C$1048576,3,FALSE),VLOOKUP(C464,BAPs!$A$2:$C$1048576,2,FALSE))</f>
        <v>9 out of 10</v>
      </c>
    </row>
    <row r="465" spans="1:12" hidden="1">
      <c r="A465" s="19" t="s">
        <v>1442</v>
      </c>
      <c r="B465" s="19" t="s">
        <v>1044</v>
      </c>
      <c r="C465" s="19" t="s">
        <v>1584</v>
      </c>
      <c r="D465" s="19" t="s">
        <v>1353</v>
      </c>
      <c r="E465" s="19" t="s">
        <v>1354</v>
      </c>
      <c r="F465" s="19" t="e">
        <f>MATCH(E465,#REF!,0)</f>
        <v>#REF!</v>
      </c>
      <c r="G465" s="19" t="s">
        <v>1355</v>
      </c>
      <c r="H465" s="19" t="s">
        <v>56</v>
      </c>
      <c r="I465" s="19"/>
      <c r="J465" s="19" t="s">
        <v>1585</v>
      </c>
      <c r="K465" s="19" t="s">
        <v>62</v>
      </c>
      <c r="L465" s="3" t="str">
        <f>HYPERLINK(VLOOKUP(C465,BAPs!$A$2:$C$1048576,3,FALSE),VLOOKUP(C465,BAPs!$A$2:$C$1048576,2,FALSE))</f>
        <v>9 out of 10</v>
      </c>
    </row>
    <row r="466" spans="1:12" hidden="1">
      <c r="A466" s="19" t="s">
        <v>1442</v>
      </c>
      <c r="B466" s="19" t="s">
        <v>1044</v>
      </c>
      <c r="C466" s="19" t="s">
        <v>1584</v>
      </c>
      <c r="D466" s="19" t="s">
        <v>1586</v>
      </c>
      <c r="E466" s="19" t="s">
        <v>1587</v>
      </c>
      <c r="F466" s="19" t="e">
        <f>MATCH(E466,#REF!,0)</f>
        <v>#REF!</v>
      </c>
      <c r="G466" s="19" t="s">
        <v>1588</v>
      </c>
      <c r="H466" s="19" t="s">
        <v>56</v>
      </c>
      <c r="I466" s="19"/>
      <c r="J466" s="19" t="s">
        <v>1585</v>
      </c>
      <c r="K466" s="19" t="s">
        <v>62</v>
      </c>
      <c r="L466" s="3" t="str">
        <f>HYPERLINK(VLOOKUP(C466,BAPs!$A$2:$C$1048576,3,FALSE),VLOOKUP(C466,BAPs!$A$2:$C$1048576,2,FALSE))</f>
        <v>9 out of 10</v>
      </c>
    </row>
    <row r="467" spans="1:12" hidden="1">
      <c r="A467" s="19" t="s">
        <v>1589</v>
      </c>
      <c r="B467" s="19" t="s">
        <v>1044</v>
      </c>
      <c r="C467" s="19" t="s">
        <v>1590</v>
      </c>
      <c r="D467" s="19" t="s">
        <v>1590</v>
      </c>
      <c r="E467" s="19" t="s">
        <v>1591</v>
      </c>
      <c r="F467" s="19" t="e">
        <f>MATCH(E467,#REF!,0)</f>
        <v>#REF!</v>
      </c>
      <c r="G467" s="19" t="s">
        <v>1592</v>
      </c>
      <c r="H467" s="19" t="s">
        <v>24</v>
      </c>
      <c r="I467" s="19" t="s">
        <v>18</v>
      </c>
      <c r="J467" s="19" t="s">
        <v>1593</v>
      </c>
      <c r="K467" s="19" t="s">
        <v>62</v>
      </c>
      <c r="L467" s="3" t="str">
        <f>HYPERLINK(VLOOKUP(C467,BAPs!$A$2:$C$1048576,3,FALSE),VLOOKUP(C467,BAPs!$A$2:$C$1048576,2,FALSE))</f>
        <v>10 out of 10</v>
      </c>
    </row>
    <row r="468" spans="1:12" hidden="1">
      <c r="A468" s="19" t="s">
        <v>1589</v>
      </c>
      <c r="B468" s="19" t="s">
        <v>1044</v>
      </c>
      <c r="C468" s="19" t="s">
        <v>1590</v>
      </c>
      <c r="D468" s="19" t="s">
        <v>1594</v>
      </c>
      <c r="E468" s="19" t="s">
        <v>1595</v>
      </c>
      <c r="F468" s="19" t="e">
        <f>MATCH(E468,#REF!,0)</f>
        <v>#REF!</v>
      </c>
      <c r="G468" s="19" t="s">
        <v>1596</v>
      </c>
      <c r="H468" s="19" t="s">
        <v>43</v>
      </c>
      <c r="I468" s="19"/>
      <c r="J468" s="19" t="s">
        <v>1593</v>
      </c>
      <c r="K468" s="19" t="s">
        <v>62</v>
      </c>
      <c r="L468" s="3" t="str">
        <f>HYPERLINK(VLOOKUP(C468,BAPs!$A$2:$C$1048576,3,FALSE),VLOOKUP(C468,BAPs!$A$2:$C$1048576,2,FALSE))</f>
        <v>10 out of 10</v>
      </c>
    </row>
    <row r="469" spans="1:12" hidden="1">
      <c r="A469" s="19" t="s">
        <v>1589</v>
      </c>
      <c r="B469" s="19" t="s">
        <v>1044</v>
      </c>
      <c r="C469" s="19" t="s">
        <v>1597</v>
      </c>
      <c r="D469" s="19" t="s">
        <v>1597</v>
      </c>
      <c r="E469" s="19" t="s">
        <v>1598</v>
      </c>
      <c r="F469" s="19" t="e">
        <f>MATCH(E469,#REF!,0)</f>
        <v>#REF!</v>
      </c>
      <c r="G469" s="19" t="s">
        <v>1599</v>
      </c>
      <c r="H469" s="19" t="s">
        <v>17</v>
      </c>
      <c r="I469" s="19" t="s">
        <v>18</v>
      </c>
      <c r="J469" s="19" t="s">
        <v>1600</v>
      </c>
      <c r="K469" s="19" t="s">
        <v>62</v>
      </c>
      <c r="L469" s="3" t="str">
        <f>HYPERLINK(VLOOKUP(C469,BAPs!$A$2:$C$1048576,3,FALSE),VLOOKUP(C469,BAPs!$A$2:$C$1048576,2,FALSE))</f>
        <v>9 out of 10</v>
      </c>
    </row>
    <row r="470" spans="1:12" hidden="1">
      <c r="A470" s="19" t="s">
        <v>1589</v>
      </c>
      <c r="B470" s="19" t="s">
        <v>1044</v>
      </c>
      <c r="C470" s="19" t="s">
        <v>1597</v>
      </c>
      <c r="D470" s="19" t="s">
        <v>1601</v>
      </c>
      <c r="E470" s="19" t="s">
        <v>1602</v>
      </c>
      <c r="F470" s="19" t="e">
        <f>MATCH(E470,#REF!,0)</f>
        <v>#REF!</v>
      </c>
      <c r="G470" s="19" t="s">
        <v>1603</v>
      </c>
      <c r="H470" s="19" t="s">
        <v>24</v>
      </c>
      <c r="I470" s="19"/>
      <c r="J470" s="19" t="s">
        <v>1600</v>
      </c>
      <c r="K470" s="19" t="s">
        <v>62</v>
      </c>
      <c r="L470" s="3" t="str">
        <f>HYPERLINK(VLOOKUP(C470,BAPs!$A$2:$C$1048576,3,FALSE),VLOOKUP(C470,BAPs!$A$2:$C$1048576,2,FALSE))</f>
        <v>9 out of 10</v>
      </c>
    </row>
    <row r="471" spans="1:12" hidden="1">
      <c r="A471" s="19" t="s">
        <v>1589</v>
      </c>
      <c r="B471" s="19" t="s">
        <v>1044</v>
      </c>
      <c r="C471" s="19" t="s">
        <v>1604</v>
      </c>
      <c r="D471" s="19" t="s">
        <v>1604</v>
      </c>
      <c r="E471" s="19" t="s">
        <v>1605</v>
      </c>
      <c r="F471" s="19" t="e">
        <f>MATCH(E471,#REF!,0)</f>
        <v>#REF!</v>
      </c>
      <c r="G471" s="19" t="s">
        <v>1606</v>
      </c>
      <c r="H471" s="19" t="s">
        <v>17</v>
      </c>
      <c r="I471" s="19" t="s">
        <v>18</v>
      </c>
      <c r="J471" s="19" t="s">
        <v>1607</v>
      </c>
      <c r="K471" s="19" t="s">
        <v>62</v>
      </c>
      <c r="L471" s="3" t="str">
        <f>HYPERLINK(VLOOKUP(C471,BAPs!$A$2:$C$1048576,3,FALSE),VLOOKUP(C471,BAPs!$A$2:$C$1048576,2,FALSE))</f>
        <v>9 out of 10</v>
      </c>
    </row>
    <row r="472" spans="1:12" hidden="1">
      <c r="A472" s="19" t="s">
        <v>1589</v>
      </c>
      <c r="B472" s="19" t="s">
        <v>1044</v>
      </c>
      <c r="C472" s="19" t="s">
        <v>1608</v>
      </c>
      <c r="D472" s="19" t="s">
        <v>1608</v>
      </c>
      <c r="E472" s="19" t="s">
        <v>1609</v>
      </c>
      <c r="F472" s="19" t="e">
        <f>MATCH(E472,#REF!,0)</f>
        <v>#REF!</v>
      </c>
      <c r="G472" s="19" t="s">
        <v>1610</v>
      </c>
      <c r="H472" s="19" t="s">
        <v>52</v>
      </c>
      <c r="I472" s="19"/>
      <c r="J472" s="19" t="s">
        <v>1611</v>
      </c>
      <c r="K472" s="19" t="s">
        <v>20</v>
      </c>
      <c r="L472" s="3" t="str">
        <f>HYPERLINK(VLOOKUP(C472,BAPs!$A$2:$C$1048576,3,FALSE),VLOOKUP(C472,BAPs!$A$2:$C$1048576,2,FALSE))</f>
        <v>8 out of 10</v>
      </c>
    </row>
    <row r="473" spans="1:12" hidden="1">
      <c r="A473" s="19" t="s">
        <v>1589</v>
      </c>
      <c r="B473" s="19" t="s">
        <v>1044</v>
      </c>
      <c r="C473" s="19" t="s">
        <v>1608</v>
      </c>
      <c r="D473" s="19" t="s">
        <v>1612</v>
      </c>
      <c r="E473" s="19" t="s">
        <v>1613</v>
      </c>
      <c r="F473" s="19" t="e">
        <f>MATCH(E473,#REF!,0)</f>
        <v>#REF!</v>
      </c>
      <c r="G473" s="19" t="s">
        <v>1614</v>
      </c>
      <c r="H473" s="19" t="s">
        <v>24</v>
      </c>
      <c r="I473" s="19"/>
      <c r="J473" s="19" t="s">
        <v>1611</v>
      </c>
      <c r="K473" s="19" t="s">
        <v>20</v>
      </c>
      <c r="L473" s="3" t="str">
        <f>HYPERLINK(VLOOKUP(C473,BAPs!$A$2:$C$1048576,3,FALSE),VLOOKUP(C473,BAPs!$A$2:$C$1048576,2,FALSE))</f>
        <v>8 out of 10</v>
      </c>
    </row>
    <row r="474" spans="1:12" hidden="1">
      <c r="A474" s="19" t="s">
        <v>1589</v>
      </c>
      <c r="B474" s="19" t="s">
        <v>1044</v>
      </c>
      <c r="C474" s="19" t="s">
        <v>1615</v>
      </c>
      <c r="D474" s="19" t="s">
        <v>1615</v>
      </c>
      <c r="E474" s="19" t="s">
        <v>1616</v>
      </c>
      <c r="F474" s="19" t="e">
        <f>MATCH(E474,#REF!,0)</f>
        <v>#REF!</v>
      </c>
      <c r="G474" s="19" t="s">
        <v>1617</v>
      </c>
      <c r="H474" s="19" t="s">
        <v>17</v>
      </c>
      <c r="I474" s="19" t="s">
        <v>18</v>
      </c>
      <c r="J474" s="19" t="s">
        <v>1618</v>
      </c>
      <c r="K474" s="19" t="s">
        <v>20</v>
      </c>
      <c r="L474" s="3" t="str">
        <f>HYPERLINK(VLOOKUP(C474,BAPs!$A$2:$C$1048576,3,FALSE),VLOOKUP(C474,BAPs!$A$2:$C$1048576,2,FALSE))</f>
        <v>7 out of 10</v>
      </c>
    </row>
    <row r="475" spans="1:12" hidden="1">
      <c r="A475" s="19" t="s">
        <v>1589</v>
      </c>
      <c r="B475" s="19" t="s">
        <v>1044</v>
      </c>
      <c r="C475" s="19" t="s">
        <v>1615</v>
      </c>
      <c r="D475" s="19" t="s">
        <v>1619</v>
      </c>
      <c r="E475" s="19" t="s">
        <v>1620</v>
      </c>
      <c r="F475" s="19" t="e">
        <f>MATCH(E475,#REF!,0)</f>
        <v>#REF!</v>
      </c>
      <c r="G475" s="19" t="s">
        <v>1621</v>
      </c>
      <c r="H475" s="19" t="s">
        <v>17</v>
      </c>
      <c r="I475" s="19"/>
      <c r="J475" s="19" t="s">
        <v>1618</v>
      </c>
      <c r="K475" s="19" t="s">
        <v>20</v>
      </c>
      <c r="L475" s="3" t="str">
        <f>HYPERLINK(VLOOKUP(C475,BAPs!$A$2:$C$1048576,3,FALSE),VLOOKUP(C475,BAPs!$A$2:$C$1048576,2,FALSE))</f>
        <v>7 out of 10</v>
      </c>
    </row>
    <row r="476" spans="1:12" hidden="1">
      <c r="A476" s="19" t="s">
        <v>1589</v>
      </c>
      <c r="B476" s="19" t="s">
        <v>1044</v>
      </c>
      <c r="C476" s="19" t="s">
        <v>1622</v>
      </c>
      <c r="D476" s="19" t="s">
        <v>1622</v>
      </c>
      <c r="E476" s="19" t="s">
        <v>1623</v>
      </c>
      <c r="F476" s="19" t="e">
        <f>MATCH(E476,#REF!,0)</f>
        <v>#REF!</v>
      </c>
      <c r="G476" s="19" t="s">
        <v>1624</v>
      </c>
      <c r="H476" s="19" t="s">
        <v>24</v>
      </c>
      <c r="I476" s="19" t="s">
        <v>18</v>
      </c>
      <c r="J476" s="19" t="s">
        <v>1625</v>
      </c>
      <c r="K476" s="19" t="s">
        <v>20</v>
      </c>
      <c r="L476" s="3" t="str">
        <f>HYPERLINK(VLOOKUP(C476,BAPs!$A$2:$C$1048576,3,FALSE),VLOOKUP(C476,BAPs!$A$2:$C$1048576,2,FALSE))</f>
        <v>3 out of 10</v>
      </c>
    </row>
    <row r="477" spans="1:12" hidden="1">
      <c r="A477" s="19" t="s">
        <v>1589</v>
      </c>
      <c r="B477" s="19" t="s">
        <v>1044</v>
      </c>
      <c r="C477" s="19" t="s">
        <v>1626</v>
      </c>
      <c r="D477" s="19" t="s">
        <v>1626</v>
      </c>
      <c r="E477" s="19" t="s">
        <v>1627</v>
      </c>
      <c r="F477" s="19" t="e">
        <f>MATCH(E477,#REF!,0)</f>
        <v>#REF!</v>
      </c>
      <c r="G477" s="19" t="s">
        <v>1628</v>
      </c>
      <c r="H477" s="19" t="s">
        <v>17</v>
      </c>
      <c r="I477" s="19" t="s">
        <v>18</v>
      </c>
      <c r="J477" s="19" t="s">
        <v>1629</v>
      </c>
      <c r="K477" s="19" t="s">
        <v>62</v>
      </c>
      <c r="L477" s="3" t="str">
        <f>HYPERLINK(VLOOKUP(C477,BAPs!$A$2:$C$1048576,3,FALSE),VLOOKUP(C477,BAPs!$A$2:$C$1048576,2,FALSE))</f>
        <v>9 out of 10</v>
      </c>
    </row>
    <row r="478" spans="1:12" hidden="1">
      <c r="A478" s="19" t="s">
        <v>1589</v>
      </c>
      <c r="B478" s="19" t="s">
        <v>1044</v>
      </c>
      <c r="C478" s="19" t="s">
        <v>1626</v>
      </c>
      <c r="D478" s="19" t="s">
        <v>1630</v>
      </c>
      <c r="E478" s="19" t="s">
        <v>1631</v>
      </c>
      <c r="F478" s="19" t="e">
        <f>MATCH(E478,#REF!,0)</f>
        <v>#REF!</v>
      </c>
      <c r="G478" s="19" t="s">
        <v>1632</v>
      </c>
      <c r="H478" s="19" t="s">
        <v>52</v>
      </c>
      <c r="I478" s="19"/>
      <c r="J478" s="19" t="s">
        <v>1629</v>
      </c>
      <c r="K478" s="19" t="s">
        <v>62</v>
      </c>
      <c r="L478" s="3" t="str">
        <f>HYPERLINK(VLOOKUP(C478,BAPs!$A$2:$C$1048576,3,FALSE),VLOOKUP(C478,BAPs!$A$2:$C$1048576,2,FALSE))</f>
        <v>9 out of 10</v>
      </c>
    </row>
    <row r="479" spans="1:12" hidden="1">
      <c r="A479" s="19" t="s">
        <v>1589</v>
      </c>
      <c r="B479" s="19" t="s">
        <v>1044</v>
      </c>
      <c r="C479" s="19" t="s">
        <v>1633</v>
      </c>
      <c r="D479" s="19" t="s">
        <v>1634</v>
      </c>
      <c r="E479" s="19" t="s">
        <v>1635</v>
      </c>
      <c r="F479" s="19" t="e">
        <f>MATCH(E479,#REF!,0)</f>
        <v>#REF!</v>
      </c>
      <c r="G479" s="19" t="s">
        <v>1636</v>
      </c>
      <c r="H479" s="19" t="s">
        <v>52</v>
      </c>
      <c r="I479" s="19"/>
      <c r="J479" s="19" t="s">
        <v>1637</v>
      </c>
      <c r="K479" s="19" t="s">
        <v>20</v>
      </c>
      <c r="L479" s="3" t="str">
        <f>HYPERLINK(VLOOKUP(C479,BAPs!$A$2:$C$1048576,3,FALSE),VLOOKUP(C479,BAPs!$A$2:$C$1048576,2,FALSE))</f>
        <v>4 out of 10</v>
      </c>
    </row>
    <row r="480" spans="1:12" hidden="1">
      <c r="A480" s="19" t="s">
        <v>1589</v>
      </c>
      <c r="B480" s="19" t="s">
        <v>1044</v>
      </c>
      <c r="C480" s="19" t="s">
        <v>1633</v>
      </c>
      <c r="D480" s="19" t="s">
        <v>1638</v>
      </c>
      <c r="E480" s="19" t="s">
        <v>1639</v>
      </c>
      <c r="F480" s="19" t="e">
        <f>MATCH(E480,#REF!,0)</f>
        <v>#REF!</v>
      </c>
      <c r="G480" s="19" t="s">
        <v>1640</v>
      </c>
      <c r="H480" s="19" t="s">
        <v>43</v>
      </c>
      <c r="I480" s="19"/>
      <c r="J480" s="19" t="s">
        <v>1637</v>
      </c>
      <c r="K480" s="19" t="s">
        <v>20</v>
      </c>
      <c r="L480" s="3" t="str">
        <f>HYPERLINK(VLOOKUP(C480,BAPs!$A$2:$C$1048576,3,FALSE),VLOOKUP(C480,BAPs!$A$2:$C$1048576,2,FALSE))</f>
        <v>4 out of 10</v>
      </c>
    </row>
    <row r="481" spans="1:12" hidden="1">
      <c r="A481" s="19" t="s">
        <v>1589</v>
      </c>
      <c r="B481" s="19" t="s">
        <v>1044</v>
      </c>
      <c r="C481" s="19" t="s">
        <v>1633</v>
      </c>
      <c r="D481" s="19" t="s">
        <v>1641</v>
      </c>
      <c r="E481" s="19" t="s">
        <v>1642</v>
      </c>
      <c r="F481" s="19" t="e">
        <f>MATCH(E481,#REF!,0)</f>
        <v>#REF!</v>
      </c>
      <c r="G481" s="19" t="s">
        <v>1643</v>
      </c>
      <c r="H481" s="19" t="s">
        <v>52</v>
      </c>
      <c r="I481" s="19"/>
      <c r="J481" s="19" t="s">
        <v>1637</v>
      </c>
      <c r="K481" s="19" t="s">
        <v>20</v>
      </c>
      <c r="L481" s="3" t="str">
        <f>HYPERLINK(VLOOKUP(C481,BAPs!$A$2:$C$1048576,3,FALSE),VLOOKUP(C481,BAPs!$A$2:$C$1048576,2,FALSE))</f>
        <v>4 out of 10</v>
      </c>
    </row>
    <row r="482" spans="1:12" hidden="1">
      <c r="A482" s="19" t="s">
        <v>1589</v>
      </c>
      <c r="B482" s="19" t="s">
        <v>1044</v>
      </c>
      <c r="C482" s="19" t="s">
        <v>1644</v>
      </c>
      <c r="D482" s="19" t="s">
        <v>1644</v>
      </c>
      <c r="E482" s="19" t="s">
        <v>1645</v>
      </c>
      <c r="F482" s="19" t="e">
        <f>MATCH(E482,#REF!,0)</f>
        <v>#REF!</v>
      </c>
      <c r="G482" s="19" t="s">
        <v>1646</v>
      </c>
      <c r="H482" s="19" t="s">
        <v>17</v>
      </c>
      <c r="I482" s="19" t="s">
        <v>18</v>
      </c>
      <c r="J482" s="19" t="s">
        <v>1647</v>
      </c>
      <c r="K482" s="19" t="s">
        <v>62</v>
      </c>
      <c r="L482" s="3" t="str">
        <f>HYPERLINK(VLOOKUP(C482,BAPs!$A$2:$C$1048576,3,FALSE),VLOOKUP(C482,BAPs!$A$2:$C$1048576,2,FALSE))</f>
        <v>9 out of 10</v>
      </c>
    </row>
    <row r="483" spans="1:12" hidden="1">
      <c r="A483" s="19" t="s">
        <v>1589</v>
      </c>
      <c r="B483" s="19" t="s">
        <v>1044</v>
      </c>
      <c r="C483" s="19" t="s">
        <v>1644</v>
      </c>
      <c r="D483" s="19" t="s">
        <v>1612</v>
      </c>
      <c r="E483" s="19" t="s">
        <v>1613</v>
      </c>
      <c r="F483" s="19" t="e">
        <f>MATCH(E483,#REF!,0)</f>
        <v>#REF!</v>
      </c>
      <c r="G483" s="19" t="s">
        <v>1614</v>
      </c>
      <c r="H483" s="19" t="s">
        <v>24</v>
      </c>
      <c r="I483" s="19"/>
      <c r="J483" s="19" t="s">
        <v>1647</v>
      </c>
      <c r="K483" s="19" t="s">
        <v>62</v>
      </c>
      <c r="L483" s="3" t="str">
        <f>HYPERLINK(VLOOKUP(C483,BAPs!$A$2:$C$1048576,3,FALSE),VLOOKUP(C483,BAPs!$A$2:$C$1048576,2,FALSE))</f>
        <v>9 out of 10</v>
      </c>
    </row>
    <row r="484" spans="1:12" hidden="1">
      <c r="A484" s="19" t="s">
        <v>1589</v>
      </c>
      <c r="B484" s="19" t="s">
        <v>1044</v>
      </c>
      <c r="C484" s="19" t="s">
        <v>1648</v>
      </c>
      <c r="D484" s="19" t="s">
        <v>1648</v>
      </c>
      <c r="E484" s="19" t="s">
        <v>1649</v>
      </c>
      <c r="F484" s="19" t="e">
        <f>MATCH(E484,#REF!,0)</f>
        <v>#REF!</v>
      </c>
      <c r="G484" s="19" t="s">
        <v>1650</v>
      </c>
      <c r="H484" s="19" t="s">
        <v>52</v>
      </c>
      <c r="I484" s="19"/>
      <c r="J484" s="19" t="s">
        <v>1651</v>
      </c>
      <c r="K484" s="19" t="s">
        <v>62</v>
      </c>
      <c r="L484" s="3" t="str">
        <f>HYPERLINK(VLOOKUP(C484,BAPs!$A$2:$C$1048576,3,FALSE),VLOOKUP(C484,BAPs!$A$2:$C$1048576,2,FALSE))</f>
        <v>10 out of 10</v>
      </c>
    </row>
    <row r="485" spans="1:12" hidden="1">
      <c r="A485" s="19" t="s">
        <v>1589</v>
      </c>
      <c r="B485" s="19" t="s">
        <v>1044</v>
      </c>
      <c r="C485" s="19" t="s">
        <v>1652</v>
      </c>
      <c r="D485" s="19" t="s">
        <v>1653</v>
      </c>
      <c r="E485" s="19" t="s">
        <v>1654</v>
      </c>
      <c r="F485" s="19" t="e">
        <f>MATCH(E485,#REF!,0)</f>
        <v>#REF!</v>
      </c>
      <c r="G485" s="19" t="s">
        <v>1655</v>
      </c>
      <c r="H485" s="19" t="s">
        <v>56</v>
      </c>
      <c r="I485" s="19"/>
      <c r="J485" s="19" t="s">
        <v>1656</v>
      </c>
      <c r="K485" s="19" t="s">
        <v>20</v>
      </c>
      <c r="L485" s="3" t="str">
        <f>HYPERLINK(VLOOKUP(C485,BAPs!$A$2:$C$1048576,3,FALSE),VLOOKUP(C485,BAPs!$A$2:$C$1048576,2,FALSE))</f>
        <v>6 out of 10</v>
      </c>
    </row>
    <row r="486" spans="1:12" hidden="1">
      <c r="A486" s="19" t="s">
        <v>1589</v>
      </c>
      <c r="B486" s="19" t="s">
        <v>1044</v>
      </c>
      <c r="C486" s="19" t="s">
        <v>1652</v>
      </c>
      <c r="D486" s="19" t="s">
        <v>1657</v>
      </c>
      <c r="E486" s="19" t="s">
        <v>1658</v>
      </c>
      <c r="F486" s="19" t="e">
        <f>MATCH(E486,#REF!,0)</f>
        <v>#REF!</v>
      </c>
      <c r="G486" s="19" t="s">
        <v>1659</v>
      </c>
      <c r="H486" s="19" t="s">
        <v>56</v>
      </c>
      <c r="I486" s="19"/>
      <c r="J486" s="19" t="s">
        <v>1656</v>
      </c>
      <c r="K486" s="19" t="s">
        <v>20</v>
      </c>
      <c r="L486" s="3" t="str">
        <f>HYPERLINK(VLOOKUP(C486,BAPs!$A$2:$C$1048576,3,FALSE),VLOOKUP(C486,BAPs!$A$2:$C$1048576,2,FALSE))</f>
        <v>6 out of 10</v>
      </c>
    </row>
    <row r="487" spans="1:12" hidden="1">
      <c r="A487" s="19" t="s">
        <v>1589</v>
      </c>
      <c r="B487" s="19" t="s">
        <v>1044</v>
      </c>
      <c r="C487" s="19" t="s">
        <v>1652</v>
      </c>
      <c r="D487" s="19" t="s">
        <v>1660</v>
      </c>
      <c r="E487" s="19" t="s">
        <v>1661</v>
      </c>
      <c r="F487" s="19" t="e">
        <f>MATCH(E487,#REF!,0)</f>
        <v>#REF!</v>
      </c>
      <c r="G487" s="19" t="s">
        <v>1662</v>
      </c>
      <c r="H487" s="19" t="s">
        <v>56</v>
      </c>
      <c r="I487" s="19"/>
      <c r="J487" s="19" t="s">
        <v>1656</v>
      </c>
      <c r="K487" s="19" t="s">
        <v>20</v>
      </c>
      <c r="L487" s="3" t="str">
        <f>HYPERLINK(VLOOKUP(C487,BAPs!$A$2:$C$1048576,3,FALSE),VLOOKUP(C487,BAPs!$A$2:$C$1048576,2,FALSE))</f>
        <v>6 out of 10</v>
      </c>
    </row>
    <row r="488" spans="1:12" hidden="1">
      <c r="A488" s="19" t="s">
        <v>1589</v>
      </c>
      <c r="B488" s="19" t="s">
        <v>1044</v>
      </c>
      <c r="C488" s="19" t="s">
        <v>1663</v>
      </c>
      <c r="D488" s="19" t="s">
        <v>1664</v>
      </c>
      <c r="E488" s="19" t="s">
        <v>1665</v>
      </c>
      <c r="F488" s="19" t="e">
        <f>MATCH(E488,#REF!,0)</f>
        <v>#REF!</v>
      </c>
      <c r="G488" s="19" t="s">
        <v>1666</v>
      </c>
      <c r="H488" s="19" t="s">
        <v>56</v>
      </c>
      <c r="I488" s="19"/>
      <c r="J488" s="19" t="s">
        <v>1667</v>
      </c>
      <c r="K488" s="19" t="s">
        <v>20</v>
      </c>
      <c r="L488" s="3" t="str">
        <f>HYPERLINK(VLOOKUP(C488,BAPs!$A$2:$C$1048576,3,FALSE),VLOOKUP(C488,BAPs!$A$2:$C$1048576,2,FALSE))</f>
        <v>6 out of 10</v>
      </c>
    </row>
    <row r="489" spans="1:12" hidden="1">
      <c r="A489" s="19" t="s">
        <v>1589</v>
      </c>
      <c r="B489" s="19" t="s">
        <v>1044</v>
      </c>
      <c r="C489" s="19" t="s">
        <v>1663</v>
      </c>
      <c r="D489" s="19" t="s">
        <v>1668</v>
      </c>
      <c r="E489" s="19" t="s">
        <v>1669</v>
      </c>
      <c r="F489" s="19" t="e">
        <f>MATCH(E489,#REF!,0)</f>
        <v>#REF!</v>
      </c>
      <c r="G489" s="19" t="s">
        <v>1670</v>
      </c>
      <c r="H489" s="19" t="s">
        <v>56</v>
      </c>
      <c r="I489" s="19"/>
      <c r="J489" s="19" t="s">
        <v>1667</v>
      </c>
      <c r="K489" s="19" t="s">
        <v>20</v>
      </c>
      <c r="L489" s="3" t="str">
        <f>HYPERLINK(VLOOKUP(C489,BAPs!$A$2:$C$1048576,3,FALSE),VLOOKUP(C489,BAPs!$A$2:$C$1048576,2,FALSE))</f>
        <v>6 out of 10</v>
      </c>
    </row>
    <row r="490" spans="1:12" hidden="1">
      <c r="A490" s="19" t="s">
        <v>1589</v>
      </c>
      <c r="B490" s="19" t="s">
        <v>1044</v>
      </c>
      <c r="C490" s="19" t="s">
        <v>1663</v>
      </c>
      <c r="D490" s="19" t="s">
        <v>1671</v>
      </c>
      <c r="E490" s="19" t="s">
        <v>1672</v>
      </c>
      <c r="F490" s="19" t="e">
        <f>MATCH(E490,#REF!,0)</f>
        <v>#REF!</v>
      </c>
      <c r="G490" s="19" t="s">
        <v>1673</v>
      </c>
      <c r="H490" s="19" t="s">
        <v>56</v>
      </c>
      <c r="I490" s="19"/>
      <c r="J490" s="19" t="s">
        <v>1667</v>
      </c>
      <c r="K490" s="19" t="s">
        <v>20</v>
      </c>
      <c r="L490" s="3" t="str">
        <f>HYPERLINK(VLOOKUP(C490,BAPs!$A$2:$C$1048576,3,FALSE),VLOOKUP(C490,BAPs!$A$2:$C$1048576,2,FALSE))</f>
        <v>6 out of 10</v>
      </c>
    </row>
    <row r="491" spans="1:12" hidden="1">
      <c r="A491" s="19" t="s">
        <v>1589</v>
      </c>
      <c r="B491" s="19" t="s">
        <v>1044</v>
      </c>
      <c r="C491" s="19" t="s">
        <v>1663</v>
      </c>
      <c r="D491" s="19" t="s">
        <v>1674</v>
      </c>
      <c r="E491" s="19" t="s">
        <v>1675</v>
      </c>
      <c r="F491" s="19" t="e">
        <f>MATCH(E491,#REF!,0)</f>
        <v>#REF!</v>
      </c>
      <c r="G491" s="19" t="s">
        <v>1676</v>
      </c>
      <c r="H491" s="19" t="s">
        <v>56</v>
      </c>
      <c r="I491" s="19"/>
      <c r="J491" s="19" t="s">
        <v>1667</v>
      </c>
      <c r="K491" s="19" t="s">
        <v>20</v>
      </c>
      <c r="L491" s="3" t="str">
        <f>HYPERLINK(VLOOKUP(C491,BAPs!$A$2:$C$1048576,3,FALSE),VLOOKUP(C491,BAPs!$A$2:$C$1048576,2,FALSE))</f>
        <v>6 out of 10</v>
      </c>
    </row>
    <row r="492" spans="1:12" hidden="1">
      <c r="A492" s="19" t="s">
        <v>1589</v>
      </c>
      <c r="B492" s="19" t="s">
        <v>1044</v>
      </c>
      <c r="C492" s="19" t="s">
        <v>1663</v>
      </c>
      <c r="D492" s="19" t="s">
        <v>1677</v>
      </c>
      <c r="E492" s="19" t="s">
        <v>1678</v>
      </c>
      <c r="F492" s="19" t="e">
        <f>MATCH(E492,#REF!,0)</f>
        <v>#REF!</v>
      </c>
      <c r="G492" s="19" t="s">
        <v>1679</v>
      </c>
      <c r="H492" s="19" t="s">
        <v>56</v>
      </c>
      <c r="I492" s="19"/>
      <c r="J492" s="19" t="s">
        <v>1667</v>
      </c>
      <c r="K492" s="19" t="s">
        <v>20</v>
      </c>
      <c r="L492" s="3" t="str">
        <f>HYPERLINK(VLOOKUP(C492,BAPs!$A$2:$C$1048576,3,FALSE),VLOOKUP(C492,BAPs!$A$2:$C$1048576,2,FALSE))</f>
        <v>6 out of 10</v>
      </c>
    </row>
    <row r="493" spans="1:12" hidden="1">
      <c r="A493" s="19" t="s">
        <v>1589</v>
      </c>
      <c r="B493" s="19" t="s">
        <v>1044</v>
      </c>
      <c r="C493" s="19" t="s">
        <v>1663</v>
      </c>
      <c r="D493" s="19" t="s">
        <v>1680</v>
      </c>
      <c r="E493" s="19" t="s">
        <v>1681</v>
      </c>
      <c r="F493" s="19" t="e">
        <f>MATCH(E493,#REF!,0)</f>
        <v>#REF!</v>
      </c>
      <c r="G493" s="19" t="s">
        <v>1682</v>
      </c>
      <c r="H493" s="19" t="s">
        <v>43</v>
      </c>
      <c r="I493" s="19"/>
      <c r="J493" s="19" t="s">
        <v>1667</v>
      </c>
      <c r="K493" s="19" t="s">
        <v>20</v>
      </c>
      <c r="L493" s="3" t="str">
        <f>HYPERLINK(VLOOKUP(C493,BAPs!$A$2:$C$1048576,3,FALSE),VLOOKUP(C493,BAPs!$A$2:$C$1048576,2,FALSE))</f>
        <v>6 out of 10</v>
      </c>
    </row>
    <row r="494" spans="1:12" hidden="1">
      <c r="A494" s="19" t="s">
        <v>1683</v>
      </c>
      <c r="B494" s="19" t="s">
        <v>1044</v>
      </c>
      <c r="C494" s="19" t="s">
        <v>1684</v>
      </c>
      <c r="D494" s="19" t="s">
        <v>1391</v>
      </c>
      <c r="E494" s="19" t="s">
        <v>1392</v>
      </c>
      <c r="F494" s="19" t="e">
        <f>MATCH(E494,#REF!,0)</f>
        <v>#REF!</v>
      </c>
      <c r="G494" s="19" t="s">
        <v>1393</v>
      </c>
      <c r="H494" s="19" t="s">
        <v>17</v>
      </c>
      <c r="I494" s="19" t="s">
        <v>18</v>
      </c>
      <c r="J494" s="19" t="s">
        <v>1685</v>
      </c>
      <c r="K494" s="19" t="s">
        <v>62</v>
      </c>
      <c r="L494" s="3" t="str">
        <f>HYPERLINK(VLOOKUP(C494,BAPs!$A$2:$C$1048576,3,FALSE),VLOOKUP(C494,BAPs!$A$2:$C$1048576,2,FALSE))</f>
        <v>10 out of 10</v>
      </c>
    </row>
    <row r="495" spans="1:12" hidden="1">
      <c r="A495" s="19" t="s">
        <v>1683</v>
      </c>
      <c r="B495" s="19" t="s">
        <v>1044</v>
      </c>
      <c r="C495" s="19" t="s">
        <v>1684</v>
      </c>
      <c r="D495" s="19" t="s">
        <v>1684</v>
      </c>
      <c r="E495" s="19" t="s">
        <v>1686</v>
      </c>
      <c r="F495" s="19" t="e">
        <f>MATCH(E495,#REF!,0)</f>
        <v>#REF!</v>
      </c>
      <c r="G495" s="19" t="s">
        <v>1687</v>
      </c>
      <c r="H495" s="19" t="s">
        <v>17</v>
      </c>
      <c r="I495" s="19" t="s">
        <v>18</v>
      </c>
      <c r="J495" s="19" t="s">
        <v>1685</v>
      </c>
      <c r="K495" s="19" t="s">
        <v>62</v>
      </c>
      <c r="L495" s="3" t="str">
        <f>HYPERLINK(VLOOKUP(C495,BAPs!$A$2:$C$1048576,3,FALSE),VLOOKUP(C495,BAPs!$A$2:$C$1048576,2,FALSE))</f>
        <v>10 out of 10</v>
      </c>
    </row>
    <row r="496" spans="1:12" hidden="1">
      <c r="A496" s="19" t="s">
        <v>1683</v>
      </c>
      <c r="B496" s="19" t="s">
        <v>1044</v>
      </c>
      <c r="C496" s="19" t="s">
        <v>1688</v>
      </c>
      <c r="D496" s="19" t="s">
        <v>1688</v>
      </c>
      <c r="E496" s="19" t="s">
        <v>1689</v>
      </c>
      <c r="F496" s="19" t="e">
        <f>MATCH(E496,#REF!,0)</f>
        <v>#REF!</v>
      </c>
      <c r="G496" s="19" t="s">
        <v>1690</v>
      </c>
      <c r="H496" s="19" t="s">
        <v>17</v>
      </c>
      <c r="I496" s="19" t="s">
        <v>18</v>
      </c>
      <c r="J496" s="19" t="s">
        <v>1691</v>
      </c>
      <c r="K496" s="19" t="s">
        <v>20</v>
      </c>
      <c r="L496" s="3" t="str">
        <f>HYPERLINK(VLOOKUP(C496,BAPs!$A$2:$C$1048576,3,FALSE),VLOOKUP(C496,BAPs!$A$2:$C$1048576,2,FALSE))</f>
        <v>1 out of 10</v>
      </c>
    </row>
    <row r="497" spans="1:12" hidden="1">
      <c r="A497" s="19" t="s">
        <v>1683</v>
      </c>
      <c r="B497" s="19" t="s">
        <v>1044</v>
      </c>
      <c r="C497" s="19" t="s">
        <v>1688</v>
      </c>
      <c r="D497" s="19" t="s">
        <v>1692</v>
      </c>
      <c r="E497" s="19" t="s">
        <v>1693</v>
      </c>
      <c r="F497" s="19" t="e">
        <f>MATCH(E497,#REF!,0)</f>
        <v>#REF!</v>
      </c>
      <c r="G497" s="19" t="s">
        <v>1694</v>
      </c>
      <c r="H497" s="19" t="s">
        <v>43</v>
      </c>
      <c r="I497" s="19"/>
      <c r="J497" s="19" t="s">
        <v>1691</v>
      </c>
      <c r="K497" s="19" t="s">
        <v>20</v>
      </c>
      <c r="L497" s="3" t="str">
        <f>HYPERLINK(VLOOKUP(C497,BAPs!$A$2:$C$1048576,3,FALSE),VLOOKUP(C497,BAPs!$A$2:$C$1048576,2,FALSE))</f>
        <v>1 out of 10</v>
      </c>
    </row>
    <row r="498" spans="1:12" hidden="1">
      <c r="A498" s="19" t="s">
        <v>1683</v>
      </c>
      <c r="B498" s="19" t="s">
        <v>1044</v>
      </c>
      <c r="C498" s="19" t="s">
        <v>1695</v>
      </c>
      <c r="D498" s="19" t="s">
        <v>1391</v>
      </c>
      <c r="E498" s="19" t="s">
        <v>1392</v>
      </c>
      <c r="F498" s="19" t="e">
        <f>MATCH(E498,#REF!,0)</f>
        <v>#REF!</v>
      </c>
      <c r="G498" s="19" t="s">
        <v>1393</v>
      </c>
      <c r="H498" s="19" t="s">
        <v>17</v>
      </c>
      <c r="I498" s="19" t="s">
        <v>18</v>
      </c>
      <c r="J498" s="19" t="s">
        <v>1696</v>
      </c>
      <c r="K498" s="19" t="s">
        <v>20</v>
      </c>
      <c r="L498" s="3" t="str">
        <f>HYPERLINK(VLOOKUP(C498,BAPs!$A$2:$C$1048576,3,FALSE),VLOOKUP(C498,BAPs!$A$2:$C$1048576,2,FALSE))</f>
        <v>5 out of 10</v>
      </c>
    </row>
    <row r="499" spans="1:12" hidden="1">
      <c r="A499" s="19" t="s">
        <v>1683</v>
      </c>
      <c r="B499" s="19" t="s">
        <v>1044</v>
      </c>
      <c r="C499" s="19" t="s">
        <v>1695</v>
      </c>
      <c r="D499" s="19" t="s">
        <v>1697</v>
      </c>
      <c r="E499" s="19" t="s">
        <v>1698</v>
      </c>
      <c r="F499" s="19" t="e">
        <f>MATCH(E499,#REF!,0)</f>
        <v>#REF!</v>
      </c>
      <c r="G499" s="19" t="s">
        <v>1699</v>
      </c>
      <c r="H499" s="19" t="s">
        <v>17</v>
      </c>
      <c r="I499" s="19" t="s">
        <v>18</v>
      </c>
      <c r="J499" s="19" t="s">
        <v>1696</v>
      </c>
      <c r="K499" s="19" t="s">
        <v>20</v>
      </c>
      <c r="L499" s="3" t="str">
        <f>HYPERLINK(VLOOKUP(C499,BAPs!$A$2:$C$1048576,3,FALSE),VLOOKUP(C499,BAPs!$A$2:$C$1048576,2,FALSE))</f>
        <v>5 out of 10</v>
      </c>
    </row>
    <row r="500" spans="1:12" hidden="1">
      <c r="A500" s="19" t="s">
        <v>1683</v>
      </c>
      <c r="B500" s="19" t="s">
        <v>1044</v>
      </c>
      <c r="C500" s="19" t="s">
        <v>1695</v>
      </c>
      <c r="D500" s="19" t="s">
        <v>1700</v>
      </c>
      <c r="E500" s="19" t="s">
        <v>1701</v>
      </c>
      <c r="F500" s="19" t="e">
        <f>MATCH(E500,#REF!,0)</f>
        <v>#REF!</v>
      </c>
      <c r="G500" s="19" t="s">
        <v>1702</v>
      </c>
      <c r="H500" s="19" t="s">
        <v>52</v>
      </c>
      <c r="I500" s="19"/>
      <c r="J500" s="19" t="s">
        <v>1696</v>
      </c>
      <c r="K500" s="19" t="s">
        <v>20</v>
      </c>
      <c r="L500" s="3" t="str">
        <f>HYPERLINK(VLOOKUP(C500,BAPs!$A$2:$C$1048576,3,FALSE),VLOOKUP(C500,BAPs!$A$2:$C$1048576,2,FALSE))</f>
        <v>5 out of 10</v>
      </c>
    </row>
    <row r="501" spans="1:12" hidden="1">
      <c r="A501" s="19" t="s">
        <v>1683</v>
      </c>
      <c r="B501" s="19" t="s">
        <v>1044</v>
      </c>
      <c r="C501" s="19" t="s">
        <v>1703</v>
      </c>
      <c r="D501" s="19" t="s">
        <v>1704</v>
      </c>
      <c r="E501" s="19" t="s">
        <v>1705</v>
      </c>
      <c r="F501" s="19" t="e">
        <f>MATCH(E501,#REF!,0)</f>
        <v>#REF!</v>
      </c>
      <c r="G501" s="19" t="s">
        <v>1706</v>
      </c>
      <c r="H501" s="19" t="s">
        <v>52</v>
      </c>
      <c r="I501" s="19"/>
      <c r="J501" s="19" t="s">
        <v>1707</v>
      </c>
      <c r="K501" s="19" t="s">
        <v>62</v>
      </c>
      <c r="L501" s="3" t="str">
        <f>HYPERLINK(VLOOKUP(C501,BAPs!$A$2:$C$1048576,3,FALSE),VLOOKUP(C501,BAPs!$A$2:$C$1048576,2,FALSE))</f>
        <v>9 out of 10</v>
      </c>
    </row>
    <row r="502" spans="1:12" hidden="1">
      <c r="A502" s="19" t="s">
        <v>1683</v>
      </c>
      <c r="B502" s="19" t="s">
        <v>1044</v>
      </c>
      <c r="C502" s="19" t="s">
        <v>1703</v>
      </c>
      <c r="D502" s="19" t="s">
        <v>1708</v>
      </c>
      <c r="E502" s="19" t="s">
        <v>1709</v>
      </c>
      <c r="F502" s="19" t="e">
        <f>MATCH(E502,#REF!,0)</f>
        <v>#REF!</v>
      </c>
      <c r="G502" s="19" t="s">
        <v>1710</v>
      </c>
      <c r="H502" s="19" t="s">
        <v>24</v>
      </c>
      <c r="I502" s="19"/>
      <c r="J502" s="19" t="s">
        <v>1707</v>
      </c>
      <c r="K502" s="19" t="s">
        <v>62</v>
      </c>
      <c r="L502" s="3" t="str">
        <f>HYPERLINK(VLOOKUP(C502,BAPs!$A$2:$C$1048576,3,FALSE),VLOOKUP(C502,BAPs!$A$2:$C$1048576,2,FALSE))</f>
        <v>9 out of 10</v>
      </c>
    </row>
    <row r="503" spans="1:12" hidden="1">
      <c r="A503" s="19" t="s">
        <v>1683</v>
      </c>
      <c r="B503" s="19" t="s">
        <v>1044</v>
      </c>
      <c r="C503" s="19" t="s">
        <v>1703</v>
      </c>
      <c r="D503" s="19" t="s">
        <v>1711</v>
      </c>
      <c r="E503" s="19" t="s">
        <v>1712</v>
      </c>
      <c r="F503" s="19" t="e">
        <f>MATCH(E503,#REF!,0)</f>
        <v>#REF!</v>
      </c>
      <c r="G503" s="19" t="s">
        <v>1713</v>
      </c>
      <c r="H503" s="19" t="s">
        <v>56</v>
      </c>
      <c r="I503" s="19"/>
      <c r="J503" s="19" t="s">
        <v>1707</v>
      </c>
      <c r="K503" s="19" t="s">
        <v>62</v>
      </c>
      <c r="L503" s="3" t="str">
        <f>HYPERLINK(VLOOKUP(C503,BAPs!$A$2:$C$1048576,3,FALSE),VLOOKUP(C503,BAPs!$A$2:$C$1048576,2,FALSE))</f>
        <v>9 out of 10</v>
      </c>
    </row>
    <row r="504" spans="1:12" hidden="1">
      <c r="A504" s="19" t="s">
        <v>1683</v>
      </c>
      <c r="B504" s="19" t="s">
        <v>1044</v>
      </c>
      <c r="C504" s="19" t="s">
        <v>1714</v>
      </c>
      <c r="D504" s="19" t="s">
        <v>1714</v>
      </c>
      <c r="E504" s="19" t="s">
        <v>1715</v>
      </c>
      <c r="F504" s="19" t="e">
        <f>MATCH(E504,#REF!,0)</f>
        <v>#REF!</v>
      </c>
      <c r="G504" s="19" t="s">
        <v>1716</v>
      </c>
      <c r="H504" s="19" t="s">
        <v>17</v>
      </c>
      <c r="I504" s="19" t="s">
        <v>18</v>
      </c>
      <c r="J504" s="19" t="s">
        <v>1717</v>
      </c>
      <c r="K504" s="19" t="s">
        <v>62</v>
      </c>
      <c r="L504" s="3" t="str">
        <f>HYPERLINK(VLOOKUP(C504,BAPs!$A$2:$C$1048576,3,FALSE),VLOOKUP(C504,BAPs!$A$2:$C$1048576,2,FALSE))</f>
        <v>9 out of 10</v>
      </c>
    </row>
    <row r="505" spans="1:12" hidden="1">
      <c r="A505" s="19" t="s">
        <v>1683</v>
      </c>
      <c r="B505" s="19" t="s">
        <v>1044</v>
      </c>
      <c r="C505" s="19" t="s">
        <v>1714</v>
      </c>
      <c r="D505" s="19" t="s">
        <v>1576</v>
      </c>
      <c r="E505" s="19" t="s">
        <v>1718</v>
      </c>
      <c r="F505" s="19" t="e">
        <f>MATCH(E505,#REF!,0)</f>
        <v>#REF!</v>
      </c>
      <c r="G505" s="19" t="s">
        <v>1719</v>
      </c>
      <c r="H505" s="19" t="s">
        <v>52</v>
      </c>
      <c r="I505" s="19"/>
      <c r="J505" s="19" t="s">
        <v>1717</v>
      </c>
      <c r="K505" s="19" t="s">
        <v>62</v>
      </c>
      <c r="L505" s="3" t="str">
        <f>HYPERLINK(VLOOKUP(C505,BAPs!$A$2:$C$1048576,3,FALSE),VLOOKUP(C505,BAPs!$A$2:$C$1048576,2,FALSE))</f>
        <v>9 out of 10</v>
      </c>
    </row>
    <row r="506" spans="1:12" hidden="1">
      <c r="A506" s="19" t="s">
        <v>1683</v>
      </c>
      <c r="B506" s="19" t="s">
        <v>1044</v>
      </c>
      <c r="C506" s="19" t="s">
        <v>1720</v>
      </c>
      <c r="D506" s="19" t="s">
        <v>1721</v>
      </c>
      <c r="E506" s="19" t="s">
        <v>1722</v>
      </c>
      <c r="F506" s="19" t="e">
        <f>MATCH(E506,#REF!,0)</f>
        <v>#REF!</v>
      </c>
      <c r="G506" s="19" t="s">
        <v>1723</v>
      </c>
      <c r="H506" s="19" t="s">
        <v>43</v>
      </c>
      <c r="I506" s="19" t="s">
        <v>18</v>
      </c>
      <c r="J506" s="19" t="s">
        <v>1724</v>
      </c>
      <c r="K506" s="19" t="s">
        <v>62</v>
      </c>
      <c r="L506" s="3" t="str">
        <f>HYPERLINK(VLOOKUP(C506,BAPs!$A$2:$C$1048576,3,FALSE),VLOOKUP(C506,BAPs!$A$2:$C$1048576,2,FALSE))</f>
        <v>9 out of 10</v>
      </c>
    </row>
    <row r="507" spans="1:12" hidden="1">
      <c r="A507" s="19" t="s">
        <v>1683</v>
      </c>
      <c r="B507" s="19" t="s">
        <v>1044</v>
      </c>
      <c r="C507" s="19" t="s">
        <v>1720</v>
      </c>
      <c r="D507" s="19" t="s">
        <v>1720</v>
      </c>
      <c r="E507" s="19" t="s">
        <v>1725</v>
      </c>
      <c r="F507" s="19" t="e">
        <f>MATCH(E507,#REF!,0)</f>
        <v>#REF!</v>
      </c>
      <c r="G507" s="19" t="s">
        <v>1726</v>
      </c>
      <c r="H507" s="19" t="s">
        <v>17</v>
      </c>
      <c r="I507" s="19" t="s">
        <v>18</v>
      </c>
      <c r="J507" s="19" t="s">
        <v>1724</v>
      </c>
      <c r="K507" s="19" t="s">
        <v>62</v>
      </c>
      <c r="L507" s="3" t="str">
        <f>HYPERLINK(VLOOKUP(C507,BAPs!$A$2:$C$1048576,3,FALSE),VLOOKUP(C507,BAPs!$A$2:$C$1048576,2,FALSE))</f>
        <v>9 out of 10</v>
      </c>
    </row>
    <row r="508" spans="1:12" hidden="1">
      <c r="A508" s="19" t="s">
        <v>1683</v>
      </c>
      <c r="B508" s="19" t="s">
        <v>1044</v>
      </c>
      <c r="C508" s="19" t="s">
        <v>1727</v>
      </c>
      <c r="D508" s="19" t="s">
        <v>1727</v>
      </c>
      <c r="E508" s="19" t="s">
        <v>1728</v>
      </c>
      <c r="F508" s="19" t="e">
        <f>MATCH(E508,#REF!,0)</f>
        <v>#REF!</v>
      </c>
      <c r="G508" s="19" t="s">
        <v>1729</v>
      </c>
      <c r="H508" s="19" t="s">
        <v>17</v>
      </c>
      <c r="I508" s="19" t="s">
        <v>18</v>
      </c>
      <c r="J508" s="19" t="s">
        <v>1730</v>
      </c>
      <c r="K508" s="19" t="s">
        <v>20</v>
      </c>
      <c r="L508" s="3" t="str">
        <f>HYPERLINK(VLOOKUP(C508,BAPs!$A$2:$C$1048576,3,FALSE),VLOOKUP(C508,BAPs!$A$2:$C$1048576,2,FALSE))</f>
        <v>5 out of 10</v>
      </c>
    </row>
    <row r="509" spans="1:12" hidden="1">
      <c r="A509" s="19" t="s">
        <v>1683</v>
      </c>
      <c r="B509" s="19" t="s">
        <v>1044</v>
      </c>
      <c r="C509" s="19" t="s">
        <v>1731</v>
      </c>
      <c r="D509" s="19" t="s">
        <v>1732</v>
      </c>
      <c r="E509" s="19" t="s">
        <v>1733</v>
      </c>
      <c r="F509" s="19" t="e">
        <f>MATCH(E509,#REF!,0)</f>
        <v>#REF!</v>
      </c>
      <c r="G509" s="19" t="s">
        <v>1734</v>
      </c>
      <c r="H509" s="19" t="s">
        <v>52</v>
      </c>
      <c r="I509" s="19"/>
      <c r="J509" s="19" t="s">
        <v>1735</v>
      </c>
      <c r="K509" s="19" t="s">
        <v>20</v>
      </c>
      <c r="L509" s="3" t="str">
        <f>HYPERLINK(VLOOKUP(C509,BAPs!$A$2:$C$1048576,3,FALSE),VLOOKUP(C509,BAPs!$A$2:$C$1048576,2,FALSE))</f>
        <v>8 out of 10</v>
      </c>
    </row>
    <row r="510" spans="1:12" hidden="1">
      <c r="A510" s="19" t="s">
        <v>1683</v>
      </c>
      <c r="B510" s="19" t="s">
        <v>1044</v>
      </c>
      <c r="C510" s="19" t="s">
        <v>1731</v>
      </c>
      <c r="D510" s="19" t="s">
        <v>1736</v>
      </c>
      <c r="E510" s="19" t="s">
        <v>1737</v>
      </c>
      <c r="F510" s="19" t="e">
        <f>MATCH(E510,#REF!,0)</f>
        <v>#REF!</v>
      </c>
      <c r="G510" s="19" t="s">
        <v>1738</v>
      </c>
      <c r="H510" s="19" t="s">
        <v>52</v>
      </c>
      <c r="I510" s="19"/>
      <c r="J510" s="19" t="s">
        <v>1735</v>
      </c>
      <c r="K510" s="19" t="s">
        <v>20</v>
      </c>
      <c r="L510" s="3" t="str">
        <f>HYPERLINK(VLOOKUP(C510,BAPs!$A$2:$C$1048576,3,FALSE),VLOOKUP(C510,BAPs!$A$2:$C$1048576,2,FALSE))</f>
        <v>8 out of 10</v>
      </c>
    </row>
    <row r="511" spans="1:12" hidden="1">
      <c r="A511" s="19" t="s">
        <v>1683</v>
      </c>
      <c r="B511" s="19" t="s">
        <v>1044</v>
      </c>
      <c r="C511" s="19" t="s">
        <v>1731</v>
      </c>
      <c r="D511" s="19" t="s">
        <v>1739</v>
      </c>
      <c r="E511" s="19" t="s">
        <v>1740</v>
      </c>
      <c r="F511" s="19" t="e">
        <f>MATCH(E511,#REF!,0)</f>
        <v>#REF!</v>
      </c>
      <c r="G511" s="19" t="s">
        <v>1741</v>
      </c>
      <c r="H511" s="19" t="s">
        <v>24</v>
      </c>
      <c r="I511" s="19"/>
      <c r="J511" s="19" t="s">
        <v>1735</v>
      </c>
      <c r="K511" s="19" t="s">
        <v>20</v>
      </c>
      <c r="L511" s="3" t="str">
        <f>HYPERLINK(VLOOKUP(C511,BAPs!$A$2:$C$1048576,3,FALSE),VLOOKUP(C511,BAPs!$A$2:$C$1048576,2,FALSE))</f>
        <v>8 out of 10</v>
      </c>
    </row>
    <row r="512" spans="1:12" hidden="1">
      <c r="A512" s="19" t="s">
        <v>1683</v>
      </c>
      <c r="B512" s="19" t="s">
        <v>1044</v>
      </c>
      <c r="C512" s="19" t="s">
        <v>1742</v>
      </c>
      <c r="D512" s="19" t="s">
        <v>1742</v>
      </c>
      <c r="E512" s="19" t="s">
        <v>1743</v>
      </c>
      <c r="F512" s="19" t="e">
        <f>MATCH(E512,#REF!,0)</f>
        <v>#REF!</v>
      </c>
      <c r="G512" s="19" t="s">
        <v>1744</v>
      </c>
      <c r="H512" s="19" t="s">
        <v>17</v>
      </c>
      <c r="I512" s="19" t="s">
        <v>18</v>
      </c>
      <c r="J512" s="19" t="s">
        <v>1745</v>
      </c>
      <c r="K512" s="19" t="s">
        <v>20</v>
      </c>
      <c r="L512" s="3" t="str">
        <f>HYPERLINK(VLOOKUP(C512,BAPs!$A$2:$C$1048576,3,FALSE),VLOOKUP(C512,BAPs!$A$2:$C$1048576,2,FALSE))</f>
        <v>1 out of 10</v>
      </c>
    </row>
    <row r="513" spans="1:12" hidden="1">
      <c r="A513" s="19" t="s">
        <v>1683</v>
      </c>
      <c r="B513" s="19" t="s">
        <v>1044</v>
      </c>
      <c r="C513" s="19" t="s">
        <v>1742</v>
      </c>
      <c r="D513" s="19" t="s">
        <v>1746</v>
      </c>
      <c r="E513" s="19" t="s">
        <v>1747</v>
      </c>
      <c r="F513" s="19" t="e">
        <f>MATCH(E513,#REF!,0)</f>
        <v>#REF!</v>
      </c>
      <c r="G513" s="19" t="s">
        <v>1748</v>
      </c>
      <c r="H513" s="19" t="s">
        <v>52</v>
      </c>
      <c r="I513" s="19"/>
      <c r="J513" s="19" t="s">
        <v>1745</v>
      </c>
      <c r="K513" s="19" t="s">
        <v>20</v>
      </c>
      <c r="L513" s="3" t="str">
        <f>HYPERLINK(VLOOKUP(C513,BAPs!$A$2:$C$1048576,3,FALSE),VLOOKUP(C513,BAPs!$A$2:$C$1048576,2,FALSE))</f>
        <v>1 out of 10</v>
      </c>
    </row>
    <row r="514" spans="1:12" hidden="1">
      <c r="A514" s="19" t="s">
        <v>1683</v>
      </c>
      <c r="B514" s="19" t="s">
        <v>1044</v>
      </c>
      <c r="C514" s="19" t="s">
        <v>1749</v>
      </c>
      <c r="D514" s="19" t="s">
        <v>1750</v>
      </c>
      <c r="E514" s="19" t="s">
        <v>1751</v>
      </c>
      <c r="F514" s="19" t="e">
        <f>MATCH(E514,#REF!,0)</f>
        <v>#REF!</v>
      </c>
      <c r="G514" s="19" t="s">
        <v>1752</v>
      </c>
      <c r="H514" s="19" t="s">
        <v>56</v>
      </c>
      <c r="I514" s="19"/>
      <c r="J514" s="19" t="s">
        <v>1753</v>
      </c>
      <c r="K514" s="19" t="s">
        <v>20</v>
      </c>
      <c r="L514" s="3" t="str">
        <f>HYPERLINK(VLOOKUP(C514,BAPs!$A$2:$C$1048576,3,FALSE),VLOOKUP(C514,BAPs!$A$2:$C$1048576,2,FALSE))</f>
        <v>8 out of 10</v>
      </c>
    </row>
    <row r="515" spans="1:12" hidden="1">
      <c r="A515" s="19" t="s">
        <v>1683</v>
      </c>
      <c r="B515" s="19" t="s">
        <v>1044</v>
      </c>
      <c r="C515" s="19" t="s">
        <v>1749</v>
      </c>
      <c r="D515" s="19" t="s">
        <v>1638</v>
      </c>
      <c r="E515" s="19" t="s">
        <v>1639</v>
      </c>
      <c r="F515" s="19" t="e">
        <f>MATCH(E515,#REF!,0)</f>
        <v>#REF!</v>
      </c>
      <c r="G515" s="19" t="s">
        <v>1640</v>
      </c>
      <c r="H515" s="19" t="s">
        <v>43</v>
      </c>
      <c r="I515" s="19"/>
      <c r="J515" s="19" t="s">
        <v>1753</v>
      </c>
      <c r="K515" s="19" t="s">
        <v>20</v>
      </c>
      <c r="L515" s="3" t="str">
        <f>HYPERLINK(VLOOKUP(C515,BAPs!$A$2:$C$1048576,3,FALSE),VLOOKUP(C515,BAPs!$A$2:$C$1048576,2,FALSE))</f>
        <v>8 out of 10</v>
      </c>
    </row>
    <row r="516" spans="1:12" hidden="1">
      <c r="A516" s="19" t="s">
        <v>1683</v>
      </c>
      <c r="B516" s="19" t="s">
        <v>1044</v>
      </c>
      <c r="C516" s="19" t="s">
        <v>1749</v>
      </c>
      <c r="D516" s="19" t="s">
        <v>1754</v>
      </c>
      <c r="E516" s="19" t="s">
        <v>1755</v>
      </c>
      <c r="F516" s="19" t="e">
        <f>MATCH(E516,#REF!,0)</f>
        <v>#REF!</v>
      </c>
      <c r="G516" s="19" t="s">
        <v>1756</v>
      </c>
      <c r="H516" s="19" t="s">
        <v>56</v>
      </c>
      <c r="I516" s="19"/>
      <c r="J516" s="19" t="s">
        <v>1753</v>
      </c>
      <c r="K516" s="19" t="s">
        <v>20</v>
      </c>
      <c r="L516" s="3" t="str">
        <f>HYPERLINK(VLOOKUP(C516,BAPs!$A$2:$C$1048576,3,FALSE),VLOOKUP(C516,BAPs!$A$2:$C$1048576,2,FALSE))</f>
        <v>8 out of 10</v>
      </c>
    </row>
    <row r="517" spans="1:12" hidden="1">
      <c r="A517" s="19" t="s">
        <v>1683</v>
      </c>
      <c r="B517" s="19" t="s">
        <v>1044</v>
      </c>
      <c r="C517" s="19" t="s">
        <v>1749</v>
      </c>
      <c r="D517" s="19" t="s">
        <v>1757</v>
      </c>
      <c r="E517" s="19" t="s">
        <v>1758</v>
      </c>
      <c r="F517" s="19" t="e">
        <f>MATCH(E517,#REF!,0)</f>
        <v>#REF!</v>
      </c>
      <c r="G517" s="19" t="s">
        <v>1759</v>
      </c>
      <c r="H517" s="19" t="s">
        <v>56</v>
      </c>
      <c r="I517" s="19"/>
      <c r="J517" s="19" t="s">
        <v>1753</v>
      </c>
      <c r="K517" s="19" t="s">
        <v>20</v>
      </c>
      <c r="L517" s="3" t="str">
        <f>HYPERLINK(VLOOKUP(C517,BAPs!$A$2:$C$1048576,3,FALSE),VLOOKUP(C517,BAPs!$A$2:$C$1048576,2,FALSE))</f>
        <v>8 out of 10</v>
      </c>
    </row>
    <row r="518" spans="1:12" hidden="1">
      <c r="A518" s="19" t="s">
        <v>1683</v>
      </c>
      <c r="B518" s="19" t="s">
        <v>1044</v>
      </c>
      <c r="C518" s="19" t="s">
        <v>1749</v>
      </c>
      <c r="D518" s="19" t="s">
        <v>1760</v>
      </c>
      <c r="E518" s="19" t="s">
        <v>1761</v>
      </c>
      <c r="F518" s="19" t="e">
        <f>MATCH(E518,#REF!,0)</f>
        <v>#REF!</v>
      </c>
      <c r="G518" s="19" t="s">
        <v>1762</v>
      </c>
      <c r="H518" s="19" t="s">
        <v>56</v>
      </c>
      <c r="I518" s="19"/>
      <c r="J518" s="19" t="s">
        <v>1753</v>
      </c>
      <c r="K518" s="19" t="s">
        <v>20</v>
      </c>
      <c r="L518" s="3" t="str">
        <f>HYPERLINK(VLOOKUP(C518,BAPs!$A$2:$C$1048576,3,FALSE),VLOOKUP(C518,BAPs!$A$2:$C$1048576,2,FALSE))</f>
        <v>8 out of 10</v>
      </c>
    </row>
    <row r="519" spans="1:12" hidden="1">
      <c r="A519" s="19" t="s">
        <v>1683</v>
      </c>
      <c r="B519" s="19" t="s">
        <v>1044</v>
      </c>
      <c r="C519" s="19" t="s">
        <v>1749</v>
      </c>
      <c r="D519" s="19" t="s">
        <v>1763</v>
      </c>
      <c r="E519" s="19" t="s">
        <v>1764</v>
      </c>
      <c r="F519" s="19" t="e">
        <f>MATCH(E519,#REF!,0)</f>
        <v>#REF!</v>
      </c>
      <c r="G519" s="19" t="s">
        <v>1765</v>
      </c>
      <c r="H519" s="19" t="s">
        <v>56</v>
      </c>
      <c r="I519" s="19"/>
      <c r="J519" s="19" t="s">
        <v>1753</v>
      </c>
      <c r="K519" s="19" t="s">
        <v>20</v>
      </c>
      <c r="L519" s="3" t="str">
        <f>HYPERLINK(VLOOKUP(C519,BAPs!$A$2:$C$1048576,3,FALSE),VLOOKUP(C519,BAPs!$A$2:$C$1048576,2,FALSE))</f>
        <v>8 out of 10</v>
      </c>
    </row>
    <row r="520" spans="1:12" hidden="1">
      <c r="A520" s="19" t="s">
        <v>1683</v>
      </c>
      <c r="B520" s="19" t="s">
        <v>1044</v>
      </c>
      <c r="C520" s="19" t="s">
        <v>1766</v>
      </c>
      <c r="D520" s="19" t="s">
        <v>1264</v>
      </c>
      <c r="E520" s="19" t="s">
        <v>1265</v>
      </c>
      <c r="F520" s="19" t="e">
        <f>MATCH(E520,#REF!,0)</f>
        <v>#REF!</v>
      </c>
      <c r="G520" s="19" t="s">
        <v>1266</v>
      </c>
      <c r="H520" s="19" t="s">
        <v>43</v>
      </c>
      <c r="I520" s="19"/>
      <c r="J520" s="19" t="s">
        <v>1767</v>
      </c>
      <c r="K520" s="19" t="s">
        <v>62</v>
      </c>
      <c r="L520" s="3" t="str">
        <f>HYPERLINK(VLOOKUP(C520,BAPs!$A$2:$C$1048576,3,FALSE),VLOOKUP(C520,BAPs!$A$2:$C$1048576,2,FALSE))</f>
        <v>10 out of 10</v>
      </c>
    </row>
    <row r="521" spans="1:12" hidden="1">
      <c r="A521" s="19" t="s">
        <v>1683</v>
      </c>
      <c r="B521" s="19" t="s">
        <v>1044</v>
      </c>
      <c r="C521" s="19" t="s">
        <v>1766</v>
      </c>
      <c r="D521" s="19" t="s">
        <v>1768</v>
      </c>
      <c r="E521" s="19" t="s">
        <v>1769</v>
      </c>
      <c r="F521" s="19" t="e">
        <f>MATCH(E521,#REF!,0)</f>
        <v>#REF!</v>
      </c>
      <c r="G521" s="19" t="s">
        <v>1770</v>
      </c>
      <c r="H521" s="19" t="s">
        <v>84</v>
      </c>
      <c r="I521" s="19"/>
      <c r="J521" s="19" t="s">
        <v>1767</v>
      </c>
      <c r="K521" s="19" t="s">
        <v>62</v>
      </c>
      <c r="L521" s="3" t="str">
        <f>HYPERLINK(VLOOKUP(C521,BAPs!$A$2:$C$1048576,3,FALSE),VLOOKUP(C521,BAPs!$A$2:$C$1048576,2,FALSE))</f>
        <v>10 out of 10</v>
      </c>
    </row>
    <row r="522" spans="1:12" hidden="1">
      <c r="A522" s="19" t="s">
        <v>1683</v>
      </c>
      <c r="B522" s="19" t="s">
        <v>1044</v>
      </c>
      <c r="C522" s="19" t="s">
        <v>1766</v>
      </c>
      <c r="D522" s="19" t="s">
        <v>1766</v>
      </c>
      <c r="E522" s="19" t="s">
        <v>1771</v>
      </c>
      <c r="F522" s="19" t="e">
        <f>MATCH(E522,#REF!,0)</f>
        <v>#REF!</v>
      </c>
      <c r="G522" s="19" t="s">
        <v>1772</v>
      </c>
      <c r="H522" s="19" t="s">
        <v>84</v>
      </c>
      <c r="I522" s="19"/>
      <c r="J522" s="19" t="s">
        <v>1767</v>
      </c>
      <c r="K522" s="19" t="s">
        <v>62</v>
      </c>
      <c r="L522" s="3" t="str">
        <f>HYPERLINK(VLOOKUP(C522,BAPs!$A$2:$C$1048576,3,FALSE),VLOOKUP(C522,BAPs!$A$2:$C$1048576,2,FALSE))</f>
        <v>10 out of 10</v>
      </c>
    </row>
    <row r="523" spans="1:12" hidden="1">
      <c r="A523" s="19" t="s">
        <v>1683</v>
      </c>
      <c r="B523" s="19" t="s">
        <v>1044</v>
      </c>
      <c r="C523" s="19" t="s">
        <v>1773</v>
      </c>
      <c r="D523" s="19" t="s">
        <v>1774</v>
      </c>
      <c r="E523" s="19" t="s">
        <v>1775</v>
      </c>
      <c r="F523" s="19" t="e">
        <f>MATCH(E523,#REF!,0)</f>
        <v>#REF!</v>
      </c>
      <c r="G523" s="19" t="s">
        <v>1776</v>
      </c>
      <c r="H523" s="19" t="s">
        <v>43</v>
      </c>
      <c r="I523" s="19"/>
      <c r="J523" s="19" t="s">
        <v>1777</v>
      </c>
      <c r="K523" s="19" t="s">
        <v>62</v>
      </c>
      <c r="L523" s="3" t="str">
        <f>HYPERLINK(VLOOKUP(C523,BAPs!$A$2:$C$1048576,3,FALSE),VLOOKUP(C523,BAPs!$A$2:$C$1048576,2,FALSE))</f>
        <v>10 out of 10</v>
      </c>
    </row>
    <row r="524" spans="1:12" hidden="1">
      <c r="A524" s="19" t="s">
        <v>1683</v>
      </c>
      <c r="B524" s="19" t="s">
        <v>1044</v>
      </c>
      <c r="C524" s="19" t="s">
        <v>1773</v>
      </c>
      <c r="D524" s="19" t="s">
        <v>1778</v>
      </c>
      <c r="E524" s="19" t="s">
        <v>1779</v>
      </c>
      <c r="F524" s="19" t="e">
        <f>MATCH(E524,#REF!,0)</f>
        <v>#REF!</v>
      </c>
      <c r="G524" s="19" t="s">
        <v>1780</v>
      </c>
      <c r="H524" s="19" t="s">
        <v>84</v>
      </c>
      <c r="I524" s="19"/>
      <c r="J524" s="19" t="s">
        <v>1777</v>
      </c>
      <c r="K524" s="19" t="s">
        <v>62</v>
      </c>
      <c r="L524" s="3" t="str">
        <f>HYPERLINK(VLOOKUP(C524,BAPs!$A$2:$C$1048576,3,FALSE),VLOOKUP(C524,BAPs!$A$2:$C$1048576,2,FALSE))</f>
        <v>10 out of 10</v>
      </c>
    </row>
    <row r="525" spans="1:12" hidden="1">
      <c r="A525" s="19" t="s">
        <v>1683</v>
      </c>
      <c r="B525" s="19" t="s">
        <v>1044</v>
      </c>
      <c r="C525" s="19" t="s">
        <v>1781</v>
      </c>
      <c r="D525" s="19" t="s">
        <v>1781</v>
      </c>
      <c r="E525" s="19" t="s">
        <v>1782</v>
      </c>
      <c r="F525" s="19" t="e">
        <f>MATCH(E525,#REF!,0)</f>
        <v>#REF!</v>
      </c>
      <c r="G525" s="19" t="s">
        <v>1783</v>
      </c>
      <c r="H525" s="19" t="s">
        <v>56</v>
      </c>
      <c r="I525" s="19"/>
      <c r="J525" s="19" t="s">
        <v>1784</v>
      </c>
      <c r="K525" s="19" t="s">
        <v>20</v>
      </c>
      <c r="L525" s="3" t="str">
        <f>HYPERLINK(VLOOKUP(C525,BAPs!$A$2:$C$1048576,3,FALSE),VLOOKUP(C525,BAPs!$A$2:$C$1048576,2,FALSE))</f>
        <v>6 out of 10</v>
      </c>
    </row>
    <row r="526" spans="1:12" hidden="1">
      <c r="A526" s="19" t="s">
        <v>1683</v>
      </c>
      <c r="B526" s="19" t="s">
        <v>1044</v>
      </c>
      <c r="C526" s="19" t="s">
        <v>1785</v>
      </c>
      <c r="D526" s="19" t="s">
        <v>1785</v>
      </c>
      <c r="E526" s="19" t="s">
        <v>1786</v>
      </c>
      <c r="F526" s="19" t="e">
        <f>MATCH(E526,#REF!,0)</f>
        <v>#REF!</v>
      </c>
      <c r="G526" s="19" t="s">
        <v>1787</v>
      </c>
      <c r="H526" s="19" t="s">
        <v>56</v>
      </c>
      <c r="I526" s="19"/>
      <c r="J526" s="19" t="s">
        <v>1788</v>
      </c>
      <c r="K526" s="19" t="s">
        <v>62</v>
      </c>
      <c r="L526" s="3" t="str">
        <f>HYPERLINK(VLOOKUP(C526,BAPs!$A$2:$C$1048576,3,FALSE),VLOOKUP(C526,BAPs!$A$2:$C$1048576,2,FALSE))</f>
        <v>9 out of 10</v>
      </c>
    </row>
    <row r="527" spans="1:12" hidden="1">
      <c r="A527" s="19" t="s">
        <v>1683</v>
      </c>
      <c r="B527" s="19" t="s">
        <v>1044</v>
      </c>
      <c r="C527" s="19" t="s">
        <v>1785</v>
      </c>
      <c r="D527" s="19" t="s">
        <v>1560</v>
      </c>
      <c r="E527" s="19" t="s">
        <v>1561</v>
      </c>
      <c r="F527" s="19" t="e">
        <f>MATCH(E527,#REF!,0)</f>
        <v>#REF!</v>
      </c>
      <c r="G527" s="19" t="s">
        <v>1562</v>
      </c>
      <c r="H527" s="19" t="s">
        <v>56</v>
      </c>
      <c r="I527" s="19"/>
      <c r="J527" s="19" t="s">
        <v>1788</v>
      </c>
      <c r="K527" s="19" t="s">
        <v>62</v>
      </c>
      <c r="L527" s="3" t="str">
        <f>HYPERLINK(VLOOKUP(C527,BAPs!$A$2:$C$1048576,3,FALSE),VLOOKUP(C527,BAPs!$A$2:$C$1048576,2,FALSE))</f>
        <v>9 out of 10</v>
      </c>
    </row>
    <row r="528" spans="1:12" hidden="1">
      <c r="A528" s="19" t="s">
        <v>1683</v>
      </c>
      <c r="B528" s="19" t="s">
        <v>1044</v>
      </c>
      <c r="C528" s="19" t="s">
        <v>1331</v>
      </c>
      <c r="D528" s="19" t="s">
        <v>1391</v>
      </c>
      <c r="E528" s="19" t="s">
        <v>1392</v>
      </c>
      <c r="F528" s="19" t="e">
        <f>MATCH(E528,#REF!,0)</f>
        <v>#REF!</v>
      </c>
      <c r="G528" s="19" t="s">
        <v>1393</v>
      </c>
      <c r="H528" s="19" t="s">
        <v>17</v>
      </c>
      <c r="I528" s="19" t="s">
        <v>18</v>
      </c>
      <c r="J528" s="19" t="s">
        <v>1789</v>
      </c>
      <c r="K528" s="19" t="s">
        <v>62</v>
      </c>
      <c r="L528" s="3" t="str">
        <f>HYPERLINK(VLOOKUP(C528,BAPs!$A$2:$C$1048576,3,FALSE),VLOOKUP(C528,BAPs!$A$2:$C$1048576,2,FALSE))</f>
        <v>10 out of 10</v>
      </c>
    </row>
    <row r="529" spans="1:12" hidden="1">
      <c r="A529" s="19" t="s">
        <v>1683</v>
      </c>
      <c r="B529" s="19" t="s">
        <v>1044</v>
      </c>
      <c r="C529" s="19" t="s">
        <v>1331</v>
      </c>
      <c r="D529" s="19" t="s">
        <v>1790</v>
      </c>
      <c r="E529" s="19" t="s">
        <v>1791</v>
      </c>
      <c r="F529" s="19" t="e">
        <f>MATCH(E529,#REF!,0)</f>
        <v>#REF!</v>
      </c>
      <c r="G529" s="19" t="s">
        <v>1792</v>
      </c>
      <c r="H529" s="19" t="s">
        <v>52</v>
      </c>
      <c r="I529" s="19"/>
      <c r="J529" s="19" t="s">
        <v>1789</v>
      </c>
      <c r="K529" s="19" t="s">
        <v>62</v>
      </c>
      <c r="L529" s="3" t="str">
        <f>HYPERLINK(VLOOKUP(C529,BAPs!$A$2:$C$1048576,3,FALSE),VLOOKUP(C529,BAPs!$A$2:$C$1048576,2,FALSE))</f>
        <v>10 out of 10</v>
      </c>
    </row>
    <row r="530" spans="1:12" hidden="1">
      <c r="A530" s="19" t="s">
        <v>1683</v>
      </c>
      <c r="B530" s="19" t="s">
        <v>1044</v>
      </c>
      <c r="C530" s="19" t="s">
        <v>1331</v>
      </c>
      <c r="D530" s="19" t="s">
        <v>1793</v>
      </c>
      <c r="E530" s="19" t="s">
        <v>1794</v>
      </c>
      <c r="F530" s="19" t="e">
        <f>MATCH(E530,#REF!,0)</f>
        <v>#REF!</v>
      </c>
      <c r="G530" s="19" t="s">
        <v>1795</v>
      </c>
      <c r="H530" s="19" t="s">
        <v>17</v>
      </c>
      <c r="I530" s="19" t="s">
        <v>18</v>
      </c>
      <c r="J530" s="19" t="s">
        <v>1789</v>
      </c>
      <c r="K530" s="19" t="s">
        <v>62</v>
      </c>
      <c r="L530" s="3" t="str">
        <f>HYPERLINK(VLOOKUP(C530,BAPs!$A$2:$C$1048576,3,FALSE),VLOOKUP(C530,BAPs!$A$2:$C$1048576,2,FALSE))</f>
        <v>10 out of 10</v>
      </c>
    </row>
    <row r="531" spans="1:12" hidden="1">
      <c r="A531" s="19" t="s">
        <v>1683</v>
      </c>
      <c r="B531" s="19" t="s">
        <v>1044</v>
      </c>
      <c r="C531" s="19" t="s">
        <v>1796</v>
      </c>
      <c r="D531" s="19" t="s">
        <v>1391</v>
      </c>
      <c r="E531" s="19" t="s">
        <v>1392</v>
      </c>
      <c r="F531" s="19" t="e">
        <f>MATCH(E531,#REF!,0)</f>
        <v>#REF!</v>
      </c>
      <c r="G531" s="19" t="s">
        <v>1393</v>
      </c>
      <c r="H531" s="19" t="s">
        <v>17</v>
      </c>
      <c r="I531" s="19" t="s">
        <v>18</v>
      </c>
      <c r="J531" s="19" t="s">
        <v>1797</v>
      </c>
      <c r="K531" s="19" t="s">
        <v>62</v>
      </c>
      <c r="L531" s="3" t="str">
        <f>HYPERLINK(VLOOKUP(C531,BAPs!$A$2:$C$1048576,3,FALSE),VLOOKUP(C531,BAPs!$A$2:$C$1048576,2,FALSE))</f>
        <v>10 out of 10</v>
      </c>
    </row>
    <row r="532" spans="1:12" hidden="1">
      <c r="A532" s="19" t="s">
        <v>1683</v>
      </c>
      <c r="B532" s="19" t="s">
        <v>1044</v>
      </c>
      <c r="C532" s="19" t="s">
        <v>1796</v>
      </c>
      <c r="D532" s="19" t="s">
        <v>1798</v>
      </c>
      <c r="E532" s="19" t="s">
        <v>1799</v>
      </c>
      <c r="F532" s="19" t="e">
        <f>MATCH(E532,#REF!,0)</f>
        <v>#REF!</v>
      </c>
      <c r="G532" s="19" t="s">
        <v>1800</v>
      </c>
      <c r="H532" s="19" t="s">
        <v>17</v>
      </c>
      <c r="I532" s="19" t="s">
        <v>18</v>
      </c>
      <c r="J532" s="19" t="s">
        <v>1797</v>
      </c>
      <c r="K532" s="19" t="s">
        <v>62</v>
      </c>
      <c r="L532" s="3" t="str">
        <f>HYPERLINK(VLOOKUP(C532,BAPs!$A$2:$C$1048576,3,FALSE),VLOOKUP(C532,BAPs!$A$2:$C$1048576,2,FALSE))</f>
        <v>10 out of 10</v>
      </c>
    </row>
    <row r="533" spans="1:12" hidden="1">
      <c r="A533" s="19" t="s">
        <v>1683</v>
      </c>
      <c r="B533" s="19" t="s">
        <v>1044</v>
      </c>
      <c r="C533" s="19" t="s">
        <v>1801</v>
      </c>
      <c r="D533" s="19" t="s">
        <v>1802</v>
      </c>
      <c r="E533" s="19" t="s">
        <v>1803</v>
      </c>
      <c r="F533" s="19" t="e">
        <f>MATCH(E533,#REF!,0)</f>
        <v>#REF!</v>
      </c>
      <c r="G533" s="19" t="s">
        <v>1804</v>
      </c>
      <c r="H533" s="19" t="s">
        <v>24</v>
      </c>
      <c r="I533" s="19" t="s">
        <v>18</v>
      </c>
      <c r="J533" s="19" t="s">
        <v>1805</v>
      </c>
      <c r="K533" s="19" t="s">
        <v>62</v>
      </c>
      <c r="L533" s="3" t="str">
        <f>HYPERLINK(VLOOKUP(C533,BAPs!$A$2:$C$1048576,3,FALSE),VLOOKUP(C533,BAPs!$A$2:$C$1048576,2,FALSE))</f>
        <v>10 out of 10</v>
      </c>
    </row>
    <row r="534" spans="1:12" hidden="1">
      <c r="A534" s="19" t="s">
        <v>1683</v>
      </c>
      <c r="B534" s="19" t="s">
        <v>1044</v>
      </c>
      <c r="C534" s="19" t="s">
        <v>1806</v>
      </c>
      <c r="D534" s="19" t="s">
        <v>1721</v>
      </c>
      <c r="E534" s="19" t="s">
        <v>1722</v>
      </c>
      <c r="F534" s="19" t="e">
        <f>MATCH(E534,#REF!,0)</f>
        <v>#REF!</v>
      </c>
      <c r="G534" s="19" t="s">
        <v>1723</v>
      </c>
      <c r="H534" s="19" t="s">
        <v>43</v>
      </c>
      <c r="I534" s="19" t="s">
        <v>18</v>
      </c>
      <c r="J534" s="19" t="s">
        <v>1807</v>
      </c>
      <c r="K534" s="19" t="s">
        <v>20</v>
      </c>
      <c r="L534" s="3" t="str">
        <f>HYPERLINK(VLOOKUP(C534,BAPs!$A$2:$C$1048576,3,FALSE),VLOOKUP(C534,BAPs!$A$2:$C$1048576,2,FALSE))</f>
        <v>1 out of 10</v>
      </c>
    </row>
    <row r="535" spans="1:12" hidden="1">
      <c r="A535" s="19" t="s">
        <v>1808</v>
      </c>
      <c r="B535" s="19" t="s">
        <v>1044</v>
      </c>
      <c r="C535" s="19" t="s">
        <v>1809</v>
      </c>
      <c r="D535" s="19" t="s">
        <v>1809</v>
      </c>
      <c r="E535" s="19" t="s">
        <v>1810</v>
      </c>
      <c r="F535" s="19" t="e">
        <f>MATCH(E535,#REF!,0)</f>
        <v>#REF!</v>
      </c>
      <c r="G535" s="19" t="s">
        <v>1811</v>
      </c>
      <c r="H535" s="19" t="s">
        <v>52</v>
      </c>
      <c r="I535" s="19"/>
      <c r="J535" s="19" t="s">
        <v>1812</v>
      </c>
      <c r="K535" s="19" t="s">
        <v>20</v>
      </c>
      <c r="L535" s="3" t="str">
        <f>HYPERLINK(VLOOKUP(C535,BAPs!$A$2:$C$1048576,3,FALSE),VLOOKUP(C535,BAPs!$A$2:$C$1048576,2,FALSE))</f>
        <v>4 out of 10</v>
      </c>
    </row>
    <row r="536" spans="1:12" hidden="1">
      <c r="A536" s="19" t="s">
        <v>1808</v>
      </c>
      <c r="B536" s="19" t="s">
        <v>1044</v>
      </c>
      <c r="C536" s="19" t="s">
        <v>1813</v>
      </c>
      <c r="D536" s="19" t="s">
        <v>1813</v>
      </c>
      <c r="E536" s="19" t="s">
        <v>1814</v>
      </c>
      <c r="F536" s="19" t="e">
        <f>MATCH(E536,#REF!,0)</f>
        <v>#REF!</v>
      </c>
      <c r="G536" s="19" t="s">
        <v>1815</v>
      </c>
      <c r="H536" s="19" t="s">
        <v>17</v>
      </c>
      <c r="I536" s="19"/>
      <c r="J536" s="19" t="s">
        <v>1816</v>
      </c>
      <c r="K536" s="19" t="s">
        <v>62</v>
      </c>
      <c r="L536" s="3" t="str">
        <f>HYPERLINK(VLOOKUP(C536,BAPs!$A$2:$C$1048576,3,FALSE),VLOOKUP(C536,BAPs!$A$2:$C$1048576,2,FALSE))</f>
        <v>10 out of 10</v>
      </c>
    </row>
    <row r="537" spans="1:12" hidden="1">
      <c r="A537" s="19" t="s">
        <v>1808</v>
      </c>
      <c r="B537" s="19" t="s">
        <v>1044</v>
      </c>
      <c r="C537" s="19" t="s">
        <v>1817</v>
      </c>
      <c r="D537" s="19" t="s">
        <v>1817</v>
      </c>
      <c r="E537" s="19" t="s">
        <v>1818</v>
      </c>
      <c r="F537" s="19" t="e">
        <f>MATCH(E537,#REF!,0)</f>
        <v>#REF!</v>
      </c>
      <c r="G537" s="19" t="s">
        <v>1819</v>
      </c>
      <c r="H537" s="19" t="s">
        <v>17</v>
      </c>
      <c r="I537" s="19"/>
      <c r="J537" s="19" t="s">
        <v>1820</v>
      </c>
      <c r="K537" s="19" t="s">
        <v>62</v>
      </c>
      <c r="L537" s="3" t="str">
        <f>HYPERLINK(VLOOKUP(C537,BAPs!$A$2:$C$1048576,3,FALSE),VLOOKUP(C537,BAPs!$A$2:$C$1048576,2,FALSE))</f>
        <v>9 out of 10</v>
      </c>
    </row>
    <row r="538" spans="1:12" hidden="1">
      <c r="A538" s="19" t="s">
        <v>1808</v>
      </c>
      <c r="B538" s="19" t="s">
        <v>1044</v>
      </c>
      <c r="C538" s="19" t="s">
        <v>1821</v>
      </c>
      <c r="D538" s="19" t="s">
        <v>1821</v>
      </c>
      <c r="E538" s="19" t="s">
        <v>1822</v>
      </c>
      <c r="F538" s="19" t="e">
        <f>MATCH(E538,#REF!,0)</f>
        <v>#REF!</v>
      </c>
      <c r="G538" s="19" t="s">
        <v>1823</v>
      </c>
      <c r="H538" s="19" t="s">
        <v>17</v>
      </c>
      <c r="I538" s="19"/>
      <c r="J538" s="19" t="s">
        <v>1824</v>
      </c>
      <c r="K538" s="19" t="s">
        <v>20</v>
      </c>
      <c r="L538" s="3" t="str">
        <f>HYPERLINK(VLOOKUP(C538,BAPs!$A$2:$C$1048576,3,FALSE),VLOOKUP(C538,BAPs!$A$2:$C$1048576,2,FALSE))</f>
        <v>8 out of 10</v>
      </c>
    </row>
    <row r="539" spans="1:12" hidden="1">
      <c r="A539" s="19" t="s">
        <v>1808</v>
      </c>
      <c r="B539" s="19" t="s">
        <v>1044</v>
      </c>
      <c r="C539" s="19" t="s">
        <v>1825</v>
      </c>
      <c r="D539" s="19" t="s">
        <v>1825</v>
      </c>
      <c r="E539" s="19" t="s">
        <v>1826</v>
      </c>
      <c r="F539" s="19" t="e">
        <f>MATCH(E539,#REF!,0)</f>
        <v>#REF!</v>
      </c>
      <c r="G539" s="19" t="s">
        <v>1827</v>
      </c>
      <c r="H539" s="19" t="s">
        <v>17</v>
      </c>
      <c r="I539" s="19"/>
      <c r="J539" s="19" t="s">
        <v>1828</v>
      </c>
      <c r="K539" s="19" t="s">
        <v>62</v>
      </c>
      <c r="L539" s="3" t="str">
        <f>HYPERLINK(VLOOKUP(C539,BAPs!$A$2:$C$1048576,3,FALSE),VLOOKUP(C539,BAPs!$A$2:$C$1048576,2,FALSE))</f>
        <v>9 out of 10</v>
      </c>
    </row>
    <row r="540" spans="1:12" hidden="1">
      <c r="A540" s="19" t="s">
        <v>1808</v>
      </c>
      <c r="B540" s="19" t="s">
        <v>1044</v>
      </c>
      <c r="C540" s="19" t="s">
        <v>1829</v>
      </c>
      <c r="D540" s="19" t="s">
        <v>1829</v>
      </c>
      <c r="E540" s="19" t="s">
        <v>1830</v>
      </c>
      <c r="F540" s="19" t="e">
        <f>MATCH(E540,#REF!,0)</f>
        <v>#REF!</v>
      </c>
      <c r="G540" s="19" t="s">
        <v>1831</v>
      </c>
      <c r="H540" s="19" t="s">
        <v>17</v>
      </c>
      <c r="I540" s="19"/>
      <c r="J540" s="19" t="s">
        <v>1832</v>
      </c>
      <c r="K540" s="19" t="s">
        <v>20</v>
      </c>
      <c r="L540" s="3" t="str">
        <f>HYPERLINK(VLOOKUP(C540,BAPs!$A$2:$C$1048576,3,FALSE),VLOOKUP(C540,BAPs!$A$2:$C$1048576,2,FALSE))</f>
        <v>7 out of 10</v>
      </c>
    </row>
    <row r="541" spans="1:12" hidden="1">
      <c r="A541" s="19" t="s">
        <v>1808</v>
      </c>
      <c r="B541" s="19" t="s">
        <v>1044</v>
      </c>
      <c r="C541" s="19" t="s">
        <v>1833</v>
      </c>
      <c r="D541" s="19" t="s">
        <v>1833</v>
      </c>
      <c r="E541" s="19" t="s">
        <v>1834</v>
      </c>
      <c r="F541" s="19" t="e">
        <f>MATCH(E541,#REF!,0)</f>
        <v>#REF!</v>
      </c>
      <c r="G541" s="19" t="s">
        <v>1835</v>
      </c>
      <c r="H541" s="19" t="s">
        <v>52</v>
      </c>
      <c r="I541" s="19"/>
      <c r="J541" s="19" t="s">
        <v>1836</v>
      </c>
      <c r="K541" s="19" t="s">
        <v>20</v>
      </c>
      <c r="L541" s="3" t="str">
        <f>HYPERLINK(VLOOKUP(C541,BAPs!$A$2:$C$1048576,3,FALSE),VLOOKUP(C541,BAPs!$A$2:$C$1048576,2,FALSE))</f>
        <v>8 out of 10</v>
      </c>
    </row>
    <row r="542" spans="1:12" hidden="1">
      <c r="A542" s="19" t="s">
        <v>1808</v>
      </c>
      <c r="B542" s="19" t="s">
        <v>1044</v>
      </c>
      <c r="C542" s="19" t="s">
        <v>1837</v>
      </c>
      <c r="D542" s="19" t="s">
        <v>1837</v>
      </c>
      <c r="E542" s="19" t="s">
        <v>1838</v>
      </c>
      <c r="F542" s="19" t="e">
        <f>MATCH(E542,#REF!,0)</f>
        <v>#REF!</v>
      </c>
      <c r="G542" s="19" t="s">
        <v>1839</v>
      </c>
      <c r="H542" s="19" t="s">
        <v>17</v>
      </c>
      <c r="I542" s="19" t="s">
        <v>18</v>
      </c>
      <c r="J542" s="19" t="s">
        <v>1840</v>
      </c>
      <c r="K542" s="19" t="s">
        <v>20</v>
      </c>
      <c r="L542" s="3" t="str">
        <f>HYPERLINK(VLOOKUP(C542,BAPs!$A$2:$C$1048576,3,FALSE),VLOOKUP(C542,BAPs!$A$2:$C$1048576,2,FALSE))</f>
        <v>6 out of 10</v>
      </c>
    </row>
    <row r="543" spans="1:12" hidden="1">
      <c r="A543" s="19" t="s">
        <v>1808</v>
      </c>
      <c r="B543" s="19" t="s">
        <v>1044</v>
      </c>
      <c r="C543" s="19" t="s">
        <v>1841</v>
      </c>
      <c r="D543" s="19" t="s">
        <v>1841</v>
      </c>
      <c r="E543" s="19" t="s">
        <v>1842</v>
      </c>
      <c r="F543" s="19" t="e">
        <f>MATCH(E543,#REF!,0)</f>
        <v>#REF!</v>
      </c>
      <c r="G543" s="19" t="s">
        <v>1843</v>
      </c>
      <c r="H543" s="19" t="s">
        <v>17</v>
      </c>
      <c r="I543" s="19" t="s">
        <v>18</v>
      </c>
      <c r="J543" s="19" t="s">
        <v>1844</v>
      </c>
      <c r="K543" s="19" t="s">
        <v>62</v>
      </c>
      <c r="L543" s="3" t="str">
        <f>HYPERLINK(VLOOKUP(C543,BAPs!$A$2:$C$1048576,3,FALSE),VLOOKUP(C543,BAPs!$A$2:$C$1048576,2,FALSE))</f>
        <v>9 out of 10</v>
      </c>
    </row>
    <row r="544" spans="1:12" hidden="1">
      <c r="A544" s="19" t="s">
        <v>1808</v>
      </c>
      <c r="B544" s="19" t="s">
        <v>1044</v>
      </c>
      <c r="C544" s="19" t="s">
        <v>1845</v>
      </c>
      <c r="D544" s="19" t="s">
        <v>1845</v>
      </c>
      <c r="E544" s="19" t="s">
        <v>1846</v>
      </c>
      <c r="F544" s="19" t="e">
        <f>MATCH(E544,#REF!,0)</f>
        <v>#REF!</v>
      </c>
      <c r="G544" s="19" t="s">
        <v>1847</v>
      </c>
      <c r="H544" s="19" t="s">
        <v>52</v>
      </c>
      <c r="I544" s="19"/>
      <c r="J544" s="19" t="s">
        <v>1848</v>
      </c>
      <c r="K544" s="19" t="s">
        <v>20</v>
      </c>
      <c r="L544" s="3" t="str">
        <f>HYPERLINK(VLOOKUP(C544,BAPs!$A$2:$C$1048576,3,FALSE),VLOOKUP(C544,BAPs!$A$2:$C$1048576,2,FALSE))</f>
        <v>8 out of 10</v>
      </c>
    </row>
    <row r="545" spans="1:12" hidden="1">
      <c r="A545" s="19" t="s">
        <v>1808</v>
      </c>
      <c r="B545" s="19" t="s">
        <v>1044</v>
      </c>
      <c r="C545" s="19" t="s">
        <v>1845</v>
      </c>
      <c r="D545" s="19" t="s">
        <v>1849</v>
      </c>
      <c r="E545" s="19" t="s">
        <v>1850</v>
      </c>
      <c r="F545" s="19" t="e">
        <f>MATCH(E545,#REF!,0)</f>
        <v>#REF!</v>
      </c>
      <c r="G545" s="19" t="s">
        <v>1851</v>
      </c>
      <c r="H545" s="19" t="s">
        <v>84</v>
      </c>
      <c r="I545" s="19"/>
      <c r="J545" s="19" t="s">
        <v>1848</v>
      </c>
      <c r="K545" s="19" t="s">
        <v>20</v>
      </c>
      <c r="L545" s="3" t="str">
        <f>HYPERLINK(VLOOKUP(C545,BAPs!$A$2:$C$1048576,3,FALSE),VLOOKUP(C545,BAPs!$A$2:$C$1048576,2,FALSE))</f>
        <v>8 out of 10</v>
      </c>
    </row>
    <row r="546" spans="1:12" hidden="1">
      <c r="A546" s="19" t="s">
        <v>1808</v>
      </c>
      <c r="B546" s="19" t="s">
        <v>1044</v>
      </c>
      <c r="C546" s="19" t="s">
        <v>1852</v>
      </c>
      <c r="D546" s="19" t="s">
        <v>1852</v>
      </c>
      <c r="E546" s="19" t="s">
        <v>1853</v>
      </c>
      <c r="F546" s="19" t="e">
        <f>MATCH(E546,#REF!,0)</f>
        <v>#REF!</v>
      </c>
      <c r="G546" s="19" t="s">
        <v>1854</v>
      </c>
      <c r="H546" s="19" t="s">
        <v>52</v>
      </c>
      <c r="I546" s="19"/>
      <c r="J546" s="19" t="s">
        <v>1855</v>
      </c>
      <c r="K546" s="19" t="s">
        <v>20</v>
      </c>
      <c r="L546" s="3" t="str">
        <f>HYPERLINK(VLOOKUP(C546,BAPs!$A$2:$C$1048576,3,FALSE),VLOOKUP(C546,BAPs!$A$2:$C$1048576,2,FALSE))</f>
        <v>7 out of 10</v>
      </c>
    </row>
    <row r="547" spans="1:12" hidden="1">
      <c r="A547" s="19" t="s">
        <v>1808</v>
      </c>
      <c r="B547" s="19" t="s">
        <v>1044</v>
      </c>
      <c r="C547" s="19" t="s">
        <v>1856</v>
      </c>
      <c r="D547" s="19" t="s">
        <v>1856</v>
      </c>
      <c r="E547" s="19" t="s">
        <v>1857</v>
      </c>
      <c r="F547" s="19" t="e">
        <f>MATCH(E547,#REF!,0)</f>
        <v>#REF!</v>
      </c>
      <c r="G547" s="19" t="s">
        <v>1858</v>
      </c>
      <c r="H547" s="19" t="s">
        <v>24</v>
      </c>
      <c r="I547" s="19" t="s">
        <v>18</v>
      </c>
      <c r="J547" s="19" t="s">
        <v>1859</v>
      </c>
      <c r="K547" s="19" t="s">
        <v>62</v>
      </c>
      <c r="L547" s="3" t="str">
        <f>HYPERLINK(VLOOKUP(C547,BAPs!$A$2:$C$1048576,3,FALSE),VLOOKUP(C547,BAPs!$A$2:$C$1048576,2,FALSE))</f>
        <v>9 out of 10</v>
      </c>
    </row>
    <row r="548" spans="1:12" hidden="1">
      <c r="A548" s="19" t="s">
        <v>1808</v>
      </c>
      <c r="B548" s="19" t="s">
        <v>1044</v>
      </c>
      <c r="C548" s="19" t="s">
        <v>1860</v>
      </c>
      <c r="D548" s="19" t="s">
        <v>1860</v>
      </c>
      <c r="E548" s="19" t="s">
        <v>1861</v>
      </c>
      <c r="F548" s="19" t="e">
        <f>MATCH(E548,#REF!,0)</f>
        <v>#REF!</v>
      </c>
      <c r="G548" s="19" t="s">
        <v>1862</v>
      </c>
      <c r="H548" s="19" t="s">
        <v>52</v>
      </c>
      <c r="I548" s="19"/>
      <c r="J548" s="19" t="s">
        <v>1863</v>
      </c>
      <c r="K548" s="19" t="s">
        <v>62</v>
      </c>
      <c r="L548" s="3" t="str">
        <f>HYPERLINK(VLOOKUP(C548,BAPs!$A$2:$C$1048576,3,FALSE),VLOOKUP(C548,BAPs!$A$2:$C$1048576,2,FALSE))</f>
        <v>9 out of 10</v>
      </c>
    </row>
    <row r="549" spans="1:12" hidden="1">
      <c r="A549" s="19" t="s">
        <v>1808</v>
      </c>
      <c r="B549" s="19" t="s">
        <v>1044</v>
      </c>
      <c r="C549" s="19" t="s">
        <v>1864</v>
      </c>
      <c r="D549" s="19" t="s">
        <v>1865</v>
      </c>
      <c r="E549" s="19" t="s">
        <v>1866</v>
      </c>
      <c r="F549" s="19" t="e">
        <f>MATCH(E549,#REF!,0)</f>
        <v>#REF!</v>
      </c>
      <c r="G549" s="19" t="s">
        <v>1867</v>
      </c>
      <c r="H549" s="19" t="s">
        <v>24</v>
      </c>
      <c r="I549" s="19"/>
      <c r="J549" s="19" t="s">
        <v>1868</v>
      </c>
      <c r="K549" s="19" t="s">
        <v>62</v>
      </c>
      <c r="L549" s="3" t="str">
        <f>HYPERLINK(VLOOKUP(C549,BAPs!$A$2:$C$1048576,3,FALSE),VLOOKUP(C549,BAPs!$A$2:$C$1048576,2,FALSE))</f>
        <v>10 out of 10</v>
      </c>
    </row>
    <row r="550" spans="1:12" hidden="1">
      <c r="A550" s="19" t="s">
        <v>1808</v>
      </c>
      <c r="B550" s="19" t="s">
        <v>1044</v>
      </c>
      <c r="C550" s="19" t="s">
        <v>1864</v>
      </c>
      <c r="D550" s="19" t="s">
        <v>1864</v>
      </c>
      <c r="E550" s="19" t="s">
        <v>1869</v>
      </c>
      <c r="F550" s="19" t="e">
        <f>MATCH(E550,#REF!,0)</f>
        <v>#REF!</v>
      </c>
      <c r="G550" s="19" t="s">
        <v>1870</v>
      </c>
      <c r="H550" s="19" t="s">
        <v>17</v>
      </c>
      <c r="I550" s="19"/>
      <c r="J550" s="19" t="s">
        <v>1868</v>
      </c>
      <c r="K550" s="19" t="s">
        <v>62</v>
      </c>
      <c r="L550" s="3" t="str">
        <f>HYPERLINK(VLOOKUP(C550,BAPs!$A$2:$C$1048576,3,FALSE),VLOOKUP(C550,BAPs!$A$2:$C$1048576,2,FALSE))</f>
        <v>10 out of 10</v>
      </c>
    </row>
    <row r="551" spans="1:12" hidden="1">
      <c r="A551" s="19" t="s">
        <v>1808</v>
      </c>
      <c r="B551" s="19" t="s">
        <v>1044</v>
      </c>
      <c r="C551" s="19" t="s">
        <v>1871</v>
      </c>
      <c r="D551" s="19" t="s">
        <v>1871</v>
      </c>
      <c r="E551" s="19" t="s">
        <v>1872</v>
      </c>
      <c r="F551" s="19" t="e">
        <f>MATCH(E551,#REF!,0)</f>
        <v>#REF!</v>
      </c>
      <c r="G551" s="19" t="s">
        <v>1873</v>
      </c>
      <c r="H551" s="19" t="s">
        <v>17</v>
      </c>
      <c r="I551" s="19"/>
      <c r="J551" s="19" t="s">
        <v>1874</v>
      </c>
      <c r="K551" s="19" t="s">
        <v>62</v>
      </c>
      <c r="L551" s="3" t="str">
        <f>HYPERLINK(VLOOKUP(C551,BAPs!$A$2:$C$1048576,3,FALSE),VLOOKUP(C551,BAPs!$A$2:$C$1048576,2,FALSE))</f>
        <v>10 out of 10</v>
      </c>
    </row>
    <row r="552" spans="1:12" hidden="1">
      <c r="A552" s="19" t="s">
        <v>1808</v>
      </c>
      <c r="B552" s="19" t="s">
        <v>1044</v>
      </c>
      <c r="C552" s="19" t="s">
        <v>1875</v>
      </c>
      <c r="D552" s="19" t="s">
        <v>1876</v>
      </c>
      <c r="E552" s="19" t="s">
        <v>1877</v>
      </c>
      <c r="F552" s="19" t="e">
        <f>MATCH(E552,#REF!,0)</f>
        <v>#REF!</v>
      </c>
      <c r="G552" s="19" t="s">
        <v>1878</v>
      </c>
      <c r="H552" s="19" t="s">
        <v>17</v>
      </c>
      <c r="I552" s="19"/>
      <c r="J552" s="19" t="s">
        <v>1879</v>
      </c>
      <c r="K552" s="19" t="s">
        <v>62</v>
      </c>
      <c r="L552" s="3" t="str">
        <f>HYPERLINK(VLOOKUP(C552,BAPs!$A$2:$C$1048576,3,FALSE),VLOOKUP(C552,BAPs!$A$2:$C$1048576,2,FALSE))</f>
        <v>9 out of 10</v>
      </c>
    </row>
    <row r="553" spans="1:12" hidden="1">
      <c r="A553" s="19" t="s">
        <v>1808</v>
      </c>
      <c r="B553" s="19" t="s">
        <v>1044</v>
      </c>
      <c r="C553" s="19" t="s">
        <v>1875</v>
      </c>
      <c r="D553" s="19" t="s">
        <v>1880</v>
      </c>
      <c r="E553" s="19" t="s">
        <v>1881</v>
      </c>
      <c r="F553" s="19" t="e">
        <f>MATCH(E553,#REF!,0)</f>
        <v>#REF!</v>
      </c>
      <c r="G553" s="19" t="s">
        <v>1882</v>
      </c>
      <c r="H553" s="19" t="s">
        <v>17</v>
      </c>
      <c r="I553" s="19"/>
      <c r="J553" s="19" t="s">
        <v>1879</v>
      </c>
      <c r="K553" s="19" t="s">
        <v>62</v>
      </c>
      <c r="L553" s="3" t="str">
        <f>HYPERLINK(VLOOKUP(C553,BAPs!$A$2:$C$1048576,3,FALSE),VLOOKUP(C553,BAPs!$A$2:$C$1048576,2,FALSE))</f>
        <v>9 out of 10</v>
      </c>
    </row>
    <row r="554" spans="1:12" hidden="1">
      <c r="A554" s="19" t="s">
        <v>1808</v>
      </c>
      <c r="B554" s="19" t="s">
        <v>1044</v>
      </c>
      <c r="C554" s="19" t="s">
        <v>1883</v>
      </c>
      <c r="D554" s="19" t="s">
        <v>1884</v>
      </c>
      <c r="E554" s="19" t="s">
        <v>1885</v>
      </c>
      <c r="F554" s="19" t="e">
        <f>MATCH(E554,#REF!,0)</f>
        <v>#REF!</v>
      </c>
      <c r="G554" s="19" t="s">
        <v>1886</v>
      </c>
      <c r="H554" s="19" t="s">
        <v>24</v>
      </c>
      <c r="I554" s="19"/>
      <c r="J554" s="19" t="s">
        <v>1887</v>
      </c>
      <c r="K554" s="19" t="s">
        <v>62</v>
      </c>
      <c r="L554" s="3" t="str">
        <f>HYPERLINK(VLOOKUP(C554,BAPs!$A$2:$C$1048576,3,FALSE),VLOOKUP(C554,BAPs!$A$2:$C$1048576,2,FALSE))</f>
        <v>10 out of 10</v>
      </c>
    </row>
    <row r="555" spans="1:12" hidden="1">
      <c r="A555" s="19" t="s">
        <v>1808</v>
      </c>
      <c r="B555" s="19" t="s">
        <v>1044</v>
      </c>
      <c r="C555" s="19" t="s">
        <v>1883</v>
      </c>
      <c r="D555" s="19" t="s">
        <v>1865</v>
      </c>
      <c r="E555" s="19" t="s">
        <v>1866</v>
      </c>
      <c r="F555" s="19" t="e">
        <f>MATCH(E555,#REF!,0)</f>
        <v>#REF!</v>
      </c>
      <c r="G555" s="19" t="s">
        <v>1867</v>
      </c>
      <c r="H555" s="19" t="s">
        <v>24</v>
      </c>
      <c r="I555" s="19"/>
      <c r="J555" s="19" t="s">
        <v>1887</v>
      </c>
      <c r="K555" s="19" t="s">
        <v>62</v>
      </c>
      <c r="L555" s="3" t="str">
        <f>HYPERLINK(VLOOKUP(C555,BAPs!$A$2:$C$1048576,3,FALSE),VLOOKUP(C555,BAPs!$A$2:$C$1048576,2,FALSE))</f>
        <v>10 out of 10</v>
      </c>
    </row>
    <row r="556" spans="1:12" hidden="1">
      <c r="A556" s="19" t="s">
        <v>1808</v>
      </c>
      <c r="B556" s="19" t="s">
        <v>1044</v>
      </c>
      <c r="C556" s="19" t="s">
        <v>1888</v>
      </c>
      <c r="D556" s="19" t="s">
        <v>1889</v>
      </c>
      <c r="E556" s="19" t="s">
        <v>1890</v>
      </c>
      <c r="F556" s="19" t="e">
        <f>MATCH(E556,#REF!,0)</f>
        <v>#REF!</v>
      </c>
      <c r="G556" s="19" t="s">
        <v>1891</v>
      </c>
      <c r="H556" s="19" t="s">
        <v>43</v>
      </c>
      <c r="I556" s="19"/>
      <c r="J556" s="19" t="s">
        <v>1892</v>
      </c>
      <c r="K556" s="19" t="s">
        <v>20</v>
      </c>
      <c r="L556" s="3" t="str">
        <f>HYPERLINK(VLOOKUP(C556,BAPs!$A$2:$C$1048576,3,FALSE),VLOOKUP(C556,BAPs!$A$2:$C$1048576,2,FALSE))</f>
        <v>8 out of 10</v>
      </c>
    </row>
    <row r="557" spans="1:12" hidden="1">
      <c r="A557" s="19" t="s">
        <v>1808</v>
      </c>
      <c r="B557" s="19" t="s">
        <v>1044</v>
      </c>
      <c r="C557" s="19" t="s">
        <v>1888</v>
      </c>
      <c r="D557" s="19" t="s">
        <v>1888</v>
      </c>
      <c r="E557" s="19" t="s">
        <v>1893</v>
      </c>
      <c r="F557" s="19" t="e">
        <f>MATCH(E557,#REF!,0)</f>
        <v>#REF!</v>
      </c>
      <c r="G557" s="19" t="s">
        <v>1894</v>
      </c>
      <c r="H557" s="19" t="s">
        <v>56</v>
      </c>
      <c r="I557" s="19"/>
      <c r="J557" s="19" t="s">
        <v>1892</v>
      </c>
      <c r="K557" s="19" t="s">
        <v>20</v>
      </c>
      <c r="L557" s="3" t="str">
        <f>HYPERLINK(VLOOKUP(C557,BAPs!$A$2:$C$1048576,3,FALSE),VLOOKUP(C557,BAPs!$A$2:$C$1048576,2,FALSE))</f>
        <v>8 out of 10</v>
      </c>
    </row>
    <row r="558" spans="1:12" hidden="1">
      <c r="A558" s="19" t="s">
        <v>1808</v>
      </c>
      <c r="B558" s="19" t="s">
        <v>1044</v>
      </c>
      <c r="C558" s="19" t="s">
        <v>1895</v>
      </c>
      <c r="D558" s="19" t="s">
        <v>1107</v>
      </c>
      <c r="E558" s="19" t="s">
        <v>1108</v>
      </c>
      <c r="F558" s="19" t="e">
        <f>MATCH(E558,#REF!,0)</f>
        <v>#REF!</v>
      </c>
      <c r="G558" s="19" t="s">
        <v>1109</v>
      </c>
      <c r="H558" s="19" t="s">
        <v>56</v>
      </c>
      <c r="I558" s="19"/>
      <c r="J558" s="19" t="s">
        <v>1896</v>
      </c>
      <c r="K558" s="19" t="s">
        <v>62</v>
      </c>
      <c r="L558" s="3" t="str">
        <f>HYPERLINK(VLOOKUP(C558,BAPs!$A$2:$C$1048576,3,FALSE),VLOOKUP(C558,BAPs!$A$2:$C$1048576,2,FALSE))</f>
        <v>9 out of 10</v>
      </c>
    </row>
    <row r="559" spans="1:12" hidden="1">
      <c r="A559" s="19" t="s">
        <v>1808</v>
      </c>
      <c r="B559" s="19" t="s">
        <v>1044</v>
      </c>
      <c r="C559" s="19" t="s">
        <v>1895</v>
      </c>
      <c r="D559" s="19" t="s">
        <v>1895</v>
      </c>
      <c r="E559" s="19" t="s">
        <v>1897</v>
      </c>
      <c r="F559" s="19" t="e">
        <f>MATCH(E559,#REF!,0)</f>
        <v>#REF!</v>
      </c>
      <c r="G559" s="19" t="s">
        <v>1898</v>
      </c>
      <c r="H559" s="19" t="s">
        <v>56</v>
      </c>
      <c r="I559" s="19"/>
      <c r="J559" s="19" t="s">
        <v>1896</v>
      </c>
      <c r="K559" s="19" t="s">
        <v>62</v>
      </c>
      <c r="L559" s="3" t="str">
        <f>HYPERLINK(VLOOKUP(C559,BAPs!$A$2:$C$1048576,3,FALSE),VLOOKUP(C559,BAPs!$A$2:$C$1048576,2,FALSE))</f>
        <v>9 out of 10</v>
      </c>
    </row>
    <row r="560" spans="1:12" hidden="1">
      <c r="A560" s="19" t="s">
        <v>1808</v>
      </c>
      <c r="B560" s="19" t="s">
        <v>1044</v>
      </c>
      <c r="C560" s="19" t="s">
        <v>1899</v>
      </c>
      <c r="D560" s="19" t="s">
        <v>1899</v>
      </c>
      <c r="E560" s="19" t="s">
        <v>1900</v>
      </c>
      <c r="F560" s="19" t="e">
        <f>MATCH(E560,#REF!,0)</f>
        <v>#REF!</v>
      </c>
      <c r="G560" s="19" t="s">
        <v>1901</v>
      </c>
      <c r="H560" s="19" t="s">
        <v>56</v>
      </c>
      <c r="I560" s="19"/>
      <c r="J560" s="19" t="s">
        <v>1902</v>
      </c>
      <c r="K560" s="19" t="s">
        <v>20</v>
      </c>
      <c r="L560" s="3" t="str">
        <f>HYPERLINK(VLOOKUP(C560,BAPs!$A$2:$C$1048576,3,FALSE),VLOOKUP(C560,BAPs!$A$2:$C$1048576,2,FALSE))</f>
        <v>7 out of 10</v>
      </c>
    </row>
    <row r="561" spans="1:12" hidden="1">
      <c r="A561" s="19" t="s">
        <v>1808</v>
      </c>
      <c r="B561" s="19" t="s">
        <v>1044</v>
      </c>
      <c r="C561" s="19" t="s">
        <v>1903</v>
      </c>
      <c r="D561" s="19" t="s">
        <v>1904</v>
      </c>
      <c r="E561" s="19" t="s">
        <v>1905</v>
      </c>
      <c r="F561" s="19" t="e">
        <f>MATCH(E561,#REF!,0)</f>
        <v>#REF!</v>
      </c>
      <c r="G561" s="19" t="s">
        <v>1906</v>
      </c>
      <c r="H561" s="19" t="s">
        <v>52</v>
      </c>
      <c r="I561" s="19"/>
      <c r="J561" s="19" t="s">
        <v>1907</v>
      </c>
      <c r="K561" s="19" t="s">
        <v>62</v>
      </c>
      <c r="L561" s="3" t="str">
        <f>HYPERLINK(VLOOKUP(C561,BAPs!$A$2:$C$1048576,3,FALSE),VLOOKUP(C561,BAPs!$A$2:$C$1048576,2,FALSE))</f>
        <v>10 out of 10</v>
      </c>
    </row>
    <row r="562" spans="1:12" hidden="1">
      <c r="A562" s="19" t="s">
        <v>1808</v>
      </c>
      <c r="B562" s="19" t="s">
        <v>1044</v>
      </c>
      <c r="C562" s="19" t="s">
        <v>1903</v>
      </c>
      <c r="D562" s="19" t="s">
        <v>1908</v>
      </c>
      <c r="E562" s="19" t="s">
        <v>1909</v>
      </c>
      <c r="F562" s="19" t="e">
        <f>MATCH(E562,#REF!,0)</f>
        <v>#REF!</v>
      </c>
      <c r="G562" s="19" t="s">
        <v>1910</v>
      </c>
      <c r="H562" s="19" t="s">
        <v>17</v>
      </c>
      <c r="I562" s="19"/>
      <c r="J562" s="19" t="s">
        <v>1907</v>
      </c>
      <c r="K562" s="19" t="s">
        <v>62</v>
      </c>
      <c r="L562" s="3" t="str">
        <f>HYPERLINK(VLOOKUP(C562,BAPs!$A$2:$C$1048576,3,FALSE),VLOOKUP(C562,BAPs!$A$2:$C$1048576,2,FALSE))</f>
        <v>10 out of 10</v>
      </c>
    </row>
    <row r="563" spans="1:12" hidden="1">
      <c r="A563" s="19" t="s">
        <v>1808</v>
      </c>
      <c r="B563" s="19" t="s">
        <v>1044</v>
      </c>
      <c r="C563" s="19" t="s">
        <v>1911</v>
      </c>
      <c r="D563" s="19" t="s">
        <v>1912</v>
      </c>
      <c r="E563" s="19" t="s">
        <v>1913</v>
      </c>
      <c r="F563" s="19" t="e">
        <f>MATCH(E563,#REF!,0)</f>
        <v>#REF!</v>
      </c>
      <c r="G563" s="19" t="s">
        <v>1914</v>
      </c>
      <c r="H563" s="19" t="s">
        <v>24</v>
      </c>
      <c r="I563" s="19"/>
      <c r="J563" s="19" t="s">
        <v>1915</v>
      </c>
      <c r="K563" s="19" t="s">
        <v>62</v>
      </c>
      <c r="L563" s="3" t="str">
        <f>HYPERLINK(VLOOKUP(C563,BAPs!$A$2:$C$1048576,3,FALSE),VLOOKUP(C563,BAPs!$A$2:$C$1048576,2,FALSE))</f>
        <v>10 out of 10</v>
      </c>
    </row>
    <row r="564" spans="1:12" hidden="1">
      <c r="A564" s="19" t="s">
        <v>1808</v>
      </c>
      <c r="B564" s="19" t="s">
        <v>1044</v>
      </c>
      <c r="C564" s="19" t="s">
        <v>1911</v>
      </c>
      <c r="D564" s="19" t="s">
        <v>1889</v>
      </c>
      <c r="E564" s="19" t="s">
        <v>1890</v>
      </c>
      <c r="F564" s="19" t="e">
        <f>MATCH(E564,#REF!,0)</f>
        <v>#REF!</v>
      </c>
      <c r="G564" s="19" t="s">
        <v>1891</v>
      </c>
      <c r="H564" s="19" t="s">
        <v>43</v>
      </c>
      <c r="I564" s="19"/>
      <c r="J564" s="19" t="s">
        <v>1915</v>
      </c>
      <c r="K564" s="19" t="s">
        <v>62</v>
      </c>
      <c r="L564" s="3" t="str">
        <f>HYPERLINK(VLOOKUP(C564,BAPs!$A$2:$C$1048576,3,FALSE),VLOOKUP(C564,BAPs!$A$2:$C$1048576,2,FALSE))</f>
        <v>10 out of 10</v>
      </c>
    </row>
    <row r="565" spans="1:12" hidden="1">
      <c r="A565" s="19" t="s">
        <v>1808</v>
      </c>
      <c r="B565" s="19" t="s">
        <v>1044</v>
      </c>
      <c r="C565" s="19" t="s">
        <v>1916</v>
      </c>
      <c r="D565" s="19" t="s">
        <v>1916</v>
      </c>
      <c r="E565" s="19" t="s">
        <v>1917</v>
      </c>
      <c r="F565" s="19" t="e">
        <f>MATCH(E565,#REF!,0)</f>
        <v>#REF!</v>
      </c>
      <c r="G565" s="19" t="s">
        <v>1918</v>
      </c>
      <c r="H565" s="19" t="s">
        <v>17</v>
      </c>
      <c r="I565" s="19"/>
      <c r="J565" s="19" t="s">
        <v>1919</v>
      </c>
      <c r="K565" s="19" t="s">
        <v>62</v>
      </c>
      <c r="L565" s="3" t="str">
        <f>HYPERLINK(VLOOKUP(C565,BAPs!$A$2:$C$1048576,3,FALSE),VLOOKUP(C565,BAPs!$A$2:$C$1048576,2,FALSE))</f>
        <v>10 out of 10</v>
      </c>
    </row>
    <row r="566" spans="1:12" hidden="1">
      <c r="A566" s="19" t="s">
        <v>1920</v>
      </c>
      <c r="B566" s="19" t="s">
        <v>1044</v>
      </c>
      <c r="C566" s="19" t="s">
        <v>1921</v>
      </c>
      <c r="D566" s="19" t="s">
        <v>1921</v>
      </c>
      <c r="E566" s="19" t="s">
        <v>1922</v>
      </c>
      <c r="F566" s="19" t="e">
        <f>MATCH(E566,#REF!,0)</f>
        <v>#REF!</v>
      </c>
      <c r="G566" s="19" t="s">
        <v>1923</v>
      </c>
      <c r="H566" s="19" t="s">
        <v>17</v>
      </c>
      <c r="I566" s="19" t="s">
        <v>18</v>
      </c>
      <c r="J566" s="19" t="s">
        <v>1924</v>
      </c>
      <c r="K566" s="19" t="s">
        <v>62</v>
      </c>
      <c r="L566" s="3" t="str">
        <f>HYPERLINK(VLOOKUP(C566,BAPs!$A$2:$C$1048576,3,FALSE),VLOOKUP(C566,BAPs!$A$2:$C$1048576,2,FALSE))</f>
        <v>9 out of 10</v>
      </c>
    </row>
    <row r="567" spans="1:12" hidden="1">
      <c r="A567" s="19" t="s">
        <v>1920</v>
      </c>
      <c r="B567" s="19" t="s">
        <v>1044</v>
      </c>
      <c r="C567" s="19" t="s">
        <v>1925</v>
      </c>
      <c r="D567" s="19" t="s">
        <v>1925</v>
      </c>
      <c r="E567" s="19" t="s">
        <v>1926</v>
      </c>
      <c r="F567" s="19" t="e">
        <f>MATCH(E567,#REF!,0)</f>
        <v>#REF!</v>
      </c>
      <c r="G567" s="19" t="s">
        <v>1927</v>
      </c>
      <c r="H567" s="19" t="s">
        <v>52</v>
      </c>
      <c r="I567" s="19"/>
      <c r="J567" s="19" t="s">
        <v>1928</v>
      </c>
      <c r="K567" s="19" t="s">
        <v>62</v>
      </c>
      <c r="L567" s="3" t="str">
        <f>HYPERLINK(VLOOKUP(C567,BAPs!$A$2:$C$1048576,3,FALSE),VLOOKUP(C567,BAPs!$A$2:$C$1048576,2,FALSE))</f>
        <v>10 out of 10</v>
      </c>
    </row>
    <row r="568" spans="1:12" hidden="1">
      <c r="A568" s="19" t="s">
        <v>1920</v>
      </c>
      <c r="B568" s="19" t="s">
        <v>1044</v>
      </c>
      <c r="C568" s="19" t="s">
        <v>1925</v>
      </c>
      <c r="D568" s="19" t="s">
        <v>1929</v>
      </c>
      <c r="E568" s="19" t="s">
        <v>1930</v>
      </c>
      <c r="F568" s="19" t="e">
        <f>MATCH(E568,#REF!,0)</f>
        <v>#REF!</v>
      </c>
      <c r="G568" s="19" t="s">
        <v>1931</v>
      </c>
      <c r="H568" s="19" t="s">
        <v>17</v>
      </c>
      <c r="I568" s="19"/>
      <c r="J568" s="19" t="s">
        <v>1928</v>
      </c>
      <c r="K568" s="19" t="s">
        <v>62</v>
      </c>
      <c r="L568" s="3" t="str">
        <f>HYPERLINK(VLOOKUP(C568,BAPs!$A$2:$C$1048576,3,FALSE),VLOOKUP(C568,BAPs!$A$2:$C$1048576,2,FALSE))</f>
        <v>10 out of 10</v>
      </c>
    </row>
    <row r="569" spans="1:12" hidden="1">
      <c r="A569" s="19" t="s">
        <v>1920</v>
      </c>
      <c r="B569" s="19" t="s">
        <v>1044</v>
      </c>
      <c r="C569" s="19" t="s">
        <v>1932</v>
      </c>
      <c r="D569" s="19" t="s">
        <v>1932</v>
      </c>
      <c r="E569" s="19" t="s">
        <v>1933</v>
      </c>
      <c r="F569" s="19" t="e">
        <f>MATCH(E569,#REF!,0)</f>
        <v>#REF!</v>
      </c>
      <c r="G569" s="19" t="s">
        <v>1934</v>
      </c>
      <c r="H569" s="19" t="s">
        <v>17</v>
      </c>
      <c r="I569" s="19" t="s">
        <v>18</v>
      </c>
      <c r="J569" s="19" t="s">
        <v>1935</v>
      </c>
      <c r="K569" s="19" t="s">
        <v>62</v>
      </c>
      <c r="L569" s="3" t="str">
        <f>HYPERLINK(VLOOKUP(C569,BAPs!$A$2:$C$1048576,3,FALSE),VLOOKUP(C569,BAPs!$A$2:$C$1048576,2,FALSE))</f>
        <v>9 out of 10</v>
      </c>
    </row>
    <row r="570" spans="1:12" hidden="1">
      <c r="A570" s="19" t="s">
        <v>1920</v>
      </c>
      <c r="B570" s="19" t="s">
        <v>1044</v>
      </c>
      <c r="C570" s="19" t="s">
        <v>1936</v>
      </c>
      <c r="D570" s="19" t="s">
        <v>1936</v>
      </c>
      <c r="E570" s="19" t="s">
        <v>1937</v>
      </c>
      <c r="F570" s="19" t="e">
        <f>MATCH(E570,#REF!,0)</f>
        <v>#REF!</v>
      </c>
      <c r="G570" s="19" t="s">
        <v>1938</v>
      </c>
      <c r="H570" s="19" t="s">
        <v>17</v>
      </c>
      <c r="I570" s="19" t="s">
        <v>18</v>
      </c>
      <c r="J570" s="19" t="s">
        <v>1939</v>
      </c>
      <c r="K570" s="19" t="s">
        <v>62</v>
      </c>
      <c r="L570" s="3" t="str">
        <f>HYPERLINK(VLOOKUP(C570,BAPs!$A$2:$C$1048576,3,FALSE),VLOOKUP(C570,BAPs!$A$2:$C$1048576,2,FALSE))</f>
        <v>10 out of 10</v>
      </c>
    </row>
    <row r="571" spans="1:12" hidden="1">
      <c r="A571" s="19" t="s">
        <v>1920</v>
      </c>
      <c r="B571" s="19" t="s">
        <v>1044</v>
      </c>
      <c r="C571" s="19" t="s">
        <v>1940</v>
      </c>
      <c r="D571" s="19" t="s">
        <v>1940</v>
      </c>
      <c r="E571" s="19" t="s">
        <v>1941</v>
      </c>
      <c r="F571" s="19" t="e">
        <f>MATCH(E571,#REF!,0)</f>
        <v>#REF!</v>
      </c>
      <c r="G571" s="19" t="s">
        <v>1942</v>
      </c>
      <c r="H571" s="19" t="s">
        <v>17</v>
      </c>
      <c r="I571" s="19" t="s">
        <v>18</v>
      </c>
      <c r="J571" s="19" t="s">
        <v>1943</v>
      </c>
      <c r="K571" s="19" t="s">
        <v>20</v>
      </c>
      <c r="L571" s="3" t="str">
        <f>HYPERLINK(VLOOKUP(C571,BAPs!$A$2:$C$1048576,3,FALSE),VLOOKUP(C571,BAPs!$A$2:$C$1048576,2,FALSE))</f>
        <v>2 out of 10</v>
      </c>
    </row>
    <row r="572" spans="1:12" hidden="1">
      <c r="A572" s="19" t="s">
        <v>1920</v>
      </c>
      <c r="B572" s="19" t="s">
        <v>1044</v>
      </c>
      <c r="C572" s="19" t="s">
        <v>1944</v>
      </c>
      <c r="D572" s="19" t="s">
        <v>1944</v>
      </c>
      <c r="E572" s="19" t="s">
        <v>1945</v>
      </c>
      <c r="F572" s="19" t="e">
        <f>MATCH(E572,#REF!,0)</f>
        <v>#REF!</v>
      </c>
      <c r="G572" s="19" t="s">
        <v>1946</v>
      </c>
      <c r="H572" s="19" t="s">
        <v>17</v>
      </c>
      <c r="I572" s="19" t="s">
        <v>18</v>
      </c>
      <c r="J572" s="19" t="s">
        <v>1947</v>
      </c>
      <c r="K572" s="19" t="s">
        <v>20</v>
      </c>
      <c r="L572" s="3" t="str">
        <f>HYPERLINK(VLOOKUP(C572,BAPs!$A$2:$C$1048576,3,FALSE),VLOOKUP(C572,BAPs!$A$2:$C$1048576,2,FALSE))</f>
        <v>8 out of 10</v>
      </c>
    </row>
    <row r="573" spans="1:12" hidden="1">
      <c r="A573" s="19" t="s">
        <v>1920</v>
      </c>
      <c r="B573" s="19" t="s">
        <v>1044</v>
      </c>
      <c r="C573" s="19" t="s">
        <v>1944</v>
      </c>
      <c r="D573" s="19" t="s">
        <v>1865</v>
      </c>
      <c r="E573" s="19" t="s">
        <v>1866</v>
      </c>
      <c r="F573" s="19" t="e">
        <f>MATCH(E573,#REF!,0)</f>
        <v>#REF!</v>
      </c>
      <c r="G573" s="19" t="s">
        <v>1867</v>
      </c>
      <c r="H573" s="19" t="s">
        <v>24</v>
      </c>
      <c r="I573" s="19"/>
      <c r="J573" s="19" t="s">
        <v>1947</v>
      </c>
      <c r="K573" s="19" t="s">
        <v>20</v>
      </c>
      <c r="L573" s="3" t="str">
        <f>HYPERLINK(VLOOKUP(C573,BAPs!$A$2:$C$1048576,3,FALSE),VLOOKUP(C573,BAPs!$A$2:$C$1048576,2,FALSE))</f>
        <v>8 out of 10</v>
      </c>
    </row>
    <row r="574" spans="1:12" hidden="1">
      <c r="A574" s="19" t="s">
        <v>1920</v>
      </c>
      <c r="B574" s="19" t="s">
        <v>1044</v>
      </c>
      <c r="C574" s="19" t="s">
        <v>1948</v>
      </c>
      <c r="D574" s="19" t="s">
        <v>1948</v>
      </c>
      <c r="E574" s="19" t="s">
        <v>1949</v>
      </c>
      <c r="F574" s="19" t="e">
        <f>MATCH(E574,#REF!,0)</f>
        <v>#REF!</v>
      </c>
      <c r="G574" s="19" t="s">
        <v>1950</v>
      </c>
      <c r="H574" s="19" t="s">
        <v>24</v>
      </c>
      <c r="I574" s="19" t="s">
        <v>18</v>
      </c>
      <c r="J574" s="19" t="s">
        <v>1951</v>
      </c>
      <c r="K574" s="19" t="s">
        <v>20</v>
      </c>
      <c r="L574" s="3" t="str">
        <f>HYPERLINK(VLOOKUP(C574,BAPs!$A$2:$C$1048576,3,FALSE),VLOOKUP(C574,BAPs!$A$2:$C$1048576,2,FALSE))</f>
        <v>8 out of 10</v>
      </c>
    </row>
    <row r="575" spans="1:12" hidden="1">
      <c r="A575" s="19" t="s">
        <v>1920</v>
      </c>
      <c r="B575" s="19" t="s">
        <v>1044</v>
      </c>
      <c r="C575" s="19" t="s">
        <v>1948</v>
      </c>
      <c r="D575" s="19" t="s">
        <v>1594</v>
      </c>
      <c r="E575" s="19" t="s">
        <v>1595</v>
      </c>
      <c r="F575" s="19" t="e">
        <f>MATCH(E575,#REF!,0)</f>
        <v>#REF!</v>
      </c>
      <c r="G575" s="19" t="s">
        <v>1596</v>
      </c>
      <c r="H575" s="19" t="s">
        <v>43</v>
      </c>
      <c r="I575" s="19"/>
      <c r="J575" s="19" t="s">
        <v>1951</v>
      </c>
      <c r="K575" s="19" t="s">
        <v>20</v>
      </c>
      <c r="L575" s="3" t="str">
        <f>HYPERLINK(VLOOKUP(C575,BAPs!$A$2:$C$1048576,3,FALSE),VLOOKUP(C575,BAPs!$A$2:$C$1048576,2,FALSE))</f>
        <v>8 out of 10</v>
      </c>
    </row>
    <row r="576" spans="1:12" hidden="1">
      <c r="A576" s="19" t="s">
        <v>1920</v>
      </c>
      <c r="B576" s="19" t="s">
        <v>1044</v>
      </c>
      <c r="C576" s="19" t="s">
        <v>1952</v>
      </c>
      <c r="D576" s="19" t="s">
        <v>1952</v>
      </c>
      <c r="E576" s="19" t="s">
        <v>1953</v>
      </c>
      <c r="F576" s="19" t="e">
        <f>MATCH(E576,#REF!,0)</f>
        <v>#REF!</v>
      </c>
      <c r="G576" s="19" t="s">
        <v>1954</v>
      </c>
      <c r="H576" s="19" t="s">
        <v>24</v>
      </c>
      <c r="I576" s="19" t="s">
        <v>18</v>
      </c>
      <c r="J576" s="19" t="s">
        <v>1955</v>
      </c>
      <c r="K576" s="19" t="s">
        <v>62</v>
      </c>
      <c r="L576" s="3" t="str">
        <f>HYPERLINK(VLOOKUP(C576,BAPs!$A$2:$C$1048576,3,FALSE),VLOOKUP(C576,BAPs!$A$2:$C$1048576,2,FALSE))</f>
        <v>9 out of 10</v>
      </c>
    </row>
    <row r="577" spans="1:12" hidden="1">
      <c r="A577" s="19" t="s">
        <v>1920</v>
      </c>
      <c r="B577" s="19" t="s">
        <v>1044</v>
      </c>
      <c r="C577" s="19" t="s">
        <v>1956</v>
      </c>
      <c r="D577" s="19" t="s">
        <v>1956</v>
      </c>
      <c r="E577" s="19" t="s">
        <v>1957</v>
      </c>
      <c r="F577" s="19" t="e">
        <f>MATCH(E577,#REF!,0)</f>
        <v>#REF!</v>
      </c>
      <c r="G577" s="19" t="s">
        <v>1958</v>
      </c>
      <c r="H577" s="19" t="s">
        <v>52</v>
      </c>
      <c r="I577" s="19"/>
      <c r="J577" s="19" t="s">
        <v>1959</v>
      </c>
      <c r="K577" s="19" t="s">
        <v>20</v>
      </c>
      <c r="L577" s="3" t="str">
        <f>HYPERLINK(VLOOKUP(C577,BAPs!$A$2:$C$1048576,3,FALSE),VLOOKUP(C577,BAPs!$A$2:$C$1048576,2,FALSE))</f>
        <v>3 out of 10</v>
      </c>
    </row>
    <row r="578" spans="1:12" hidden="1">
      <c r="A578" s="19" t="s">
        <v>1920</v>
      </c>
      <c r="B578" s="19" t="s">
        <v>1044</v>
      </c>
      <c r="C578" s="19" t="s">
        <v>1960</v>
      </c>
      <c r="D578" s="19" t="s">
        <v>1889</v>
      </c>
      <c r="E578" s="19" t="s">
        <v>1890</v>
      </c>
      <c r="F578" s="19" t="e">
        <f>MATCH(E578,#REF!,0)</f>
        <v>#REF!</v>
      </c>
      <c r="G578" s="19" t="s">
        <v>1891</v>
      </c>
      <c r="H578" s="19" t="s">
        <v>43</v>
      </c>
      <c r="I578" s="19"/>
      <c r="J578" s="19" t="s">
        <v>1961</v>
      </c>
      <c r="K578" s="19" t="s">
        <v>62</v>
      </c>
      <c r="L578" s="3" t="str">
        <f>HYPERLINK(VLOOKUP(C578,BAPs!$A$2:$C$1048576,3,FALSE),VLOOKUP(C578,BAPs!$A$2:$C$1048576,2,FALSE))</f>
        <v>10 out of 10</v>
      </c>
    </row>
    <row r="579" spans="1:12" hidden="1">
      <c r="A579" s="19" t="s">
        <v>1920</v>
      </c>
      <c r="B579" s="19" t="s">
        <v>1044</v>
      </c>
      <c r="C579" s="19" t="s">
        <v>1960</v>
      </c>
      <c r="D579" s="19" t="s">
        <v>1347</v>
      </c>
      <c r="E579" s="19" t="s">
        <v>1962</v>
      </c>
      <c r="F579" s="19" t="e">
        <f>MATCH(E579,#REF!,0)</f>
        <v>#REF!</v>
      </c>
      <c r="G579" s="19" t="s">
        <v>1963</v>
      </c>
      <c r="H579" s="19" t="s">
        <v>17</v>
      </c>
      <c r="I579" s="19"/>
      <c r="J579" s="19" t="s">
        <v>1961</v>
      </c>
      <c r="K579" s="19" t="s">
        <v>62</v>
      </c>
      <c r="L579" s="3" t="str">
        <f>HYPERLINK(VLOOKUP(C579,BAPs!$A$2:$C$1048576,3,FALSE),VLOOKUP(C579,BAPs!$A$2:$C$1048576,2,FALSE))</f>
        <v>10 out of 10</v>
      </c>
    </row>
    <row r="580" spans="1:12" hidden="1">
      <c r="A580" s="19" t="s">
        <v>1920</v>
      </c>
      <c r="B580" s="19" t="s">
        <v>1044</v>
      </c>
      <c r="C580" s="19" t="s">
        <v>1960</v>
      </c>
      <c r="D580" s="19" t="s">
        <v>1964</v>
      </c>
      <c r="E580" s="19" t="s">
        <v>1965</v>
      </c>
      <c r="F580" s="19" t="e">
        <f>MATCH(E580,#REF!,0)</f>
        <v>#REF!</v>
      </c>
      <c r="G580" s="19" t="s">
        <v>1966</v>
      </c>
      <c r="H580" s="19" t="s">
        <v>24</v>
      </c>
      <c r="I580" s="19"/>
      <c r="J580" s="19" t="s">
        <v>1961</v>
      </c>
      <c r="K580" s="19" t="s">
        <v>62</v>
      </c>
      <c r="L580" s="3" t="str">
        <f>HYPERLINK(VLOOKUP(C580,BAPs!$A$2:$C$1048576,3,FALSE),VLOOKUP(C580,BAPs!$A$2:$C$1048576,2,FALSE))</f>
        <v>10 out of 10</v>
      </c>
    </row>
    <row r="581" spans="1:12" hidden="1">
      <c r="A581" s="19" t="s">
        <v>1920</v>
      </c>
      <c r="B581" s="19" t="s">
        <v>1044</v>
      </c>
      <c r="C581" s="19" t="s">
        <v>1967</v>
      </c>
      <c r="D581" s="19" t="s">
        <v>1865</v>
      </c>
      <c r="E581" s="19" t="s">
        <v>1866</v>
      </c>
      <c r="F581" s="19" t="e">
        <f>MATCH(E581,#REF!,0)</f>
        <v>#REF!</v>
      </c>
      <c r="G581" s="19" t="s">
        <v>1867</v>
      </c>
      <c r="H581" s="19" t="s">
        <v>24</v>
      </c>
      <c r="I581" s="19"/>
      <c r="J581" s="19" t="s">
        <v>1968</v>
      </c>
      <c r="K581" s="19" t="s">
        <v>20</v>
      </c>
      <c r="L581" s="3" t="str">
        <f>HYPERLINK(VLOOKUP(C581,BAPs!$A$2:$C$1048576,3,FALSE),VLOOKUP(C581,BAPs!$A$2:$C$1048576,2,FALSE))</f>
        <v>3 out of 10</v>
      </c>
    </row>
    <row r="582" spans="1:12" hidden="1">
      <c r="A582" s="19" t="s">
        <v>1920</v>
      </c>
      <c r="B582" s="19" t="s">
        <v>1044</v>
      </c>
      <c r="C582" s="19" t="s">
        <v>1967</v>
      </c>
      <c r="D582" s="19" t="s">
        <v>1967</v>
      </c>
      <c r="E582" s="19" t="s">
        <v>1969</v>
      </c>
      <c r="F582" s="19" t="e">
        <f>MATCH(E582,#REF!,0)</f>
        <v>#REF!</v>
      </c>
      <c r="G582" s="19" t="s">
        <v>1970</v>
      </c>
      <c r="H582" s="19" t="s">
        <v>24</v>
      </c>
      <c r="I582" s="19" t="s">
        <v>18</v>
      </c>
      <c r="J582" s="19" t="s">
        <v>1968</v>
      </c>
      <c r="K582" s="19" t="s">
        <v>20</v>
      </c>
      <c r="L582" s="3" t="str">
        <f>HYPERLINK(VLOOKUP(C582,BAPs!$A$2:$C$1048576,3,FALSE),VLOOKUP(C582,BAPs!$A$2:$C$1048576,2,FALSE))</f>
        <v>3 out of 10</v>
      </c>
    </row>
    <row r="583" spans="1:12" hidden="1">
      <c r="A583" s="19" t="s">
        <v>1920</v>
      </c>
      <c r="B583" s="19" t="s">
        <v>1044</v>
      </c>
      <c r="C583" s="19" t="s">
        <v>1971</v>
      </c>
      <c r="D583" s="19" t="s">
        <v>1971</v>
      </c>
      <c r="E583" s="19" t="s">
        <v>1972</v>
      </c>
      <c r="F583" s="19" t="e">
        <f>MATCH(E583,#REF!,0)</f>
        <v>#REF!</v>
      </c>
      <c r="G583" s="19" t="s">
        <v>1973</v>
      </c>
      <c r="H583" s="19" t="s">
        <v>52</v>
      </c>
      <c r="I583" s="19"/>
      <c r="J583" s="19" t="s">
        <v>1974</v>
      </c>
      <c r="K583" s="19" t="s">
        <v>20</v>
      </c>
      <c r="L583" s="3" t="str">
        <f>HYPERLINK(VLOOKUP(C583,BAPs!$A$2:$C$1048576,3,FALSE),VLOOKUP(C583,BAPs!$A$2:$C$1048576,2,FALSE))</f>
        <v>1 out of 10</v>
      </c>
    </row>
    <row r="584" spans="1:12" hidden="1">
      <c r="A584" s="19" t="s">
        <v>1920</v>
      </c>
      <c r="B584" s="19" t="s">
        <v>1044</v>
      </c>
      <c r="C584" s="19" t="s">
        <v>1971</v>
      </c>
      <c r="D584" s="19" t="s">
        <v>1975</v>
      </c>
      <c r="E584" s="19" t="s">
        <v>1976</v>
      </c>
      <c r="F584" s="19" t="e">
        <f>MATCH(E584,#REF!,0)</f>
        <v>#REF!</v>
      </c>
      <c r="G584" s="19" t="s">
        <v>1977</v>
      </c>
      <c r="H584" s="19" t="s">
        <v>43</v>
      </c>
      <c r="I584" s="19"/>
      <c r="J584" s="19" t="s">
        <v>1974</v>
      </c>
      <c r="K584" s="19" t="s">
        <v>20</v>
      </c>
      <c r="L584" s="3" t="str">
        <f>HYPERLINK(VLOOKUP(C584,BAPs!$A$2:$C$1048576,3,FALSE),VLOOKUP(C584,BAPs!$A$2:$C$1048576,2,FALSE))</f>
        <v>1 out of 10</v>
      </c>
    </row>
    <row r="585" spans="1:12" hidden="1">
      <c r="A585" s="19" t="s">
        <v>1920</v>
      </c>
      <c r="B585" s="19" t="s">
        <v>1044</v>
      </c>
      <c r="C585" s="19" t="s">
        <v>1971</v>
      </c>
      <c r="D585" s="19" t="s">
        <v>1978</v>
      </c>
      <c r="E585" s="19" t="s">
        <v>1979</v>
      </c>
      <c r="F585" s="19" t="e">
        <f>MATCH(E585,#REF!,0)</f>
        <v>#REF!</v>
      </c>
      <c r="G585" s="19" t="s">
        <v>1980</v>
      </c>
      <c r="H585" s="19" t="s">
        <v>84</v>
      </c>
      <c r="I585" s="19"/>
      <c r="J585" s="19" t="s">
        <v>1974</v>
      </c>
      <c r="K585" s="19" t="s">
        <v>20</v>
      </c>
      <c r="L585" s="3" t="str">
        <f>HYPERLINK(VLOOKUP(C585,BAPs!$A$2:$C$1048576,3,FALSE),VLOOKUP(C585,BAPs!$A$2:$C$1048576,2,FALSE))</f>
        <v>1 out of 10</v>
      </c>
    </row>
    <row r="586" spans="1:12" hidden="1">
      <c r="A586" s="19" t="s">
        <v>1920</v>
      </c>
      <c r="B586" s="19" t="s">
        <v>1044</v>
      </c>
      <c r="C586" s="19" t="s">
        <v>1981</v>
      </c>
      <c r="D586" s="19" t="s">
        <v>1981</v>
      </c>
      <c r="E586" s="19" t="s">
        <v>1982</v>
      </c>
      <c r="F586" s="19" t="e">
        <f>MATCH(E586,#REF!,0)</f>
        <v>#REF!</v>
      </c>
      <c r="G586" s="19" t="s">
        <v>1983</v>
      </c>
      <c r="H586" s="19" t="s">
        <v>52</v>
      </c>
      <c r="I586" s="19"/>
      <c r="J586" s="19" t="s">
        <v>1984</v>
      </c>
      <c r="K586" s="19" t="s">
        <v>62</v>
      </c>
      <c r="L586" s="3" t="str">
        <f>HYPERLINK(VLOOKUP(C586,BAPs!$A$2:$C$1048576,3,FALSE),VLOOKUP(C586,BAPs!$A$2:$C$1048576,2,FALSE))</f>
        <v>9 out of 10</v>
      </c>
    </row>
    <row r="587" spans="1:12" hidden="1">
      <c r="A587" s="19" t="s">
        <v>1920</v>
      </c>
      <c r="B587" s="19" t="s">
        <v>1044</v>
      </c>
      <c r="C587" s="19" t="s">
        <v>1981</v>
      </c>
      <c r="D587" s="19" t="s">
        <v>1985</v>
      </c>
      <c r="E587" s="19" t="s">
        <v>1986</v>
      </c>
      <c r="F587" s="19" t="e">
        <f>MATCH(E587,#REF!,0)</f>
        <v>#REF!</v>
      </c>
      <c r="G587" s="19" t="s">
        <v>1987</v>
      </c>
      <c r="H587" s="19" t="s">
        <v>56</v>
      </c>
      <c r="I587" s="19"/>
      <c r="J587" s="19" t="s">
        <v>1984</v>
      </c>
      <c r="K587" s="19" t="s">
        <v>62</v>
      </c>
      <c r="L587" s="3" t="str">
        <f>HYPERLINK(VLOOKUP(C587,BAPs!$A$2:$C$1048576,3,FALSE),VLOOKUP(C587,BAPs!$A$2:$C$1048576,2,FALSE))</f>
        <v>9 out of 10</v>
      </c>
    </row>
    <row r="588" spans="1:12" hidden="1">
      <c r="A588" s="19" t="s">
        <v>1920</v>
      </c>
      <c r="B588" s="19" t="s">
        <v>1044</v>
      </c>
      <c r="C588" s="19" t="s">
        <v>1981</v>
      </c>
      <c r="D588" s="19" t="s">
        <v>1975</v>
      </c>
      <c r="E588" s="19" t="s">
        <v>1976</v>
      </c>
      <c r="F588" s="19" t="e">
        <f>MATCH(E588,#REF!,0)</f>
        <v>#REF!</v>
      </c>
      <c r="G588" s="19" t="s">
        <v>1977</v>
      </c>
      <c r="H588" s="19" t="s">
        <v>43</v>
      </c>
      <c r="I588" s="19"/>
      <c r="J588" s="19" t="s">
        <v>1984</v>
      </c>
      <c r="K588" s="19" t="s">
        <v>62</v>
      </c>
      <c r="L588" s="3" t="str">
        <f>HYPERLINK(VLOOKUP(C588,BAPs!$A$2:$C$1048576,3,FALSE),VLOOKUP(C588,BAPs!$A$2:$C$1048576,2,FALSE))</f>
        <v>9 out of 10</v>
      </c>
    </row>
    <row r="589" spans="1:12" hidden="1">
      <c r="A589" s="19" t="s">
        <v>1920</v>
      </c>
      <c r="B589" s="19" t="s">
        <v>1044</v>
      </c>
      <c r="C589" s="19" t="s">
        <v>1981</v>
      </c>
      <c r="D589" s="19" t="s">
        <v>1594</v>
      </c>
      <c r="E589" s="19" t="s">
        <v>1595</v>
      </c>
      <c r="F589" s="19" t="e">
        <f>MATCH(E589,#REF!,0)</f>
        <v>#REF!</v>
      </c>
      <c r="G589" s="19" t="s">
        <v>1596</v>
      </c>
      <c r="H589" s="19" t="s">
        <v>43</v>
      </c>
      <c r="I589" s="19"/>
      <c r="J589" s="19" t="s">
        <v>1984</v>
      </c>
      <c r="K589" s="19" t="s">
        <v>62</v>
      </c>
      <c r="L589" s="3" t="str">
        <f>HYPERLINK(VLOOKUP(C589,BAPs!$A$2:$C$1048576,3,FALSE),VLOOKUP(C589,BAPs!$A$2:$C$1048576,2,FALSE))</f>
        <v>9 out of 10</v>
      </c>
    </row>
    <row r="590" spans="1:12" hidden="1">
      <c r="A590" s="19" t="s">
        <v>1920</v>
      </c>
      <c r="B590" s="19" t="s">
        <v>1044</v>
      </c>
      <c r="C590" s="19" t="s">
        <v>1988</v>
      </c>
      <c r="D590" s="19" t="s">
        <v>1988</v>
      </c>
      <c r="E590" s="19" t="s">
        <v>1989</v>
      </c>
      <c r="F590" s="19" t="e">
        <f>MATCH(E590,#REF!,0)</f>
        <v>#REF!</v>
      </c>
      <c r="G590" s="19" t="s">
        <v>1990</v>
      </c>
      <c r="H590" s="19" t="s">
        <v>17</v>
      </c>
      <c r="I590" s="19" t="s">
        <v>18</v>
      </c>
      <c r="J590" s="19" t="s">
        <v>1991</v>
      </c>
      <c r="K590" s="19" t="s">
        <v>62</v>
      </c>
      <c r="L590" s="3" t="str">
        <f>HYPERLINK(VLOOKUP(C590,BAPs!$A$2:$C$1048576,3,FALSE),VLOOKUP(C590,BAPs!$A$2:$C$1048576,2,FALSE))</f>
        <v>9 out of 10</v>
      </c>
    </row>
    <row r="591" spans="1:12" hidden="1">
      <c r="A591" s="19" t="s">
        <v>1920</v>
      </c>
      <c r="B591" s="19" t="s">
        <v>1044</v>
      </c>
      <c r="C591" s="19" t="s">
        <v>1988</v>
      </c>
      <c r="D591" s="19" t="s">
        <v>1594</v>
      </c>
      <c r="E591" s="19" t="s">
        <v>1595</v>
      </c>
      <c r="F591" s="19" t="e">
        <f>MATCH(E591,#REF!,0)</f>
        <v>#REF!</v>
      </c>
      <c r="G591" s="19" t="s">
        <v>1596</v>
      </c>
      <c r="H591" s="19" t="s">
        <v>43</v>
      </c>
      <c r="I591" s="19"/>
      <c r="J591" s="19" t="s">
        <v>1991</v>
      </c>
      <c r="K591" s="19" t="s">
        <v>62</v>
      </c>
      <c r="L591" s="3" t="str">
        <f>HYPERLINK(VLOOKUP(C591,BAPs!$A$2:$C$1048576,3,FALSE),VLOOKUP(C591,BAPs!$A$2:$C$1048576,2,FALSE))</f>
        <v>9 out of 10</v>
      </c>
    </row>
    <row r="592" spans="1:12" hidden="1">
      <c r="A592" s="19" t="s">
        <v>1920</v>
      </c>
      <c r="B592" s="19" t="s">
        <v>1044</v>
      </c>
      <c r="C592" s="19" t="s">
        <v>1889</v>
      </c>
      <c r="D592" s="19" t="s">
        <v>1889</v>
      </c>
      <c r="E592" s="19" t="s">
        <v>1890</v>
      </c>
      <c r="F592" s="19" t="e">
        <f>MATCH(E592,#REF!,0)</f>
        <v>#REF!</v>
      </c>
      <c r="G592" s="19" t="s">
        <v>1891</v>
      </c>
      <c r="H592" s="19" t="s">
        <v>43</v>
      </c>
      <c r="I592" s="19"/>
      <c r="J592" s="19" t="s">
        <v>1992</v>
      </c>
      <c r="K592" s="19" t="s">
        <v>20</v>
      </c>
      <c r="L592" s="3" t="str">
        <f>HYPERLINK(VLOOKUP(C592,BAPs!$A$2:$C$1048576,3,FALSE),VLOOKUP(C592,BAPs!$A$2:$C$1048576,2,FALSE))</f>
        <v>8 out of 10</v>
      </c>
    </row>
    <row r="593" spans="1:12" hidden="1">
      <c r="A593" s="19" t="s">
        <v>1920</v>
      </c>
      <c r="B593" s="19" t="s">
        <v>1044</v>
      </c>
      <c r="C593" s="19" t="s">
        <v>1993</v>
      </c>
      <c r="D593" s="19" t="s">
        <v>1994</v>
      </c>
      <c r="E593" s="19" t="s">
        <v>1995</v>
      </c>
      <c r="F593" s="19" t="e">
        <f>MATCH(E593,#REF!,0)</f>
        <v>#REF!</v>
      </c>
      <c r="G593" s="19" t="s">
        <v>1996</v>
      </c>
      <c r="H593" s="19" t="s">
        <v>56</v>
      </c>
      <c r="I593" s="19"/>
      <c r="J593" s="19" t="s">
        <v>1997</v>
      </c>
      <c r="K593" s="19" t="s">
        <v>20</v>
      </c>
      <c r="L593" s="3" t="str">
        <f>HYPERLINK(VLOOKUP(C593,BAPs!$A$2:$C$1048576,3,FALSE),VLOOKUP(C593,BAPs!$A$2:$C$1048576,2,FALSE))</f>
        <v>6 out of 10</v>
      </c>
    </row>
    <row r="594" spans="1:12" hidden="1">
      <c r="A594" s="19" t="s">
        <v>1920</v>
      </c>
      <c r="B594" s="19" t="s">
        <v>1044</v>
      </c>
      <c r="C594" s="19" t="s">
        <v>1993</v>
      </c>
      <c r="D594" s="19" t="s">
        <v>1998</v>
      </c>
      <c r="E594" s="19" t="s">
        <v>1999</v>
      </c>
      <c r="F594" s="19" t="e">
        <f>MATCH(E594,#REF!,0)</f>
        <v>#REF!</v>
      </c>
      <c r="G594" s="19" t="s">
        <v>2000</v>
      </c>
      <c r="H594" s="19" t="s">
        <v>56</v>
      </c>
      <c r="I594" s="19"/>
      <c r="J594" s="19" t="s">
        <v>1997</v>
      </c>
      <c r="K594" s="19" t="s">
        <v>20</v>
      </c>
      <c r="L594" s="3" t="str">
        <f>HYPERLINK(VLOOKUP(C594,BAPs!$A$2:$C$1048576,3,FALSE),VLOOKUP(C594,BAPs!$A$2:$C$1048576,2,FALSE))</f>
        <v>6 out of 10</v>
      </c>
    </row>
    <row r="595" spans="1:12" hidden="1">
      <c r="A595" s="19" t="s">
        <v>1920</v>
      </c>
      <c r="B595" s="19" t="s">
        <v>1044</v>
      </c>
      <c r="C595" s="19" t="s">
        <v>1993</v>
      </c>
      <c r="D595" s="19" t="s">
        <v>2001</v>
      </c>
      <c r="E595" s="19" t="s">
        <v>2002</v>
      </c>
      <c r="F595" s="19" t="e">
        <f>MATCH(E595,#REF!,0)</f>
        <v>#REF!</v>
      </c>
      <c r="G595" s="19" t="s">
        <v>2003</v>
      </c>
      <c r="H595" s="19" t="s">
        <v>84</v>
      </c>
      <c r="I595" s="19"/>
      <c r="J595" s="19" t="s">
        <v>1997</v>
      </c>
      <c r="K595" s="19" t="s">
        <v>20</v>
      </c>
      <c r="L595" s="3" t="str">
        <f>HYPERLINK(VLOOKUP(C595,BAPs!$A$2:$C$1048576,3,FALSE),VLOOKUP(C595,BAPs!$A$2:$C$1048576,2,FALSE))</f>
        <v>6 out of 10</v>
      </c>
    </row>
    <row r="596" spans="1:12" hidden="1">
      <c r="A596" s="19" t="s">
        <v>1920</v>
      </c>
      <c r="B596" s="19" t="s">
        <v>1044</v>
      </c>
      <c r="C596" s="19" t="s">
        <v>1993</v>
      </c>
      <c r="D596" s="19" t="s">
        <v>2004</v>
      </c>
      <c r="E596" s="19" t="s">
        <v>2005</v>
      </c>
      <c r="F596" s="19" t="e">
        <f>MATCH(E596,#REF!,0)</f>
        <v>#REF!</v>
      </c>
      <c r="G596" s="19" t="s">
        <v>2006</v>
      </c>
      <c r="H596" s="19" t="s">
        <v>56</v>
      </c>
      <c r="I596" s="19"/>
      <c r="J596" s="19" t="s">
        <v>1997</v>
      </c>
      <c r="K596" s="19" t="s">
        <v>20</v>
      </c>
      <c r="L596" s="3" t="str">
        <f>HYPERLINK(VLOOKUP(C596,BAPs!$A$2:$C$1048576,3,FALSE),VLOOKUP(C596,BAPs!$A$2:$C$1048576,2,FALSE))</f>
        <v>6 out of 10</v>
      </c>
    </row>
    <row r="597" spans="1:12" hidden="1">
      <c r="A597" s="19" t="s">
        <v>1920</v>
      </c>
      <c r="B597" s="19" t="s">
        <v>1044</v>
      </c>
      <c r="C597" s="19" t="s">
        <v>1993</v>
      </c>
      <c r="D597" s="19" t="s">
        <v>2007</v>
      </c>
      <c r="E597" s="19" t="s">
        <v>2008</v>
      </c>
      <c r="F597" s="19" t="e">
        <f>MATCH(E597,#REF!,0)</f>
        <v>#REF!</v>
      </c>
      <c r="G597" s="19" t="s">
        <v>2009</v>
      </c>
      <c r="H597" s="19" t="s">
        <v>56</v>
      </c>
      <c r="I597" s="19"/>
      <c r="J597" s="19" t="s">
        <v>1997</v>
      </c>
      <c r="K597" s="19" t="s">
        <v>20</v>
      </c>
      <c r="L597" s="3" t="str">
        <f>HYPERLINK(VLOOKUP(C597,BAPs!$A$2:$C$1048576,3,FALSE),VLOOKUP(C597,BAPs!$A$2:$C$1048576,2,FALSE))</f>
        <v>6 out of 10</v>
      </c>
    </row>
    <row r="598" spans="1:12" hidden="1">
      <c r="A598" s="19" t="s">
        <v>1920</v>
      </c>
      <c r="B598" s="19" t="s">
        <v>1044</v>
      </c>
      <c r="C598" s="19" t="s">
        <v>2010</v>
      </c>
      <c r="D598" s="19" t="s">
        <v>1264</v>
      </c>
      <c r="E598" s="19" t="s">
        <v>1265</v>
      </c>
      <c r="F598" s="19" t="e">
        <f>MATCH(E598,#REF!,0)</f>
        <v>#REF!</v>
      </c>
      <c r="G598" s="19" t="s">
        <v>1266</v>
      </c>
      <c r="H598" s="19" t="s">
        <v>43</v>
      </c>
      <c r="I598" s="19"/>
      <c r="J598" s="19" t="s">
        <v>2011</v>
      </c>
      <c r="K598" s="19" t="s">
        <v>62</v>
      </c>
      <c r="L598" s="3" t="str">
        <f>HYPERLINK(VLOOKUP(C598,BAPs!$A$2:$C$1048576,3,FALSE),VLOOKUP(C598,BAPs!$A$2:$C$1048576,2,FALSE))</f>
        <v>9 out of 10</v>
      </c>
    </row>
    <row r="599" spans="1:12" hidden="1">
      <c r="A599" s="19" t="s">
        <v>1920</v>
      </c>
      <c r="B599" s="19" t="s">
        <v>1044</v>
      </c>
      <c r="C599" s="19" t="s">
        <v>2010</v>
      </c>
      <c r="D599" s="19" t="s">
        <v>2010</v>
      </c>
      <c r="E599" s="19" t="s">
        <v>2012</v>
      </c>
      <c r="F599" s="19" t="e">
        <f>MATCH(E599,#REF!,0)</f>
        <v>#REF!</v>
      </c>
      <c r="G599" s="19" t="s">
        <v>2013</v>
      </c>
      <c r="H599" s="19" t="s">
        <v>56</v>
      </c>
      <c r="I599" s="19"/>
      <c r="J599" s="19" t="s">
        <v>2011</v>
      </c>
      <c r="K599" s="19" t="s">
        <v>62</v>
      </c>
      <c r="L599" s="3" t="str">
        <f>HYPERLINK(VLOOKUP(C599,BAPs!$A$2:$C$1048576,3,FALSE),VLOOKUP(C599,BAPs!$A$2:$C$1048576,2,FALSE))</f>
        <v>9 out of 10</v>
      </c>
    </row>
    <row r="600" spans="1:12" hidden="1">
      <c r="A600" s="19" t="s">
        <v>1920</v>
      </c>
      <c r="B600" s="19" t="s">
        <v>1044</v>
      </c>
      <c r="C600" s="19" t="s">
        <v>2014</v>
      </c>
      <c r="D600" s="19" t="s">
        <v>2014</v>
      </c>
      <c r="E600" s="19" t="s">
        <v>2015</v>
      </c>
      <c r="F600" s="19" t="e">
        <f>MATCH(E600,#REF!,0)</f>
        <v>#REF!</v>
      </c>
      <c r="G600" s="19" t="s">
        <v>2016</v>
      </c>
      <c r="H600" s="19" t="s">
        <v>56</v>
      </c>
      <c r="I600" s="19"/>
      <c r="J600" s="19" t="s">
        <v>2017</v>
      </c>
      <c r="K600" s="19" t="s">
        <v>20</v>
      </c>
      <c r="L600" s="3" t="str">
        <f>HYPERLINK(VLOOKUP(C600,BAPs!$A$2:$C$1048576,3,FALSE),VLOOKUP(C600,BAPs!$A$2:$C$1048576,2,FALSE))</f>
        <v>7 out of 10</v>
      </c>
    </row>
    <row r="601" spans="1:12" hidden="1">
      <c r="A601" s="19" t="s">
        <v>1920</v>
      </c>
      <c r="B601" s="19" t="s">
        <v>1044</v>
      </c>
      <c r="C601" s="19" t="s">
        <v>2014</v>
      </c>
      <c r="D601" s="19" t="s">
        <v>1978</v>
      </c>
      <c r="E601" s="19" t="s">
        <v>1979</v>
      </c>
      <c r="F601" s="19" t="e">
        <f>MATCH(E601,#REF!,0)</f>
        <v>#REF!</v>
      </c>
      <c r="G601" s="19" t="s">
        <v>1980</v>
      </c>
      <c r="H601" s="19" t="s">
        <v>84</v>
      </c>
      <c r="I601" s="19"/>
      <c r="J601" s="19" t="s">
        <v>2017</v>
      </c>
      <c r="K601" s="19" t="s">
        <v>20</v>
      </c>
      <c r="L601" s="3" t="str">
        <f>HYPERLINK(VLOOKUP(C601,BAPs!$A$2:$C$1048576,3,FALSE),VLOOKUP(C601,BAPs!$A$2:$C$1048576,2,FALSE))</f>
        <v>7 out of 10</v>
      </c>
    </row>
    <row r="602" spans="1:12" hidden="1">
      <c r="A602" s="19" t="s">
        <v>1920</v>
      </c>
      <c r="B602" s="19" t="s">
        <v>1044</v>
      </c>
      <c r="C602" s="19" t="s">
        <v>2018</v>
      </c>
      <c r="D602" s="19" t="s">
        <v>1889</v>
      </c>
      <c r="E602" s="19" t="s">
        <v>1890</v>
      </c>
      <c r="F602" s="19" t="e">
        <f>MATCH(E602,#REF!,0)</f>
        <v>#REF!</v>
      </c>
      <c r="G602" s="19" t="s">
        <v>1891</v>
      </c>
      <c r="H602" s="19" t="s">
        <v>43</v>
      </c>
      <c r="I602" s="19"/>
      <c r="J602" s="19" t="s">
        <v>2019</v>
      </c>
      <c r="K602" s="19" t="s">
        <v>20</v>
      </c>
      <c r="L602" s="3" t="str">
        <f>HYPERLINK(VLOOKUP(C602,BAPs!$A$2:$C$1048576,3,FALSE),VLOOKUP(C602,BAPs!$A$2:$C$1048576,2,FALSE))</f>
        <v>1 out of 10</v>
      </c>
    </row>
    <row r="603" spans="1:12" hidden="1">
      <c r="A603" s="19" t="s">
        <v>1920</v>
      </c>
      <c r="B603" s="19" t="s">
        <v>1044</v>
      </c>
      <c r="C603" s="19" t="s">
        <v>2018</v>
      </c>
      <c r="D603" s="19" t="s">
        <v>2018</v>
      </c>
      <c r="E603" s="19" t="s">
        <v>2020</v>
      </c>
      <c r="F603" s="19" t="e">
        <f>MATCH(E603,#REF!,0)</f>
        <v>#REF!</v>
      </c>
      <c r="G603" s="19" t="s">
        <v>2021</v>
      </c>
      <c r="H603" s="19" t="s">
        <v>56</v>
      </c>
      <c r="I603" s="19"/>
      <c r="J603" s="19" t="s">
        <v>2019</v>
      </c>
      <c r="K603" s="19" t="s">
        <v>20</v>
      </c>
      <c r="L603" s="3" t="str">
        <f>HYPERLINK(VLOOKUP(C603,BAPs!$A$2:$C$1048576,3,FALSE),VLOOKUP(C603,BAPs!$A$2:$C$1048576,2,FALSE))</f>
        <v>1 out of 10</v>
      </c>
    </row>
    <row r="604" spans="1:12" hidden="1">
      <c r="A604" s="19" t="s">
        <v>1920</v>
      </c>
      <c r="B604" s="19" t="s">
        <v>1044</v>
      </c>
      <c r="C604" s="19" t="s">
        <v>1503</v>
      </c>
      <c r="D604" s="19" t="s">
        <v>2022</v>
      </c>
      <c r="E604" s="19" t="s">
        <v>2023</v>
      </c>
      <c r="F604" s="19" t="e">
        <f>MATCH(E604,#REF!,0)</f>
        <v>#REF!</v>
      </c>
      <c r="G604" s="19" t="s">
        <v>2024</v>
      </c>
      <c r="H604" s="19" t="s">
        <v>43</v>
      </c>
      <c r="I604" s="19"/>
      <c r="J604" s="19" t="s">
        <v>2025</v>
      </c>
      <c r="K604" s="19" t="s">
        <v>62</v>
      </c>
      <c r="L604" s="3" t="str">
        <f>HYPERLINK(VLOOKUP(C604,BAPs!$A$2:$C$1048576,3,FALSE),VLOOKUP(C604,BAPs!$A$2:$C$1048576,2,FALSE))</f>
        <v>10 out of 10</v>
      </c>
    </row>
    <row r="605" spans="1:12" hidden="1">
      <c r="A605" s="19" t="s">
        <v>2026</v>
      </c>
      <c r="B605" s="19" t="s">
        <v>1044</v>
      </c>
      <c r="C605" s="19" t="s">
        <v>2027</v>
      </c>
      <c r="D605" s="19" t="s">
        <v>2027</v>
      </c>
      <c r="E605" s="19" t="s">
        <v>2028</v>
      </c>
      <c r="F605" s="19" t="e">
        <f>MATCH(E605,#REF!,0)</f>
        <v>#REF!</v>
      </c>
      <c r="G605" s="19" t="s">
        <v>2029</v>
      </c>
      <c r="H605" s="19" t="s">
        <v>52</v>
      </c>
      <c r="I605" s="19"/>
      <c r="J605" s="19" t="s">
        <v>2030</v>
      </c>
      <c r="K605" s="19" t="s">
        <v>20</v>
      </c>
      <c r="L605" s="3" t="str">
        <f>HYPERLINK(VLOOKUP(C605,BAPs!$A$2:$C$1048576,3,FALSE),VLOOKUP(C605,BAPs!$A$2:$C$1048576,2,FALSE))</f>
        <v>4 out of 10</v>
      </c>
    </row>
    <row r="606" spans="1:12" hidden="1">
      <c r="A606" s="19" t="s">
        <v>2026</v>
      </c>
      <c r="B606" s="19" t="s">
        <v>1044</v>
      </c>
      <c r="C606" s="19" t="s">
        <v>2027</v>
      </c>
      <c r="D606" s="19" t="s">
        <v>1594</v>
      </c>
      <c r="E606" s="19" t="s">
        <v>1595</v>
      </c>
      <c r="F606" s="19" t="e">
        <f>MATCH(E606,#REF!,0)</f>
        <v>#REF!</v>
      </c>
      <c r="G606" s="19" t="s">
        <v>1596</v>
      </c>
      <c r="H606" s="19" t="s">
        <v>43</v>
      </c>
      <c r="I606" s="19"/>
      <c r="J606" s="19" t="s">
        <v>2030</v>
      </c>
      <c r="K606" s="19" t="s">
        <v>20</v>
      </c>
      <c r="L606" s="3" t="str">
        <f>HYPERLINK(VLOOKUP(C606,BAPs!$A$2:$C$1048576,3,FALSE),VLOOKUP(C606,BAPs!$A$2:$C$1048576,2,FALSE))</f>
        <v>4 out of 10</v>
      </c>
    </row>
    <row r="607" spans="1:12" hidden="1">
      <c r="A607" s="19" t="s">
        <v>2026</v>
      </c>
      <c r="B607" s="19" t="s">
        <v>1044</v>
      </c>
      <c r="C607" s="19" t="s">
        <v>2031</v>
      </c>
      <c r="D607" s="19" t="s">
        <v>2031</v>
      </c>
      <c r="E607" s="19" t="s">
        <v>2032</v>
      </c>
      <c r="F607" s="19" t="e">
        <f>MATCH(E607,#REF!,0)</f>
        <v>#REF!</v>
      </c>
      <c r="G607" s="19" t="s">
        <v>2033</v>
      </c>
      <c r="H607" s="19" t="s">
        <v>17</v>
      </c>
      <c r="I607" s="19" t="s">
        <v>18</v>
      </c>
      <c r="J607" s="19" t="s">
        <v>2034</v>
      </c>
      <c r="K607" s="19" t="s">
        <v>20</v>
      </c>
      <c r="L607" s="3" t="str">
        <f>HYPERLINK(VLOOKUP(C607,BAPs!$A$2:$C$1048576,3,FALSE),VLOOKUP(C607,BAPs!$A$2:$C$1048576,2,FALSE))</f>
        <v>8 out of 10</v>
      </c>
    </row>
    <row r="608" spans="1:12" hidden="1">
      <c r="A608" s="19" t="s">
        <v>2026</v>
      </c>
      <c r="B608" s="19" t="s">
        <v>1044</v>
      </c>
      <c r="C608" s="19" t="s">
        <v>2031</v>
      </c>
      <c r="D608" s="19" t="s">
        <v>2035</v>
      </c>
      <c r="E608" s="19" t="s">
        <v>2036</v>
      </c>
      <c r="F608" s="19" t="e">
        <f>MATCH(E608,#REF!,0)</f>
        <v>#REF!</v>
      </c>
      <c r="G608" s="19" t="s">
        <v>2037</v>
      </c>
      <c r="H608" s="19" t="s">
        <v>17</v>
      </c>
      <c r="I608" s="19" t="s">
        <v>18</v>
      </c>
      <c r="J608" s="19" t="s">
        <v>2034</v>
      </c>
      <c r="K608" s="19" t="s">
        <v>20</v>
      </c>
      <c r="L608" s="3" t="str">
        <f>HYPERLINK(VLOOKUP(C608,BAPs!$A$2:$C$1048576,3,FALSE),VLOOKUP(C608,BAPs!$A$2:$C$1048576,2,FALSE))</f>
        <v>8 out of 10</v>
      </c>
    </row>
    <row r="609" spans="1:12" hidden="1">
      <c r="A609" s="19" t="s">
        <v>2026</v>
      </c>
      <c r="B609" s="19" t="s">
        <v>1044</v>
      </c>
      <c r="C609" s="19" t="s">
        <v>2038</v>
      </c>
      <c r="D609" s="19" t="s">
        <v>2038</v>
      </c>
      <c r="E609" s="19" t="s">
        <v>2039</v>
      </c>
      <c r="F609" s="19" t="e">
        <f>MATCH(E609,#REF!,0)</f>
        <v>#REF!</v>
      </c>
      <c r="G609" s="19" t="s">
        <v>2040</v>
      </c>
      <c r="H609" s="19" t="s">
        <v>17</v>
      </c>
      <c r="I609" s="19" t="s">
        <v>18</v>
      </c>
      <c r="J609" s="19" t="s">
        <v>2041</v>
      </c>
      <c r="K609" s="19" t="s">
        <v>20</v>
      </c>
      <c r="L609" s="3" t="str">
        <f>HYPERLINK(VLOOKUP(C609,BAPs!$A$2:$C$1048576,3,FALSE),VLOOKUP(C609,BAPs!$A$2:$C$1048576,2,FALSE))</f>
        <v>2 out of 10</v>
      </c>
    </row>
    <row r="610" spans="1:12" hidden="1">
      <c r="A610" s="19" t="s">
        <v>2026</v>
      </c>
      <c r="B610" s="19" t="s">
        <v>1044</v>
      </c>
      <c r="C610" s="19" t="s">
        <v>2042</v>
      </c>
      <c r="D610" s="19" t="s">
        <v>2042</v>
      </c>
      <c r="E610" s="19" t="s">
        <v>2043</v>
      </c>
      <c r="F610" s="19" t="e">
        <f>MATCH(E610,#REF!,0)</f>
        <v>#REF!</v>
      </c>
      <c r="G610" s="19" t="s">
        <v>2044</v>
      </c>
      <c r="H610" s="19" t="s">
        <v>17</v>
      </c>
      <c r="I610" s="19" t="s">
        <v>18</v>
      </c>
      <c r="J610" s="19" t="s">
        <v>2045</v>
      </c>
      <c r="K610" s="19" t="s">
        <v>20</v>
      </c>
      <c r="L610" s="3" t="str">
        <f>HYPERLINK(VLOOKUP(C610,BAPs!$A$2:$C$1048576,3,FALSE),VLOOKUP(C610,BAPs!$A$2:$C$1048576,2,FALSE))</f>
        <v>1 out of 10</v>
      </c>
    </row>
    <row r="611" spans="1:12" hidden="1">
      <c r="A611" s="19" t="s">
        <v>2026</v>
      </c>
      <c r="B611" s="19" t="s">
        <v>1044</v>
      </c>
      <c r="C611" s="19" t="s">
        <v>2046</v>
      </c>
      <c r="D611" s="19" t="s">
        <v>2046</v>
      </c>
      <c r="E611" s="19" t="s">
        <v>2047</v>
      </c>
      <c r="F611" s="19" t="e">
        <f>MATCH(E611,#REF!,0)</f>
        <v>#REF!</v>
      </c>
      <c r="G611" s="19" t="s">
        <v>2048</v>
      </c>
      <c r="H611" s="19" t="s">
        <v>17</v>
      </c>
      <c r="I611" s="19" t="s">
        <v>18</v>
      </c>
      <c r="J611" s="19" t="s">
        <v>2049</v>
      </c>
      <c r="K611" s="19" t="s">
        <v>62</v>
      </c>
      <c r="L611" s="3" t="str">
        <f>HYPERLINK(VLOOKUP(C611,BAPs!$A$2:$C$1048576,3,FALSE),VLOOKUP(C611,BAPs!$A$2:$C$1048576,2,FALSE))</f>
        <v>9 out of 10</v>
      </c>
    </row>
    <row r="612" spans="1:12" hidden="1">
      <c r="A612" s="19" t="s">
        <v>2026</v>
      </c>
      <c r="B612" s="19" t="s">
        <v>1044</v>
      </c>
      <c r="C612" s="19" t="s">
        <v>2050</v>
      </c>
      <c r="D612" s="19" t="s">
        <v>2050</v>
      </c>
      <c r="E612" s="19" t="s">
        <v>2051</v>
      </c>
      <c r="F612" s="19" t="e">
        <f>MATCH(E612,#REF!,0)</f>
        <v>#REF!</v>
      </c>
      <c r="G612" s="19" t="s">
        <v>2052</v>
      </c>
      <c r="H612" s="19" t="s">
        <v>17</v>
      </c>
      <c r="I612" s="19"/>
      <c r="J612" s="19" t="s">
        <v>2053</v>
      </c>
      <c r="K612" s="19" t="s">
        <v>20</v>
      </c>
      <c r="L612" s="3" t="str">
        <f>HYPERLINK(VLOOKUP(C612,BAPs!$A$2:$C$1048576,3,FALSE),VLOOKUP(C612,BAPs!$A$2:$C$1048576,2,FALSE))</f>
        <v>9 out of 10</v>
      </c>
    </row>
    <row r="613" spans="1:12" hidden="1">
      <c r="A613" s="19" t="s">
        <v>2026</v>
      </c>
      <c r="B613" s="19" t="s">
        <v>1044</v>
      </c>
      <c r="C613" s="19" t="s">
        <v>2054</v>
      </c>
      <c r="D613" s="19" t="s">
        <v>2054</v>
      </c>
      <c r="E613" s="19" t="s">
        <v>2055</v>
      </c>
      <c r="F613" s="19" t="e">
        <f>MATCH(E613,#REF!,0)</f>
        <v>#REF!</v>
      </c>
      <c r="G613" s="19" t="s">
        <v>2056</v>
      </c>
      <c r="H613" s="19" t="s">
        <v>52</v>
      </c>
      <c r="I613" s="19"/>
      <c r="J613" s="19" t="s">
        <v>2057</v>
      </c>
      <c r="K613" s="19" t="s">
        <v>20</v>
      </c>
      <c r="L613" s="3" t="str">
        <f>HYPERLINK(VLOOKUP(C613,BAPs!$A$2:$C$1048576,3,FALSE),VLOOKUP(C613,BAPs!$A$2:$C$1048576,2,FALSE))</f>
        <v>7 out of 10</v>
      </c>
    </row>
    <row r="614" spans="1:12" hidden="1">
      <c r="A614" s="19" t="s">
        <v>2026</v>
      </c>
      <c r="B614" s="19" t="s">
        <v>1044</v>
      </c>
      <c r="C614" s="19" t="s">
        <v>2058</v>
      </c>
      <c r="D614" s="19" t="s">
        <v>2058</v>
      </c>
      <c r="E614" s="19" t="s">
        <v>2059</v>
      </c>
      <c r="F614" s="19" t="e">
        <f>MATCH(E614,#REF!,0)</f>
        <v>#REF!</v>
      </c>
      <c r="G614" s="19" t="s">
        <v>2060</v>
      </c>
      <c r="H614" s="19" t="s">
        <v>17</v>
      </c>
      <c r="I614" s="19" t="s">
        <v>18</v>
      </c>
      <c r="J614" s="19" t="s">
        <v>2061</v>
      </c>
      <c r="K614" s="19" t="s">
        <v>62</v>
      </c>
      <c r="L614" s="3" t="str">
        <f>HYPERLINK(VLOOKUP(C614,BAPs!$A$2:$C$1048576,3,FALSE),VLOOKUP(C614,BAPs!$A$2:$C$1048576,2,FALSE))</f>
        <v>9 out of 10</v>
      </c>
    </row>
    <row r="615" spans="1:12" hidden="1">
      <c r="A615" s="19" t="s">
        <v>2026</v>
      </c>
      <c r="B615" s="19" t="s">
        <v>1044</v>
      </c>
      <c r="C615" s="19" t="s">
        <v>2062</v>
      </c>
      <c r="D615" s="19" t="s">
        <v>2063</v>
      </c>
      <c r="E615" s="19" t="s">
        <v>2064</v>
      </c>
      <c r="F615" s="19" t="e">
        <f>MATCH(E615,#REF!,0)</f>
        <v>#REF!</v>
      </c>
      <c r="G615" s="19" t="s">
        <v>2065</v>
      </c>
      <c r="H615" s="19" t="s">
        <v>17</v>
      </c>
      <c r="I615" s="19" t="s">
        <v>18</v>
      </c>
      <c r="J615" s="19" t="s">
        <v>2066</v>
      </c>
      <c r="K615" s="19" t="s">
        <v>62</v>
      </c>
      <c r="L615" s="3" t="str">
        <f>HYPERLINK(VLOOKUP(C615,BAPs!$A$2:$C$1048576,3,FALSE),VLOOKUP(C615,BAPs!$A$2:$C$1048576,2,FALSE))</f>
        <v>9 out of 10</v>
      </c>
    </row>
    <row r="616" spans="1:12" hidden="1">
      <c r="A616" s="19" t="s">
        <v>2026</v>
      </c>
      <c r="B616" s="19" t="s">
        <v>1044</v>
      </c>
      <c r="C616" s="19" t="s">
        <v>2067</v>
      </c>
      <c r="D616" s="19" t="s">
        <v>1978</v>
      </c>
      <c r="E616" s="19" t="s">
        <v>1979</v>
      </c>
      <c r="F616" s="19" t="e">
        <f>MATCH(E616,#REF!,0)</f>
        <v>#REF!</v>
      </c>
      <c r="G616" s="19" t="s">
        <v>1980</v>
      </c>
      <c r="H616" s="19" t="s">
        <v>84</v>
      </c>
      <c r="I616" s="19"/>
      <c r="J616" s="19" t="s">
        <v>2068</v>
      </c>
      <c r="K616" s="19" t="s">
        <v>20</v>
      </c>
      <c r="L616" s="3" t="str">
        <f>HYPERLINK(VLOOKUP(C616,BAPs!$A$2:$C$1048576,3,FALSE),VLOOKUP(C616,BAPs!$A$2:$C$1048576,2,FALSE))</f>
        <v>6 out of 10</v>
      </c>
    </row>
    <row r="617" spans="1:12" hidden="1">
      <c r="A617" s="19" t="s">
        <v>2026</v>
      </c>
      <c r="B617" s="19" t="s">
        <v>1044</v>
      </c>
      <c r="C617" s="19" t="s">
        <v>2069</v>
      </c>
      <c r="D617" s="19" t="s">
        <v>2069</v>
      </c>
      <c r="E617" s="19" t="s">
        <v>2070</v>
      </c>
      <c r="F617" s="19" t="e">
        <f>MATCH(E617,#REF!,0)</f>
        <v>#REF!</v>
      </c>
      <c r="G617" s="19" t="s">
        <v>2071</v>
      </c>
      <c r="H617" s="19" t="s">
        <v>17</v>
      </c>
      <c r="I617" s="19" t="s">
        <v>18</v>
      </c>
      <c r="J617" s="19" t="s">
        <v>2072</v>
      </c>
      <c r="K617" s="19" t="s">
        <v>20</v>
      </c>
      <c r="L617" s="3" t="str">
        <f>HYPERLINK(VLOOKUP(C617,BAPs!$A$2:$C$1048576,3,FALSE),VLOOKUP(C617,BAPs!$A$2:$C$1048576,2,FALSE))</f>
        <v>1 out of 10</v>
      </c>
    </row>
    <row r="618" spans="1:12" hidden="1">
      <c r="A618" s="19" t="s">
        <v>2026</v>
      </c>
      <c r="B618" s="19" t="s">
        <v>1044</v>
      </c>
      <c r="C618" s="19" t="s">
        <v>1577</v>
      </c>
      <c r="D618" s="19" t="s">
        <v>1391</v>
      </c>
      <c r="E618" s="19" t="s">
        <v>1392</v>
      </c>
      <c r="F618" s="19" t="e">
        <f>MATCH(E618,#REF!,0)</f>
        <v>#REF!</v>
      </c>
      <c r="G618" s="19" t="s">
        <v>1393</v>
      </c>
      <c r="H618" s="19" t="s">
        <v>17</v>
      </c>
      <c r="I618" s="19" t="s">
        <v>18</v>
      </c>
      <c r="J618" s="19" t="s">
        <v>2073</v>
      </c>
      <c r="K618" s="19" t="s">
        <v>62</v>
      </c>
      <c r="L618" s="3" t="str">
        <f>HYPERLINK(VLOOKUP(C618,BAPs!$A$2:$C$1048576,3,FALSE),VLOOKUP(C618,BAPs!$A$2:$C$1048576,2,FALSE))</f>
        <v>10 out of 10</v>
      </c>
    </row>
    <row r="619" spans="1:12" hidden="1">
      <c r="A619" s="19" t="s">
        <v>2026</v>
      </c>
      <c r="B619" s="19" t="s">
        <v>1044</v>
      </c>
      <c r="C619" s="19" t="s">
        <v>1577</v>
      </c>
      <c r="D619" s="19" t="s">
        <v>2074</v>
      </c>
      <c r="E619" s="19" t="s">
        <v>2075</v>
      </c>
      <c r="F619" s="19" t="e">
        <f>MATCH(E619,#REF!,0)</f>
        <v>#REF!</v>
      </c>
      <c r="G619" s="19" t="s">
        <v>2076</v>
      </c>
      <c r="H619" s="19" t="s">
        <v>24</v>
      </c>
      <c r="I619" s="19" t="s">
        <v>18</v>
      </c>
      <c r="J619" s="19" t="s">
        <v>2073</v>
      </c>
      <c r="K619" s="19" t="s">
        <v>62</v>
      </c>
      <c r="L619" s="3" t="str">
        <f>HYPERLINK(VLOOKUP(C619,BAPs!$A$2:$C$1048576,3,FALSE),VLOOKUP(C619,BAPs!$A$2:$C$1048576,2,FALSE))</f>
        <v>10 out of 10</v>
      </c>
    </row>
    <row r="620" spans="1:12" hidden="1">
      <c r="A620" s="19" t="s">
        <v>2026</v>
      </c>
      <c r="B620" s="19" t="s">
        <v>1044</v>
      </c>
      <c r="C620" s="19" t="s">
        <v>2077</v>
      </c>
      <c r="D620" s="19" t="s">
        <v>2077</v>
      </c>
      <c r="E620" s="19" t="s">
        <v>2078</v>
      </c>
      <c r="F620" s="19" t="e">
        <f>MATCH(E620,#REF!,0)</f>
        <v>#REF!</v>
      </c>
      <c r="G620" s="19" t="s">
        <v>2079</v>
      </c>
      <c r="H620" s="19" t="s">
        <v>56</v>
      </c>
      <c r="I620" s="19"/>
      <c r="J620" s="19" t="s">
        <v>2080</v>
      </c>
      <c r="K620" s="19" t="s">
        <v>20</v>
      </c>
      <c r="L620" s="3" t="str">
        <f>HYPERLINK(VLOOKUP(C620,BAPs!$A$2:$C$1048576,3,FALSE),VLOOKUP(C620,BAPs!$A$2:$C$1048576,2,FALSE))</f>
        <v>3 out of 10</v>
      </c>
    </row>
    <row r="621" spans="1:12" hidden="1">
      <c r="A621" s="19" t="s">
        <v>2026</v>
      </c>
      <c r="B621" s="19" t="s">
        <v>1044</v>
      </c>
      <c r="C621" s="19" t="s">
        <v>2081</v>
      </c>
      <c r="D621" s="19" t="s">
        <v>1125</v>
      </c>
      <c r="E621" s="19" t="s">
        <v>2082</v>
      </c>
      <c r="F621" s="19" t="e">
        <f>MATCH(E621,#REF!,0)</f>
        <v>#REF!</v>
      </c>
      <c r="G621" s="19" t="s">
        <v>2083</v>
      </c>
      <c r="H621" s="19" t="s">
        <v>56</v>
      </c>
      <c r="I621" s="19"/>
      <c r="J621" s="19" t="s">
        <v>2084</v>
      </c>
      <c r="K621" s="19" t="s">
        <v>62</v>
      </c>
      <c r="L621" s="3" t="str">
        <f>HYPERLINK(VLOOKUP(C621,BAPs!$A$2:$C$1048576,3,FALSE),VLOOKUP(C621,BAPs!$A$2:$C$1048576,2,FALSE))</f>
        <v>9 out of 10</v>
      </c>
    </row>
    <row r="622" spans="1:12" hidden="1">
      <c r="A622" s="19" t="s">
        <v>2026</v>
      </c>
      <c r="B622" s="19" t="s">
        <v>1044</v>
      </c>
      <c r="C622" s="19" t="s">
        <v>2081</v>
      </c>
      <c r="D622" s="19" t="s">
        <v>2085</v>
      </c>
      <c r="E622" s="19" t="s">
        <v>2086</v>
      </c>
      <c r="F622" s="19" t="e">
        <f>MATCH(E622,#REF!,0)</f>
        <v>#REF!</v>
      </c>
      <c r="G622" s="19" t="s">
        <v>2087</v>
      </c>
      <c r="H622" s="19" t="s">
        <v>56</v>
      </c>
      <c r="I622" s="19"/>
      <c r="J622" s="19" t="s">
        <v>2084</v>
      </c>
      <c r="K622" s="19" t="s">
        <v>62</v>
      </c>
      <c r="L622" s="3" t="str">
        <f>HYPERLINK(VLOOKUP(C622,BAPs!$A$2:$C$1048576,3,FALSE),VLOOKUP(C622,BAPs!$A$2:$C$1048576,2,FALSE))</f>
        <v>9 out of 10</v>
      </c>
    </row>
    <row r="623" spans="1:12" hidden="1">
      <c r="A623" s="19" t="s">
        <v>2026</v>
      </c>
      <c r="B623" s="19" t="s">
        <v>1044</v>
      </c>
      <c r="C623" s="19" t="s">
        <v>2081</v>
      </c>
      <c r="D623" s="19" t="s">
        <v>2088</v>
      </c>
      <c r="E623" s="19" t="s">
        <v>2089</v>
      </c>
      <c r="F623" s="19" t="e">
        <f>MATCH(E623,#REF!,0)</f>
        <v>#REF!</v>
      </c>
      <c r="G623" s="19" t="s">
        <v>2090</v>
      </c>
      <c r="H623" s="19" t="s">
        <v>56</v>
      </c>
      <c r="I623" s="19"/>
      <c r="J623" s="19" t="s">
        <v>2084</v>
      </c>
      <c r="K623" s="19" t="s">
        <v>62</v>
      </c>
      <c r="L623" s="3" t="str">
        <f>HYPERLINK(VLOOKUP(C623,BAPs!$A$2:$C$1048576,3,FALSE),VLOOKUP(C623,BAPs!$A$2:$C$1048576,2,FALSE))</f>
        <v>9 out of 10</v>
      </c>
    </row>
    <row r="624" spans="1:12" hidden="1">
      <c r="A624" s="19" t="s">
        <v>2026</v>
      </c>
      <c r="B624" s="19" t="s">
        <v>1044</v>
      </c>
      <c r="C624" s="19" t="s">
        <v>2081</v>
      </c>
      <c r="D624" s="19" t="s">
        <v>2091</v>
      </c>
      <c r="E624" s="19" t="s">
        <v>2092</v>
      </c>
      <c r="F624" s="19" t="e">
        <f>MATCH(E624,#REF!,0)</f>
        <v>#REF!</v>
      </c>
      <c r="G624" s="19" t="s">
        <v>2093</v>
      </c>
      <c r="H624" s="19" t="s">
        <v>56</v>
      </c>
      <c r="I624" s="19"/>
      <c r="J624" s="19" t="s">
        <v>2084</v>
      </c>
      <c r="K624" s="19" t="s">
        <v>62</v>
      </c>
      <c r="L624" s="3" t="str">
        <f>HYPERLINK(VLOOKUP(C624,BAPs!$A$2:$C$1048576,3,FALSE),VLOOKUP(C624,BAPs!$A$2:$C$1048576,2,FALSE))</f>
        <v>9 out of 10</v>
      </c>
    </row>
    <row r="625" spans="1:12" hidden="1">
      <c r="A625" s="19" t="s">
        <v>2026</v>
      </c>
      <c r="B625" s="19" t="s">
        <v>1044</v>
      </c>
      <c r="C625" s="19" t="s">
        <v>2094</v>
      </c>
      <c r="D625" s="19" t="s">
        <v>1264</v>
      </c>
      <c r="E625" s="19" t="s">
        <v>1265</v>
      </c>
      <c r="F625" s="19" t="e">
        <f>MATCH(E625,#REF!,0)</f>
        <v>#REF!</v>
      </c>
      <c r="G625" s="19" t="s">
        <v>1266</v>
      </c>
      <c r="H625" s="19" t="s">
        <v>43</v>
      </c>
      <c r="I625" s="19"/>
      <c r="J625" s="19" t="s">
        <v>2095</v>
      </c>
      <c r="K625" s="19" t="s">
        <v>62</v>
      </c>
      <c r="L625" s="3" t="str">
        <f>HYPERLINK(VLOOKUP(C625,BAPs!$A$2:$C$1048576,3,FALSE),VLOOKUP(C625,BAPs!$A$2:$C$1048576,2,FALSE))</f>
        <v>10 out of 10</v>
      </c>
    </row>
    <row r="626" spans="1:12" hidden="1">
      <c r="A626" s="19" t="s">
        <v>2026</v>
      </c>
      <c r="B626" s="19" t="s">
        <v>1044</v>
      </c>
      <c r="C626" s="19" t="s">
        <v>2094</v>
      </c>
      <c r="D626" s="19" t="s">
        <v>2094</v>
      </c>
      <c r="E626" s="19" t="s">
        <v>2096</v>
      </c>
      <c r="F626" s="19" t="e">
        <f>MATCH(E626,#REF!,0)</f>
        <v>#REF!</v>
      </c>
      <c r="G626" s="19" t="s">
        <v>2097</v>
      </c>
      <c r="H626" s="19" t="s">
        <v>56</v>
      </c>
      <c r="I626" s="19"/>
      <c r="J626" s="19" t="s">
        <v>2095</v>
      </c>
      <c r="K626" s="19" t="s">
        <v>62</v>
      </c>
      <c r="L626" s="3" t="str">
        <f>HYPERLINK(VLOOKUP(C626,BAPs!$A$2:$C$1048576,3,FALSE),VLOOKUP(C626,BAPs!$A$2:$C$1048576,2,FALSE))</f>
        <v>10 out of 10</v>
      </c>
    </row>
    <row r="627" spans="1:12" hidden="1">
      <c r="A627" s="19" t="s">
        <v>2098</v>
      </c>
      <c r="B627" s="19" t="s">
        <v>1044</v>
      </c>
      <c r="C627" s="19" t="s">
        <v>2099</v>
      </c>
      <c r="D627" s="19" t="s">
        <v>2099</v>
      </c>
      <c r="E627" s="19" t="s">
        <v>2100</v>
      </c>
      <c r="F627" s="19" t="e">
        <f>MATCH(E627,#REF!,0)</f>
        <v>#REF!</v>
      </c>
      <c r="G627" s="19" t="s">
        <v>2101</v>
      </c>
      <c r="H627" s="19" t="s">
        <v>17</v>
      </c>
      <c r="I627" s="19" t="s">
        <v>18</v>
      </c>
      <c r="J627" s="19" t="s">
        <v>2102</v>
      </c>
      <c r="K627" s="19" t="s">
        <v>62</v>
      </c>
      <c r="L627" s="3" t="str">
        <f>HYPERLINK(VLOOKUP(C627,BAPs!$A$2:$C$1048576,3,FALSE),VLOOKUP(C627,BAPs!$A$2:$C$1048576,2,FALSE))</f>
        <v>10 out of 10</v>
      </c>
    </row>
    <row r="628" spans="1:12" hidden="1">
      <c r="A628" s="19" t="s">
        <v>2098</v>
      </c>
      <c r="B628" s="19" t="s">
        <v>1044</v>
      </c>
      <c r="C628" s="19" t="s">
        <v>2099</v>
      </c>
      <c r="D628" s="19" t="s">
        <v>2103</v>
      </c>
      <c r="E628" s="19" t="s">
        <v>2104</v>
      </c>
      <c r="F628" s="19" t="e">
        <f>MATCH(E628,#REF!,0)</f>
        <v>#REF!</v>
      </c>
      <c r="G628" s="19" t="s">
        <v>2105</v>
      </c>
      <c r="H628" s="19" t="s">
        <v>52</v>
      </c>
      <c r="I628" s="19"/>
      <c r="J628" s="19" t="s">
        <v>2102</v>
      </c>
      <c r="K628" s="19" t="s">
        <v>62</v>
      </c>
      <c r="L628" s="3" t="str">
        <f>HYPERLINK(VLOOKUP(C628,BAPs!$A$2:$C$1048576,3,FALSE),VLOOKUP(C628,BAPs!$A$2:$C$1048576,2,FALSE))</f>
        <v>10 out of 10</v>
      </c>
    </row>
    <row r="629" spans="1:12" hidden="1">
      <c r="A629" s="19" t="s">
        <v>2098</v>
      </c>
      <c r="B629" s="19" t="s">
        <v>1044</v>
      </c>
      <c r="C629" s="19" t="s">
        <v>2106</v>
      </c>
      <c r="D629" s="19" t="s">
        <v>2106</v>
      </c>
      <c r="E629" s="19" t="s">
        <v>2107</v>
      </c>
      <c r="F629" s="19" t="e">
        <f>MATCH(E629,#REF!,0)</f>
        <v>#REF!</v>
      </c>
      <c r="G629" s="19" t="s">
        <v>2108</v>
      </c>
      <c r="H629" s="19" t="s">
        <v>24</v>
      </c>
      <c r="I629" s="19"/>
      <c r="J629" s="19" t="s">
        <v>2109</v>
      </c>
      <c r="K629" s="19" t="s">
        <v>20</v>
      </c>
      <c r="L629" s="3" t="str">
        <f>HYPERLINK(VLOOKUP(C629,BAPs!$A$2:$C$1048576,3,FALSE),VLOOKUP(C629,BAPs!$A$2:$C$1048576,2,FALSE))</f>
        <v>2 out of 10</v>
      </c>
    </row>
    <row r="630" spans="1:12" hidden="1">
      <c r="A630" s="19" t="s">
        <v>2098</v>
      </c>
      <c r="B630" s="19" t="s">
        <v>1044</v>
      </c>
      <c r="C630" s="19" t="s">
        <v>2106</v>
      </c>
      <c r="D630" s="19" t="s">
        <v>2110</v>
      </c>
      <c r="E630" s="19" t="s">
        <v>2111</v>
      </c>
      <c r="F630" s="19" t="e">
        <f>MATCH(E630,#REF!,0)</f>
        <v>#REF!</v>
      </c>
      <c r="G630" s="19" t="s">
        <v>2112</v>
      </c>
      <c r="H630" s="19" t="s">
        <v>52</v>
      </c>
      <c r="I630" s="19"/>
      <c r="J630" s="19" t="s">
        <v>2109</v>
      </c>
      <c r="K630" s="19" t="s">
        <v>20</v>
      </c>
      <c r="L630" s="3" t="str">
        <f>HYPERLINK(VLOOKUP(C630,BAPs!$A$2:$C$1048576,3,FALSE),VLOOKUP(C630,BAPs!$A$2:$C$1048576,2,FALSE))</f>
        <v>2 out of 10</v>
      </c>
    </row>
    <row r="631" spans="1:12" hidden="1">
      <c r="A631" s="19" t="s">
        <v>2098</v>
      </c>
      <c r="B631" s="19" t="s">
        <v>1044</v>
      </c>
      <c r="C631" s="19" t="s">
        <v>2113</v>
      </c>
      <c r="D631" s="19" t="s">
        <v>2114</v>
      </c>
      <c r="E631" s="19" t="s">
        <v>2115</v>
      </c>
      <c r="F631" s="19" t="e">
        <f>MATCH(E631,#REF!,0)</f>
        <v>#REF!</v>
      </c>
      <c r="G631" s="19" t="s">
        <v>2116</v>
      </c>
      <c r="H631" s="19" t="s">
        <v>56</v>
      </c>
      <c r="I631" s="19"/>
      <c r="J631" s="19" t="s">
        <v>2117</v>
      </c>
      <c r="K631" s="19" t="s">
        <v>20</v>
      </c>
      <c r="L631" s="3" t="str">
        <f>HYPERLINK(VLOOKUP(C631,BAPs!$A$2:$C$1048576,3,FALSE),VLOOKUP(C631,BAPs!$A$2:$C$1048576,2,FALSE))</f>
        <v>8 out of 10</v>
      </c>
    </row>
    <row r="632" spans="1:12" hidden="1">
      <c r="A632" s="19" t="s">
        <v>2098</v>
      </c>
      <c r="B632" s="19" t="s">
        <v>1044</v>
      </c>
      <c r="C632" s="19" t="s">
        <v>2113</v>
      </c>
      <c r="D632" s="19" t="s">
        <v>2118</v>
      </c>
      <c r="E632" s="19" t="s">
        <v>2119</v>
      </c>
      <c r="F632" s="19" t="e">
        <f>MATCH(E632,#REF!,0)</f>
        <v>#REF!</v>
      </c>
      <c r="G632" s="19" t="s">
        <v>2120</v>
      </c>
      <c r="H632" s="19" t="s">
        <v>43</v>
      </c>
      <c r="I632" s="19"/>
      <c r="J632" s="19" t="s">
        <v>2117</v>
      </c>
      <c r="K632" s="19" t="s">
        <v>20</v>
      </c>
      <c r="L632" s="3" t="str">
        <f>HYPERLINK(VLOOKUP(C632,BAPs!$A$2:$C$1048576,3,FALSE),VLOOKUP(C632,BAPs!$A$2:$C$1048576,2,FALSE))</f>
        <v>8 out of 10</v>
      </c>
    </row>
    <row r="633" spans="1:12" hidden="1">
      <c r="A633" s="19" t="s">
        <v>2098</v>
      </c>
      <c r="B633" s="19" t="s">
        <v>1044</v>
      </c>
      <c r="C633" s="19" t="s">
        <v>2121</v>
      </c>
      <c r="D633" s="19" t="s">
        <v>2122</v>
      </c>
      <c r="E633" s="19" t="s">
        <v>2123</v>
      </c>
      <c r="F633" s="19" t="e">
        <f>MATCH(E633,#REF!,0)</f>
        <v>#REF!</v>
      </c>
      <c r="G633" s="19" t="s">
        <v>2124</v>
      </c>
      <c r="H633" s="19" t="s">
        <v>56</v>
      </c>
      <c r="I633" s="19"/>
      <c r="J633" s="19" t="s">
        <v>2125</v>
      </c>
      <c r="K633" s="19" t="s">
        <v>20</v>
      </c>
      <c r="L633" s="3" t="str">
        <f>HYPERLINK(VLOOKUP(C633,BAPs!$A$2:$C$1048576,3,FALSE),VLOOKUP(C633,BAPs!$A$2:$C$1048576,2,FALSE))</f>
        <v>5 out of 10</v>
      </c>
    </row>
    <row r="634" spans="1:12" hidden="1">
      <c r="A634" s="19" t="s">
        <v>2098</v>
      </c>
      <c r="B634" s="19" t="s">
        <v>1044</v>
      </c>
      <c r="C634" s="19" t="s">
        <v>2121</v>
      </c>
      <c r="D634" s="19" t="s">
        <v>2126</v>
      </c>
      <c r="E634" s="19" t="s">
        <v>2127</v>
      </c>
      <c r="F634" s="19" t="e">
        <f>MATCH(E634,#REF!,0)</f>
        <v>#REF!</v>
      </c>
      <c r="G634" s="19" t="s">
        <v>2128</v>
      </c>
      <c r="H634" s="19" t="s">
        <v>56</v>
      </c>
      <c r="I634" s="19"/>
      <c r="J634" s="19" t="s">
        <v>2125</v>
      </c>
      <c r="K634" s="19" t="s">
        <v>20</v>
      </c>
      <c r="L634" s="3" t="str">
        <f>HYPERLINK(VLOOKUP(C634,BAPs!$A$2:$C$1048576,3,FALSE),VLOOKUP(C634,BAPs!$A$2:$C$1048576,2,FALSE))</f>
        <v>5 out of 10</v>
      </c>
    </row>
    <row r="635" spans="1:12" hidden="1">
      <c r="A635" s="19" t="s">
        <v>2098</v>
      </c>
      <c r="B635" s="19" t="s">
        <v>1044</v>
      </c>
      <c r="C635" s="19" t="s">
        <v>2129</v>
      </c>
      <c r="D635" s="19" t="s">
        <v>2130</v>
      </c>
      <c r="E635" s="19" t="s">
        <v>2131</v>
      </c>
      <c r="F635" s="19" t="e">
        <f>MATCH(E635,#REF!,0)</f>
        <v>#REF!</v>
      </c>
      <c r="G635" s="19" t="s">
        <v>2132</v>
      </c>
      <c r="H635" s="19" t="s">
        <v>24</v>
      </c>
      <c r="I635" s="19" t="s">
        <v>18</v>
      </c>
      <c r="J635" s="19" t="s">
        <v>2133</v>
      </c>
      <c r="K635" s="19" t="s">
        <v>20</v>
      </c>
      <c r="L635" s="3" t="str">
        <f>HYPERLINK(VLOOKUP(C635,BAPs!$A$2:$C$1048576,3,FALSE),VLOOKUP(C635,BAPs!$A$2:$C$1048576,2,FALSE))</f>
        <v>1 out of 10</v>
      </c>
    </row>
    <row r="636" spans="1:12" hidden="1">
      <c r="A636" s="19" t="s">
        <v>2098</v>
      </c>
      <c r="B636" s="19" t="s">
        <v>1044</v>
      </c>
      <c r="C636" s="19" t="s">
        <v>2129</v>
      </c>
      <c r="D636" s="19" t="s">
        <v>2134</v>
      </c>
      <c r="E636" s="19" t="s">
        <v>2135</v>
      </c>
      <c r="F636" s="19" t="e">
        <f>MATCH(E636,#REF!,0)</f>
        <v>#REF!</v>
      </c>
      <c r="G636" s="19" t="s">
        <v>2136</v>
      </c>
      <c r="H636" s="19" t="s">
        <v>17</v>
      </c>
      <c r="I636" s="19" t="s">
        <v>18</v>
      </c>
      <c r="J636" s="19" t="s">
        <v>2133</v>
      </c>
      <c r="K636" s="19" t="s">
        <v>20</v>
      </c>
      <c r="L636" s="3" t="str">
        <f>HYPERLINK(VLOOKUP(C636,BAPs!$A$2:$C$1048576,3,FALSE),VLOOKUP(C636,BAPs!$A$2:$C$1048576,2,FALSE))</f>
        <v>1 out of 10</v>
      </c>
    </row>
    <row r="637" spans="1:12" hidden="1">
      <c r="A637" s="19" t="s">
        <v>2098</v>
      </c>
      <c r="B637" s="19" t="s">
        <v>1044</v>
      </c>
      <c r="C637" s="19" t="s">
        <v>2129</v>
      </c>
      <c r="D637" s="19" t="s">
        <v>1480</v>
      </c>
      <c r="E637" s="19" t="s">
        <v>1481</v>
      </c>
      <c r="F637" s="19" t="e">
        <f>MATCH(E637,#REF!,0)</f>
        <v>#REF!</v>
      </c>
      <c r="G637" s="19" t="s">
        <v>1482</v>
      </c>
      <c r="H637" s="19" t="s">
        <v>24</v>
      </c>
      <c r="I637" s="19"/>
      <c r="J637" s="19" t="s">
        <v>2133</v>
      </c>
      <c r="K637" s="19" t="s">
        <v>20</v>
      </c>
      <c r="L637" s="3" t="str">
        <f>HYPERLINK(VLOOKUP(C637,BAPs!$A$2:$C$1048576,3,FALSE),VLOOKUP(C637,BAPs!$A$2:$C$1048576,2,FALSE))</f>
        <v>1 out of 10</v>
      </c>
    </row>
    <row r="638" spans="1:12" hidden="1">
      <c r="A638" s="19" t="s">
        <v>2098</v>
      </c>
      <c r="B638" s="19" t="s">
        <v>1044</v>
      </c>
      <c r="C638" s="19" t="s">
        <v>2129</v>
      </c>
      <c r="D638" s="19" t="s">
        <v>1342</v>
      </c>
      <c r="E638" s="19" t="s">
        <v>2137</v>
      </c>
      <c r="F638" s="19" t="e">
        <f>MATCH(E638,#REF!,0)</f>
        <v>#REF!</v>
      </c>
      <c r="G638" s="19" t="s">
        <v>2138</v>
      </c>
      <c r="H638" s="19" t="s">
        <v>52</v>
      </c>
      <c r="I638" s="19"/>
      <c r="J638" s="19" t="s">
        <v>2133</v>
      </c>
      <c r="K638" s="19" t="s">
        <v>20</v>
      </c>
      <c r="L638" s="3" t="str">
        <f>HYPERLINK(VLOOKUP(C638,BAPs!$A$2:$C$1048576,3,FALSE),VLOOKUP(C638,BAPs!$A$2:$C$1048576,2,FALSE))</f>
        <v>1 out of 10</v>
      </c>
    </row>
    <row r="639" spans="1:12" hidden="1">
      <c r="A639" s="19" t="s">
        <v>2098</v>
      </c>
      <c r="B639" s="19" t="s">
        <v>1044</v>
      </c>
      <c r="C639" s="19" t="s">
        <v>2139</v>
      </c>
      <c r="D639" s="19" t="s">
        <v>2140</v>
      </c>
      <c r="E639" s="19" t="s">
        <v>2141</v>
      </c>
      <c r="F639" s="19" t="e">
        <f>MATCH(E639,#REF!,0)</f>
        <v>#REF!</v>
      </c>
      <c r="G639" s="19" t="s">
        <v>2142</v>
      </c>
      <c r="H639" s="19" t="s">
        <v>52</v>
      </c>
      <c r="I639" s="19"/>
      <c r="J639" s="19" t="s">
        <v>2143</v>
      </c>
      <c r="K639" s="19" t="s">
        <v>62</v>
      </c>
      <c r="L639" s="3" t="str">
        <f>HYPERLINK(VLOOKUP(C639,BAPs!$A$2:$C$1048576,3,FALSE),VLOOKUP(C639,BAPs!$A$2:$C$1048576,2,FALSE))</f>
        <v>9 out of 10</v>
      </c>
    </row>
    <row r="640" spans="1:12" hidden="1">
      <c r="A640" s="19" t="s">
        <v>2098</v>
      </c>
      <c r="B640" s="19" t="s">
        <v>1044</v>
      </c>
      <c r="C640" s="19" t="s">
        <v>2139</v>
      </c>
      <c r="D640" s="19" t="s">
        <v>2144</v>
      </c>
      <c r="E640" s="19" t="s">
        <v>2145</v>
      </c>
      <c r="F640" s="19" t="e">
        <f>MATCH(E640,#REF!,0)</f>
        <v>#REF!</v>
      </c>
      <c r="G640" s="19" t="s">
        <v>2146</v>
      </c>
      <c r="H640" s="19" t="s">
        <v>56</v>
      </c>
      <c r="I640" s="19"/>
      <c r="J640" s="19" t="s">
        <v>2143</v>
      </c>
      <c r="K640" s="19" t="s">
        <v>62</v>
      </c>
      <c r="L640" s="3" t="str">
        <f>HYPERLINK(VLOOKUP(C640,BAPs!$A$2:$C$1048576,3,FALSE),VLOOKUP(C640,BAPs!$A$2:$C$1048576,2,FALSE))</f>
        <v>9 out of 10</v>
      </c>
    </row>
    <row r="641" spans="1:12" hidden="1">
      <c r="A641" s="19" t="s">
        <v>2098</v>
      </c>
      <c r="B641" s="19" t="s">
        <v>1044</v>
      </c>
      <c r="C641" s="19" t="s">
        <v>2139</v>
      </c>
      <c r="D641" s="19" t="s">
        <v>2147</v>
      </c>
      <c r="E641" s="19" t="s">
        <v>2148</v>
      </c>
      <c r="F641" s="19" t="e">
        <f>MATCH(E641,#REF!,0)</f>
        <v>#REF!</v>
      </c>
      <c r="G641" s="19" t="s">
        <v>2149</v>
      </c>
      <c r="H641" s="19" t="s">
        <v>56</v>
      </c>
      <c r="I641" s="19"/>
      <c r="J641" s="19" t="s">
        <v>2143</v>
      </c>
      <c r="K641" s="19" t="s">
        <v>62</v>
      </c>
      <c r="L641" s="3" t="str">
        <f>HYPERLINK(VLOOKUP(C641,BAPs!$A$2:$C$1048576,3,FALSE),VLOOKUP(C641,BAPs!$A$2:$C$1048576,2,FALSE))</f>
        <v>9 out of 10</v>
      </c>
    </row>
    <row r="642" spans="1:12" hidden="1">
      <c r="A642" s="19" t="s">
        <v>2098</v>
      </c>
      <c r="B642" s="19" t="s">
        <v>1044</v>
      </c>
      <c r="C642" s="19" t="s">
        <v>2139</v>
      </c>
      <c r="D642" s="19" t="s">
        <v>2150</v>
      </c>
      <c r="E642" s="19" t="s">
        <v>2151</v>
      </c>
      <c r="F642" s="19" t="e">
        <f>MATCH(E642,#REF!,0)</f>
        <v>#REF!</v>
      </c>
      <c r="G642" s="19" t="s">
        <v>2152</v>
      </c>
      <c r="H642" s="19" t="s">
        <v>24</v>
      </c>
      <c r="I642" s="19"/>
      <c r="J642" s="19" t="s">
        <v>2143</v>
      </c>
      <c r="K642" s="19" t="s">
        <v>62</v>
      </c>
      <c r="L642" s="3" t="str">
        <f>HYPERLINK(VLOOKUP(C642,BAPs!$A$2:$C$1048576,3,FALSE),VLOOKUP(C642,BAPs!$A$2:$C$1048576,2,FALSE))</f>
        <v>9 out of 10</v>
      </c>
    </row>
    <row r="643" spans="1:12" hidden="1">
      <c r="A643" s="19" t="s">
        <v>2098</v>
      </c>
      <c r="B643" s="19" t="s">
        <v>1044</v>
      </c>
      <c r="C643" s="19" t="s">
        <v>2153</v>
      </c>
      <c r="D643" s="19" t="s">
        <v>2153</v>
      </c>
      <c r="E643" s="19" t="s">
        <v>2154</v>
      </c>
      <c r="F643" s="19" t="e">
        <f>MATCH(E643,#REF!,0)</f>
        <v>#REF!</v>
      </c>
      <c r="G643" s="19" t="s">
        <v>2155</v>
      </c>
      <c r="H643" s="19" t="s">
        <v>17</v>
      </c>
      <c r="I643" s="19" t="s">
        <v>18</v>
      </c>
      <c r="J643" s="19" t="s">
        <v>2156</v>
      </c>
      <c r="K643" s="19" t="s">
        <v>20</v>
      </c>
      <c r="L643" s="3" t="str">
        <f>HYPERLINK(VLOOKUP(C643,BAPs!$A$2:$C$1048576,3,FALSE),VLOOKUP(C643,BAPs!$A$2:$C$1048576,2,FALSE))</f>
        <v>1 out of 10</v>
      </c>
    </row>
    <row r="644" spans="1:12" hidden="1">
      <c r="A644" s="19" t="s">
        <v>2098</v>
      </c>
      <c r="B644" s="19" t="s">
        <v>1044</v>
      </c>
      <c r="C644" s="19" t="s">
        <v>2153</v>
      </c>
      <c r="D644" s="19" t="s">
        <v>2157</v>
      </c>
      <c r="E644" s="19" t="s">
        <v>2158</v>
      </c>
      <c r="F644" s="19" t="e">
        <f>MATCH(E644,#REF!,0)</f>
        <v>#REF!</v>
      </c>
      <c r="G644" s="19" t="s">
        <v>2159</v>
      </c>
      <c r="H644" s="19" t="s">
        <v>52</v>
      </c>
      <c r="I644" s="19"/>
      <c r="J644" s="19" t="s">
        <v>2156</v>
      </c>
      <c r="K644" s="19" t="s">
        <v>20</v>
      </c>
      <c r="L644" s="3" t="str">
        <f>HYPERLINK(VLOOKUP(C644,BAPs!$A$2:$C$1048576,3,FALSE),VLOOKUP(C644,BAPs!$A$2:$C$1048576,2,FALSE))</f>
        <v>1 out of 10</v>
      </c>
    </row>
    <row r="645" spans="1:12" hidden="1">
      <c r="A645" s="19" t="s">
        <v>2098</v>
      </c>
      <c r="B645" s="19" t="s">
        <v>1044</v>
      </c>
      <c r="C645" s="19" t="s">
        <v>2134</v>
      </c>
      <c r="D645" s="19" t="s">
        <v>2134</v>
      </c>
      <c r="E645" s="19" t="s">
        <v>2135</v>
      </c>
      <c r="F645" s="19" t="e">
        <f>MATCH(E645,#REF!,0)</f>
        <v>#REF!</v>
      </c>
      <c r="G645" s="19" t="s">
        <v>2136</v>
      </c>
      <c r="H645" s="19" t="s">
        <v>17</v>
      </c>
      <c r="I645" s="19" t="s">
        <v>18</v>
      </c>
      <c r="J645" s="19" t="s">
        <v>2160</v>
      </c>
      <c r="K645" s="19" t="s">
        <v>20</v>
      </c>
      <c r="L645" s="3" t="str">
        <f>HYPERLINK(VLOOKUP(C645,BAPs!$A$2:$C$1048576,3,FALSE),VLOOKUP(C645,BAPs!$A$2:$C$1048576,2,FALSE))</f>
        <v>1 out of 10</v>
      </c>
    </row>
    <row r="646" spans="1:12" hidden="1">
      <c r="A646" s="19" t="s">
        <v>2098</v>
      </c>
      <c r="B646" s="19" t="s">
        <v>1044</v>
      </c>
      <c r="C646" s="19" t="s">
        <v>2134</v>
      </c>
      <c r="D646" s="19" t="s">
        <v>1480</v>
      </c>
      <c r="E646" s="19" t="s">
        <v>1481</v>
      </c>
      <c r="F646" s="19" t="e">
        <f>MATCH(E646,#REF!,0)</f>
        <v>#REF!</v>
      </c>
      <c r="G646" s="19" t="s">
        <v>1482</v>
      </c>
      <c r="H646" s="19" t="s">
        <v>24</v>
      </c>
      <c r="I646" s="19"/>
      <c r="J646" s="19" t="s">
        <v>2160</v>
      </c>
      <c r="K646" s="19" t="s">
        <v>20</v>
      </c>
      <c r="L646" s="3" t="str">
        <f>HYPERLINK(VLOOKUP(C646,BAPs!$A$2:$C$1048576,3,FALSE),VLOOKUP(C646,BAPs!$A$2:$C$1048576,2,FALSE))</f>
        <v>1 out of 10</v>
      </c>
    </row>
    <row r="647" spans="1:12" hidden="1">
      <c r="A647" s="19" t="s">
        <v>2098</v>
      </c>
      <c r="B647" s="19" t="s">
        <v>1044</v>
      </c>
      <c r="C647" s="19" t="s">
        <v>2161</v>
      </c>
      <c r="D647" s="19" t="s">
        <v>2162</v>
      </c>
      <c r="E647" s="19" t="s">
        <v>2163</v>
      </c>
      <c r="F647" s="19" t="e">
        <f>MATCH(E647,#REF!,0)</f>
        <v>#REF!</v>
      </c>
      <c r="G647" s="19" t="s">
        <v>2164</v>
      </c>
      <c r="H647" s="19" t="s">
        <v>17</v>
      </c>
      <c r="I647" s="19" t="s">
        <v>18</v>
      </c>
      <c r="J647" s="19" t="s">
        <v>2165</v>
      </c>
      <c r="K647" s="19" t="s">
        <v>20</v>
      </c>
      <c r="L647" s="3" t="str">
        <f>HYPERLINK(VLOOKUP(C647,BAPs!$A$2:$C$1048576,3,FALSE),VLOOKUP(C647,BAPs!$A$2:$C$1048576,2,FALSE))</f>
        <v>6 out of 10</v>
      </c>
    </row>
    <row r="648" spans="1:12" hidden="1">
      <c r="A648" s="19" t="s">
        <v>2098</v>
      </c>
      <c r="B648" s="19" t="s">
        <v>1044</v>
      </c>
      <c r="C648" s="19" t="s">
        <v>2161</v>
      </c>
      <c r="D648" s="19" t="s">
        <v>1680</v>
      </c>
      <c r="E648" s="19" t="s">
        <v>1681</v>
      </c>
      <c r="F648" s="19" t="e">
        <f>MATCH(E648,#REF!,0)</f>
        <v>#REF!</v>
      </c>
      <c r="G648" s="19" t="s">
        <v>1682</v>
      </c>
      <c r="H648" s="19" t="s">
        <v>43</v>
      </c>
      <c r="I648" s="19"/>
      <c r="J648" s="19" t="s">
        <v>2165</v>
      </c>
      <c r="K648" s="19" t="s">
        <v>20</v>
      </c>
      <c r="L648" s="3" t="str">
        <f>HYPERLINK(VLOOKUP(C648,BAPs!$A$2:$C$1048576,3,FALSE),VLOOKUP(C648,BAPs!$A$2:$C$1048576,2,FALSE))</f>
        <v>6 out of 10</v>
      </c>
    </row>
    <row r="649" spans="1:12" hidden="1">
      <c r="A649" s="19" t="s">
        <v>2098</v>
      </c>
      <c r="B649" s="19" t="s">
        <v>1044</v>
      </c>
      <c r="C649" s="19" t="s">
        <v>1499</v>
      </c>
      <c r="D649" s="19" t="s">
        <v>2166</v>
      </c>
      <c r="E649" s="19" t="s">
        <v>2167</v>
      </c>
      <c r="F649" s="19" t="e">
        <f>MATCH(E649,#REF!,0)</f>
        <v>#REF!</v>
      </c>
      <c r="G649" s="19" t="s">
        <v>2168</v>
      </c>
      <c r="H649" s="19" t="s">
        <v>17</v>
      </c>
      <c r="I649" s="19" t="s">
        <v>18</v>
      </c>
      <c r="J649" s="19" t="s">
        <v>2169</v>
      </c>
      <c r="K649" s="19" t="s">
        <v>62</v>
      </c>
      <c r="L649" s="3" t="str">
        <f>HYPERLINK(VLOOKUP(C649,BAPs!$A$2:$C$1048576,3,FALSE),VLOOKUP(C649,BAPs!$A$2:$C$1048576,2,FALSE))</f>
        <v>10 out of 10</v>
      </c>
    </row>
    <row r="650" spans="1:12" hidden="1">
      <c r="A650" s="19" t="s">
        <v>2098</v>
      </c>
      <c r="B650" s="19" t="s">
        <v>1044</v>
      </c>
      <c r="C650" s="19" t="s">
        <v>1499</v>
      </c>
      <c r="D650" s="19" t="s">
        <v>2170</v>
      </c>
      <c r="E650" s="19" t="s">
        <v>2171</v>
      </c>
      <c r="F650" s="19" t="e">
        <f>MATCH(E650,#REF!,0)</f>
        <v>#REF!</v>
      </c>
      <c r="G650" s="19" t="s">
        <v>2172</v>
      </c>
      <c r="H650" s="19" t="s">
        <v>52</v>
      </c>
      <c r="I650" s="19"/>
      <c r="J650" s="19" t="s">
        <v>2169</v>
      </c>
      <c r="K650" s="19" t="s">
        <v>62</v>
      </c>
      <c r="L650" s="3" t="str">
        <f>HYPERLINK(VLOOKUP(C650,BAPs!$A$2:$C$1048576,3,FALSE),VLOOKUP(C650,BAPs!$A$2:$C$1048576,2,FALSE))</f>
        <v>10 out of 10</v>
      </c>
    </row>
    <row r="651" spans="1:12" hidden="1">
      <c r="A651" s="19" t="s">
        <v>2098</v>
      </c>
      <c r="B651" s="19" t="s">
        <v>1044</v>
      </c>
      <c r="C651" s="19" t="s">
        <v>1480</v>
      </c>
      <c r="D651" s="19" t="s">
        <v>2134</v>
      </c>
      <c r="E651" s="19" t="s">
        <v>2135</v>
      </c>
      <c r="F651" s="19" t="e">
        <f>MATCH(E651,#REF!,0)</f>
        <v>#REF!</v>
      </c>
      <c r="G651" s="19" t="s">
        <v>2136</v>
      </c>
      <c r="H651" s="19" t="s">
        <v>17</v>
      </c>
      <c r="I651" s="19" t="s">
        <v>18</v>
      </c>
      <c r="J651" s="19" t="s">
        <v>2173</v>
      </c>
      <c r="K651" s="19" t="s">
        <v>20</v>
      </c>
      <c r="L651" s="3" t="str">
        <f>HYPERLINK(VLOOKUP(C651,BAPs!$A$2:$C$1048576,3,FALSE),VLOOKUP(C651,BAPs!$A$2:$C$1048576,2,FALSE))</f>
        <v>7 out of 10</v>
      </c>
    </row>
    <row r="652" spans="1:12" hidden="1">
      <c r="A652" s="19" t="s">
        <v>2098</v>
      </c>
      <c r="B652" s="19" t="s">
        <v>1044</v>
      </c>
      <c r="C652" s="19" t="s">
        <v>1480</v>
      </c>
      <c r="D652" s="19" t="s">
        <v>1480</v>
      </c>
      <c r="E652" s="19" t="s">
        <v>1481</v>
      </c>
      <c r="F652" s="19" t="e">
        <f>MATCH(E652,#REF!,0)</f>
        <v>#REF!</v>
      </c>
      <c r="G652" s="19" t="s">
        <v>1482</v>
      </c>
      <c r="H652" s="19" t="s">
        <v>24</v>
      </c>
      <c r="I652" s="19"/>
      <c r="J652" s="19" t="s">
        <v>2173</v>
      </c>
      <c r="K652" s="19" t="s">
        <v>20</v>
      </c>
      <c r="L652" s="3" t="str">
        <f>HYPERLINK(VLOOKUP(C652,BAPs!$A$2:$C$1048576,3,FALSE),VLOOKUP(C652,BAPs!$A$2:$C$1048576,2,FALSE))</f>
        <v>7 out of 10</v>
      </c>
    </row>
    <row r="653" spans="1:12" hidden="1">
      <c r="A653" s="19" t="s">
        <v>2174</v>
      </c>
      <c r="B653" s="19" t="s">
        <v>1044</v>
      </c>
      <c r="C653" s="19" t="s">
        <v>2175</v>
      </c>
      <c r="D653" s="19" t="s">
        <v>2175</v>
      </c>
      <c r="E653" s="19" t="s">
        <v>2176</v>
      </c>
      <c r="F653" s="19" t="e">
        <f>MATCH(E653,#REF!,0)</f>
        <v>#REF!</v>
      </c>
      <c r="G653" s="19" t="s">
        <v>2177</v>
      </c>
      <c r="H653" s="19" t="s">
        <v>17</v>
      </c>
      <c r="I653" s="19" t="s">
        <v>18</v>
      </c>
      <c r="J653" s="19" t="s">
        <v>2178</v>
      </c>
      <c r="K653" s="19" t="s">
        <v>62</v>
      </c>
      <c r="L653" s="3" t="str">
        <f>HYPERLINK(VLOOKUP(C653,BAPs!$A$2:$C$1048576,3,FALSE),VLOOKUP(C653,BAPs!$A$2:$C$1048576,2,FALSE))</f>
        <v>9 out of 10</v>
      </c>
    </row>
    <row r="654" spans="1:12" hidden="1">
      <c r="A654" s="19" t="s">
        <v>2174</v>
      </c>
      <c r="B654" s="19" t="s">
        <v>1044</v>
      </c>
      <c r="C654" s="19" t="s">
        <v>2179</v>
      </c>
      <c r="D654" s="19" t="s">
        <v>2179</v>
      </c>
      <c r="E654" s="19" t="s">
        <v>2180</v>
      </c>
      <c r="F654" s="19" t="e">
        <f>MATCH(E654,#REF!,0)</f>
        <v>#REF!</v>
      </c>
      <c r="G654" s="19" t="s">
        <v>2181</v>
      </c>
      <c r="H654" s="19" t="s">
        <v>52</v>
      </c>
      <c r="I654" s="19"/>
      <c r="J654" s="19" t="s">
        <v>2182</v>
      </c>
      <c r="K654" s="19" t="s">
        <v>20</v>
      </c>
      <c r="L654" s="3" t="str">
        <f>HYPERLINK(VLOOKUP(C654,BAPs!$A$2:$C$1048576,3,FALSE),VLOOKUP(C654,BAPs!$A$2:$C$1048576,2,FALSE))</f>
        <v>8 out of 10</v>
      </c>
    </row>
    <row r="655" spans="1:12" hidden="1">
      <c r="A655" s="19" t="s">
        <v>2174</v>
      </c>
      <c r="B655" s="19" t="s">
        <v>1044</v>
      </c>
      <c r="C655" s="19" t="s">
        <v>2183</v>
      </c>
      <c r="D655" s="19" t="s">
        <v>2183</v>
      </c>
      <c r="E655" s="19" t="s">
        <v>2184</v>
      </c>
      <c r="F655" s="19" t="e">
        <f>MATCH(E655,#REF!,0)</f>
        <v>#REF!</v>
      </c>
      <c r="G655" s="19" t="s">
        <v>2185</v>
      </c>
      <c r="H655" s="19" t="s">
        <v>52</v>
      </c>
      <c r="I655" s="19"/>
      <c r="J655" s="19" t="s">
        <v>2186</v>
      </c>
      <c r="K655" s="19" t="s">
        <v>20</v>
      </c>
      <c r="L655" s="3" t="str">
        <f>HYPERLINK(VLOOKUP(C655,BAPs!$A$2:$C$1048576,3,FALSE),VLOOKUP(C655,BAPs!$A$2:$C$1048576,2,FALSE))</f>
        <v>3 out of 10</v>
      </c>
    </row>
    <row r="656" spans="1:12" hidden="1">
      <c r="A656" s="19" t="s">
        <v>2174</v>
      </c>
      <c r="B656" s="19" t="s">
        <v>1044</v>
      </c>
      <c r="C656" s="19" t="s">
        <v>2183</v>
      </c>
      <c r="D656" s="19" t="s">
        <v>1329</v>
      </c>
      <c r="E656" s="19" t="s">
        <v>2187</v>
      </c>
      <c r="F656" s="19" t="e">
        <f>MATCH(E656,#REF!,0)</f>
        <v>#REF!</v>
      </c>
      <c r="G656" s="19" t="s">
        <v>2188</v>
      </c>
      <c r="H656" s="19" t="s">
        <v>56</v>
      </c>
      <c r="I656" s="19"/>
      <c r="J656" s="19" t="s">
        <v>2186</v>
      </c>
      <c r="K656" s="19" t="s">
        <v>20</v>
      </c>
      <c r="L656" s="3" t="str">
        <f>HYPERLINK(VLOOKUP(C656,BAPs!$A$2:$C$1048576,3,FALSE),VLOOKUP(C656,BAPs!$A$2:$C$1048576,2,FALSE))</f>
        <v>3 out of 10</v>
      </c>
    </row>
    <row r="657" spans="1:12" hidden="1">
      <c r="A657" s="19" t="s">
        <v>2174</v>
      </c>
      <c r="B657" s="19" t="s">
        <v>1044</v>
      </c>
      <c r="C657" s="19" t="s">
        <v>2183</v>
      </c>
      <c r="D657" s="19" t="s">
        <v>2189</v>
      </c>
      <c r="E657" s="19" t="s">
        <v>2190</v>
      </c>
      <c r="F657" s="19" t="e">
        <f>MATCH(E657,#REF!,0)</f>
        <v>#REF!</v>
      </c>
      <c r="G657" s="19" t="s">
        <v>2191</v>
      </c>
      <c r="H657" s="19" t="s">
        <v>56</v>
      </c>
      <c r="I657" s="19"/>
      <c r="J657" s="19" t="s">
        <v>2186</v>
      </c>
      <c r="K657" s="19" t="s">
        <v>20</v>
      </c>
      <c r="L657" s="3" t="str">
        <f>HYPERLINK(VLOOKUP(C657,BAPs!$A$2:$C$1048576,3,FALSE),VLOOKUP(C657,BAPs!$A$2:$C$1048576,2,FALSE))</f>
        <v>3 out of 10</v>
      </c>
    </row>
    <row r="658" spans="1:12" hidden="1">
      <c r="A658" s="19" t="s">
        <v>2174</v>
      </c>
      <c r="B658" s="19" t="s">
        <v>1044</v>
      </c>
      <c r="C658" s="19" t="s">
        <v>2192</v>
      </c>
      <c r="D658" s="19" t="s">
        <v>2192</v>
      </c>
      <c r="E658" s="19" t="s">
        <v>2193</v>
      </c>
      <c r="F658" s="19" t="e">
        <f>MATCH(E658,#REF!,0)</f>
        <v>#REF!</v>
      </c>
      <c r="G658" s="19" t="s">
        <v>2194</v>
      </c>
      <c r="H658" s="19" t="s">
        <v>17</v>
      </c>
      <c r="I658" s="19" t="s">
        <v>18</v>
      </c>
      <c r="J658" s="19" t="s">
        <v>2195</v>
      </c>
      <c r="K658" s="19" t="s">
        <v>20</v>
      </c>
      <c r="L658" s="3" t="str">
        <f>HYPERLINK(VLOOKUP(C658,BAPs!$A$2:$C$1048576,3,FALSE),VLOOKUP(C658,BAPs!$A$2:$C$1048576,2,FALSE))</f>
        <v>1 out of 10</v>
      </c>
    </row>
    <row r="659" spans="1:12" hidden="1">
      <c r="A659" s="19" t="s">
        <v>2174</v>
      </c>
      <c r="B659" s="19" t="s">
        <v>1044</v>
      </c>
      <c r="C659" s="19" t="s">
        <v>2192</v>
      </c>
      <c r="D659" s="19" t="s">
        <v>1129</v>
      </c>
      <c r="E659" s="19" t="s">
        <v>2196</v>
      </c>
      <c r="F659" s="19" t="e">
        <f>MATCH(E659,#REF!,0)</f>
        <v>#REF!</v>
      </c>
      <c r="G659" s="19" t="s">
        <v>2197</v>
      </c>
      <c r="H659" s="19" t="s">
        <v>24</v>
      </c>
      <c r="I659" s="19"/>
      <c r="J659" s="19" t="s">
        <v>2195</v>
      </c>
      <c r="K659" s="19" t="s">
        <v>20</v>
      </c>
      <c r="L659" s="3" t="str">
        <f>HYPERLINK(VLOOKUP(C659,BAPs!$A$2:$C$1048576,3,FALSE),VLOOKUP(C659,BAPs!$A$2:$C$1048576,2,FALSE))</f>
        <v>1 out of 10</v>
      </c>
    </row>
    <row r="660" spans="1:12" hidden="1">
      <c r="A660" s="19" t="s">
        <v>2174</v>
      </c>
      <c r="B660" s="19" t="s">
        <v>1044</v>
      </c>
      <c r="C660" s="19" t="s">
        <v>2198</v>
      </c>
      <c r="D660" s="19" t="s">
        <v>2198</v>
      </c>
      <c r="E660" s="19" t="s">
        <v>2199</v>
      </c>
      <c r="F660" s="19" t="e">
        <f>MATCH(E660,#REF!,0)</f>
        <v>#REF!</v>
      </c>
      <c r="G660" s="19" t="s">
        <v>2200</v>
      </c>
      <c r="H660" s="19" t="s">
        <v>52</v>
      </c>
      <c r="I660" s="19"/>
      <c r="J660" s="19" t="s">
        <v>2201</v>
      </c>
      <c r="K660" s="19" t="s">
        <v>20</v>
      </c>
      <c r="L660" s="3" t="str">
        <f>HYPERLINK(VLOOKUP(C660,BAPs!$A$2:$C$1048576,3,FALSE),VLOOKUP(C660,BAPs!$A$2:$C$1048576,2,FALSE))</f>
        <v>7 out of 10</v>
      </c>
    </row>
    <row r="661" spans="1:12" hidden="1">
      <c r="A661" s="19" t="s">
        <v>2174</v>
      </c>
      <c r="B661" s="19" t="s">
        <v>1044</v>
      </c>
      <c r="C661" s="19" t="s">
        <v>2198</v>
      </c>
      <c r="D661" s="19" t="s">
        <v>2202</v>
      </c>
      <c r="E661" s="19" t="s">
        <v>2203</v>
      </c>
      <c r="F661" s="19" t="e">
        <f>MATCH(E661,#REF!,0)</f>
        <v>#REF!</v>
      </c>
      <c r="G661" s="19" t="s">
        <v>2204</v>
      </c>
      <c r="H661" s="19" t="s">
        <v>24</v>
      </c>
      <c r="I661" s="19"/>
      <c r="J661" s="19" t="s">
        <v>2201</v>
      </c>
      <c r="K661" s="19" t="s">
        <v>20</v>
      </c>
      <c r="L661" s="3" t="str">
        <f>HYPERLINK(VLOOKUP(C661,BAPs!$A$2:$C$1048576,3,FALSE),VLOOKUP(C661,BAPs!$A$2:$C$1048576,2,FALSE))</f>
        <v>7 out of 10</v>
      </c>
    </row>
    <row r="662" spans="1:12" hidden="1">
      <c r="A662" s="19" t="s">
        <v>2174</v>
      </c>
      <c r="B662" s="19" t="s">
        <v>1044</v>
      </c>
      <c r="C662" s="19" t="s">
        <v>2205</v>
      </c>
      <c r="D662" s="19" t="s">
        <v>1264</v>
      </c>
      <c r="E662" s="19" t="s">
        <v>1265</v>
      </c>
      <c r="F662" s="19" t="e">
        <f>MATCH(E662,#REF!,0)</f>
        <v>#REF!</v>
      </c>
      <c r="G662" s="19" t="s">
        <v>1266</v>
      </c>
      <c r="H662" s="19" t="s">
        <v>43</v>
      </c>
      <c r="I662" s="19"/>
      <c r="J662" s="19" t="s">
        <v>2206</v>
      </c>
      <c r="K662" s="19" t="s">
        <v>20</v>
      </c>
      <c r="L662" s="3" t="str">
        <f>HYPERLINK(VLOOKUP(C662,BAPs!$A$2:$C$1048576,3,FALSE),VLOOKUP(C662,BAPs!$A$2:$C$1048576,2,FALSE))</f>
        <v>1 out of 10</v>
      </c>
    </row>
    <row r="663" spans="1:12" hidden="1">
      <c r="A663" s="19" t="s">
        <v>2174</v>
      </c>
      <c r="B663" s="19" t="s">
        <v>1044</v>
      </c>
      <c r="C663" s="19" t="s">
        <v>2205</v>
      </c>
      <c r="D663" s="19" t="s">
        <v>2205</v>
      </c>
      <c r="E663" s="19" t="s">
        <v>2207</v>
      </c>
      <c r="F663" s="19" t="e">
        <f>MATCH(E663,#REF!,0)</f>
        <v>#REF!</v>
      </c>
      <c r="G663" s="19" t="s">
        <v>2208</v>
      </c>
      <c r="H663" s="19" t="s">
        <v>24</v>
      </c>
      <c r="I663" s="19" t="s">
        <v>18</v>
      </c>
      <c r="J663" s="19" t="s">
        <v>2206</v>
      </c>
      <c r="K663" s="19" t="s">
        <v>20</v>
      </c>
      <c r="L663" s="3" t="str">
        <f>HYPERLINK(VLOOKUP(C663,BAPs!$A$2:$C$1048576,3,FALSE),VLOOKUP(C663,BAPs!$A$2:$C$1048576,2,FALSE))</f>
        <v>1 out of 10</v>
      </c>
    </row>
    <row r="664" spans="1:12" hidden="1">
      <c r="A664" s="19" t="s">
        <v>2174</v>
      </c>
      <c r="B664" s="19" t="s">
        <v>1044</v>
      </c>
      <c r="C664" s="19" t="s">
        <v>2209</v>
      </c>
      <c r="D664" s="19" t="s">
        <v>2210</v>
      </c>
      <c r="E664" s="19" t="s">
        <v>2211</v>
      </c>
      <c r="F664" s="19" t="e">
        <f>MATCH(E664,#REF!,0)</f>
        <v>#REF!</v>
      </c>
      <c r="G664" s="19" t="s">
        <v>2212</v>
      </c>
      <c r="H664" s="19" t="s">
        <v>56</v>
      </c>
      <c r="I664" s="19"/>
      <c r="J664" s="19" t="s">
        <v>2213</v>
      </c>
      <c r="K664" s="19" t="s">
        <v>20</v>
      </c>
      <c r="L664" s="3" t="str">
        <f>HYPERLINK(VLOOKUP(C664,BAPs!$A$2:$C$1048576,3,FALSE),VLOOKUP(C664,BAPs!$A$2:$C$1048576,2,FALSE))</f>
        <v>3 out of 10</v>
      </c>
    </row>
    <row r="665" spans="1:12" hidden="1">
      <c r="A665" s="19" t="s">
        <v>2174</v>
      </c>
      <c r="B665" s="19" t="s">
        <v>1044</v>
      </c>
      <c r="C665" s="19" t="s">
        <v>2209</v>
      </c>
      <c r="D665" s="19" t="s">
        <v>2214</v>
      </c>
      <c r="E665" s="19" t="s">
        <v>2215</v>
      </c>
      <c r="F665" s="19" t="e">
        <f>MATCH(E665,#REF!,0)</f>
        <v>#REF!</v>
      </c>
      <c r="G665" s="19" t="s">
        <v>2216</v>
      </c>
      <c r="H665" s="19" t="s">
        <v>56</v>
      </c>
      <c r="I665" s="19"/>
      <c r="J665" s="19" t="s">
        <v>2213</v>
      </c>
      <c r="K665" s="19" t="s">
        <v>20</v>
      </c>
      <c r="L665" s="3" t="str">
        <f>HYPERLINK(VLOOKUP(C665,BAPs!$A$2:$C$1048576,3,FALSE),VLOOKUP(C665,BAPs!$A$2:$C$1048576,2,FALSE))</f>
        <v>3 out of 10</v>
      </c>
    </row>
    <row r="666" spans="1:12" hidden="1">
      <c r="A666" s="19" t="s">
        <v>2174</v>
      </c>
      <c r="B666" s="19" t="s">
        <v>1044</v>
      </c>
      <c r="C666" s="19" t="s">
        <v>2209</v>
      </c>
      <c r="D666" s="19" t="s">
        <v>2217</v>
      </c>
      <c r="E666" s="19" t="s">
        <v>2218</v>
      </c>
      <c r="F666" s="19" t="e">
        <f>MATCH(E666,#REF!,0)</f>
        <v>#REF!</v>
      </c>
      <c r="G666" s="19" t="s">
        <v>2219</v>
      </c>
      <c r="H666" s="19" t="s">
        <v>56</v>
      </c>
      <c r="I666" s="19"/>
      <c r="J666" s="19" t="s">
        <v>2213</v>
      </c>
      <c r="K666" s="19" t="s">
        <v>20</v>
      </c>
      <c r="L666" s="3" t="str">
        <f>HYPERLINK(VLOOKUP(C666,BAPs!$A$2:$C$1048576,3,FALSE),VLOOKUP(C666,BAPs!$A$2:$C$1048576,2,FALSE))</f>
        <v>3 out of 10</v>
      </c>
    </row>
    <row r="667" spans="1:12" hidden="1">
      <c r="A667" s="19" t="s">
        <v>2174</v>
      </c>
      <c r="B667" s="19" t="s">
        <v>1044</v>
      </c>
      <c r="C667" s="19" t="s">
        <v>2209</v>
      </c>
      <c r="D667" s="19" t="s">
        <v>2220</v>
      </c>
      <c r="E667" s="19" t="s">
        <v>2221</v>
      </c>
      <c r="F667" s="19" t="e">
        <f>MATCH(E667,#REF!,0)</f>
        <v>#REF!</v>
      </c>
      <c r="G667" s="19" t="s">
        <v>2222</v>
      </c>
      <c r="H667" s="19" t="s">
        <v>56</v>
      </c>
      <c r="I667" s="19"/>
      <c r="J667" s="19" t="s">
        <v>2213</v>
      </c>
      <c r="K667" s="19" t="s">
        <v>20</v>
      </c>
      <c r="L667" s="3" t="str">
        <f>HYPERLINK(VLOOKUP(C667,BAPs!$A$2:$C$1048576,3,FALSE),VLOOKUP(C667,BAPs!$A$2:$C$1048576,2,FALSE))</f>
        <v>3 out of 10</v>
      </c>
    </row>
    <row r="668" spans="1:12" hidden="1">
      <c r="A668" s="19" t="s">
        <v>2174</v>
      </c>
      <c r="B668" s="19" t="s">
        <v>1044</v>
      </c>
      <c r="C668" s="19" t="s">
        <v>2223</v>
      </c>
      <c r="D668" s="19" t="s">
        <v>2223</v>
      </c>
      <c r="E668" s="19" t="s">
        <v>2224</v>
      </c>
      <c r="F668" s="19" t="e">
        <f>MATCH(E668,#REF!,0)</f>
        <v>#REF!</v>
      </c>
      <c r="G668" s="19" t="s">
        <v>2225</v>
      </c>
      <c r="H668" s="19" t="s">
        <v>84</v>
      </c>
      <c r="I668" s="19"/>
      <c r="J668" s="19" t="s">
        <v>2226</v>
      </c>
      <c r="K668" s="19" t="s">
        <v>62</v>
      </c>
      <c r="L668" s="3" t="str">
        <f>HYPERLINK(VLOOKUP(C668,BAPs!$A$2:$C$1048576,3,FALSE),VLOOKUP(C668,BAPs!$A$2:$C$1048576,2,FALSE))</f>
        <v>10 out of 10</v>
      </c>
    </row>
    <row r="669" spans="1:12" hidden="1">
      <c r="A669" s="19" t="s">
        <v>2174</v>
      </c>
      <c r="B669" s="19" t="s">
        <v>1044</v>
      </c>
      <c r="C669" s="19" t="s">
        <v>2227</v>
      </c>
      <c r="D669" s="19" t="s">
        <v>2228</v>
      </c>
      <c r="E669" s="19" t="s">
        <v>2229</v>
      </c>
      <c r="F669" s="19" t="e">
        <f>MATCH(E669,#REF!,0)</f>
        <v>#REF!</v>
      </c>
      <c r="G669" s="19" t="s">
        <v>2230</v>
      </c>
      <c r="H669" s="19" t="s">
        <v>56</v>
      </c>
      <c r="I669" s="19"/>
      <c r="J669" s="19" t="s">
        <v>2231</v>
      </c>
      <c r="K669" s="19" t="s">
        <v>20</v>
      </c>
      <c r="L669" s="3" t="str">
        <f>HYPERLINK(VLOOKUP(C669,BAPs!$A$2:$C$1048576,3,FALSE),VLOOKUP(C669,BAPs!$A$2:$C$1048576,2,FALSE))</f>
        <v>8 out of 10</v>
      </c>
    </row>
    <row r="670" spans="1:12" hidden="1">
      <c r="A670" s="19" t="s">
        <v>2232</v>
      </c>
      <c r="B670" s="19" t="s">
        <v>2233</v>
      </c>
      <c r="C670" s="19" t="s">
        <v>2234</v>
      </c>
      <c r="D670" s="19" t="s">
        <v>2234</v>
      </c>
      <c r="E670" s="19" t="s">
        <v>2235</v>
      </c>
      <c r="F670" s="19" t="e">
        <f>MATCH(E670,#REF!,0)</f>
        <v>#REF!</v>
      </c>
      <c r="G670" s="19" t="s">
        <v>2236</v>
      </c>
      <c r="H670" s="19" t="s">
        <v>17</v>
      </c>
      <c r="I670" s="19" t="s">
        <v>18</v>
      </c>
      <c r="J670" s="19" t="s">
        <v>2237</v>
      </c>
      <c r="K670" s="19" t="s">
        <v>20</v>
      </c>
      <c r="L670" s="3" t="str">
        <f>HYPERLINK(VLOOKUP(C670,BAPs!$A$2:$C$1048576,3,FALSE),VLOOKUP(C670,BAPs!$A$2:$C$1048576,2,FALSE))</f>
        <v>4 out of 10</v>
      </c>
    </row>
    <row r="671" spans="1:12" hidden="1">
      <c r="A671" s="19" t="s">
        <v>2232</v>
      </c>
      <c r="B671" s="19" t="s">
        <v>2233</v>
      </c>
      <c r="C671" s="19" t="s">
        <v>2234</v>
      </c>
      <c r="D671" s="19" t="s">
        <v>2238</v>
      </c>
      <c r="E671" s="19" t="s">
        <v>2239</v>
      </c>
      <c r="F671" s="19" t="e">
        <f>MATCH(E671,#REF!,0)</f>
        <v>#REF!</v>
      </c>
      <c r="G671" s="19" t="s">
        <v>2240</v>
      </c>
      <c r="H671" s="19" t="s">
        <v>43</v>
      </c>
      <c r="I671" s="19"/>
      <c r="J671" s="19" t="s">
        <v>2237</v>
      </c>
      <c r="K671" s="19" t="s">
        <v>20</v>
      </c>
      <c r="L671" s="3" t="str">
        <f>HYPERLINK(VLOOKUP(C671,BAPs!$A$2:$C$1048576,3,FALSE),VLOOKUP(C671,BAPs!$A$2:$C$1048576,2,FALSE))</f>
        <v>4 out of 10</v>
      </c>
    </row>
    <row r="672" spans="1:12" hidden="1">
      <c r="A672" s="19" t="s">
        <v>2232</v>
      </c>
      <c r="B672" s="19" t="s">
        <v>2233</v>
      </c>
      <c r="C672" s="19" t="s">
        <v>2241</v>
      </c>
      <c r="D672" s="19" t="s">
        <v>2241</v>
      </c>
      <c r="E672" s="19" t="s">
        <v>2242</v>
      </c>
      <c r="F672" s="19" t="e">
        <f>MATCH(E672,#REF!,0)</f>
        <v>#REF!</v>
      </c>
      <c r="G672" s="19" t="s">
        <v>2243</v>
      </c>
      <c r="H672" s="19" t="s">
        <v>17</v>
      </c>
      <c r="I672" s="19" t="s">
        <v>18</v>
      </c>
      <c r="J672" s="19" t="s">
        <v>2244</v>
      </c>
      <c r="K672" s="19" t="s">
        <v>20</v>
      </c>
      <c r="L672" s="3" t="str">
        <f>HYPERLINK(VLOOKUP(C672,BAPs!$A$2:$C$1048576,3,FALSE),VLOOKUP(C672,BAPs!$A$2:$C$1048576,2,FALSE))</f>
        <v>4 out of 10</v>
      </c>
    </row>
    <row r="673" spans="1:12" hidden="1">
      <c r="A673" s="19" t="s">
        <v>2232</v>
      </c>
      <c r="B673" s="19" t="s">
        <v>2233</v>
      </c>
      <c r="C673" s="19" t="s">
        <v>2245</v>
      </c>
      <c r="D673" s="19" t="s">
        <v>2246</v>
      </c>
      <c r="E673" s="19" t="s">
        <v>2247</v>
      </c>
      <c r="F673" s="19" t="e">
        <f>MATCH(E673,#REF!,0)</f>
        <v>#REF!</v>
      </c>
      <c r="G673" s="19" t="s">
        <v>2248</v>
      </c>
      <c r="H673" s="19" t="s">
        <v>52</v>
      </c>
      <c r="I673" s="19"/>
      <c r="J673" s="19" t="s">
        <v>2249</v>
      </c>
      <c r="K673" s="19" t="s">
        <v>62</v>
      </c>
      <c r="L673" s="3" t="str">
        <f>HYPERLINK(VLOOKUP(C673,BAPs!$A$2:$C$1048576,3,FALSE),VLOOKUP(C673,BAPs!$A$2:$C$1048576,2,FALSE))</f>
        <v>9 out of 10</v>
      </c>
    </row>
    <row r="674" spans="1:12" hidden="1">
      <c r="A674" s="19" t="s">
        <v>2232</v>
      </c>
      <c r="B674" s="19" t="s">
        <v>2233</v>
      </c>
      <c r="C674" s="19" t="s">
        <v>2245</v>
      </c>
      <c r="D674" s="19" t="s">
        <v>2250</v>
      </c>
      <c r="E674" s="19" t="s">
        <v>2251</v>
      </c>
      <c r="F674" s="19" t="e">
        <f>MATCH(E674,#REF!,0)</f>
        <v>#REF!</v>
      </c>
      <c r="G674" s="19" t="s">
        <v>2252</v>
      </c>
      <c r="H674" s="19" t="s">
        <v>56</v>
      </c>
      <c r="I674" s="19"/>
      <c r="J674" s="19" t="s">
        <v>2249</v>
      </c>
      <c r="K674" s="19" t="s">
        <v>62</v>
      </c>
      <c r="L674" s="3" t="str">
        <f>HYPERLINK(VLOOKUP(C674,BAPs!$A$2:$C$1048576,3,FALSE),VLOOKUP(C674,BAPs!$A$2:$C$1048576,2,FALSE))</f>
        <v>9 out of 10</v>
      </c>
    </row>
    <row r="675" spans="1:12" hidden="1">
      <c r="A675" s="19" t="s">
        <v>2232</v>
      </c>
      <c r="B675" s="19" t="s">
        <v>2233</v>
      </c>
      <c r="C675" s="19" t="s">
        <v>2253</v>
      </c>
      <c r="D675" s="19" t="s">
        <v>2253</v>
      </c>
      <c r="E675" s="19" t="s">
        <v>2254</v>
      </c>
      <c r="F675" s="19" t="e">
        <f>MATCH(E675,#REF!,0)</f>
        <v>#REF!</v>
      </c>
      <c r="G675" s="19" t="s">
        <v>2255</v>
      </c>
      <c r="H675" s="19" t="s">
        <v>24</v>
      </c>
      <c r="I675" s="19" t="s">
        <v>18</v>
      </c>
      <c r="J675" s="19" t="s">
        <v>2256</v>
      </c>
      <c r="K675" s="19" t="s">
        <v>20</v>
      </c>
      <c r="L675" s="3" t="str">
        <f>HYPERLINK(VLOOKUP(C675,BAPs!$A$2:$C$1048576,3,FALSE),VLOOKUP(C675,BAPs!$A$2:$C$1048576,2,FALSE))</f>
        <v>1 out of 10</v>
      </c>
    </row>
    <row r="676" spans="1:12" hidden="1">
      <c r="A676" s="19" t="s">
        <v>2232</v>
      </c>
      <c r="B676" s="19" t="s">
        <v>2233</v>
      </c>
      <c r="C676" s="19" t="s">
        <v>2257</v>
      </c>
      <c r="D676" s="19" t="s">
        <v>2258</v>
      </c>
      <c r="E676" s="19" t="s">
        <v>2259</v>
      </c>
      <c r="F676" s="19" t="e">
        <f>MATCH(E676,#REF!,0)</f>
        <v>#REF!</v>
      </c>
      <c r="G676" s="19" t="s">
        <v>2260</v>
      </c>
      <c r="H676" s="19" t="s">
        <v>17</v>
      </c>
      <c r="I676" s="19"/>
      <c r="J676" s="19" t="s">
        <v>2261</v>
      </c>
      <c r="K676" s="19" t="s">
        <v>20</v>
      </c>
      <c r="L676" s="3" t="str">
        <f>HYPERLINK(VLOOKUP(C676,BAPs!$A$2:$C$1048576,3,FALSE),VLOOKUP(C676,BAPs!$A$2:$C$1048576,2,FALSE))</f>
        <v>4 out of 10</v>
      </c>
    </row>
    <row r="677" spans="1:12" hidden="1">
      <c r="A677" s="19" t="s">
        <v>2232</v>
      </c>
      <c r="B677" s="19" t="s">
        <v>2233</v>
      </c>
      <c r="C677" s="19" t="s">
        <v>2257</v>
      </c>
      <c r="D677" s="19" t="s">
        <v>2262</v>
      </c>
      <c r="E677" s="19" t="s">
        <v>2263</v>
      </c>
      <c r="F677" s="19" t="e">
        <f>MATCH(E677,#REF!,0)</f>
        <v>#REF!</v>
      </c>
      <c r="G677" s="19" t="s">
        <v>2264</v>
      </c>
      <c r="H677" s="19" t="s">
        <v>56</v>
      </c>
      <c r="I677" s="19"/>
      <c r="J677" s="19" t="s">
        <v>2261</v>
      </c>
      <c r="K677" s="19" t="s">
        <v>20</v>
      </c>
      <c r="L677" s="3" t="str">
        <f>HYPERLINK(VLOOKUP(C677,BAPs!$A$2:$C$1048576,3,FALSE),VLOOKUP(C677,BAPs!$A$2:$C$1048576,2,FALSE))</f>
        <v>4 out of 10</v>
      </c>
    </row>
    <row r="678" spans="1:12" hidden="1">
      <c r="A678" s="19" t="s">
        <v>2232</v>
      </c>
      <c r="B678" s="19" t="s">
        <v>2233</v>
      </c>
      <c r="C678" s="19" t="s">
        <v>2257</v>
      </c>
      <c r="D678" s="19" t="s">
        <v>2265</v>
      </c>
      <c r="E678" s="19" t="s">
        <v>2266</v>
      </c>
      <c r="F678" s="19" t="e">
        <f>MATCH(E678,#REF!,0)</f>
        <v>#REF!</v>
      </c>
      <c r="G678" s="19" t="s">
        <v>2267</v>
      </c>
      <c r="H678" s="19" t="s">
        <v>52</v>
      </c>
      <c r="I678" s="19"/>
      <c r="J678" s="19" t="s">
        <v>2261</v>
      </c>
      <c r="K678" s="19" t="s">
        <v>20</v>
      </c>
      <c r="L678" s="3" t="str">
        <f>HYPERLINK(VLOOKUP(C678,BAPs!$A$2:$C$1048576,3,FALSE),VLOOKUP(C678,BAPs!$A$2:$C$1048576,2,FALSE))</f>
        <v>4 out of 10</v>
      </c>
    </row>
    <row r="679" spans="1:12" hidden="1">
      <c r="A679" s="19" t="s">
        <v>2232</v>
      </c>
      <c r="B679" s="19" t="s">
        <v>2233</v>
      </c>
      <c r="C679" s="19" t="s">
        <v>2268</v>
      </c>
      <c r="D679" s="19" t="s">
        <v>2269</v>
      </c>
      <c r="E679" s="19" t="s">
        <v>2270</v>
      </c>
      <c r="F679" s="19" t="e">
        <f>MATCH(E679,#REF!,0)</f>
        <v>#REF!</v>
      </c>
      <c r="G679" s="19" t="s">
        <v>2271</v>
      </c>
      <c r="H679" s="19" t="s">
        <v>24</v>
      </c>
      <c r="I679" s="19" t="s">
        <v>18</v>
      </c>
      <c r="J679" s="19" t="s">
        <v>2272</v>
      </c>
      <c r="K679" s="19" t="s">
        <v>20</v>
      </c>
      <c r="L679" s="3" t="str">
        <f>HYPERLINK(VLOOKUP(C679,BAPs!$A$2:$C$1048576,3,FALSE),VLOOKUP(C679,BAPs!$A$2:$C$1048576,2,FALSE))</f>
        <v>1 out of 10</v>
      </c>
    </row>
    <row r="680" spans="1:12" hidden="1">
      <c r="A680" s="19" t="s">
        <v>2232</v>
      </c>
      <c r="B680" s="19" t="s">
        <v>2233</v>
      </c>
      <c r="C680" s="19" t="s">
        <v>2268</v>
      </c>
      <c r="D680" s="19" t="s">
        <v>2273</v>
      </c>
      <c r="E680" s="19" t="s">
        <v>2274</v>
      </c>
      <c r="F680" s="19" t="e">
        <f>MATCH(E680,#REF!,0)</f>
        <v>#REF!</v>
      </c>
      <c r="G680" s="19" t="s">
        <v>2275</v>
      </c>
      <c r="H680" s="19" t="s">
        <v>84</v>
      </c>
      <c r="I680" s="19"/>
      <c r="J680" s="19" t="s">
        <v>2272</v>
      </c>
      <c r="K680" s="19" t="s">
        <v>20</v>
      </c>
      <c r="L680" s="3" t="str">
        <f>HYPERLINK(VLOOKUP(C680,BAPs!$A$2:$C$1048576,3,FALSE),VLOOKUP(C680,BAPs!$A$2:$C$1048576,2,FALSE))</f>
        <v>1 out of 10</v>
      </c>
    </row>
    <row r="681" spans="1:12" hidden="1">
      <c r="A681" s="19" t="s">
        <v>2232</v>
      </c>
      <c r="B681" s="19" t="s">
        <v>2233</v>
      </c>
      <c r="C681" s="19" t="s">
        <v>2276</v>
      </c>
      <c r="D681" s="19" t="s">
        <v>2277</v>
      </c>
      <c r="E681" s="19" t="s">
        <v>2278</v>
      </c>
      <c r="F681" s="19" t="e">
        <f>MATCH(E681,#REF!,0)</f>
        <v>#REF!</v>
      </c>
      <c r="G681" s="19" t="s">
        <v>2279</v>
      </c>
      <c r="H681" s="19" t="s">
        <v>56</v>
      </c>
      <c r="I681" s="19"/>
      <c r="J681" s="19" t="s">
        <v>2280</v>
      </c>
      <c r="K681" s="19" t="s">
        <v>62</v>
      </c>
      <c r="L681" s="3" t="str">
        <f>HYPERLINK(VLOOKUP(C681,BAPs!$A$2:$C$1048576,3,FALSE),VLOOKUP(C681,BAPs!$A$2:$C$1048576,2,FALSE))</f>
        <v>9 out of 10</v>
      </c>
    </row>
    <row r="682" spans="1:12" hidden="1">
      <c r="A682" s="19" t="s">
        <v>2232</v>
      </c>
      <c r="B682" s="19" t="s">
        <v>2233</v>
      </c>
      <c r="C682" s="19" t="s">
        <v>2281</v>
      </c>
      <c r="D682" s="19" t="s">
        <v>2281</v>
      </c>
      <c r="E682" s="19" t="s">
        <v>2282</v>
      </c>
      <c r="F682" s="19" t="e">
        <f>MATCH(E682,#REF!,0)</f>
        <v>#REF!</v>
      </c>
      <c r="G682" s="19" t="s">
        <v>2283</v>
      </c>
      <c r="H682" s="19" t="s">
        <v>17</v>
      </c>
      <c r="I682" s="19" t="s">
        <v>18</v>
      </c>
      <c r="J682" s="19" t="s">
        <v>2284</v>
      </c>
      <c r="K682" s="19" t="s">
        <v>62</v>
      </c>
      <c r="L682" s="3" t="str">
        <f>HYPERLINK(VLOOKUP(C682,BAPs!$A$2:$C$1048576,3,FALSE),VLOOKUP(C682,BAPs!$A$2:$C$1048576,2,FALSE))</f>
        <v>9 out of 10</v>
      </c>
    </row>
    <row r="683" spans="1:12" hidden="1">
      <c r="A683" s="19" t="s">
        <v>2232</v>
      </c>
      <c r="B683" s="19" t="s">
        <v>2233</v>
      </c>
      <c r="C683" s="19" t="s">
        <v>2285</v>
      </c>
      <c r="D683" s="19" t="s">
        <v>2286</v>
      </c>
      <c r="E683" s="19" t="s">
        <v>2287</v>
      </c>
      <c r="F683" s="19" t="e">
        <f>MATCH(E683,#REF!,0)</f>
        <v>#REF!</v>
      </c>
      <c r="G683" s="19" t="s">
        <v>2288</v>
      </c>
      <c r="H683" s="19" t="s">
        <v>24</v>
      </c>
      <c r="I683" s="19" t="s">
        <v>18</v>
      </c>
      <c r="J683" s="19" t="s">
        <v>2289</v>
      </c>
      <c r="K683" s="19" t="s">
        <v>62</v>
      </c>
      <c r="L683" s="3" t="str">
        <f>HYPERLINK(VLOOKUP(C683,BAPs!$A$2:$C$1048576,3,FALSE),VLOOKUP(C683,BAPs!$A$2:$C$1048576,2,FALSE))</f>
        <v>9 out of 10</v>
      </c>
    </row>
    <row r="684" spans="1:12" hidden="1">
      <c r="A684" s="19" t="s">
        <v>2232</v>
      </c>
      <c r="B684" s="19" t="s">
        <v>2233</v>
      </c>
      <c r="C684" s="19" t="s">
        <v>2290</v>
      </c>
      <c r="D684" s="19" t="s">
        <v>2290</v>
      </c>
      <c r="E684" s="19" t="s">
        <v>2291</v>
      </c>
      <c r="F684" s="19" t="e">
        <f>MATCH(E684,#REF!,0)</f>
        <v>#REF!</v>
      </c>
      <c r="G684" s="19" t="s">
        <v>2292</v>
      </c>
      <c r="H684" s="19" t="s">
        <v>17</v>
      </c>
      <c r="I684" s="19" t="s">
        <v>18</v>
      </c>
      <c r="J684" s="19" t="s">
        <v>2293</v>
      </c>
      <c r="K684" s="19" t="s">
        <v>20</v>
      </c>
      <c r="L684" s="3" t="str">
        <f>HYPERLINK(VLOOKUP(C684,BAPs!$A$2:$C$1048576,3,FALSE),VLOOKUP(C684,BAPs!$A$2:$C$1048576,2,FALSE))</f>
        <v>6 out of 10</v>
      </c>
    </row>
    <row r="685" spans="1:12" hidden="1">
      <c r="A685" s="19" t="s">
        <v>2232</v>
      </c>
      <c r="B685" s="19" t="s">
        <v>2233</v>
      </c>
      <c r="C685" s="19" t="s">
        <v>2290</v>
      </c>
      <c r="D685" s="19" t="s">
        <v>2294</v>
      </c>
      <c r="E685" s="19" t="s">
        <v>2295</v>
      </c>
      <c r="F685" s="19" t="e">
        <f>MATCH(E685,#REF!,0)</f>
        <v>#REF!</v>
      </c>
      <c r="G685" s="19" t="s">
        <v>2296</v>
      </c>
      <c r="H685" s="19" t="s">
        <v>17</v>
      </c>
      <c r="I685" s="19"/>
      <c r="J685" s="19" t="s">
        <v>2293</v>
      </c>
      <c r="K685" s="19" t="s">
        <v>20</v>
      </c>
      <c r="L685" s="3" t="str">
        <f>HYPERLINK(VLOOKUP(C685,BAPs!$A$2:$C$1048576,3,FALSE),VLOOKUP(C685,BAPs!$A$2:$C$1048576,2,FALSE))</f>
        <v>6 out of 10</v>
      </c>
    </row>
    <row r="686" spans="1:12" hidden="1">
      <c r="A686" s="19" t="s">
        <v>2232</v>
      </c>
      <c r="B686" s="19" t="s">
        <v>2233</v>
      </c>
      <c r="C686" s="19" t="s">
        <v>2297</v>
      </c>
      <c r="D686" s="19" t="s">
        <v>2238</v>
      </c>
      <c r="E686" s="19" t="s">
        <v>2239</v>
      </c>
      <c r="F686" s="19" t="e">
        <f>MATCH(E686,#REF!,0)</f>
        <v>#REF!</v>
      </c>
      <c r="G686" s="19" t="s">
        <v>2240</v>
      </c>
      <c r="H686" s="19" t="s">
        <v>43</v>
      </c>
      <c r="I686" s="19"/>
      <c r="J686" s="19" t="s">
        <v>2298</v>
      </c>
      <c r="K686" s="19" t="s">
        <v>62</v>
      </c>
      <c r="L686" s="3" t="str">
        <f>HYPERLINK(VLOOKUP(C686,BAPs!$A$2:$C$1048576,3,FALSE),VLOOKUP(C686,BAPs!$A$2:$C$1048576,2,FALSE))</f>
        <v>9 out of 10</v>
      </c>
    </row>
    <row r="687" spans="1:12" hidden="1">
      <c r="A687" s="19" t="s">
        <v>2232</v>
      </c>
      <c r="B687" s="19" t="s">
        <v>2233</v>
      </c>
      <c r="C687" s="19" t="s">
        <v>2297</v>
      </c>
      <c r="D687" s="19" t="s">
        <v>2297</v>
      </c>
      <c r="E687" s="19" t="s">
        <v>2299</v>
      </c>
      <c r="F687" s="19" t="e">
        <f>MATCH(E687,#REF!,0)</f>
        <v>#REF!</v>
      </c>
      <c r="G687" s="19" t="s">
        <v>2300</v>
      </c>
      <c r="H687" s="19" t="s">
        <v>24</v>
      </c>
      <c r="I687" s="19" t="s">
        <v>18</v>
      </c>
      <c r="J687" s="19" t="s">
        <v>2298</v>
      </c>
      <c r="K687" s="19" t="s">
        <v>62</v>
      </c>
      <c r="L687" s="3" t="str">
        <f>HYPERLINK(VLOOKUP(C687,BAPs!$A$2:$C$1048576,3,FALSE),VLOOKUP(C687,BAPs!$A$2:$C$1048576,2,FALSE))</f>
        <v>9 out of 10</v>
      </c>
    </row>
    <row r="688" spans="1:12" hidden="1">
      <c r="A688" s="19" t="s">
        <v>2232</v>
      </c>
      <c r="B688" s="19" t="s">
        <v>2233</v>
      </c>
      <c r="C688" s="19" t="s">
        <v>2297</v>
      </c>
      <c r="D688" s="19" t="s">
        <v>2269</v>
      </c>
      <c r="E688" s="19" t="s">
        <v>2270</v>
      </c>
      <c r="F688" s="19" t="e">
        <f>MATCH(E688,#REF!,0)</f>
        <v>#REF!</v>
      </c>
      <c r="G688" s="19" t="s">
        <v>2271</v>
      </c>
      <c r="H688" s="19" t="s">
        <v>24</v>
      </c>
      <c r="I688" s="19" t="s">
        <v>18</v>
      </c>
      <c r="J688" s="19" t="s">
        <v>2298</v>
      </c>
      <c r="K688" s="19" t="s">
        <v>62</v>
      </c>
      <c r="L688" s="3" t="str">
        <f>HYPERLINK(VLOOKUP(C688,BAPs!$A$2:$C$1048576,3,FALSE),VLOOKUP(C688,BAPs!$A$2:$C$1048576,2,FALSE))</f>
        <v>9 out of 10</v>
      </c>
    </row>
    <row r="689" spans="1:12" hidden="1">
      <c r="A689" s="19" t="s">
        <v>2232</v>
      </c>
      <c r="B689" s="19" t="s">
        <v>2233</v>
      </c>
      <c r="C689" s="19" t="s">
        <v>2301</v>
      </c>
      <c r="D689" s="19" t="s">
        <v>2302</v>
      </c>
      <c r="E689" s="19" t="s">
        <v>2303</v>
      </c>
      <c r="F689" s="19" t="e">
        <f>MATCH(E689,#REF!,0)</f>
        <v>#REF!</v>
      </c>
      <c r="G689" s="19" t="s">
        <v>2304</v>
      </c>
      <c r="H689" s="19" t="s">
        <v>56</v>
      </c>
      <c r="I689" s="19"/>
      <c r="J689" s="19" t="s">
        <v>2305</v>
      </c>
      <c r="K689" s="19" t="s">
        <v>20</v>
      </c>
      <c r="L689" s="3" t="str">
        <f>HYPERLINK(VLOOKUP(C689,BAPs!$A$2:$C$1048576,3,FALSE),VLOOKUP(C689,BAPs!$A$2:$C$1048576,2,FALSE))</f>
        <v>3 out of 10</v>
      </c>
    </row>
    <row r="690" spans="1:12" hidden="1">
      <c r="A690" s="19" t="s">
        <v>2232</v>
      </c>
      <c r="B690" s="19" t="s">
        <v>2233</v>
      </c>
      <c r="C690" s="19" t="s">
        <v>2306</v>
      </c>
      <c r="D690" s="19" t="s">
        <v>2307</v>
      </c>
      <c r="E690" s="19" t="s">
        <v>2308</v>
      </c>
      <c r="F690" s="19" t="e">
        <f>MATCH(E690,#REF!,0)</f>
        <v>#REF!</v>
      </c>
      <c r="G690" s="19" t="s">
        <v>2309</v>
      </c>
      <c r="H690" s="19" t="s">
        <v>56</v>
      </c>
      <c r="I690" s="19"/>
      <c r="J690" s="19" t="s">
        <v>2310</v>
      </c>
      <c r="K690" s="19" t="s">
        <v>20</v>
      </c>
      <c r="L690" s="3" t="str">
        <f>HYPERLINK(VLOOKUP(C690,BAPs!$A$2:$C$1048576,3,FALSE),VLOOKUP(C690,BAPs!$A$2:$C$1048576,2,FALSE))</f>
        <v>4 out of 10</v>
      </c>
    </row>
    <row r="691" spans="1:12" hidden="1">
      <c r="A691" s="19" t="s">
        <v>2232</v>
      </c>
      <c r="B691" s="19" t="s">
        <v>2233</v>
      </c>
      <c r="C691" s="19" t="s">
        <v>2306</v>
      </c>
      <c r="D691" s="19" t="s">
        <v>2311</v>
      </c>
      <c r="E691" s="19" t="s">
        <v>2312</v>
      </c>
      <c r="F691" s="19" t="e">
        <f>MATCH(E691,#REF!,0)</f>
        <v>#REF!</v>
      </c>
      <c r="G691" s="19" t="s">
        <v>2313</v>
      </c>
      <c r="H691" s="19" t="s">
        <v>56</v>
      </c>
      <c r="I691" s="19"/>
      <c r="J691" s="19" t="s">
        <v>2310</v>
      </c>
      <c r="K691" s="19" t="s">
        <v>20</v>
      </c>
      <c r="L691" s="3" t="str">
        <f>HYPERLINK(VLOOKUP(C691,BAPs!$A$2:$C$1048576,3,FALSE),VLOOKUP(C691,BAPs!$A$2:$C$1048576,2,FALSE))</f>
        <v>4 out of 10</v>
      </c>
    </row>
    <row r="692" spans="1:12" hidden="1">
      <c r="A692" s="19" t="s">
        <v>2314</v>
      </c>
      <c r="B692" s="19" t="s">
        <v>2233</v>
      </c>
      <c r="C692" s="19" t="s">
        <v>2315</v>
      </c>
      <c r="D692" s="19" t="s">
        <v>2315</v>
      </c>
      <c r="E692" s="19" t="s">
        <v>2316</v>
      </c>
      <c r="F692" s="19" t="e">
        <f>MATCH(E692,#REF!,0)</f>
        <v>#REF!</v>
      </c>
      <c r="G692" s="19" t="s">
        <v>2317</v>
      </c>
      <c r="H692" s="19" t="s">
        <v>17</v>
      </c>
      <c r="I692" s="19" t="s">
        <v>18</v>
      </c>
      <c r="J692" s="19" t="s">
        <v>2318</v>
      </c>
      <c r="K692" s="19" t="s">
        <v>20</v>
      </c>
      <c r="L692" s="3" t="str">
        <f>HYPERLINK(VLOOKUP(C692,BAPs!$A$2:$C$1048576,3,FALSE),VLOOKUP(C692,BAPs!$A$2:$C$1048576,2,FALSE))</f>
        <v>1 out of 10</v>
      </c>
    </row>
    <row r="693" spans="1:12" hidden="1">
      <c r="A693" s="19" t="s">
        <v>2314</v>
      </c>
      <c r="B693" s="19" t="s">
        <v>2233</v>
      </c>
      <c r="C693" s="19" t="s">
        <v>2319</v>
      </c>
      <c r="D693" s="19" t="s">
        <v>2319</v>
      </c>
      <c r="E693" s="19" t="s">
        <v>2320</v>
      </c>
      <c r="F693" s="19" t="e">
        <f>MATCH(E693,#REF!,0)</f>
        <v>#REF!</v>
      </c>
      <c r="G693" s="19" t="s">
        <v>2321</v>
      </c>
      <c r="H693" s="19" t="s">
        <v>17</v>
      </c>
      <c r="I693" s="19" t="s">
        <v>18</v>
      </c>
      <c r="J693" s="19" t="s">
        <v>2322</v>
      </c>
      <c r="K693" s="19" t="s">
        <v>62</v>
      </c>
      <c r="L693" s="3" t="str">
        <f>HYPERLINK(VLOOKUP(C693,BAPs!$A$2:$C$1048576,3,FALSE),VLOOKUP(C693,BAPs!$A$2:$C$1048576,2,FALSE))</f>
        <v>9 out of 10</v>
      </c>
    </row>
    <row r="694" spans="1:12" hidden="1">
      <c r="A694" s="19" t="s">
        <v>2314</v>
      </c>
      <c r="B694" s="19" t="s">
        <v>2233</v>
      </c>
      <c r="C694" s="19" t="s">
        <v>2319</v>
      </c>
      <c r="D694" s="19" t="s">
        <v>2323</v>
      </c>
      <c r="E694" s="19" t="s">
        <v>2324</v>
      </c>
      <c r="F694" s="19" t="e">
        <f>MATCH(E694,#REF!,0)</f>
        <v>#REF!</v>
      </c>
      <c r="G694" s="19" t="s">
        <v>2325</v>
      </c>
      <c r="H694" s="19" t="s">
        <v>43</v>
      </c>
      <c r="I694" s="19" t="s">
        <v>18</v>
      </c>
      <c r="J694" s="19" t="s">
        <v>2322</v>
      </c>
      <c r="K694" s="19" t="s">
        <v>62</v>
      </c>
      <c r="L694" s="3" t="str">
        <f>HYPERLINK(VLOOKUP(C694,BAPs!$A$2:$C$1048576,3,FALSE),VLOOKUP(C694,BAPs!$A$2:$C$1048576,2,FALSE))</f>
        <v>9 out of 10</v>
      </c>
    </row>
    <row r="695" spans="1:12" hidden="1">
      <c r="A695" s="19" t="s">
        <v>2314</v>
      </c>
      <c r="B695" s="19" t="s">
        <v>2233</v>
      </c>
      <c r="C695" s="19" t="s">
        <v>2326</v>
      </c>
      <c r="D695" s="19" t="s">
        <v>2326</v>
      </c>
      <c r="E695" s="19" t="s">
        <v>2327</v>
      </c>
      <c r="F695" s="19" t="e">
        <f>MATCH(E695,#REF!,0)</f>
        <v>#REF!</v>
      </c>
      <c r="G695" s="19" t="s">
        <v>2328</v>
      </c>
      <c r="H695" s="19" t="s">
        <v>56</v>
      </c>
      <c r="I695" s="19"/>
      <c r="J695" s="19" t="s">
        <v>2329</v>
      </c>
      <c r="K695" s="19" t="s">
        <v>20</v>
      </c>
      <c r="L695" s="3" t="str">
        <f>HYPERLINK(VLOOKUP(C695,BAPs!$A$2:$C$1048576,3,FALSE),VLOOKUP(C695,BAPs!$A$2:$C$1048576,2,FALSE))</f>
        <v>8 out of 10</v>
      </c>
    </row>
    <row r="696" spans="1:12" hidden="1">
      <c r="A696" s="19" t="s">
        <v>2314</v>
      </c>
      <c r="B696" s="19" t="s">
        <v>2233</v>
      </c>
      <c r="C696" s="19" t="s">
        <v>2326</v>
      </c>
      <c r="D696" s="19" t="s">
        <v>2330</v>
      </c>
      <c r="E696" s="19" t="s">
        <v>2331</v>
      </c>
      <c r="F696" s="19" t="e">
        <f>MATCH(E696,#REF!,0)</f>
        <v>#REF!</v>
      </c>
      <c r="G696" s="19" t="s">
        <v>2332</v>
      </c>
      <c r="H696" s="19" t="s">
        <v>24</v>
      </c>
      <c r="I696" s="19" t="s">
        <v>18</v>
      </c>
      <c r="J696" s="19" t="s">
        <v>2329</v>
      </c>
      <c r="K696" s="19" t="s">
        <v>20</v>
      </c>
      <c r="L696" s="3" t="str">
        <f>HYPERLINK(VLOOKUP(C696,BAPs!$A$2:$C$1048576,3,FALSE),VLOOKUP(C696,BAPs!$A$2:$C$1048576,2,FALSE))</f>
        <v>8 out of 10</v>
      </c>
    </row>
    <row r="697" spans="1:12" hidden="1">
      <c r="A697" s="19" t="s">
        <v>2314</v>
      </c>
      <c r="B697" s="19" t="s">
        <v>2233</v>
      </c>
      <c r="C697" s="19" t="s">
        <v>2326</v>
      </c>
      <c r="D697" s="19" t="s">
        <v>2333</v>
      </c>
      <c r="E697" s="19" t="s">
        <v>2334</v>
      </c>
      <c r="F697" s="19" t="e">
        <f>MATCH(E697,#REF!,0)</f>
        <v>#REF!</v>
      </c>
      <c r="G697" s="19" t="s">
        <v>2335</v>
      </c>
      <c r="H697" s="19" t="s">
        <v>84</v>
      </c>
      <c r="I697" s="19"/>
      <c r="J697" s="19" t="s">
        <v>2329</v>
      </c>
      <c r="K697" s="19" t="s">
        <v>20</v>
      </c>
      <c r="L697" s="3" t="str">
        <f>HYPERLINK(VLOOKUP(C697,BAPs!$A$2:$C$1048576,3,FALSE),VLOOKUP(C697,BAPs!$A$2:$C$1048576,2,FALSE))</f>
        <v>8 out of 10</v>
      </c>
    </row>
    <row r="698" spans="1:12" hidden="1">
      <c r="A698" s="19" t="s">
        <v>2314</v>
      </c>
      <c r="B698" s="19" t="s">
        <v>2233</v>
      </c>
      <c r="C698" s="19" t="s">
        <v>2336</v>
      </c>
      <c r="D698" s="19" t="s">
        <v>2337</v>
      </c>
      <c r="E698" s="19" t="s">
        <v>2338</v>
      </c>
      <c r="F698" s="19" t="e">
        <f>MATCH(E698,#REF!,0)</f>
        <v>#REF!</v>
      </c>
      <c r="G698" s="19" t="s">
        <v>2339</v>
      </c>
      <c r="H698" s="19" t="s">
        <v>17</v>
      </c>
      <c r="I698" s="19" t="s">
        <v>18</v>
      </c>
      <c r="J698" s="19" t="s">
        <v>2340</v>
      </c>
      <c r="K698" s="19" t="s">
        <v>20</v>
      </c>
      <c r="L698" s="3" t="str">
        <f>HYPERLINK(VLOOKUP(C698,BAPs!$A$2:$C$1048576,3,FALSE),VLOOKUP(C698,BAPs!$A$2:$C$1048576,2,FALSE))</f>
        <v>3 out of 10</v>
      </c>
    </row>
    <row r="699" spans="1:12" hidden="1">
      <c r="A699" s="19" t="s">
        <v>2314</v>
      </c>
      <c r="B699" s="19" t="s">
        <v>2233</v>
      </c>
      <c r="C699" s="19" t="s">
        <v>2341</v>
      </c>
      <c r="D699" s="19" t="s">
        <v>2342</v>
      </c>
      <c r="E699" s="19" t="s">
        <v>2343</v>
      </c>
      <c r="F699" s="19" t="e">
        <f>MATCH(E699,#REF!,0)</f>
        <v>#REF!</v>
      </c>
      <c r="G699" s="19" t="s">
        <v>2344</v>
      </c>
      <c r="H699" s="19" t="s">
        <v>52</v>
      </c>
      <c r="I699" s="19"/>
      <c r="J699" s="19" t="s">
        <v>2345</v>
      </c>
      <c r="K699" s="19" t="s">
        <v>62</v>
      </c>
      <c r="L699" s="3" t="str">
        <f>HYPERLINK(VLOOKUP(C699,BAPs!$A$2:$C$1048576,3,FALSE),VLOOKUP(C699,BAPs!$A$2:$C$1048576,2,FALSE))</f>
        <v>9 out of 10</v>
      </c>
    </row>
    <row r="700" spans="1:12" hidden="1">
      <c r="A700" s="19" t="s">
        <v>2314</v>
      </c>
      <c r="B700" s="19" t="s">
        <v>2233</v>
      </c>
      <c r="C700" s="19" t="s">
        <v>2341</v>
      </c>
      <c r="D700" s="19" t="s">
        <v>2346</v>
      </c>
      <c r="E700" s="19" t="s">
        <v>2347</v>
      </c>
      <c r="F700" s="19" t="e">
        <f>MATCH(E700,#REF!,0)</f>
        <v>#REF!</v>
      </c>
      <c r="G700" s="19" t="s">
        <v>2348</v>
      </c>
      <c r="H700" s="19" t="s">
        <v>56</v>
      </c>
      <c r="I700" s="19"/>
      <c r="J700" s="19" t="s">
        <v>2345</v>
      </c>
      <c r="K700" s="19" t="s">
        <v>62</v>
      </c>
      <c r="L700" s="3" t="str">
        <f>HYPERLINK(VLOOKUP(C700,BAPs!$A$2:$C$1048576,3,FALSE),VLOOKUP(C700,BAPs!$A$2:$C$1048576,2,FALSE))</f>
        <v>9 out of 10</v>
      </c>
    </row>
    <row r="701" spans="1:12" hidden="1">
      <c r="A701" s="19" t="s">
        <v>2314</v>
      </c>
      <c r="B701" s="19" t="s">
        <v>2233</v>
      </c>
      <c r="C701" s="19" t="s">
        <v>2341</v>
      </c>
      <c r="D701" s="19" t="s">
        <v>2349</v>
      </c>
      <c r="E701" s="19" t="s">
        <v>2350</v>
      </c>
      <c r="F701" s="19" t="e">
        <f>MATCH(E701,#REF!,0)</f>
        <v>#REF!</v>
      </c>
      <c r="G701" s="19" t="s">
        <v>2351</v>
      </c>
      <c r="H701" s="19" t="s">
        <v>56</v>
      </c>
      <c r="I701" s="19"/>
      <c r="J701" s="19" t="s">
        <v>2345</v>
      </c>
      <c r="K701" s="19" t="s">
        <v>62</v>
      </c>
      <c r="L701" s="3" t="str">
        <f>HYPERLINK(VLOOKUP(C701,BAPs!$A$2:$C$1048576,3,FALSE),VLOOKUP(C701,BAPs!$A$2:$C$1048576,2,FALSE))</f>
        <v>9 out of 10</v>
      </c>
    </row>
    <row r="702" spans="1:12" hidden="1">
      <c r="A702" s="19" t="s">
        <v>2314</v>
      </c>
      <c r="B702" s="19" t="s">
        <v>2233</v>
      </c>
      <c r="C702" s="19" t="s">
        <v>2352</v>
      </c>
      <c r="D702" s="19" t="s">
        <v>2352</v>
      </c>
      <c r="E702" s="19" t="s">
        <v>2353</v>
      </c>
      <c r="F702" s="19" t="e">
        <f>MATCH(E702,#REF!,0)</f>
        <v>#REF!</v>
      </c>
      <c r="G702" s="19" t="s">
        <v>2354</v>
      </c>
      <c r="H702" s="19" t="s">
        <v>17</v>
      </c>
      <c r="I702" s="19" t="s">
        <v>18</v>
      </c>
      <c r="J702" s="19" t="s">
        <v>2355</v>
      </c>
      <c r="K702" s="19" t="s">
        <v>62</v>
      </c>
      <c r="L702" s="3" t="str">
        <f>HYPERLINK(VLOOKUP(C702,BAPs!$A$2:$C$1048576,3,FALSE),VLOOKUP(C702,BAPs!$A$2:$C$1048576,2,FALSE))</f>
        <v>10 out of 10</v>
      </c>
    </row>
    <row r="703" spans="1:12" hidden="1">
      <c r="A703" s="19" t="s">
        <v>2314</v>
      </c>
      <c r="B703" s="19" t="s">
        <v>2233</v>
      </c>
      <c r="C703" s="19" t="s">
        <v>2352</v>
      </c>
      <c r="D703" s="19" t="s">
        <v>2356</v>
      </c>
      <c r="E703" s="19" t="s">
        <v>2357</v>
      </c>
      <c r="F703" s="19" t="e">
        <f>MATCH(E703,#REF!,0)</f>
        <v>#REF!</v>
      </c>
      <c r="G703" s="19" t="s">
        <v>2358</v>
      </c>
      <c r="H703" s="19" t="s">
        <v>52</v>
      </c>
      <c r="I703" s="19"/>
      <c r="J703" s="19" t="s">
        <v>2355</v>
      </c>
      <c r="K703" s="19" t="s">
        <v>62</v>
      </c>
      <c r="L703" s="3" t="str">
        <f>HYPERLINK(VLOOKUP(C703,BAPs!$A$2:$C$1048576,3,FALSE),VLOOKUP(C703,BAPs!$A$2:$C$1048576,2,FALSE))</f>
        <v>10 out of 10</v>
      </c>
    </row>
    <row r="704" spans="1:12" hidden="1">
      <c r="A704" s="19" t="s">
        <v>2314</v>
      </c>
      <c r="B704" s="19" t="s">
        <v>2233</v>
      </c>
      <c r="C704" s="19" t="s">
        <v>2359</v>
      </c>
      <c r="D704" s="19" t="s">
        <v>2359</v>
      </c>
      <c r="E704" s="19" t="s">
        <v>2360</v>
      </c>
      <c r="F704" s="19" t="e">
        <f>MATCH(E704,#REF!,0)</f>
        <v>#REF!</v>
      </c>
      <c r="G704" s="19" t="s">
        <v>2361</v>
      </c>
      <c r="H704" s="19" t="s">
        <v>52</v>
      </c>
      <c r="I704" s="19"/>
      <c r="J704" s="19" t="s">
        <v>2362</v>
      </c>
      <c r="K704" s="19" t="s">
        <v>62</v>
      </c>
      <c r="L704" s="3" t="str">
        <f>HYPERLINK(VLOOKUP(C704,BAPs!$A$2:$C$1048576,3,FALSE),VLOOKUP(C704,BAPs!$A$2:$C$1048576,2,FALSE))</f>
        <v>10 out of 10</v>
      </c>
    </row>
    <row r="705" spans="1:12" hidden="1">
      <c r="A705" s="19" t="s">
        <v>2314</v>
      </c>
      <c r="B705" s="19" t="s">
        <v>2233</v>
      </c>
      <c r="C705" s="19" t="s">
        <v>2359</v>
      </c>
      <c r="D705" s="19" t="s">
        <v>2323</v>
      </c>
      <c r="E705" s="19" t="s">
        <v>2324</v>
      </c>
      <c r="F705" s="19" t="e">
        <f>MATCH(E705,#REF!,0)</f>
        <v>#REF!</v>
      </c>
      <c r="G705" s="19" t="s">
        <v>2325</v>
      </c>
      <c r="H705" s="19" t="s">
        <v>43</v>
      </c>
      <c r="I705" s="19" t="s">
        <v>18</v>
      </c>
      <c r="J705" s="19" t="s">
        <v>2362</v>
      </c>
      <c r="K705" s="19" t="s">
        <v>62</v>
      </c>
      <c r="L705" s="3" t="str">
        <f>HYPERLINK(VLOOKUP(C705,BAPs!$A$2:$C$1048576,3,FALSE),VLOOKUP(C705,BAPs!$A$2:$C$1048576,2,FALSE))</f>
        <v>10 out of 10</v>
      </c>
    </row>
    <row r="706" spans="1:12" hidden="1">
      <c r="A706" s="19" t="s">
        <v>2314</v>
      </c>
      <c r="B706" s="19" t="s">
        <v>2233</v>
      </c>
      <c r="C706" s="19" t="s">
        <v>2363</v>
      </c>
      <c r="D706" s="19" t="s">
        <v>2363</v>
      </c>
      <c r="E706" s="19" t="s">
        <v>2364</v>
      </c>
      <c r="F706" s="19" t="e">
        <f>MATCH(E706,#REF!,0)</f>
        <v>#REF!</v>
      </c>
      <c r="G706" s="19" t="s">
        <v>2365</v>
      </c>
      <c r="H706" s="19" t="s">
        <v>17</v>
      </c>
      <c r="I706" s="19" t="s">
        <v>18</v>
      </c>
      <c r="J706" s="19" t="s">
        <v>2366</v>
      </c>
      <c r="K706" s="19" t="s">
        <v>20</v>
      </c>
      <c r="L706" s="3" t="str">
        <f>HYPERLINK(VLOOKUP(C706,BAPs!$A$2:$C$1048576,3,FALSE),VLOOKUP(C706,BAPs!$A$2:$C$1048576,2,FALSE))</f>
        <v>1 out of 10</v>
      </c>
    </row>
    <row r="707" spans="1:12" hidden="1">
      <c r="A707" s="19" t="s">
        <v>2314</v>
      </c>
      <c r="B707" s="19" t="s">
        <v>2233</v>
      </c>
      <c r="C707" s="19" t="s">
        <v>2367</v>
      </c>
      <c r="D707" s="19" t="s">
        <v>2367</v>
      </c>
      <c r="E707" s="19" t="s">
        <v>2368</v>
      </c>
      <c r="F707" s="19" t="e">
        <f>MATCH(E707,#REF!,0)</f>
        <v>#REF!</v>
      </c>
      <c r="G707" s="19" t="s">
        <v>2369</v>
      </c>
      <c r="H707" s="19" t="s">
        <v>17</v>
      </c>
      <c r="I707" s="19" t="s">
        <v>18</v>
      </c>
      <c r="J707" s="19" t="s">
        <v>2370</v>
      </c>
      <c r="K707" s="19" t="s">
        <v>20</v>
      </c>
      <c r="L707" s="3" t="str">
        <f>HYPERLINK(VLOOKUP(C707,BAPs!$A$2:$C$1048576,3,FALSE),VLOOKUP(C707,BAPs!$A$2:$C$1048576,2,FALSE))</f>
        <v>3 out of 10</v>
      </c>
    </row>
    <row r="708" spans="1:12" hidden="1">
      <c r="A708" s="19" t="s">
        <v>2314</v>
      </c>
      <c r="B708" s="19" t="s">
        <v>2233</v>
      </c>
      <c r="C708" s="19" t="s">
        <v>2371</v>
      </c>
      <c r="D708" s="19" t="s">
        <v>2371</v>
      </c>
      <c r="E708" s="19" t="s">
        <v>2372</v>
      </c>
      <c r="F708" s="19" t="e">
        <f>MATCH(E708,#REF!,0)</f>
        <v>#REF!</v>
      </c>
      <c r="G708" s="19" t="s">
        <v>2373</v>
      </c>
      <c r="H708" s="19" t="s">
        <v>17</v>
      </c>
      <c r="I708" s="19" t="s">
        <v>18</v>
      </c>
      <c r="J708" s="19" t="s">
        <v>2374</v>
      </c>
      <c r="K708" s="19" t="s">
        <v>62</v>
      </c>
      <c r="L708" s="3" t="str">
        <f>HYPERLINK(VLOOKUP(C708,BAPs!$A$2:$C$1048576,3,FALSE),VLOOKUP(C708,BAPs!$A$2:$C$1048576,2,FALSE))</f>
        <v>9 out of 10</v>
      </c>
    </row>
    <row r="709" spans="1:12" hidden="1">
      <c r="A709" s="19" t="s">
        <v>2314</v>
      </c>
      <c r="B709" s="19" t="s">
        <v>2233</v>
      </c>
      <c r="C709" s="19" t="s">
        <v>2375</v>
      </c>
      <c r="D709" s="19" t="s">
        <v>2375</v>
      </c>
      <c r="E709" s="19" t="s">
        <v>2376</v>
      </c>
      <c r="F709" s="19" t="e">
        <f>MATCH(E709,#REF!,0)</f>
        <v>#REF!</v>
      </c>
      <c r="G709" s="19" t="s">
        <v>2377</v>
      </c>
      <c r="H709" s="19" t="s">
        <v>52</v>
      </c>
      <c r="I709" s="19"/>
      <c r="J709" s="19" t="s">
        <v>2378</v>
      </c>
      <c r="K709" s="19" t="s">
        <v>62</v>
      </c>
      <c r="L709" s="3" t="str">
        <f>HYPERLINK(VLOOKUP(C709,BAPs!$A$2:$C$1048576,3,FALSE),VLOOKUP(C709,BAPs!$A$2:$C$1048576,2,FALSE))</f>
        <v>9 out of 10</v>
      </c>
    </row>
    <row r="710" spans="1:12" hidden="1">
      <c r="A710" s="19" t="s">
        <v>2314</v>
      </c>
      <c r="B710" s="19" t="s">
        <v>2233</v>
      </c>
      <c r="C710" s="19" t="s">
        <v>2375</v>
      </c>
      <c r="D710" s="19" t="s">
        <v>2379</v>
      </c>
      <c r="E710" s="19" t="s">
        <v>2380</v>
      </c>
      <c r="F710" s="19" t="e">
        <f>MATCH(E710,#REF!,0)</f>
        <v>#REF!</v>
      </c>
      <c r="G710" s="19" t="s">
        <v>2381</v>
      </c>
      <c r="H710" s="19" t="s">
        <v>56</v>
      </c>
      <c r="I710" s="19"/>
      <c r="J710" s="19" t="s">
        <v>2378</v>
      </c>
      <c r="K710" s="19" t="s">
        <v>62</v>
      </c>
      <c r="L710" s="3" t="str">
        <f>HYPERLINK(VLOOKUP(C710,BAPs!$A$2:$C$1048576,3,FALSE),VLOOKUP(C710,BAPs!$A$2:$C$1048576,2,FALSE))</f>
        <v>9 out of 10</v>
      </c>
    </row>
    <row r="711" spans="1:12" hidden="1">
      <c r="A711" s="19" t="s">
        <v>2314</v>
      </c>
      <c r="B711" s="19" t="s">
        <v>2233</v>
      </c>
      <c r="C711" s="19" t="s">
        <v>2375</v>
      </c>
      <c r="D711" s="19" t="s">
        <v>2382</v>
      </c>
      <c r="E711" s="19" t="s">
        <v>2383</v>
      </c>
      <c r="F711" s="19" t="e">
        <f>MATCH(E711,#REF!,0)</f>
        <v>#REF!</v>
      </c>
      <c r="G711" s="19" t="s">
        <v>2384</v>
      </c>
      <c r="H711" s="19" t="s">
        <v>56</v>
      </c>
      <c r="I711" s="19"/>
      <c r="J711" s="19" t="s">
        <v>2378</v>
      </c>
      <c r="K711" s="19" t="s">
        <v>62</v>
      </c>
      <c r="L711" s="3" t="str">
        <f>HYPERLINK(VLOOKUP(C711,BAPs!$A$2:$C$1048576,3,FALSE),VLOOKUP(C711,BAPs!$A$2:$C$1048576,2,FALSE))</f>
        <v>9 out of 10</v>
      </c>
    </row>
    <row r="712" spans="1:12" hidden="1">
      <c r="A712" s="19" t="s">
        <v>2314</v>
      </c>
      <c r="B712" s="19" t="s">
        <v>2233</v>
      </c>
      <c r="C712" s="19" t="s">
        <v>2385</v>
      </c>
      <c r="D712" s="19" t="s">
        <v>2385</v>
      </c>
      <c r="E712" s="19" t="s">
        <v>2386</v>
      </c>
      <c r="F712" s="19" t="e">
        <f>MATCH(E712,#REF!,0)</f>
        <v>#REF!</v>
      </c>
      <c r="G712" s="19" t="s">
        <v>2387</v>
      </c>
      <c r="H712" s="19" t="s">
        <v>17</v>
      </c>
      <c r="I712" s="19" t="s">
        <v>18</v>
      </c>
      <c r="J712" s="19" t="s">
        <v>2388</v>
      </c>
      <c r="K712" s="19" t="s">
        <v>20</v>
      </c>
      <c r="L712" s="3" t="str">
        <f>HYPERLINK(VLOOKUP(C712,BAPs!$A$2:$C$1048576,3,FALSE),VLOOKUP(C712,BAPs!$A$2:$C$1048576,2,FALSE))</f>
        <v>8 out of 10</v>
      </c>
    </row>
    <row r="713" spans="1:12" hidden="1">
      <c r="A713" s="19" t="s">
        <v>2314</v>
      </c>
      <c r="B713" s="19" t="s">
        <v>2233</v>
      </c>
      <c r="C713" s="19" t="s">
        <v>2385</v>
      </c>
      <c r="D713" s="19" t="s">
        <v>2389</v>
      </c>
      <c r="E713" s="19" t="s">
        <v>2390</v>
      </c>
      <c r="F713" s="19" t="e">
        <f>MATCH(E713,#REF!,0)</f>
        <v>#REF!</v>
      </c>
      <c r="G713" s="19" t="s">
        <v>2391</v>
      </c>
      <c r="H713" s="19" t="s">
        <v>52</v>
      </c>
      <c r="I713" s="19"/>
      <c r="J713" s="19" t="s">
        <v>2388</v>
      </c>
      <c r="K713" s="19" t="s">
        <v>20</v>
      </c>
      <c r="L713" s="3" t="str">
        <f>HYPERLINK(VLOOKUP(C713,BAPs!$A$2:$C$1048576,3,FALSE),VLOOKUP(C713,BAPs!$A$2:$C$1048576,2,FALSE))</f>
        <v>8 out of 10</v>
      </c>
    </row>
    <row r="714" spans="1:12" hidden="1">
      <c r="A714" s="19" t="s">
        <v>2314</v>
      </c>
      <c r="B714" s="19" t="s">
        <v>2233</v>
      </c>
      <c r="C714" s="19" t="s">
        <v>2392</v>
      </c>
      <c r="D714" s="19" t="s">
        <v>2392</v>
      </c>
      <c r="E714" s="19" t="s">
        <v>2393</v>
      </c>
      <c r="F714" s="19" t="e">
        <f>MATCH(E714,#REF!,0)</f>
        <v>#REF!</v>
      </c>
      <c r="G714" s="19" t="s">
        <v>2394</v>
      </c>
      <c r="H714" s="19" t="s">
        <v>43</v>
      </c>
      <c r="I714" s="19"/>
      <c r="J714" s="19" t="s">
        <v>2395</v>
      </c>
      <c r="K714" s="19" t="s">
        <v>20</v>
      </c>
      <c r="L714" s="3" t="str">
        <f>HYPERLINK(VLOOKUP(C714,BAPs!$A$2:$C$1048576,3,FALSE),VLOOKUP(C714,BAPs!$A$2:$C$1048576,2,FALSE))</f>
        <v>1 out of 10</v>
      </c>
    </row>
    <row r="715" spans="1:12" hidden="1">
      <c r="A715" s="19" t="s">
        <v>2314</v>
      </c>
      <c r="B715" s="19" t="s">
        <v>2233</v>
      </c>
      <c r="C715" s="19" t="s">
        <v>2396</v>
      </c>
      <c r="D715" s="19" t="s">
        <v>2396</v>
      </c>
      <c r="E715" s="19" t="s">
        <v>2397</v>
      </c>
      <c r="F715" s="19" t="e">
        <f>MATCH(E715,#REF!,0)</f>
        <v>#REF!</v>
      </c>
      <c r="G715" s="19" t="s">
        <v>2398</v>
      </c>
      <c r="H715" s="19" t="s">
        <v>17</v>
      </c>
      <c r="I715" s="19" t="s">
        <v>18</v>
      </c>
      <c r="J715" s="19" t="s">
        <v>2399</v>
      </c>
      <c r="K715" s="19" t="s">
        <v>20</v>
      </c>
      <c r="L715" s="3" t="str">
        <f>HYPERLINK(VLOOKUP(C715,BAPs!$A$2:$C$1048576,3,FALSE),VLOOKUP(C715,BAPs!$A$2:$C$1048576,2,FALSE))</f>
        <v>4 out of 10</v>
      </c>
    </row>
    <row r="716" spans="1:12" hidden="1">
      <c r="A716" s="19" t="s">
        <v>2314</v>
      </c>
      <c r="B716" s="19" t="s">
        <v>2233</v>
      </c>
      <c r="C716" s="19" t="s">
        <v>2400</v>
      </c>
      <c r="D716" s="19" t="s">
        <v>2400</v>
      </c>
      <c r="E716" s="19" t="s">
        <v>2401</v>
      </c>
      <c r="F716" s="19" t="e">
        <f>MATCH(E716,#REF!,0)</f>
        <v>#REF!</v>
      </c>
      <c r="G716" s="19" t="s">
        <v>2402</v>
      </c>
      <c r="H716" s="19" t="s">
        <v>17</v>
      </c>
      <c r="I716" s="19"/>
      <c r="J716" s="19" t="s">
        <v>2403</v>
      </c>
      <c r="K716" s="19" t="s">
        <v>20</v>
      </c>
      <c r="L716" s="3" t="str">
        <f>HYPERLINK(VLOOKUP(C716,BAPs!$A$2:$C$1048576,3,FALSE),VLOOKUP(C716,BAPs!$A$2:$C$1048576,2,FALSE))</f>
        <v>4 out of 10</v>
      </c>
    </row>
    <row r="717" spans="1:12" hidden="1">
      <c r="A717" s="19" t="s">
        <v>2314</v>
      </c>
      <c r="B717" s="19" t="s">
        <v>2233</v>
      </c>
      <c r="C717" s="19" t="s">
        <v>2404</v>
      </c>
      <c r="D717" s="19" t="s">
        <v>2404</v>
      </c>
      <c r="E717" s="19" t="s">
        <v>2405</v>
      </c>
      <c r="F717" s="19" t="e">
        <f>MATCH(E717,#REF!,0)</f>
        <v>#REF!</v>
      </c>
      <c r="G717" s="19" t="s">
        <v>2406</v>
      </c>
      <c r="H717" s="19" t="s">
        <v>17</v>
      </c>
      <c r="I717" s="19"/>
      <c r="J717" s="19" t="s">
        <v>2407</v>
      </c>
      <c r="K717" s="19" t="s">
        <v>62</v>
      </c>
      <c r="L717" s="3" t="str">
        <f>HYPERLINK(VLOOKUP(C717,BAPs!$A$2:$C$1048576,3,FALSE),VLOOKUP(C717,BAPs!$A$2:$C$1048576,2,FALSE))</f>
        <v>9 out of 10</v>
      </c>
    </row>
    <row r="718" spans="1:12" hidden="1">
      <c r="A718" s="19" t="s">
        <v>2314</v>
      </c>
      <c r="B718" s="19" t="s">
        <v>2233</v>
      </c>
      <c r="C718" s="19" t="s">
        <v>2408</v>
      </c>
      <c r="D718" s="19" t="s">
        <v>2409</v>
      </c>
      <c r="E718" s="19" t="s">
        <v>2410</v>
      </c>
      <c r="F718" s="19" t="e">
        <f>MATCH(E718,#REF!,0)</f>
        <v>#REF!</v>
      </c>
      <c r="G718" s="19" t="s">
        <v>2411</v>
      </c>
      <c r="H718" s="19" t="s">
        <v>24</v>
      </c>
      <c r="I718" s="19" t="s">
        <v>18</v>
      </c>
      <c r="J718" s="19" t="s">
        <v>2412</v>
      </c>
      <c r="K718" s="19" t="s">
        <v>62</v>
      </c>
      <c r="L718" s="3" t="str">
        <f>HYPERLINK(VLOOKUP(C718,BAPs!$A$2:$C$1048576,3,FALSE),VLOOKUP(C718,BAPs!$A$2:$C$1048576,2,FALSE))</f>
        <v>10 out of 10</v>
      </c>
    </row>
    <row r="719" spans="1:12" hidden="1">
      <c r="A719" s="19" t="s">
        <v>2314</v>
      </c>
      <c r="B719" s="19" t="s">
        <v>2233</v>
      </c>
      <c r="C719" s="19" t="s">
        <v>2413</v>
      </c>
      <c r="D719" s="19" t="s">
        <v>2238</v>
      </c>
      <c r="E719" s="19" t="s">
        <v>2239</v>
      </c>
      <c r="F719" s="19" t="e">
        <f>MATCH(E719,#REF!,0)</f>
        <v>#REF!</v>
      </c>
      <c r="G719" s="19" t="s">
        <v>2240</v>
      </c>
      <c r="H719" s="19" t="s">
        <v>43</v>
      </c>
      <c r="I719" s="19"/>
      <c r="J719" s="19" t="s">
        <v>2414</v>
      </c>
      <c r="K719" s="19" t="s">
        <v>62</v>
      </c>
      <c r="L719" s="3" t="str">
        <f>HYPERLINK(VLOOKUP(C719,BAPs!$A$2:$C$1048576,3,FALSE),VLOOKUP(C719,BAPs!$A$2:$C$1048576,2,FALSE))</f>
        <v>10 out of 10</v>
      </c>
    </row>
    <row r="720" spans="1:12" hidden="1">
      <c r="A720" s="19" t="s">
        <v>2314</v>
      </c>
      <c r="B720" s="19" t="s">
        <v>2233</v>
      </c>
      <c r="C720" s="19" t="s">
        <v>2413</v>
      </c>
      <c r="D720" s="19" t="s">
        <v>2413</v>
      </c>
      <c r="E720" s="19" t="s">
        <v>2415</v>
      </c>
      <c r="F720" s="19" t="e">
        <f>MATCH(E720,#REF!,0)</f>
        <v>#REF!</v>
      </c>
      <c r="G720" s="19" t="s">
        <v>2416</v>
      </c>
      <c r="H720" s="19" t="s">
        <v>24</v>
      </c>
      <c r="I720" s="19" t="s">
        <v>18</v>
      </c>
      <c r="J720" s="19" t="s">
        <v>2414</v>
      </c>
      <c r="K720" s="19" t="s">
        <v>62</v>
      </c>
      <c r="L720" s="3" t="str">
        <f>HYPERLINK(VLOOKUP(C720,BAPs!$A$2:$C$1048576,3,FALSE),VLOOKUP(C720,BAPs!$A$2:$C$1048576,2,FALSE))</f>
        <v>10 out of 10</v>
      </c>
    </row>
    <row r="721" spans="1:12" hidden="1">
      <c r="A721" s="19" t="s">
        <v>2314</v>
      </c>
      <c r="B721" s="19" t="s">
        <v>2233</v>
      </c>
      <c r="C721" s="19" t="s">
        <v>2417</v>
      </c>
      <c r="D721" s="19" t="s">
        <v>2238</v>
      </c>
      <c r="E721" s="19" t="s">
        <v>2239</v>
      </c>
      <c r="F721" s="19" t="e">
        <f>MATCH(E721,#REF!,0)</f>
        <v>#REF!</v>
      </c>
      <c r="G721" s="19" t="s">
        <v>2240</v>
      </c>
      <c r="H721" s="19" t="s">
        <v>43</v>
      </c>
      <c r="I721" s="19"/>
      <c r="J721" s="19" t="s">
        <v>2418</v>
      </c>
      <c r="K721" s="19" t="s">
        <v>62</v>
      </c>
      <c r="L721" s="3" t="str">
        <f>HYPERLINK(VLOOKUP(C721,BAPs!$A$2:$C$1048576,3,FALSE),VLOOKUP(C721,BAPs!$A$2:$C$1048576,2,FALSE))</f>
        <v>10 out of 10</v>
      </c>
    </row>
    <row r="722" spans="1:12" hidden="1">
      <c r="A722" s="19" t="s">
        <v>2314</v>
      </c>
      <c r="B722" s="19" t="s">
        <v>2233</v>
      </c>
      <c r="C722" s="19" t="s">
        <v>2417</v>
      </c>
      <c r="D722" s="19" t="s">
        <v>2417</v>
      </c>
      <c r="E722" s="19" t="s">
        <v>2419</v>
      </c>
      <c r="F722" s="19" t="e">
        <f>MATCH(E722,#REF!,0)</f>
        <v>#REF!</v>
      </c>
      <c r="G722" s="19" t="s">
        <v>2420</v>
      </c>
      <c r="H722" s="19" t="s">
        <v>17</v>
      </c>
      <c r="I722" s="19" t="s">
        <v>18</v>
      </c>
      <c r="J722" s="19" t="s">
        <v>2418</v>
      </c>
      <c r="K722" s="19" t="s">
        <v>62</v>
      </c>
      <c r="L722" s="3" t="str">
        <f>HYPERLINK(VLOOKUP(C722,BAPs!$A$2:$C$1048576,3,FALSE),VLOOKUP(C722,BAPs!$A$2:$C$1048576,2,FALSE))</f>
        <v>10 out of 10</v>
      </c>
    </row>
    <row r="723" spans="1:12" hidden="1">
      <c r="A723" s="19" t="s">
        <v>2314</v>
      </c>
      <c r="B723" s="19" t="s">
        <v>2233</v>
      </c>
      <c r="C723" s="19" t="s">
        <v>2421</v>
      </c>
      <c r="D723" s="19" t="s">
        <v>2422</v>
      </c>
      <c r="E723" s="19" t="s">
        <v>2423</v>
      </c>
      <c r="F723" s="19" t="e">
        <f>MATCH(E723,#REF!,0)</f>
        <v>#REF!</v>
      </c>
      <c r="G723" s="19" t="s">
        <v>2424</v>
      </c>
      <c r="H723" s="19" t="s">
        <v>56</v>
      </c>
      <c r="I723" s="19"/>
      <c r="J723" s="19" t="s">
        <v>2425</v>
      </c>
      <c r="K723" s="19" t="s">
        <v>62</v>
      </c>
      <c r="L723" s="3" t="str">
        <f>HYPERLINK(VLOOKUP(C723,BAPs!$A$2:$C$1048576,3,FALSE),VLOOKUP(C723,BAPs!$A$2:$C$1048576,2,FALSE))</f>
        <v>9 out of 10</v>
      </c>
    </row>
    <row r="724" spans="1:12" hidden="1">
      <c r="A724" s="19" t="s">
        <v>2314</v>
      </c>
      <c r="B724" s="19" t="s">
        <v>2233</v>
      </c>
      <c r="C724" s="19" t="s">
        <v>2421</v>
      </c>
      <c r="D724" s="19" t="s">
        <v>2426</v>
      </c>
      <c r="E724" s="19" t="s">
        <v>2427</v>
      </c>
      <c r="F724" s="19" t="e">
        <f>MATCH(E724,#REF!,0)</f>
        <v>#REF!</v>
      </c>
      <c r="G724" s="19" t="s">
        <v>2428</v>
      </c>
      <c r="H724" s="19" t="s">
        <v>56</v>
      </c>
      <c r="I724" s="19"/>
      <c r="J724" s="19" t="s">
        <v>2425</v>
      </c>
      <c r="K724" s="19" t="s">
        <v>62</v>
      </c>
      <c r="L724" s="3" t="str">
        <f>HYPERLINK(VLOOKUP(C724,BAPs!$A$2:$C$1048576,3,FALSE),VLOOKUP(C724,BAPs!$A$2:$C$1048576,2,FALSE))</f>
        <v>9 out of 10</v>
      </c>
    </row>
    <row r="725" spans="1:12" hidden="1">
      <c r="A725" s="19" t="s">
        <v>2314</v>
      </c>
      <c r="B725" s="19" t="s">
        <v>2233</v>
      </c>
      <c r="C725" s="19" t="s">
        <v>2421</v>
      </c>
      <c r="D725" s="19" t="s">
        <v>2429</v>
      </c>
      <c r="E725" s="19" t="s">
        <v>2430</v>
      </c>
      <c r="F725" s="19" t="e">
        <f>MATCH(E725,#REF!,0)</f>
        <v>#REF!</v>
      </c>
      <c r="G725" s="19" t="s">
        <v>2431</v>
      </c>
      <c r="H725" s="19" t="s">
        <v>52</v>
      </c>
      <c r="I725" s="19"/>
      <c r="J725" s="19" t="s">
        <v>2425</v>
      </c>
      <c r="K725" s="19" t="s">
        <v>62</v>
      </c>
      <c r="L725" s="3" t="str">
        <f>HYPERLINK(VLOOKUP(C725,BAPs!$A$2:$C$1048576,3,FALSE),VLOOKUP(C725,BAPs!$A$2:$C$1048576,2,FALSE))</f>
        <v>9 out of 10</v>
      </c>
    </row>
    <row r="726" spans="1:12" hidden="1">
      <c r="A726" s="19" t="s">
        <v>2314</v>
      </c>
      <c r="B726" s="19" t="s">
        <v>2233</v>
      </c>
      <c r="C726" s="19" t="s">
        <v>2432</v>
      </c>
      <c r="D726" s="19" t="s">
        <v>2433</v>
      </c>
      <c r="E726" s="19" t="s">
        <v>2434</v>
      </c>
      <c r="F726" s="19" t="e">
        <f>MATCH(E726,#REF!,0)</f>
        <v>#REF!</v>
      </c>
      <c r="G726" s="19" t="s">
        <v>2435</v>
      </c>
      <c r="H726" s="19" t="s">
        <v>52</v>
      </c>
      <c r="I726" s="19"/>
      <c r="J726" s="19" t="s">
        <v>2436</v>
      </c>
      <c r="K726" s="19" t="s">
        <v>62</v>
      </c>
      <c r="L726" s="3" t="str">
        <f>HYPERLINK(VLOOKUP(C726,BAPs!$A$2:$C$1048576,3,FALSE),VLOOKUP(C726,BAPs!$A$2:$C$1048576,2,FALSE))</f>
        <v>10 out of 10</v>
      </c>
    </row>
    <row r="727" spans="1:12" hidden="1">
      <c r="A727" s="19" t="s">
        <v>2314</v>
      </c>
      <c r="B727" s="19" t="s">
        <v>2233</v>
      </c>
      <c r="C727" s="19" t="s">
        <v>2432</v>
      </c>
      <c r="D727" s="19" t="s">
        <v>2437</v>
      </c>
      <c r="E727" s="19" t="s">
        <v>2438</v>
      </c>
      <c r="F727" s="19" t="e">
        <f>MATCH(E727,#REF!,0)</f>
        <v>#REF!</v>
      </c>
      <c r="G727" s="19" t="s">
        <v>2439</v>
      </c>
      <c r="H727" s="19" t="s">
        <v>56</v>
      </c>
      <c r="I727" s="19"/>
      <c r="J727" s="19" t="s">
        <v>2436</v>
      </c>
      <c r="K727" s="19" t="s">
        <v>62</v>
      </c>
      <c r="L727" s="3" t="str">
        <f>HYPERLINK(VLOOKUP(C727,BAPs!$A$2:$C$1048576,3,FALSE),VLOOKUP(C727,BAPs!$A$2:$C$1048576,2,FALSE))</f>
        <v>10 out of 10</v>
      </c>
    </row>
    <row r="728" spans="1:12" hidden="1">
      <c r="A728" s="19" t="s">
        <v>2314</v>
      </c>
      <c r="B728" s="19" t="s">
        <v>2233</v>
      </c>
      <c r="C728" s="19" t="s">
        <v>2440</v>
      </c>
      <c r="D728" s="19" t="s">
        <v>2441</v>
      </c>
      <c r="E728" s="19" t="s">
        <v>2442</v>
      </c>
      <c r="F728" s="19" t="e">
        <f>MATCH(E728,#REF!,0)</f>
        <v>#REF!</v>
      </c>
      <c r="G728" s="19" t="s">
        <v>2443</v>
      </c>
      <c r="H728" s="19" t="s">
        <v>17</v>
      </c>
      <c r="I728" s="19" t="s">
        <v>18</v>
      </c>
      <c r="J728" s="19" t="s">
        <v>2444</v>
      </c>
      <c r="K728" s="19" t="s">
        <v>62</v>
      </c>
      <c r="L728" s="3" t="str">
        <f>HYPERLINK(VLOOKUP(C728,BAPs!$A$2:$C$1048576,3,FALSE),VLOOKUP(C728,BAPs!$A$2:$C$1048576,2,FALSE))</f>
        <v>10 out of 10</v>
      </c>
    </row>
    <row r="729" spans="1:12" hidden="1">
      <c r="A729" s="19" t="s">
        <v>2314</v>
      </c>
      <c r="B729" s="19" t="s">
        <v>2233</v>
      </c>
      <c r="C729" s="19" t="s">
        <v>2440</v>
      </c>
      <c r="D729" s="19" t="s">
        <v>2238</v>
      </c>
      <c r="E729" s="19" t="s">
        <v>2239</v>
      </c>
      <c r="F729" s="19" t="e">
        <f>MATCH(E729,#REF!,0)</f>
        <v>#REF!</v>
      </c>
      <c r="G729" s="19" t="s">
        <v>2240</v>
      </c>
      <c r="H729" s="19" t="s">
        <v>43</v>
      </c>
      <c r="I729" s="19"/>
      <c r="J729" s="19" t="s">
        <v>2444</v>
      </c>
      <c r="K729" s="19" t="s">
        <v>62</v>
      </c>
      <c r="L729" s="3" t="str">
        <f>HYPERLINK(VLOOKUP(C729,BAPs!$A$2:$C$1048576,3,FALSE),VLOOKUP(C729,BAPs!$A$2:$C$1048576,2,FALSE))</f>
        <v>10 out of 10</v>
      </c>
    </row>
    <row r="730" spans="1:12" hidden="1">
      <c r="A730" s="19" t="s">
        <v>2314</v>
      </c>
      <c r="B730" s="19" t="s">
        <v>2233</v>
      </c>
      <c r="C730" s="19" t="s">
        <v>2445</v>
      </c>
      <c r="D730" s="19" t="s">
        <v>2238</v>
      </c>
      <c r="E730" s="19" t="s">
        <v>2239</v>
      </c>
      <c r="F730" s="19" t="e">
        <f>MATCH(E730,#REF!,0)</f>
        <v>#REF!</v>
      </c>
      <c r="G730" s="19" t="s">
        <v>2240</v>
      </c>
      <c r="H730" s="19" t="s">
        <v>43</v>
      </c>
      <c r="I730" s="19"/>
      <c r="J730" s="19" t="s">
        <v>2446</v>
      </c>
      <c r="K730" s="19" t="s">
        <v>62</v>
      </c>
      <c r="L730" s="3" t="str">
        <f>HYPERLINK(VLOOKUP(C730,BAPs!$A$2:$C$1048576,3,FALSE),VLOOKUP(C730,BAPs!$A$2:$C$1048576,2,FALSE))</f>
        <v>10 out of 10</v>
      </c>
    </row>
    <row r="731" spans="1:12" hidden="1">
      <c r="A731" s="19" t="s">
        <v>2314</v>
      </c>
      <c r="B731" s="19" t="s">
        <v>2233</v>
      </c>
      <c r="C731" s="19" t="s">
        <v>2445</v>
      </c>
      <c r="D731" s="19" t="s">
        <v>2445</v>
      </c>
      <c r="E731" s="19" t="s">
        <v>2447</v>
      </c>
      <c r="F731" s="19" t="e">
        <f>MATCH(E731,#REF!,0)</f>
        <v>#REF!</v>
      </c>
      <c r="G731" s="19" t="s">
        <v>2448</v>
      </c>
      <c r="H731" s="19" t="s">
        <v>17</v>
      </c>
      <c r="I731" s="19" t="s">
        <v>18</v>
      </c>
      <c r="J731" s="19" t="s">
        <v>2446</v>
      </c>
      <c r="K731" s="19" t="s">
        <v>62</v>
      </c>
      <c r="L731" s="3" t="str">
        <f>HYPERLINK(VLOOKUP(C731,BAPs!$A$2:$C$1048576,3,FALSE),VLOOKUP(C731,BAPs!$A$2:$C$1048576,2,FALSE))</f>
        <v>10 out of 10</v>
      </c>
    </row>
    <row r="732" spans="1:12" hidden="1">
      <c r="A732" s="19" t="s">
        <v>2314</v>
      </c>
      <c r="B732" s="19" t="s">
        <v>2233</v>
      </c>
      <c r="C732" s="19" t="s">
        <v>2449</v>
      </c>
      <c r="D732" s="19" t="s">
        <v>2449</v>
      </c>
      <c r="E732" s="19" t="s">
        <v>2450</v>
      </c>
      <c r="F732" s="19" t="e">
        <f>MATCH(E732,#REF!,0)</f>
        <v>#REF!</v>
      </c>
      <c r="G732" s="19" t="s">
        <v>2451</v>
      </c>
      <c r="H732" s="19" t="s">
        <v>17</v>
      </c>
      <c r="I732" s="19" t="s">
        <v>18</v>
      </c>
      <c r="J732" s="19" t="s">
        <v>2452</v>
      </c>
      <c r="K732" s="19" t="s">
        <v>62</v>
      </c>
      <c r="L732" s="3" t="str">
        <f>HYPERLINK(VLOOKUP(C732,BAPs!$A$2:$C$1048576,3,FALSE),VLOOKUP(C732,BAPs!$A$2:$C$1048576,2,FALSE))</f>
        <v>10 out of 10</v>
      </c>
    </row>
    <row r="733" spans="1:12" hidden="1">
      <c r="A733" s="19" t="s">
        <v>2314</v>
      </c>
      <c r="B733" s="19" t="s">
        <v>2233</v>
      </c>
      <c r="C733" s="19" t="s">
        <v>2453</v>
      </c>
      <c r="D733" s="19" t="s">
        <v>2454</v>
      </c>
      <c r="E733" s="19" t="s">
        <v>2455</v>
      </c>
      <c r="F733" s="19" t="e">
        <f>MATCH(E733,#REF!,0)</f>
        <v>#REF!</v>
      </c>
      <c r="G733" s="19" t="s">
        <v>2456</v>
      </c>
      <c r="H733" s="19" t="s">
        <v>56</v>
      </c>
      <c r="I733" s="19"/>
      <c r="J733" s="19" t="s">
        <v>2457</v>
      </c>
      <c r="K733" s="19" t="s">
        <v>20</v>
      </c>
      <c r="L733" s="3" t="str">
        <f>HYPERLINK(VLOOKUP(C733,BAPs!$A$2:$C$1048576,3,FALSE),VLOOKUP(C733,BAPs!$A$2:$C$1048576,2,FALSE))</f>
        <v>7 out of 10</v>
      </c>
    </row>
    <row r="734" spans="1:12" hidden="1">
      <c r="A734" s="19" t="s">
        <v>2314</v>
      </c>
      <c r="B734" s="19" t="s">
        <v>2233</v>
      </c>
      <c r="C734" s="19" t="s">
        <v>2453</v>
      </c>
      <c r="D734" s="19" t="s">
        <v>2458</v>
      </c>
      <c r="E734" s="19" t="s">
        <v>2459</v>
      </c>
      <c r="F734" s="19" t="e">
        <f>MATCH(E734,#REF!,0)</f>
        <v>#REF!</v>
      </c>
      <c r="G734" s="19" t="s">
        <v>2460</v>
      </c>
      <c r="H734" s="19" t="s">
        <v>56</v>
      </c>
      <c r="I734" s="19"/>
      <c r="J734" s="19" t="s">
        <v>2457</v>
      </c>
      <c r="K734" s="19" t="s">
        <v>20</v>
      </c>
      <c r="L734" s="3" t="str">
        <f>HYPERLINK(VLOOKUP(C734,BAPs!$A$2:$C$1048576,3,FALSE),VLOOKUP(C734,BAPs!$A$2:$C$1048576,2,FALSE))</f>
        <v>7 out of 10</v>
      </c>
    </row>
    <row r="735" spans="1:12" hidden="1">
      <c r="A735" s="19" t="s">
        <v>2314</v>
      </c>
      <c r="B735" s="19" t="s">
        <v>2233</v>
      </c>
      <c r="C735" s="19" t="s">
        <v>2453</v>
      </c>
      <c r="D735" s="19" t="s">
        <v>2461</v>
      </c>
      <c r="E735" s="19" t="s">
        <v>2462</v>
      </c>
      <c r="F735" s="19" t="e">
        <f>MATCH(E735,#REF!,0)</f>
        <v>#REF!</v>
      </c>
      <c r="G735" s="19" t="s">
        <v>2463</v>
      </c>
      <c r="H735" s="19" t="s">
        <v>56</v>
      </c>
      <c r="I735" s="19"/>
      <c r="J735" s="19" t="s">
        <v>2457</v>
      </c>
      <c r="K735" s="19" t="s">
        <v>20</v>
      </c>
      <c r="L735" s="3" t="str">
        <f>HYPERLINK(VLOOKUP(C735,BAPs!$A$2:$C$1048576,3,FALSE),VLOOKUP(C735,BAPs!$A$2:$C$1048576,2,FALSE))</f>
        <v>7 out of 10</v>
      </c>
    </row>
    <row r="736" spans="1:12" hidden="1">
      <c r="A736" s="19" t="s">
        <v>2314</v>
      </c>
      <c r="B736" s="19" t="s">
        <v>2233</v>
      </c>
      <c r="C736" s="19" t="s">
        <v>2453</v>
      </c>
      <c r="D736" s="19" t="s">
        <v>2464</v>
      </c>
      <c r="E736" s="19" t="s">
        <v>2465</v>
      </c>
      <c r="F736" s="19" t="e">
        <f>MATCH(E736,#REF!,0)</f>
        <v>#REF!</v>
      </c>
      <c r="G736" s="19" t="s">
        <v>2466</v>
      </c>
      <c r="H736" s="19" t="s">
        <v>84</v>
      </c>
      <c r="I736" s="19"/>
      <c r="J736" s="19" t="s">
        <v>2457</v>
      </c>
      <c r="K736" s="19" t="s">
        <v>20</v>
      </c>
      <c r="L736" s="3" t="str">
        <f>HYPERLINK(VLOOKUP(C736,BAPs!$A$2:$C$1048576,3,FALSE),VLOOKUP(C736,BAPs!$A$2:$C$1048576,2,FALSE))</f>
        <v>7 out of 10</v>
      </c>
    </row>
    <row r="737" spans="1:12" hidden="1">
      <c r="A737" s="19" t="s">
        <v>2314</v>
      </c>
      <c r="B737" s="19" t="s">
        <v>2233</v>
      </c>
      <c r="C737" s="19" t="s">
        <v>2453</v>
      </c>
      <c r="D737" s="19" t="s">
        <v>2467</v>
      </c>
      <c r="E737" s="19" t="s">
        <v>2468</v>
      </c>
      <c r="F737" s="19" t="e">
        <f>MATCH(E737,#REF!,0)</f>
        <v>#REF!</v>
      </c>
      <c r="G737" s="19" t="s">
        <v>2469</v>
      </c>
      <c r="H737" s="19" t="s">
        <v>56</v>
      </c>
      <c r="I737" s="19"/>
      <c r="J737" s="19" t="s">
        <v>2457</v>
      </c>
      <c r="K737" s="19" t="s">
        <v>20</v>
      </c>
      <c r="L737" s="3" t="str">
        <f>HYPERLINK(VLOOKUP(C737,BAPs!$A$2:$C$1048576,3,FALSE),VLOOKUP(C737,BAPs!$A$2:$C$1048576,2,FALSE))</f>
        <v>7 out of 10</v>
      </c>
    </row>
    <row r="738" spans="1:12" hidden="1">
      <c r="A738" s="19" t="s">
        <v>2314</v>
      </c>
      <c r="B738" s="19" t="s">
        <v>2233</v>
      </c>
      <c r="C738" s="19" t="s">
        <v>2453</v>
      </c>
      <c r="D738" s="19" t="s">
        <v>2470</v>
      </c>
      <c r="E738" s="19" t="s">
        <v>2471</v>
      </c>
      <c r="F738" s="19" t="e">
        <f>MATCH(E738,#REF!,0)</f>
        <v>#REF!</v>
      </c>
      <c r="G738" s="19" t="s">
        <v>2472</v>
      </c>
      <c r="H738" s="19" t="s">
        <v>56</v>
      </c>
      <c r="I738" s="19"/>
      <c r="J738" s="19" t="s">
        <v>2457</v>
      </c>
      <c r="K738" s="19" t="s">
        <v>20</v>
      </c>
      <c r="L738" s="3" t="str">
        <f>HYPERLINK(VLOOKUP(C738,BAPs!$A$2:$C$1048576,3,FALSE),VLOOKUP(C738,BAPs!$A$2:$C$1048576,2,FALSE))</f>
        <v>7 out of 10</v>
      </c>
    </row>
    <row r="739" spans="1:12" hidden="1">
      <c r="A739" s="19" t="s">
        <v>2314</v>
      </c>
      <c r="B739" s="19" t="s">
        <v>2233</v>
      </c>
      <c r="C739" s="19" t="s">
        <v>2453</v>
      </c>
      <c r="D739" s="19" t="s">
        <v>2437</v>
      </c>
      <c r="E739" s="19" t="s">
        <v>2438</v>
      </c>
      <c r="F739" s="19" t="e">
        <f>MATCH(E739,#REF!,0)</f>
        <v>#REF!</v>
      </c>
      <c r="G739" s="19" t="s">
        <v>2439</v>
      </c>
      <c r="H739" s="19" t="s">
        <v>56</v>
      </c>
      <c r="I739" s="19"/>
      <c r="J739" s="19" t="s">
        <v>2457</v>
      </c>
      <c r="K739" s="19" t="s">
        <v>20</v>
      </c>
      <c r="L739" s="3" t="str">
        <f>HYPERLINK(VLOOKUP(C739,BAPs!$A$2:$C$1048576,3,FALSE),VLOOKUP(C739,BAPs!$A$2:$C$1048576,2,FALSE))</f>
        <v>7 out of 10</v>
      </c>
    </row>
    <row r="740" spans="1:12" hidden="1">
      <c r="A740" s="19" t="s">
        <v>2314</v>
      </c>
      <c r="B740" s="19" t="s">
        <v>2233</v>
      </c>
      <c r="C740" s="19" t="s">
        <v>2473</v>
      </c>
      <c r="D740" s="19" t="s">
        <v>2474</v>
      </c>
      <c r="E740" s="19" t="s">
        <v>2475</v>
      </c>
      <c r="F740" s="19" t="e">
        <f>MATCH(E740,#REF!,0)</f>
        <v>#REF!</v>
      </c>
      <c r="G740" s="19" t="s">
        <v>2476</v>
      </c>
      <c r="H740" s="19" t="s">
        <v>56</v>
      </c>
      <c r="I740" s="19"/>
      <c r="J740" s="19" t="s">
        <v>2477</v>
      </c>
      <c r="K740" s="19" t="s">
        <v>62</v>
      </c>
      <c r="L740" s="3" t="str">
        <f>HYPERLINK(VLOOKUP(C740,BAPs!$A$2:$C$1048576,3,FALSE),VLOOKUP(C740,BAPs!$A$2:$C$1048576,2,FALSE))</f>
        <v>9 out of 10</v>
      </c>
    </row>
    <row r="741" spans="1:12" hidden="1">
      <c r="A741" s="19" t="s">
        <v>2314</v>
      </c>
      <c r="B741" s="19" t="s">
        <v>2233</v>
      </c>
      <c r="C741" s="19" t="s">
        <v>2478</v>
      </c>
      <c r="D741" s="19" t="s">
        <v>2479</v>
      </c>
      <c r="E741" s="19" t="s">
        <v>2480</v>
      </c>
      <c r="F741" s="19" t="e">
        <f>MATCH(E741,#REF!,0)</f>
        <v>#REF!</v>
      </c>
      <c r="G741" s="19" t="s">
        <v>2481</v>
      </c>
      <c r="H741" s="19" t="s">
        <v>24</v>
      </c>
      <c r="I741" s="19"/>
      <c r="J741" s="19" t="s">
        <v>2482</v>
      </c>
      <c r="K741" s="19" t="s">
        <v>20</v>
      </c>
      <c r="L741" s="3" t="str">
        <f>HYPERLINK(VLOOKUP(C741,BAPs!$A$2:$C$1048576,3,FALSE),VLOOKUP(C741,BAPs!$A$2:$C$1048576,2,FALSE))</f>
        <v>3 out of 10</v>
      </c>
    </row>
    <row r="742" spans="1:12" hidden="1">
      <c r="A742" s="19" t="s">
        <v>2314</v>
      </c>
      <c r="B742" s="19" t="s">
        <v>2233</v>
      </c>
      <c r="C742" s="19" t="s">
        <v>2478</v>
      </c>
      <c r="D742" s="19" t="s">
        <v>2483</v>
      </c>
      <c r="E742" s="19" t="s">
        <v>2484</v>
      </c>
      <c r="F742" s="19" t="e">
        <f>MATCH(E742,#REF!,0)</f>
        <v>#REF!</v>
      </c>
      <c r="G742" s="19" t="s">
        <v>2485</v>
      </c>
      <c r="H742" s="19" t="s">
        <v>56</v>
      </c>
      <c r="I742" s="19"/>
      <c r="J742" s="19" t="s">
        <v>2482</v>
      </c>
      <c r="K742" s="19" t="s">
        <v>20</v>
      </c>
      <c r="L742" s="3" t="str">
        <f>HYPERLINK(VLOOKUP(C742,BAPs!$A$2:$C$1048576,3,FALSE),VLOOKUP(C742,BAPs!$A$2:$C$1048576,2,FALSE))</f>
        <v>3 out of 10</v>
      </c>
    </row>
    <row r="743" spans="1:12" hidden="1">
      <c r="A743" s="19" t="s">
        <v>2314</v>
      </c>
      <c r="B743" s="19" t="s">
        <v>2233</v>
      </c>
      <c r="C743" s="19" t="s">
        <v>2478</v>
      </c>
      <c r="D743" s="19" t="s">
        <v>2486</v>
      </c>
      <c r="E743" s="19" t="s">
        <v>2487</v>
      </c>
      <c r="F743" s="19" t="e">
        <f>MATCH(E743,#REF!,0)</f>
        <v>#REF!</v>
      </c>
      <c r="G743" s="19" t="s">
        <v>2488</v>
      </c>
      <c r="H743" s="19" t="s">
        <v>56</v>
      </c>
      <c r="I743" s="19"/>
      <c r="J743" s="19" t="s">
        <v>2482</v>
      </c>
      <c r="K743" s="19" t="s">
        <v>20</v>
      </c>
      <c r="L743" s="3" t="str">
        <f>HYPERLINK(VLOOKUP(C743,BAPs!$A$2:$C$1048576,3,FALSE),VLOOKUP(C743,BAPs!$A$2:$C$1048576,2,FALSE))</f>
        <v>3 out of 10</v>
      </c>
    </row>
    <row r="744" spans="1:12" hidden="1">
      <c r="A744" s="19" t="s">
        <v>2314</v>
      </c>
      <c r="B744" s="19" t="s">
        <v>2233</v>
      </c>
      <c r="C744" s="19" t="s">
        <v>2478</v>
      </c>
      <c r="D744" s="19" t="s">
        <v>2489</v>
      </c>
      <c r="E744" s="19" t="s">
        <v>2490</v>
      </c>
      <c r="F744" s="19" t="e">
        <f>MATCH(E744,#REF!,0)</f>
        <v>#REF!</v>
      </c>
      <c r="G744" s="19" t="s">
        <v>2491</v>
      </c>
      <c r="H744" s="19" t="s">
        <v>56</v>
      </c>
      <c r="I744" s="19"/>
      <c r="J744" s="19" t="s">
        <v>2482</v>
      </c>
      <c r="K744" s="19" t="s">
        <v>20</v>
      </c>
      <c r="L744" s="3" t="str">
        <f>HYPERLINK(VLOOKUP(C744,BAPs!$A$2:$C$1048576,3,FALSE),VLOOKUP(C744,BAPs!$A$2:$C$1048576,2,FALSE))</f>
        <v>3 out of 10</v>
      </c>
    </row>
    <row r="745" spans="1:12" hidden="1">
      <c r="A745" s="19" t="s">
        <v>2314</v>
      </c>
      <c r="B745" s="19" t="s">
        <v>2233</v>
      </c>
      <c r="C745" s="19" t="s">
        <v>2478</v>
      </c>
      <c r="D745" s="19" t="s">
        <v>2492</v>
      </c>
      <c r="E745" s="19" t="s">
        <v>2493</v>
      </c>
      <c r="F745" s="19" t="e">
        <f>MATCH(E745,#REF!,0)</f>
        <v>#REF!</v>
      </c>
      <c r="G745" s="19" t="s">
        <v>2494</v>
      </c>
      <c r="H745" s="19" t="s">
        <v>56</v>
      </c>
      <c r="I745" s="19"/>
      <c r="J745" s="19" t="s">
        <v>2482</v>
      </c>
      <c r="K745" s="19" t="s">
        <v>20</v>
      </c>
      <c r="L745" s="3" t="str">
        <f>HYPERLINK(VLOOKUP(C745,BAPs!$A$2:$C$1048576,3,FALSE),VLOOKUP(C745,BAPs!$A$2:$C$1048576,2,FALSE))</f>
        <v>3 out of 10</v>
      </c>
    </row>
    <row r="746" spans="1:12" hidden="1">
      <c r="A746" s="19" t="s">
        <v>2314</v>
      </c>
      <c r="B746" s="19" t="s">
        <v>2233</v>
      </c>
      <c r="C746" s="19" t="s">
        <v>2478</v>
      </c>
      <c r="D746" s="19" t="s">
        <v>2495</v>
      </c>
      <c r="E746" s="19" t="s">
        <v>2496</v>
      </c>
      <c r="F746" s="19" t="e">
        <f>MATCH(E746,#REF!,0)</f>
        <v>#REF!</v>
      </c>
      <c r="G746" s="19" t="s">
        <v>2497</v>
      </c>
      <c r="H746" s="19" t="s">
        <v>56</v>
      </c>
      <c r="I746" s="19"/>
      <c r="J746" s="19" t="s">
        <v>2482</v>
      </c>
      <c r="K746" s="19" t="s">
        <v>20</v>
      </c>
      <c r="L746" s="3" t="str">
        <f>HYPERLINK(VLOOKUP(C746,BAPs!$A$2:$C$1048576,3,FALSE),VLOOKUP(C746,BAPs!$A$2:$C$1048576,2,FALSE))</f>
        <v>3 out of 10</v>
      </c>
    </row>
    <row r="747" spans="1:12" hidden="1">
      <c r="A747" s="19" t="s">
        <v>2314</v>
      </c>
      <c r="B747" s="19" t="s">
        <v>2233</v>
      </c>
      <c r="C747" s="19" t="s">
        <v>2498</v>
      </c>
      <c r="D747" s="19" t="s">
        <v>2499</v>
      </c>
      <c r="E747" s="19" t="s">
        <v>2500</v>
      </c>
      <c r="F747" s="19" t="e">
        <f>MATCH(E747,#REF!,0)</f>
        <v>#REF!</v>
      </c>
      <c r="G747" s="19" t="s">
        <v>2501</v>
      </c>
      <c r="H747" s="19" t="s">
        <v>17</v>
      </c>
      <c r="I747" s="19" t="s">
        <v>18</v>
      </c>
      <c r="J747" s="19" t="s">
        <v>2502</v>
      </c>
      <c r="K747" s="19" t="s">
        <v>62</v>
      </c>
      <c r="L747" s="3" t="str">
        <f>HYPERLINK(VLOOKUP(C747,BAPs!$A$2:$C$1048576,3,FALSE),VLOOKUP(C747,BAPs!$A$2:$C$1048576,2,FALSE))</f>
        <v>10 out of 10</v>
      </c>
    </row>
    <row r="748" spans="1:12" hidden="1">
      <c r="A748" s="19" t="s">
        <v>2314</v>
      </c>
      <c r="B748" s="19" t="s">
        <v>2233</v>
      </c>
      <c r="C748" s="19" t="s">
        <v>2503</v>
      </c>
      <c r="D748" s="19" t="s">
        <v>2504</v>
      </c>
      <c r="E748" s="19" t="s">
        <v>2505</v>
      </c>
      <c r="F748" s="19" t="e">
        <f>MATCH(E748,#REF!,0)</f>
        <v>#REF!</v>
      </c>
      <c r="G748" s="19" t="s">
        <v>2506</v>
      </c>
      <c r="H748" s="19" t="s">
        <v>43</v>
      </c>
      <c r="I748" s="19" t="s">
        <v>18</v>
      </c>
      <c r="J748" s="19" t="s">
        <v>2507</v>
      </c>
      <c r="K748" s="19" t="s">
        <v>62</v>
      </c>
      <c r="L748" s="3" t="str">
        <f>HYPERLINK(VLOOKUP(C748,BAPs!$A$2:$C$1048576,3,FALSE),VLOOKUP(C748,BAPs!$A$2:$C$1048576,2,FALSE))</f>
        <v>10 out of 10</v>
      </c>
    </row>
    <row r="749" spans="1:12" hidden="1">
      <c r="A749" s="19" t="s">
        <v>2314</v>
      </c>
      <c r="B749" s="19" t="s">
        <v>2233</v>
      </c>
      <c r="C749" s="19" t="s">
        <v>2503</v>
      </c>
      <c r="D749" s="19" t="s">
        <v>2508</v>
      </c>
      <c r="E749" s="19" t="s">
        <v>2509</v>
      </c>
      <c r="F749" s="19" t="e">
        <f>MATCH(E749,#REF!,0)</f>
        <v>#REF!</v>
      </c>
      <c r="G749" s="19" t="s">
        <v>2510</v>
      </c>
      <c r="H749" s="19" t="s">
        <v>56</v>
      </c>
      <c r="I749" s="19"/>
      <c r="J749" s="19" t="s">
        <v>2507</v>
      </c>
      <c r="K749" s="19" t="s">
        <v>62</v>
      </c>
      <c r="L749" s="3" t="str">
        <f>HYPERLINK(VLOOKUP(C749,BAPs!$A$2:$C$1048576,3,FALSE),VLOOKUP(C749,BAPs!$A$2:$C$1048576,2,FALSE))</f>
        <v>10 out of 10</v>
      </c>
    </row>
    <row r="750" spans="1:12" hidden="1">
      <c r="A750" s="19" t="s">
        <v>2314</v>
      </c>
      <c r="B750" s="19" t="s">
        <v>2233</v>
      </c>
      <c r="C750" s="19" t="s">
        <v>2511</v>
      </c>
      <c r="D750" s="19" t="s">
        <v>2512</v>
      </c>
      <c r="E750" s="19" t="s">
        <v>2513</v>
      </c>
      <c r="F750" s="19" t="e">
        <f>MATCH(E750,#REF!,0)</f>
        <v>#REF!</v>
      </c>
      <c r="G750" s="19" t="s">
        <v>2514</v>
      </c>
      <c r="H750" s="19" t="s">
        <v>24</v>
      </c>
      <c r="I750" s="19" t="s">
        <v>18</v>
      </c>
      <c r="J750" s="19" t="s">
        <v>2515</v>
      </c>
      <c r="K750" s="19" t="s">
        <v>20</v>
      </c>
      <c r="L750" s="3" t="str">
        <f>HYPERLINK(VLOOKUP(C750,BAPs!$A$2:$C$1048576,3,FALSE),VLOOKUP(C750,BAPs!$A$2:$C$1048576,2,FALSE))</f>
        <v>4 out of 10</v>
      </c>
    </row>
    <row r="751" spans="1:12" hidden="1">
      <c r="A751" s="19" t="s">
        <v>2314</v>
      </c>
      <c r="B751" s="19" t="s">
        <v>2233</v>
      </c>
      <c r="C751" s="19" t="s">
        <v>2511</v>
      </c>
      <c r="D751" s="19" t="s">
        <v>2504</v>
      </c>
      <c r="E751" s="19" t="s">
        <v>2505</v>
      </c>
      <c r="F751" s="19" t="e">
        <f>MATCH(E751,#REF!,0)</f>
        <v>#REF!</v>
      </c>
      <c r="G751" s="19" t="s">
        <v>2506</v>
      </c>
      <c r="H751" s="19" t="s">
        <v>43</v>
      </c>
      <c r="I751" s="19" t="s">
        <v>18</v>
      </c>
      <c r="J751" s="19" t="s">
        <v>2515</v>
      </c>
      <c r="K751" s="19" t="s">
        <v>20</v>
      </c>
      <c r="L751" s="3" t="str">
        <f>HYPERLINK(VLOOKUP(C751,BAPs!$A$2:$C$1048576,3,FALSE),VLOOKUP(C751,BAPs!$A$2:$C$1048576,2,FALSE))</f>
        <v>4 out of 10</v>
      </c>
    </row>
    <row r="752" spans="1:12" hidden="1">
      <c r="A752" s="19" t="s">
        <v>2314</v>
      </c>
      <c r="B752" s="19" t="s">
        <v>2233</v>
      </c>
      <c r="C752" s="19" t="s">
        <v>2511</v>
      </c>
      <c r="D752" s="19" t="s">
        <v>2516</v>
      </c>
      <c r="E752" s="19" t="s">
        <v>2517</v>
      </c>
      <c r="F752" s="19" t="e">
        <f>MATCH(E752,#REF!,0)</f>
        <v>#REF!</v>
      </c>
      <c r="G752" s="19" t="s">
        <v>2518</v>
      </c>
      <c r="H752" s="19" t="s">
        <v>56</v>
      </c>
      <c r="I752" s="19"/>
      <c r="J752" s="19" t="s">
        <v>2515</v>
      </c>
      <c r="K752" s="19" t="s">
        <v>20</v>
      </c>
      <c r="L752" s="3" t="str">
        <f>HYPERLINK(VLOOKUP(C752,BAPs!$A$2:$C$1048576,3,FALSE),VLOOKUP(C752,BAPs!$A$2:$C$1048576,2,FALSE))</f>
        <v>4 out of 10</v>
      </c>
    </row>
    <row r="753" spans="1:12" hidden="1">
      <c r="A753" s="19" t="s">
        <v>2314</v>
      </c>
      <c r="B753" s="19" t="s">
        <v>2233</v>
      </c>
      <c r="C753" s="19" t="s">
        <v>2511</v>
      </c>
      <c r="D753" s="19" t="s">
        <v>2519</v>
      </c>
      <c r="E753" s="19" t="s">
        <v>2520</v>
      </c>
      <c r="F753" s="19" t="e">
        <f>MATCH(E753,#REF!,0)</f>
        <v>#REF!</v>
      </c>
      <c r="G753" s="19" t="s">
        <v>2521</v>
      </c>
      <c r="H753" s="19" t="s">
        <v>56</v>
      </c>
      <c r="I753" s="19"/>
      <c r="J753" s="19" t="s">
        <v>2515</v>
      </c>
      <c r="K753" s="19" t="s">
        <v>20</v>
      </c>
      <c r="L753" s="3" t="str">
        <f>HYPERLINK(VLOOKUP(C753,BAPs!$A$2:$C$1048576,3,FALSE),VLOOKUP(C753,BAPs!$A$2:$C$1048576,2,FALSE))</f>
        <v>4 out of 10</v>
      </c>
    </row>
    <row r="754" spans="1:12" hidden="1">
      <c r="A754" s="19" t="s">
        <v>2314</v>
      </c>
      <c r="B754" s="19" t="s">
        <v>2233</v>
      </c>
      <c r="C754" s="19" t="s">
        <v>2511</v>
      </c>
      <c r="D754" s="19" t="s">
        <v>2522</v>
      </c>
      <c r="E754" s="19" t="s">
        <v>2523</v>
      </c>
      <c r="F754" s="19" t="e">
        <f>MATCH(E754,#REF!,0)</f>
        <v>#REF!</v>
      </c>
      <c r="G754" s="19" t="s">
        <v>2524</v>
      </c>
      <c r="H754" s="19" t="s">
        <v>56</v>
      </c>
      <c r="I754" s="19"/>
      <c r="J754" s="19" t="s">
        <v>2515</v>
      </c>
      <c r="K754" s="19" t="s">
        <v>20</v>
      </c>
      <c r="L754" s="3" t="str">
        <f>HYPERLINK(VLOOKUP(C754,BAPs!$A$2:$C$1048576,3,FALSE),VLOOKUP(C754,BAPs!$A$2:$C$1048576,2,FALSE))</f>
        <v>4 out of 10</v>
      </c>
    </row>
    <row r="755" spans="1:12" hidden="1">
      <c r="A755" s="19" t="s">
        <v>2314</v>
      </c>
      <c r="B755" s="19" t="s">
        <v>2233</v>
      </c>
      <c r="C755" s="19" t="s">
        <v>2511</v>
      </c>
      <c r="D755" s="19" t="s">
        <v>2525</v>
      </c>
      <c r="E755" s="19" t="s">
        <v>2526</v>
      </c>
      <c r="F755" s="19" t="e">
        <f>MATCH(E755,#REF!,0)</f>
        <v>#REF!</v>
      </c>
      <c r="G755" s="19" t="s">
        <v>2527</v>
      </c>
      <c r="H755" s="19" t="s">
        <v>56</v>
      </c>
      <c r="I755" s="19"/>
      <c r="J755" s="19" t="s">
        <v>2515</v>
      </c>
      <c r="K755" s="19" t="s">
        <v>20</v>
      </c>
      <c r="L755" s="3" t="str">
        <f>HYPERLINK(VLOOKUP(C755,BAPs!$A$2:$C$1048576,3,FALSE),VLOOKUP(C755,BAPs!$A$2:$C$1048576,2,FALSE))</f>
        <v>4 out of 10</v>
      </c>
    </row>
    <row r="756" spans="1:12" hidden="1">
      <c r="A756" s="19" t="s">
        <v>2314</v>
      </c>
      <c r="B756" s="19" t="s">
        <v>2233</v>
      </c>
      <c r="C756" s="19" t="s">
        <v>2528</v>
      </c>
      <c r="D756" s="19" t="s">
        <v>2529</v>
      </c>
      <c r="E756" s="19" t="s">
        <v>2530</v>
      </c>
      <c r="F756" s="19" t="e">
        <f>MATCH(E756,#REF!,0)</f>
        <v>#REF!</v>
      </c>
      <c r="G756" s="19" t="s">
        <v>2531</v>
      </c>
      <c r="H756" s="19" t="s">
        <v>56</v>
      </c>
      <c r="I756" s="19"/>
      <c r="J756" s="19" t="s">
        <v>2532</v>
      </c>
      <c r="K756" s="19" t="s">
        <v>20</v>
      </c>
      <c r="L756" s="3" t="str">
        <f>HYPERLINK(VLOOKUP(C756,BAPs!$A$2:$C$1048576,3,FALSE),VLOOKUP(C756,BAPs!$A$2:$C$1048576,2,FALSE))</f>
        <v>1 out of 10</v>
      </c>
    </row>
    <row r="757" spans="1:12" hidden="1">
      <c r="A757" s="19" t="s">
        <v>2314</v>
      </c>
      <c r="B757" s="19" t="s">
        <v>2233</v>
      </c>
      <c r="C757" s="19" t="s">
        <v>2533</v>
      </c>
      <c r="D757" s="19" t="s">
        <v>2534</v>
      </c>
      <c r="E757" s="19" t="s">
        <v>2535</v>
      </c>
      <c r="F757" s="19" t="e">
        <f>MATCH(E757,#REF!,0)</f>
        <v>#REF!</v>
      </c>
      <c r="G757" s="19" t="s">
        <v>2536</v>
      </c>
      <c r="H757" s="19" t="s">
        <v>17</v>
      </c>
      <c r="I757" s="19" t="s">
        <v>18</v>
      </c>
      <c r="J757" s="19" t="s">
        <v>2537</v>
      </c>
      <c r="K757" s="19" t="s">
        <v>62</v>
      </c>
      <c r="L757" s="3" t="str">
        <f>HYPERLINK(VLOOKUP(C757,BAPs!$A$2:$C$1048576,3,FALSE),VLOOKUP(C757,BAPs!$A$2:$C$1048576,2,FALSE))</f>
        <v>10 out of 10</v>
      </c>
    </row>
    <row r="758" spans="1:12" hidden="1">
      <c r="A758" s="19" t="s">
        <v>2314</v>
      </c>
      <c r="B758" s="19" t="s">
        <v>2233</v>
      </c>
      <c r="C758" s="19" t="s">
        <v>2533</v>
      </c>
      <c r="D758" s="19" t="s">
        <v>2392</v>
      </c>
      <c r="E758" s="19" t="s">
        <v>2393</v>
      </c>
      <c r="F758" s="19" t="e">
        <f>MATCH(E758,#REF!,0)</f>
        <v>#REF!</v>
      </c>
      <c r="G758" s="19" t="s">
        <v>2394</v>
      </c>
      <c r="H758" s="19" t="s">
        <v>43</v>
      </c>
      <c r="I758" s="19"/>
      <c r="J758" s="19" t="s">
        <v>2537</v>
      </c>
      <c r="K758" s="19" t="s">
        <v>62</v>
      </c>
      <c r="L758" s="3" t="str">
        <f>HYPERLINK(VLOOKUP(C758,BAPs!$A$2:$C$1048576,3,FALSE),VLOOKUP(C758,BAPs!$A$2:$C$1048576,2,FALSE))</f>
        <v>10 out of 10</v>
      </c>
    </row>
    <row r="759" spans="1:12" hidden="1">
      <c r="A759" s="19" t="s">
        <v>2314</v>
      </c>
      <c r="B759" s="19" t="s">
        <v>2233</v>
      </c>
      <c r="C759" s="19" t="s">
        <v>2533</v>
      </c>
      <c r="D759" s="19" t="s">
        <v>2538</v>
      </c>
      <c r="E759" s="19" t="s">
        <v>2539</v>
      </c>
      <c r="F759" s="19" t="e">
        <f>MATCH(E759,#REF!,0)</f>
        <v>#REF!</v>
      </c>
      <c r="G759" s="19" t="s">
        <v>2540</v>
      </c>
      <c r="H759" s="19" t="s">
        <v>56</v>
      </c>
      <c r="I759" s="19"/>
      <c r="J759" s="19" t="s">
        <v>2537</v>
      </c>
      <c r="K759" s="19" t="s">
        <v>62</v>
      </c>
      <c r="L759" s="3" t="str">
        <f>HYPERLINK(VLOOKUP(C759,BAPs!$A$2:$C$1048576,3,FALSE),VLOOKUP(C759,BAPs!$A$2:$C$1048576,2,FALSE))</f>
        <v>10 out of 10</v>
      </c>
    </row>
    <row r="760" spans="1:12" hidden="1">
      <c r="A760" s="19" t="s">
        <v>2314</v>
      </c>
      <c r="B760" s="19" t="s">
        <v>2233</v>
      </c>
      <c r="C760" s="19" t="s">
        <v>2541</v>
      </c>
      <c r="D760" s="19" t="s">
        <v>2542</v>
      </c>
      <c r="E760" s="19" t="s">
        <v>2543</v>
      </c>
      <c r="F760" s="19" t="e">
        <f>MATCH(E760,#REF!,0)</f>
        <v>#REF!</v>
      </c>
      <c r="G760" s="19" t="s">
        <v>2544</v>
      </c>
      <c r="H760" s="19" t="s">
        <v>56</v>
      </c>
      <c r="I760" s="19"/>
      <c r="J760" s="19" t="s">
        <v>2545</v>
      </c>
      <c r="K760" s="19" t="s">
        <v>62</v>
      </c>
      <c r="L760" s="3" t="str">
        <f>HYPERLINK(VLOOKUP(C760,BAPs!$A$2:$C$1048576,3,FALSE),VLOOKUP(C760,BAPs!$A$2:$C$1048576,2,FALSE))</f>
        <v>9 out of 10</v>
      </c>
    </row>
    <row r="761" spans="1:12" hidden="1">
      <c r="A761" s="19" t="s">
        <v>2314</v>
      </c>
      <c r="B761" s="19" t="s">
        <v>2233</v>
      </c>
      <c r="C761" s="19" t="s">
        <v>2541</v>
      </c>
      <c r="D761" s="19" t="s">
        <v>2546</v>
      </c>
      <c r="E761" s="19" t="s">
        <v>2547</v>
      </c>
      <c r="F761" s="19" t="e">
        <f>MATCH(E761,#REF!,0)</f>
        <v>#REF!</v>
      </c>
      <c r="G761" s="19" t="s">
        <v>2548</v>
      </c>
      <c r="H761" s="19" t="s">
        <v>56</v>
      </c>
      <c r="I761" s="19"/>
      <c r="J761" s="19" t="s">
        <v>2545</v>
      </c>
      <c r="K761" s="19" t="s">
        <v>62</v>
      </c>
      <c r="L761" s="3" t="str">
        <f>HYPERLINK(VLOOKUP(C761,BAPs!$A$2:$C$1048576,3,FALSE),VLOOKUP(C761,BAPs!$A$2:$C$1048576,2,FALSE))</f>
        <v>9 out of 10</v>
      </c>
    </row>
    <row r="762" spans="1:12" hidden="1">
      <c r="A762" s="19" t="s">
        <v>2314</v>
      </c>
      <c r="B762" s="19" t="s">
        <v>2233</v>
      </c>
      <c r="C762" s="19" t="s">
        <v>2541</v>
      </c>
      <c r="D762" s="19" t="s">
        <v>2421</v>
      </c>
      <c r="E762" s="19" t="s">
        <v>2549</v>
      </c>
      <c r="F762" s="19" t="e">
        <f>MATCH(E762,#REF!,0)</f>
        <v>#REF!</v>
      </c>
      <c r="G762" s="19" t="s">
        <v>2550</v>
      </c>
      <c r="H762" s="19" t="s">
        <v>56</v>
      </c>
      <c r="I762" s="19"/>
      <c r="J762" s="19" t="s">
        <v>2545</v>
      </c>
      <c r="K762" s="19" t="s">
        <v>62</v>
      </c>
      <c r="L762" s="3" t="str">
        <f>HYPERLINK(VLOOKUP(C762,BAPs!$A$2:$C$1048576,3,FALSE),VLOOKUP(C762,BAPs!$A$2:$C$1048576,2,FALSE))</f>
        <v>9 out of 10</v>
      </c>
    </row>
    <row r="763" spans="1:12" hidden="1">
      <c r="A763" s="19" t="s">
        <v>2314</v>
      </c>
      <c r="B763" s="19" t="s">
        <v>2233</v>
      </c>
      <c r="C763" s="19" t="s">
        <v>2541</v>
      </c>
      <c r="D763" s="19" t="s">
        <v>2541</v>
      </c>
      <c r="E763" s="19" t="s">
        <v>2551</v>
      </c>
      <c r="F763" s="19" t="e">
        <f>MATCH(E763,#REF!,0)</f>
        <v>#REF!</v>
      </c>
      <c r="G763" s="19" t="s">
        <v>2552</v>
      </c>
      <c r="H763" s="19" t="s">
        <v>56</v>
      </c>
      <c r="I763" s="19"/>
      <c r="J763" s="19" t="s">
        <v>2545</v>
      </c>
      <c r="K763" s="19" t="s">
        <v>62</v>
      </c>
      <c r="L763" s="3" t="str">
        <f>HYPERLINK(VLOOKUP(C763,BAPs!$A$2:$C$1048576,3,FALSE),VLOOKUP(C763,BAPs!$A$2:$C$1048576,2,FALSE))</f>
        <v>9 out of 10</v>
      </c>
    </row>
    <row r="764" spans="1:12" hidden="1">
      <c r="A764" s="19" t="s">
        <v>2314</v>
      </c>
      <c r="B764" s="19" t="s">
        <v>2233</v>
      </c>
      <c r="C764" s="19" t="s">
        <v>2553</v>
      </c>
      <c r="D764" s="19" t="s">
        <v>2323</v>
      </c>
      <c r="E764" s="19" t="s">
        <v>2324</v>
      </c>
      <c r="F764" s="19" t="e">
        <f>MATCH(E764,#REF!,0)</f>
        <v>#REF!</v>
      </c>
      <c r="G764" s="19" t="s">
        <v>2325</v>
      </c>
      <c r="H764" s="19" t="s">
        <v>43</v>
      </c>
      <c r="I764" s="19" t="s">
        <v>18</v>
      </c>
      <c r="J764" s="19" t="s">
        <v>2554</v>
      </c>
      <c r="K764" s="19" t="s">
        <v>20</v>
      </c>
      <c r="L764" s="3" t="str">
        <f>HYPERLINK(VLOOKUP(C764,BAPs!$A$2:$C$1048576,3,FALSE),VLOOKUP(C764,BAPs!$A$2:$C$1048576,2,FALSE))</f>
        <v>1 out of 10</v>
      </c>
    </row>
    <row r="765" spans="1:12" hidden="1">
      <c r="A765" s="19" t="s">
        <v>2314</v>
      </c>
      <c r="B765" s="19" t="s">
        <v>2233</v>
      </c>
      <c r="C765" s="19" t="s">
        <v>2553</v>
      </c>
      <c r="D765" s="19" t="s">
        <v>2555</v>
      </c>
      <c r="E765" s="19" t="s">
        <v>2556</v>
      </c>
      <c r="F765" s="19" t="e">
        <f>MATCH(E765,#REF!,0)</f>
        <v>#REF!</v>
      </c>
      <c r="G765" s="19" t="s">
        <v>2557</v>
      </c>
      <c r="H765" s="19" t="s">
        <v>56</v>
      </c>
      <c r="I765" s="19"/>
      <c r="J765" s="19" t="s">
        <v>2554</v>
      </c>
      <c r="K765" s="19" t="s">
        <v>20</v>
      </c>
      <c r="L765" s="3" t="str">
        <f>HYPERLINK(VLOOKUP(C765,BAPs!$A$2:$C$1048576,3,FALSE),VLOOKUP(C765,BAPs!$A$2:$C$1048576,2,FALSE))</f>
        <v>1 out of 10</v>
      </c>
    </row>
    <row r="766" spans="1:12" hidden="1">
      <c r="A766" s="19" t="s">
        <v>2314</v>
      </c>
      <c r="B766" s="19" t="s">
        <v>2233</v>
      </c>
      <c r="C766" s="19" t="s">
        <v>2553</v>
      </c>
      <c r="D766" s="19" t="s">
        <v>2558</v>
      </c>
      <c r="E766" s="19" t="s">
        <v>2559</v>
      </c>
      <c r="F766" s="19" t="e">
        <f>MATCH(E766,#REF!,0)</f>
        <v>#REF!</v>
      </c>
      <c r="G766" s="19" t="s">
        <v>2560</v>
      </c>
      <c r="H766" s="19" t="s">
        <v>56</v>
      </c>
      <c r="I766" s="19"/>
      <c r="J766" s="19" t="s">
        <v>2554</v>
      </c>
      <c r="K766" s="19" t="s">
        <v>20</v>
      </c>
      <c r="L766" s="3" t="str">
        <f>HYPERLINK(VLOOKUP(C766,BAPs!$A$2:$C$1048576,3,FALSE),VLOOKUP(C766,BAPs!$A$2:$C$1048576,2,FALSE))</f>
        <v>1 out of 10</v>
      </c>
    </row>
    <row r="767" spans="1:12" hidden="1">
      <c r="A767" s="19" t="s">
        <v>2314</v>
      </c>
      <c r="B767" s="19" t="s">
        <v>2233</v>
      </c>
      <c r="C767" s="19" t="s">
        <v>2553</v>
      </c>
      <c r="D767" s="19" t="s">
        <v>2561</v>
      </c>
      <c r="E767" s="19" t="s">
        <v>2562</v>
      </c>
      <c r="F767" s="19" t="e">
        <f>MATCH(E767,#REF!,0)</f>
        <v>#REF!</v>
      </c>
      <c r="G767" s="19" t="s">
        <v>2563</v>
      </c>
      <c r="H767" s="19" t="s">
        <v>56</v>
      </c>
      <c r="I767" s="19"/>
      <c r="J767" s="19" t="s">
        <v>2554</v>
      </c>
      <c r="K767" s="19" t="s">
        <v>20</v>
      </c>
      <c r="L767" s="3" t="str">
        <f>HYPERLINK(VLOOKUP(C767,BAPs!$A$2:$C$1048576,3,FALSE),VLOOKUP(C767,BAPs!$A$2:$C$1048576,2,FALSE))</f>
        <v>1 out of 10</v>
      </c>
    </row>
    <row r="768" spans="1:12" hidden="1">
      <c r="A768" s="19" t="s">
        <v>2314</v>
      </c>
      <c r="B768" s="19" t="s">
        <v>2233</v>
      </c>
      <c r="C768" s="19" t="s">
        <v>2553</v>
      </c>
      <c r="D768" s="19" t="s">
        <v>2564</v>
      </c>
      <c r="E768" s="19" t="s">
        <v>2565</v>
      </c>
      <c r="F768" s="19" t="e">
        <f>MATCH(E768,#REF!,0)</f>
        <v>#REF!</v>
      </c>
      <c r="G768" s="19" t="s">
        <v>2566</v>
      </c>
      <c r="H768" s="19" t="s">
        <v>56</v>
      </c>
      <c r="I768" s="19"/>
      <c r="J768" s="19" t="s">
        <v>2554</v>
      </c>
      <c r="K768" s="19" t="s">
        <v>20</v>
      </c>
      <c r="L768" s="3" t="str">
        <f>HYPERLINK(VLOOKUP(C768,BAPs!$A$2:$C$1048576,3,FALSE),VLOOKUP(C768,BAPs!$A$2:$C$1048576,2,FALSE))</f>
        <v>1 out of 10</v>
      </c>
    </row>
    <row r="769" spans="1:12" hidden="1">
      <c r="A769" s="19" t="s">
        <v>2314</v>
      </c>
      <c r="B769" s="19" t="s">
        <v>2233</v>
      </c>
      <c r="C769" s="19" t="s">
        <v>2553</v>
      </c>
      <c r="D769" s="19" t="s">
        <v>2567</v>
      </c>
      <c r="E769" s="19" t="s">
        <v>2568</v>
      </c>
      <c r="F769" s="19" t="e">
        <f>MATCH(E769,#REF!,0)</f>
        <v>#REF!</v>
      </c>
      <c r="G769" s="19" t="s">
        <v>2569</v>
      </c>
      <c r="H769" s="19" t="s">
        <v>56</v>
      </c>
      <c r="I769" s="19"/>
      <c r="J769" s="19" t="s">
        <v>2554</v>
      </c>
      <c r="K769" s="19" t="s">
        <v>20</v>
      </c>
      <c r="L769" s="3" t="str">
        <f>HYPERLINK(VLOOKUP(C769,BAPs!$A$2:$C$1048576,3,FALSE),VLOOKUP(C769,BAPs!$A$2:$C$1048576,2,FALSE))</f>
        <v>1 out of 10</v>
      </c>
    </row>
    <row r="770" spans="1:12" hidden="1">
      <c r="A770" s="19" t="s">
        <v>2314</v>
      </c>
      <c r="B770" s="19" t="s">
        <v>2233</v>
      </c>
      <c r="C770" s="19" t="s">
        <v>2570</v>
      </c>
      <c r="D770" s="19" t="s">
        <v>2570</v>
      </c>
      <c r="E770" s="19" t="s">
        <v>2571</v>
      </c>
      <c r="F770" s="19" t="e">
        <f>MATCH(E770,#REF!,0)</f>
        <v>#REF!</v>
      </c>
      <c r="G770" s="19" t="s">
        <v>2572</v>
      </c>
      <c r="H770" s="19" t="s">
        <v>56</v>
      </c>
      <c r="I770" s="19"/>
      <c r="J770" s="19" t="s">
        <v>2573</v>
      </c>
      <c r="K770" s="19" t="s">
        <v>62</v>
      </c>
      <c r="L770" s="3" t="str">
        <f>HYPERLINK(VLOOKUP(C770,BAPs!$A$2:$C$1048576,3,FALSE),VLOOKUP(C770,BAPs!$A$2:$C$1048576,2,FALSE))</f>
        <v>9 out of 10</v>
      </c>
    </row>
    <row r="771" spans="1:12" hidden="1">
      <c r="A771" s="19" t="s">
        <v>2314</v>
      </c>
      <c r="B771" s="19" t="s">
        <v>2233</v>
      </c>
      <c r="C771" s="19" t="s">
        <v>2570</v>
      </c>
      <c r="D771" s="19" t="s">
        <v>2437</v>
      </c>
      <c r="E771" s="19" t="s">
        <v>2438</v>
      </c>
      <c r="F771" s="19" t="e">
        <f>MATCH(E771,#REF!,0)</f>
        <v>#REF!</v>
      </c>
      <c r="G771" s="19" t="s">
        <v>2439</v>
      </c>
      <c r="H771" s="19" t="s">
        <v>56</v>
      </c>
      <c r="I771" s="19"/>
      <c r="J771" s="19" t="s">
        <v>2573</v>
      </c>
      <c r="K771" s="19" t="s">
        <v>62</v>
      </c>
      <c r="L771" s="3" t="str">
        <f>HYPERLINK(VLOOKUP(C771,BAPs!$A$2:$C$1048576,3,FALSE),VLOOKUP(C771,BAPs!$A$2:$C$1048576,2,FALSE))</f>
        <v>9 out of 10</v>
      </c>
    </row>
    <row r="772" spans="1:12" hidden="1">
      <c r="A772" s="19" t="s">
        <v>2314</v>
      </c>
      <c r="B772" s="19" t="s">
        <v>2233</v>
      </c>
      <c r="C772" s="19" t="s">
        <v>2574</v>
      </c>
      <c r="D772" s="19" t="s">
        <v>2575</v>
      </c>
      <c r="E772" s="19" t="s">
        <v>2576</v>
      </c>
      <c r="F772" s="19" t="e">
        <f>MATCH(E772,#REF!,0)</f>
        <v>#REF!</v>
      </c>
      <c r="G772" s="19" t="s">
        <v>2577</v>
      </c>
      <c r="H772" s="19" t="s">
        <v>43</v>
      </c>
      <c r="I772" s="19"/>
      <c r="J772" s="19" t="s">
        <v>2578</v>
      </c>
      <c r="K772" s="19" t="s">
        <v>20</v>
      </c>
      <c r="L772" s="3" t="str">
        <f>HYPERLINK(VLOOKUP(C772,BAPs!$A$2:$C$1048576,3,FALSE),VLOOKUP(C772,BAPs!$A$2:$C$1048576,2,FALSE))</f>
        <v>3 out of 10</v>
      </c>
    </row>
    <row r="773" spans="1:12" hidden="1">
      <c r="A773" s="19" t="s">
        <v>2314</v>
      </c>
      <c r="B773" s="19" t="s">
        <v>2233</v>
      </c>
      <c r="C773" s="19" t="s">
        <v>2574</v>
      </c>
      <c r="D773" s="19" t="s">
        <v>2579</v>
      </c>
      <c r="E773" s="19" t="s">
        <v>2580</v>
      </c>
      <c r="F773" s="19" t="e">
        <f>MATCH(E773,#REF!,0)</f>
        <v>#REF!</v>
      </c>
      <c r="G773" s="19" t="s">
        <v>2581</v>
      </c>
      <c r="H773" s="19" t="s">
        <v>56</v>
      </c>
      <c r="I773" s="19"/>
      <c r="J773" s="19" t="s">
        <v>2578</v>
      </c>
      <c r="K773" s="19" t="s">
        <v>20</v>
      </c>
      <c r="L773" s="3" t="str">
        <f>HYPERLINK(VLOOKUP(C773,BAPs!$A$2:$C$1048576,3,FALSE),VLOOKUP(C773,BAPs!$A$2:$C$1048576,2,FALSE))</f>
        <v>3 out of 10</v>
      </c>
    </row>
    <row r="774" spans="1:12" hidden="1">
      <c r="A774" s="19" t="s">
        <v>2314</v>
      </c>
      <c r="B774" s="19" t="s">
        <v>2233</v>
      </c>
      <c r="C774" s="19" t="s">
        <v>2574</v>
      </c>
      <c r="D774" s="19" t="s">
        <v>2582</v>
      </c>
      <c r="E774" s="19" t="s">
        <v>2583</v>
      </c>
      <c r="F774" s="19" t="e">
        <f>MATCH(E774,#REF!,0)</f>
        <v>#REF!</v>
      </c>
      <c r="G774" s="19" t="s">
        <v>2584</v>
      </c>
      <c r="H774" s="19" t="s">
        <v>56</v>
      </c>
      <c r="I774" s="19"/>
      <c r="J774" s="19" t="s">
        <v>2578</v>
      </c>
      <c r="K774" s="19" t="s">
        <v>20</v>
      </c>
      <c r="L774" s="3" t="str">
        <f>HYPERLINK(VLOOKUP(C774,BAPs!$A$2:$C$1048576,3,FALSE),VLOOKUP(C774,BAPs!$A$2:$C$1048576,2,FALSE))</f>
        <v>3 out of 10</v>
      </c>
    </row>
    <row r="775" spans="1:12" hidden="1">
      <c r="A775" s="19" t="s">
        <v>2314</v>
      </c>
      <c r="B775" s="19" t="s">
        <v>2233</v>
      </c>
      <c r="C775" s="19" t="s">
        <v>2574</v>
      </c>
      <c r="D775" s="19" t="s">
        <v>2585</v>
      </c>
      <c r="E775" s="19" t="s">
        <v>2586</v>
      </c>
      <c r="F775" s="19" t="e">
        <f>MATCH(E775,#REF!,0)</f>
        <v>#REF!</v>
      </c>
      <c r="G775" s="19" t="s">
        <v>2587</v>
      </c>
      <c r="H775" s="19" t="s">
        <v>56</v>
      </c>
      <c r="I775" s="19"/>
      <c r="J775" s="19" t="s">
        <v>2578</v>
      </c>
      <c r="K775" s="19" t="s">
        <v>20</v>
      </c>
      <c r="L775" s="3" t="str">
        <f>HYPERLINK(VLOOKUP(C775,BAPs!$A$2:$C$1048576,3,FALSE),VLOOKUP(C775,BAPs!$A$2:$C$1048576,2,FALSE))</f>
        <v>3 out of 10</v>
      </c>
    </row>
    <row r="776" spans="1:12" hidden="1">
      <c r="A776" s="19" t="s">
        <v>2314</v>
      </c>
      <c r="B776" s="19" t="s">
        <v>2233</v>
      </c>
      <c r="C776" s="19" t="s">
        <v>2588</v>
      </c>
      <c r="D776" s="19" t="s">
        <v>2589</v>
      </c>
      <c r="E776" s="19" t="s">
        <v>2590</v>
      </c>
      <c r="F776" s="19" t="e">
        <f>MATCH(E776,#REF!,0)</f>
        <v>#REF!</v>
      </c>
      <c r="G776" s="19" t="s">
        <v>2591</v>
      </c>
      <c r="H776" s="19" t="s">
        <v>56</v>
      </c>
      <c r="I776" s="19"/>
      <c r="J776" s="19" t="s">
        <v>2592</v>
      </c>
      <c r="K776" s="19" t="s">
        <v>20</v>
      </c>
      <c r="L776" s="3" t="str">
        <f>HYPERLINK(VLOOKUP(C776,BAPs!$A$2:$C$1048576,3,FALSE),VLOOKUP(C776,BAPs!$A$2:$C$1048576,2,FALSE))</f>
        <v>8 out of 10</v>
      </c>
    </row>
    <row r="777" spans="1:12" hidden="1">
      <c r="A777" s="19" t="s">
        <v>2314</v>
      </c>
      <c r="B777" s="19" t="s">
        <v>2233</v>
      </c>
      <c r="C777" s="19" t="s">
        <v>2588</v>
      </c>
      <c r="D777" s="19" t="s">
        <v>2593</v>
      </c>
      <c r="E777" s="19" t="s">
        <v>2594</v>
      </c>
      <c r="F777" s="19" t="e">
        <f>MATCH(E777,#REF!,0)</f>
        <v>#REF!</v>
      </c>
      <c r="G777" s="19" t="s">
        <v>2595</v>
      </c>
      <c r="H777" s="19" t="s">
        <v>17</v>
      </c>
      <c r="I777" s="19"/>
      <c r="J777" s="19" t="s">
        <v>2592</v>
      </c>
      <c r="K777" s="19" t="s">
        <v>20</v>
      </c>
      <c r="L777" s="3" t="str">
        <f>HYPERLINK(VLOOKUP(C777,BAPs!$A$2:$C$1048576,3,FALSE),VLOOKUP(C777,BAPs!$A$2:$C$1048576,2,FALSE))</f>
        <v>8 out of 10</v>
      </c>
    </row>
    <row r="778" spans="1:12" hidden="1">
      <c r="A778" s="19" t="s">
        <v>2314</v>
      </c>
      <c r="B778" s="19" t="s">
        <v>2233</v>
      </c>
      <c r="C778" s="19" t="s">
        <v>2588</v>
      </c>
      <c r="D778" s="19" t="s">
        <v>2596</v>
      </c>
      <c r="E778" s="19" t="s">
        <v>2597</v>
      </c>
      <c r="F778" s="19" t="e">
        <f>MATCH(E778,#REF!,0)</f>
        <v>#REF!</v>
      </c>
      <c r="G778" s="19" t="s">
        <v>2598</v>
      </c>
      <c r="H778" s="19" t="s">
        <v>56</v>
      </c>
      <c r="I778" s="19"/>
      <c r="J778" s="19" t="s">
        <v>2592</v>
      </c>
      <c r="K778" s="19" t="s">
        <v>20</v>
      </c>
      <c r="L778" s="3" t="str">
        <f>HYPERLINK(VLOOKUP(C778,BAPs!$A$2:$C$1048576,3,FALSE),VLOOKUP(C778,BAPs!$A$2:$C$1048576,2,FALSE))</f>
        <v>8 out of 10</v>
      </c>
    </row>
    <row r="779" spans="1:12" hidden="1">
      <c r="A779" s="19" t="s">
        <v>2314</v>
      </c>
      <c r="B779" s="19" t="s">
        <v>2233</v>
      </c>
      <c r="C779" s="19" t="s">
        <v>2588</v>
      </c>
      <c r="D779" s="19" t="s">
        <v>2599</v>
      </c>
      <c r="E779" s="19" t="s">
        <v>2600</v>
      </c>
      <c r="F779" s="19" t="e">
        <f>MATCH(E779,#REF!,0)</f>
        <v>#REF!</v>
      </c>
      <c r="G779" s="19" t="s">
        <v>2601</v>
      </c>
      <c r="H779" s="19" t="s">
        <v>56</v>
      </c>
      <c r="I779" s="19"/>
      <c r="J779" s="19" t="s">
        <v>2592</v>
      </c>
      <c r="K779" s="19" t="s">
        <v>20</v>
      </c>
      <c r="L779" s="3" t="str">
        <f>HYPERLINK(VLOOKUP(C779,BAPs!$A$2:$C$1048576,3,FALSE),VLOOKUP(C779,BAPs!$A$2:$C$1048576,2,FALSE))</f>
        <v>8 out of 10</v>
      </c>
    </row>
    <row r="780" spans="1:12" hidden="1">
      <c r="A780" s="19" t="s">
        <v>2314</v>
      </c>
      <c r="B780" s="19" t="s">
        <v>2233</v>
      </c>
      <c r="C780" s="19" t="s">
        <v>2588</v>
      </c>
      <c r="D780" s="19" t="s">
        <v>2602</v>
      </c>
      <c r="E780" s="19" t="s">
        <v>2603</v>
      </c>
      <c r="F780" s="19" t="e">
        <f>MATCH(E780,#REF!,0)</f>
        <v>#REF!</v>
      </c>
      <c r="G780" s="19" t="s">
        <v>2604</v>
      </c>
      <c r="H780" s="19" t="s">
        <v>24</v>
      </c>
      <c r="I780" s="19"/>
      <c r="J780" s="19" t="s">
        <v>2592</v>
      </c>
      <c r="K780" s="19" t="s">
        <v>20</v>
      </c>
      <c r="L780" s="3" t="str">
        <f>HYPERLINK(VLOOKUP(C780,BAPs!$A$2:$C$1048576,3,FALSE),VLOOKUP(C780,BAPs!$A$2:$C$1048576,2,FALSE))</f>
        <v>8 out of 10</v>
      </c>
    </row>
    <row r="781" spans="1:12">
      <c r="A781" s="19" t="s">
        <v>2314</v>
      </c>
      <c r="B781" s="19" t="s">
        <v>2233</v>
      </c>
      <c r="C781" s="19" t="s">
        <v>2605</v>
      </c>
      <c r="D781" s="19" t="s">
        <v>2606</v>
      </c>
      <c r="E781" s="19" t="s">
        <v>2607</v>
      </c>
      <c r="F781" s="19" t="e">
        <f>MATCH(E781,#REF!,0)</f>
        <v>#REF!</v>
      </c>
      <c r="G781" s="19" t="s">
        <v>2608</v>
      </c>
      <c r="H781" s="19" t="s">
        <v>43</v>
      </c>
      <c r="I781" s="19" t="s">
        <v>18</v>
      </c>
      <c r="J781" s="19" t="s">
        <v>2609</v>
      </c>
      <c r="K781" s="19" t="s">
        <v>20</v>
      </c>
      <c r="L781" s="3" t="str">
        <f>HYPERLINK(VLOOKUP(C781,BAPs!$A$2:$C$1048576,3,FALSE),VLOOKUP(C781,BAPs!$A$2:$C$1048576,2,FALSE))</f>
        <v>8 out of 10</v>
      </c>
    </row>
    <row r="782" spans="1:12" hidden="1">
      <c r="A782" s="19" t="s">
        <v>2314</v>
      </c>
      <c r="B782" s="19" t="s">
        <v>2233</v>
      </c>
      <c r="C782" s="19" t="s">
        <v>2605</v>
      </c>
      <c r="D782" s="19" t="s">
        <v>2610</v>
      </c>
      <c r="E782" s="19" t="s">
        <v>2611</v>
      </c>
      <c r="F782" s="19" t="e">
        <f>MATCH(E782,#REF!,0)</f>
        <v>#REF!</v>
      </c>
      <c r="G782" s="19" t="s">
        <v>2612</v>
      </c>
      <c r="H782" s="19" t="s">
        <v>56</v>
      </c>
      <c r="I782" s="19"/>
      <c r="J782" s="19" t="s">
        <v>2609</v>
      </c>
      <c r="K782" s="19" t="s">
        <v>20</v>
      </c>
      <c r="L782" s="3" t="str">
        <f>HYPERLINK(VLOOKUP(C782,BAPs!$A$2:$C$1048576,3,FALSE),VLOOKUP(C782,BAPs!$A$2:$C$1048576,2,FALSE))</f>
        <v>8 out of 10</v>
      </c>
    </row>
    <row r="783" spans="1:12" hidden="1">
      <c r="A783" s="19" t="s">
        <v>2314</v>
      </c>
      <c r="B783" s="19" t="s">
        <v>2233</v>
      </c>
      <c r="C783" s="19" t="s">
        <v>2605</v>
      </c>
      <c r="D783" s="19" t="s">
        <v>2333</v>
      </c>
      <c r="E783" s="19" t="s">
        <v>2334</v>
      </c>
      <c r="F783" s="19" t="e">
        <f>MATCH(E783,#REF!,0)</f>
        <v>#REF!</v>
      </c>
      <c r="G783" s="19" t="s">
        <v>2335</v>
      </c>
      <c r="H783" s="19" t="s">
        <v>84</v>
      </c>
      <c r="I783" s="19"/>
      <c r="J783" s="19" t="s">
        <v>2609</v>
      </c>
      <c r="K783" s="19" t="s">
        <v>20</v>
      </c>
      <c r="L783" s="3" t="str">
        <f>HYPERLINK(VLOOKUP(C783,BAPs!$A$2:$C$1048576,3,FALSE),VLOOKUP(C783,BAPs!$A$2:$C$1048576,2,FALSE))</f>
        <v>8 out of 10</v>
      </c>
    </row>
    <row r="784" spans="1:12" hidden="1">
      <c r="A784" s="19" t="s">
        <v>2314</v>
      </c>
      <c r="B784" s="19" t="s">
        <v>2233</v>
      </c>
      <c r="C784" s="19" t="s">
        <v>2613</v>
      </c>
      <c r="D784" s="19" t="s">
        <v>2504</v>
      </c>
      <c r="E784" s="19" t="s">
        <v>2505</v>
      </c>
      <c r="F784" s="19" t="e">
        <f>MATCH(E784,#REF!,0)</f>
        <v>#REF!</v>
      </c>
      <c r="G784" s="19" t="s">
        <v>2506</v>
      </c>
      <c r="H784" s="19" t="s">
        <v>43</v>
      </c>
      <c r="I784" s="19" t="s">
        <v>18</v>
      </c>
      <c r="J784" s="19" t="s">
        <v>2614</v>
      </c>
      <c r="K784" s="19" t="s">
        <v>20</v>
      </c>
      <c r="L784" s="3" t="str">
        <f>HYPERLINK(VLOOKUP(C784,BAPs!$A$2:$C$1048576,3,FALSE),VLOOKUP(C784,BAPs!$A$2:$C$1048576,2,FALSE))</f>
        <v>6 out of 10</v>
      </c>
    </row>
    <row r="785" spans="1:12" hidden="1">
      <c r="A785" s="19" t="s">
        <v>2314</v>
      </c>
      <c r="B785" s="19" t="s">
        <v>2233</v>
      </c>
      <c r="C785" s="19" t="s">
        <v>2613</v>
      </c>
      <c r="D785" s="19" t="s">
        <v>2615</v>
      </c>
      <c r="E785" s="19" t="s">
        <v>2616</v>
      </c>
      <c r="F785" s="19" t="e">
        <f>MATCH(E785,#REF!,0)</f>
        <v>#REF!</v>
      </c>
      <c r="G785" s="19" t="s">
        <v>2617</v>
      </c>
      <c r="H785" s="19" t="s">
        <v>84</v>
      </c>
      <c r="I785" s="19"/>
      <c r="J785" s="19" t="s">
        <v>2614</v>
      </c>
      <c r="K785" s="19" t="s">
        <v>20</v>
      </c>
      <c r="L785" s="3" t="str">
        <f>HYPERLINK(VLOOKUP(C785,BAPs!$A$2:$C$1048576,3,FALSE),VLOOKUP(C785,BAPs!$A$2:$C$1048576,2,FALSE))</f>
        <v>6 out of 10</v>
      </c>
    </row>
    <row r="786" spans="1:12" hidden="1">
      <c r="A786" s="19" t="s">
        <v>2314</v>
      </c>
      <c r="B786" s="19" t="s">
        <v>2233</v>
      </c>
      <c r="C786" s="19" t="s">
        <v>2618</v>
      </c>
      <c r="D786" s="19" t="s">
        <v>2619</v>
      </c>
      <c r="E786" s="19" t="s">
        <v>2620</v>
      </c>
      <c r="F786" s="19" t="e">
        <f>MATCH(E786,#REF!,0)</f>
        <v>#REF!</v>
      </c>
      <c r="G786" s="19" t="s">
        <v>2621</v>
      </c>
      <c r="H786" s="19" t="s">
        <v>56</v>
      </c>
      <c r="I786" s="19"/>
      <c r="J786" s="19" t="s">
        <v>2622</v>
      </c>
      <c r="K786" s="19" t="s">
        <v>20</v>
      </c>
      <c r="L786" s="3" t="str">
        <f>HYPERLINK(VLOOKUP(C786,BAPs!$A$2:$C$1048576,3,FALSE),VLOOKUP(C786,BAPs!$A$2:$C$1048576,2,FALSE))</f>
        <v>1 out of 10</v>
      </c>
    </row>
    <row r="787" spans="1:12" hidden="1">
      <c r="A787" s="19" t="s">
        <v>2314</v>
      </c>
      <c r="B787" s="19" t="s">
        <v>2233</v>
      </c>
      <c r="C787" s="19" t="s">
        <v>2623</v>
      </c>
      <c r="D787" s="19" t="s">
        <v>2624</v>
      </c>
      <c r="E787" s="19" t="s">
        <v>2625</v>
      </c>
      <c r="F787" s="19" t="e">
        <f>MATCH(E787,#REF!,0)</f>
        <v>#REF!</v>
      </c>
      <c r="G787" s="19" t="s">
        <v>2626</v>
      </c>
      <c r="H787" s="19" t="s">
        <v>56</v>
      </c>
      <c r="I787" s="19"/>
      <c r="J787" s="19" t="s">
        <v>2627</v>
      </c>
      <c r="K787" s="19" t="s">
        <v>62</v>
      </c>
      <c r="L787" s="3" t="str">
        <f>HYPERLINK(VLOOKUP(C787,BAPs!$A$2:$C$1048576,3,FALSE),VLOOKUP(C787,BAPs!$A$2:$C$1048576,2,FALSE))</f>
        <v>9 out of 10</v>
      </c>
    </row>
    <row r="788" spans="1:12" hidden="1">
      <c r="A788" s="19" t="s">
        <v>2314</v>
      </c>
      <c r="B788" s="19" t="s">
        <v>2233</v>
      </c>
      <c r="C788" s="19" t="s">
        <v>2623</v>
      </c>
      <c r="D788" s="19" t="s">
        <v>2437</v>
      </c>
      <c r="E788" s="19" t="s">
        <v>2438</v>
      </c>
      <c r="F788" s="19" t="e">
        <f>MATCH(E788,#REF!,0)</f>
        <v>#REF!</v>
      </c>
      <c r="G788" s="19" t="s">
        <v>2439</v>
      </c>
      <c r="H788" s="19" t="s">
        <v>56</v>
      </c>
      <c r="I788" s="19"/>
      <c r="J788" s="19" t="s">
        <v>2627</v>
      </c>
      <c r="K788" s="19" t="s">
        <v>62</v>
      </c>
      <c r="L788" s="3" t="str">
        <f>HYPERLINK(VLOOKUP(C788,BAPs!$A$2:$C$1048576,3,FALSE),VLOOKUP(C788,BAPs!$A$2:$C$1048576,2,FALSE))</f>
        <v>9 out of 10</v>
      </c>
    </row>
    <row r="789" spans="1:12" hidden="1">
      <c r="A789" s="19" t="s">
        <v>2314</v>
      </c>
      <c r="B789" s="19" t="s">
        <v>2233</v>
      </c>
      <c r="C789" s="19" t="s">
        <v>2628</v>
      </c>
      <c r="D789" s="19" t="s">
        <v>2504</v>
      </c>
      <c r="E789" s="19" t="s">
        <v>2505</v>
      </c>
      <c r="F789" s="19" t="e">
        <f>MATCH(E789,#REF!,0)</f>
        <v>#REF!</v>
      </c>
      <c r="G789" s="19" t="s">
        <v>2506</v>
      </c>
      <c r="H789" s="19" t="s">
        <v>43</v>
      </c>
      <c r="I789" s="19" t="s">
        <v>18</v>
      </c>
      <c r="J789" s="19" t="s">
        <v>2629</v>
      </c>
      <c r="K789" s="19" t="s">
        <v>62</v>
      </c>
      <c r="L789" s="3" t="str">
        <f>HYPERLINK(VLOOKUP(C789,BAPs!$A$2:$C$1048576,3,FALSE),VLOOKUP(C789,BAPs!$A$2:$C$1048576,2,FALSE))</f>
        <v>9 out of 10</v>
      </c>
    </row>
    <row r="790" spans="1:12" hidden="1">
      <c r="A790" s="19" t="s">
        <v>2314</v>
      </c>
      <c r="B790" s="19" t="s">
        <v>2233</v>
      </c>
      <c r="C790" s="19" t="s">
        <v>2628</v>
      </c>
      <c r="D790" s="19" t="s">
        <v>2630</v>
      </c>
      <c r="E790" s="19" t="s">
        <v>2631</v>
      </c>
      <c r="F790" s="19" t="e">
        <f>MATCH(E790,#REF!,0)</f>
        <v>#REF!</v>
      </c>
      <c r="G790" s="19" t="s">
        <v>2632</v>
      </c>
      <c r="H790" s="19" t="s">
        <v>56</v>
      </c>
      <c r="I790" s="19"/>
      <c r="J790" s="19" t="s">
        <v>2629</v>
      </c>
      <c r="K790" s="19" t="s">
        <v>62</v>
      </c>
      <c r="L790" s="3" t="str">
        <f>HYPERLINK(VLOOKUP(C790,BAPs!$A$2:$C$1048576,3,FALSE),VLOOKUP(C790,BAPs!$A$2:$C$1048576,2,FALSE))</f>
        <v>9 out of 10</v>
      </c>
    </row>
    <row r="791" spans="1:12" hidden="1">
      <c r="A791" s="19" t="s">
        <v>2314</v>
      </c>
      <c r="B791" s="19" t="s">
        <v>2233</v>
      </c>
      <c r="C791" s="19" t="s">
        <v>2633</v>
      </c>
      <c r="D791" s="19" t="s">
        <v>2634</v>
      </c>
      <c r="E791" s="19" t="s">
        <v>2635</v>
      </c>
      <c r="F791" s="19" t="e">
        <f>MATCH(E791,#REF!,0)</f>
        <v>#REF!</v>
      </c>
      <c r="G791" s="19" t="s">
        <v>2636</v>
      </c>
      <c r="H791" s="19" t="s">
        <v>56</v>
      </c>
      <c r="I791" s="19"/>
      <c r="J791" s="19" t="s">
        <v>2637</v>
      </c>
      <c r="K791" s="19" t="s">
        <v>20</v>
      </c>
      <c r="L791" s="3" t="str">
        <f>HYPERLINK(VLOOKUP(C791,BAPs!$A$2:$C$1048576,3,FALSE),VLOOKUP(C791,BAPs!$A$2:$C$1048576,2,FALSE))</f>
        <v>1 out of 10</v>
      </c>
    </row>
    <row r="792" spans="1:12" hidden="1">
      <c r="A792" s="19" t="s">
        <v>2314</v>
      </c>
      <c r="B792" s="19" t="s">
        <v>2233</v>
      </c>
      <c r="C792" s="19" t="s">
        <v>2638</v>
      </c>
      <c r="D792" s="19" t="s">
        <v>2639</v>
      </c>
      <c r="E792" s="19" t="s">
        <v>2640</v>
      </c>
      <c r="F792" s="19" t="e">
        <f>MATCH(E792,#REF!,0)</f>
        <v>#REF!</v>
      </c>
      <c r="G792" s="19" t="s">
        <v>2641</v>
      </c>
      <c r="H792" s="19" t="s">
        <v>56</v>
      </c>
      <c r="I792" s="19"/>
      <c r="J792" s="19" t="s">
        <v>2642</v>
      </c>
      <c r="K792" s="19" t="s">
        <v>20</v>
      </c>
      <c r="L792" s="3" t="str">
        <f>HYPERLINK(VLOOKUP(C792,BAPs!$A$2:$C$1048576,3,FALSE),VLOOKUP(C792,BAPs!$A$2:$C$1048576,2,FALSE))</f>
        <v>8 out of 10</v>
      </c>
    </row>
    <row r="793" spans="1:12" hidden="1">
      <c r="A793" s="19" t="s">
        <v>2314</v>
      </c>
      <c r="B793" s="19" t="s">
        <v>2233</v>
      </c>
      <c r="C793" s="19" t="s">
        <v>2638</v>
      </c>
      <c r="D793" s="19" t="s">
        <v>2643</v>
      </c>
      <c r="E793" s="19" t="s">
        <v>2644</v>
      </c>
      <c r="F793" s="19" t="e">
        <f>MATCH(E793,#REF!,0)</f>
        <v>#REF!</v>
      </c>
      <c r="G793" s="19" t="s">
        <v>2645</v>
      </c>
      <c r="H793" s="19" t="s">
        <v>56</v>
      </c>
      <c r="I793" s="19"/>
      <c r="J793" s="19" t="s">
        <v>2642</v>
      </c>
      <c r="K793" s="19" t="s">
        <v>20</v>
      </c>
      <c r="L793" s="3" t="str">
        <f>HYPERLINK(VLOOKUP(C793,BAPs!$A$2:$C$1048576,3,FALSE),VLOOKUP(C793,BAPs!$A$2:$C$1048576,2,FALSE))</f>
        <v>8 out of 10</v>
      </c>
    </row>
    <row r="794" spans="1:12" hidden="1">
      <c r="A794" s="19" t="s">
        <v>2314</v>
      </c>
      <c r="B794" s="19" t="s">
        <v>2233</v>
      </c>
      <c r="C794" s="19" t="s">
        <v>2646</v>
      </c>
      <c r="D794" s="19" t="s">
        <v>2647</v>
      </c>
      <c r="E794" s="19" t="s">
        <v>2648</v>
      </c>
      <c r="F794" s="19" t="e">
        <f>MATCH(E794,#REF!,0)</f>
        <v>#REF!</v>
      </c>
      <c r="G794" s="19" t="s">
        <v>2649</v>
      </c>
      <c r="H794" s="19" t="s">
        <v>56</v>
      </c>
      <c r="I794" s="19"/>
      <c r="J794" s="19" t="s">
        <v>2650</v>
      </c>
      <c r="K794" s="19" t="s">
        <v>20</v>
      </c>
      <c r="L794" s="3" t="str">
        <f>HYPERLINK(VLOOKUP(C794,BAPs!$A$2:$C$1048576,3,FALSE),VLOOKUP(C794,BAPs!$A$2:$C$1048576,2,FALSE))</f>
        <v>8 out of 10</v>
      </c>
    </row>
    <row r="795" spans="1:12" hidden="1">
      <c r="A795" s="19" t="s">
        <v>2314</v>
      </c>
      <c r="B795" s="19" t="s">
        <v>2233</v>
      </c>
      <c r="C795" s="19" t="s">
        <v>2651</v>
      </c>
      <c r="D795" s="19" t="s">
        <v>2238</v>
      </c>
      <c r="E795" s="19" t="s">
        <v>2239</v>
      </c>
      <c r="F795" s="19" t="e">
        <f>MATCH(E795,#REF!,0)</f>
        <v>#REF!</v>
      </c>
      <c r="G795" s="19" t="s">
        <v>2240</v>
      </c>
      <c r="H795" s="19" t="s">
        <v>43</v>
      </c>
      <c r="I795" s="19"/>
      <c r="J795" s="19" t="s">
        <v>2652</v>
      </c>
      <c r="K795" s="19" t="s">
        <v>62</v>
      </c>
      <c r="L795" s="3" t="str">
        <f>HYPERLINK(VLOOKUP(C795,BAPs!$A$2:$C$1048576,3,FALSE),VLOOKUP(C795,BAPs!$A$2:$C$1048576,2,FALSE))</f>
        <v>9 out of 10</v>
      </c>
    </row>
    <row r="796" spans="1:12" hidden="1">
      <c r="A796" s="19" t="s">
        <v>2314</v>
      </c>
      <c r="B796" s="19" t="s">
        <v>2233</v>
      </c>
      <c r="C796" s="19" t="s">
        <v>2651</v>
      </c>
      <c r="D796" s="19" t="s">
        <v>2653</v>
      </c>
      <c r="E796" s="19" t="s">
        <v>2654</v>
      </c>
      <c r="F796" s="19" t="e">
        <f>MATCH(E796,#REF!,0)</f>
        <v>#REF!</v>
      </c>
      <c r="G796" s="19" t="s">
        <v>2655</v>
      </c>
      <c r="H796" s="19" t="s">
        <v>84</v>
      </c>
      <c r="I796" s="19"/>
      <c r="J796" s="19" t="s">
        <v>2652</v>
      </c>
      <c r="K796" s="19" t="s">
        <v>62</v>
      </c>
      <c r="L796" s="3" t="str">
        <f>HYPERLINK(VLOOKUP(C796,BAPs!$A$2:$C$1048576,3,FALSE),VLOOKUP(C796,BAPs!$A$2:$C$1048576,2,FALSE))</f>
        <v>9 out of 10</v>
      </c>
    </row>
    <row r="797" spans="1:12" hidden="1">
      <c r="A797" s="19" t="s">
        <v>2314</v>
      </c>
      <c r="B797" s="19" t="s">
        <v>2233</v>
      </c>
      <c r="C797" s="19" t="s">
        <v>2656</v>
      </c>
      <c r="D797" s="19" t="s">
        <v>2657</v>
      </c>
      <c r="E797" s="19" t="s">
        <v>2658</v>
      </c>
      <c r="F797" s="19" t="e">
        <f>MATCH(E797,#REF!,0)</f>
        <v>#REF!</v>
      </c>
      <c r="G797" s="19" t="s">
        <v>2659</v>
      </c>
      <c r="H797" s="19" t="s">
        <v>56</v>
      </c>
      <c r="I797" s="19"/>
      <c r="J797" s="19" t="s">
        <v>2660</v>
      </c>
      <c r="K797" s="19" t="s">
        <v>62</v>
      </c>
      <c r="L797" s="3" t="str">
        <f>HYPERLINK(VLOOKUP(C797,BAPs!$A$2:$C$1048576,3,FALSE),VLOOKUP(C797,BAPs!$A$2:$C$1048576,2,FALSE))</f>
        <v>9 out of 10</v>
      </c>
    </row>
    <row r="798" spans="1:12" hidden="1">
      <c r="A798" s="19" t="s">
        <v>2314</v>
      </c>
      <c r="B798" s="19" t="s">
        <v>2233</v>
      </c>
      <c r="C798" s="19" t="s">
        <v>2661</v>
      </c>
      <c r="D798" s="19" t="s">
        <v>2662</v>
      </c>
      <c r="E798" s="19" t="s">
        <v>2663</v>
      </c>
      <c r="F798" s="19" t="e">
        <f>MATCH(E798,#REF!,0)</f>
        <v>#REF!</v>
      </c>
      <c r="G798" s="19" t="s">
        <v>2664</v>
      </c>
      <c r="H798" s="19" t="s">
        <v>56</v>
      </c>
      <c r="I798" s="19"/>
      <c r="J798" s="19" t="s">
        <v>2665</v>
      </c>
      <c r="K798" s="19" t="s">
        <v>62</v>
      </c>
      <c r="L798" s="3" t="str">
        <f>HYPERLINK(VLOOKUP(C798,BAPs!$A$2:$C$1048576,3,FALSE),VLOOKUP(C798,BAPs!$A$2:$C$1048576,2,FALSE))</f>
        <v>10 out of 10</v>
      </c>
    </row>
    <row r="799" spans="1:12" hidden="1">
      <c r="A799" s="19" t="s">
        <v>2314</v>
      </c>
      <c r="B799" s="19" t="s">
        <v>2233</v>
      </c>
      <c r="C799" s="19" t="s">
        <v>2666</v>
      </c>
      <c r="D799" s="19" t="s">
        <v>2667</v>
      </c>
      <c r="E799" s="19" t="s">
        <v>2668</v>
      </c>
      <c r="F799" s="19" t="e">
        <f>MATCH(E799,#REF!,0)</f>
        <v>#REF!</v>
      </c>
      <c r="G799" s="19" t="s">
        <v>2669</v>
      </c>
      <c r="H799" s="19" t="s">
        <v>56</v>
      </c>
      <c r="I799" s="19"/>
      <c r="J799" s="19" t="s">
        <v>2670</v>
      </c>
      <c r="K799" s="19" t="s">
        <v>62</v>
      </c>
      <c r="L799" s="3" t="str">
        <f>HYPERLINK(VLOOKUP(C799,BAPs!$A$2:$C$1048576,3,FALSE),VLOOKUP(C799,BAPs!$A$2:$C$1048576,2,FALSE))</f>
        <v>9 out of 10</v>
      </c>
    </row>
    <row r="800" spans="1:12" hidden="1">
      <c r="A800" s="19" t="s">
        <v>2314</v>
      </c>
      <c r="B800" s="19" t="s">
        <v>2233</v>
      </c>
      <c r="C800" s="19" t="s">
        <v>2429</v>
      </c>
      <c r="D800" s="19" t="s">
        <v>2671</v>
      </c>
      <c r="E800" s="19" t="s">
        <v>2672</v>
      </c>
      <c r="F800" s="19" t="e">
        <f>MATCH(E800,#REF!,0)</f>
        <v>#REF!</v>
      </c>
      <c r="G800" s="19" t="s">
        <v>2673</v>
      </c>
      <c r="H800" s="19" t="s">
        <v>56</v>
      </c>
      <c r="I800" s="19"/>
      <c r="J800" s="19" t="s">
        <v>2674</v>
      </c>
      <c r="K800" s="19" t="s">
        <v>20</v>
      </c>
      <c r="L800" s="3" t="str">
        <f>HYPERLINK(VLOOKUP(C800,BAPs!$A$2:$C$1048576,3,FALSE),VLOOKUP(C800,BAPs!$A$2:$C$1048576,2,FALSE))</f>
        <v>6 out of 10</v>
      </c>
    </row>
    <row r="801" spans="1:12" hidden="1">
      <c r="A801" s="19" t="s">
        <v>2314</v>
      </c>
      <c r="B801" s="19" t="s">
        <v>2233</v>
      </c>
      <c r="C801" s="19" t="s">
        <v>2675</v>
      </c>
      <c r="D801" s="19" t="s">
        <v>2676</v>
      </c>
      <c r="E801" s="19" t="s">
        <v>2677</v>
      </c>
      <c r="F801" s="19" t="e">
        <f>MATCH(E801,#REF!,0)</f>
        <v>#REF!</v>
      </c>
      <c r="G801" s="19" t="s">
        <v>2678</v>
      </c>
      <c r="H801" s="19" t="s">
        <v>43</v>
      </c>
      <c r="I801" s="19"/>
      <c r="J801" s="19" t="s">
        <v>2679</v>
      </c>
      <c r="K801" s="19" t="s">
        <v>62</v>
      </c>
      <c r="L801" s="3" t="str">
        <f>HYPERLINK(VLOOKUP(C801,BAPs!$A$2:$C$1048576,3,FALSE),VLOOKUP(C801,BAPs!$A$2:$C$1048576,2,FALSE))</f>
        <v>10 out of 10</v>
      </c>
    </row>
    <row r="802" spans="1:12" hidden="1">
      <c r="A802" s="19" t="s">
        <v>2314</v>
      </c>
      <c r="B802" s="19" t="s">
        <v>2233</v>
      </c>
      <c r="C802" s="19" t="s">
        <v>2675</v>
      </c>
      <c r="D802" s="19" t="s">
        <v>2680</v>
      </c>
      <c r="E802" s="19" t="s">
        <v>2681</v>
      </c>
      <c r="F802" s="19" t="e">
        <f>MATCH(E802,#REF!,0)</f>
        <v>#REF!</v>
      </c>
      <c r="G802" s="19" t="s">
        <v>2682</v>
      </c>
      <c r="H802" s="19" t="s">
        <v>56</v>
      </c>
      <c r="I802" s="19"/>
      <c r="J802" s="19" t="s">
        <v>2679</v>
      </c>
      <c r="K802" s="19" t="s">
        <v>62</v>
      </c>
      <c r="L802" s="3" t="str">
        <f>HYPERLINK(VLOOKUP(C802,BAPs!$A$2:$C$1048576,3,FALSE),VLOOKUP(C802,BAPs!$A$2:$C$1048576,2,FALSE))</f>
        <v>10 out of 10</v>
      </c>
    </row>
    <row r="803" spans="1:12" hidden="1">
      <c r="A803" s="19" t="s">
        <v>2314</v>
      </c>
      <c r="B803" s="19" t="s">
        <v>2233</v>
      </c>
      <c r="C803" s="19" t="s">
        <v>2683</v>
      </c>
      <c r="D803" s="19" t="s">
        <v>2684</v>
      </c>
      <c r="E803" s="19" t="s">
        <v>2685</v>
      </c>
      <c r="F803" s="19" t="e">
        <f>MATCH(E803,#REF!,0)</f>
        <v>#REF!</v>
      </c>
      <c r="G803" s="19" t="s">
        <v>2686</v>
      </c>
      <c r="H803" s="19" t="s">
        <v>56</v>
      </c>
      <c r="I803" s="19"/>
      <c r="J803" s="19" t="s">
        <v>2687</v>
      </c>
      <c r="K803" s="19" t="s">
        <v>20</v>
      </c>
      <c r="L803" s="3" t="str">
        <f>HYPERLINK(VLOOKUP(C803,BAPs!$A$2:$C$1048576,3,FALSE),VLOOKUP(C803,BAPs!$A$2:$C$1048576,2,FALSE))</f>
        <v>8 out of 10</v>
      </c>
    </row>
    <row r="804" spans="1:12" hidden="1">
      <c r="A804" s="19" t="s">
        <v>2314</v>
      </c>
      <c r="B804" s="19" t="s">
        <v>2233</v>
      </c>
      <c r="C804" s="19" t="s">
        <v>2688</v>
      </c>
      <c r="D804" s="19" t="s">
        <v>2238</v>
      </c>
      <c r="E804" s="19" t="s">
        <v>2239</v>
      </c>
      <c r="F804" s="19" t="e">
        <f>MATCH(E804,#REF!,0)</f>
        <v>#REF!</v>
      </c>
      <c r="G804" s="19" t="s">
        <v>2240</v>
      </c>
      <c r="H804" s="19" t="s">
        <v>43</v>
      </c>
      <c r="I804" s="19"/>
      <c r="J804" s="19" t="s">
        <v>2689</v>
      </c>
      <c r="K804" s="19" t="s">
        <v>62</v>
      </c>
      <c r="L804" s="3" t="str">
        <f>HYPERLINK(VLOOKUP(C804,BAPs!$A$2:$C$1048576,3,FALSE),VLOOKUP(C804,BAPs!$A$2:$C$1048576,2,FALSE))</f>
        <v>10 out of 10</v>
      </c>
    </row>
    <row r="805" spans="1:12" hidden="1">
      <c r="A805" s="19" t="s">
        <v>2314</v>
      </c>
      <c r="B805" s="19" t="s">
        <v>2233</v>
      </c>
      <c r="C805" s="19" t="s">
        <v>2688</v>
      </c>
      <c r="D805" s="19" t="s">
        <v>2690</v>
      </c>
      <c r="E805" s="19" t="s">
        <v>2691</v>
      </c>
      <c r="F805" s="19" t="e">
        <f>MATCH(E805,#REF!,0)</f>
        <v>#REF!</v>
      </c>
      <c r="G805" s="19" t="s">
        <v>2692</v>
      </c>
      <c r="H805" s="19" t="s">
        <v>24</v>
      </c>
      <c r="I805" s="19" t="s">
        <v>18</v>
      </c>
      <c r="J805" s="19" t="s">
        <v>2689</v>
      </c>
      <c r="K805" s="19" t="s">
        <v>62</v>
      </c>
      <c r="L805" s="3" t="str">
        <f>HYPERLINK(VLOOKUP(C805,BAPs!$A$2:$C$1048576,3,FALSE),VLOOKUP(C805,BAPs!$A$2:$C$1048576,2,FALSE))</f>
        <v>10 out of 10</v>
      </c>
    </row>
    <row r="806" spans="1:12" hidden="1">
      <c r="A806" s="19" t="s">
        <v>2693</v>
      </c>
      <c r="B806" s="19" t="s">
        <v>2233</v>
      </c>
      <c r="C806" s="19" t="s">
        <v>2694</v>
      </c>
      <c r="D806" s="19" t="s">
        <v>2694</v>
      </c>
      <c r="E806" s="19" t="s">
        <v>2695</v>
      </c>
      <c r="F806" s="19" t="e">
        <f>MATCH(E806,#REF!,0)</f>
        <v>#REF!</v>
      </c>
      <c r="G806" s="19" t="s">
        <v>2696</v>
      </c>
      <c r="H806" s="19" t="s">
        <v>17</v>
      </c>
      <c r="I806" s="19" t="s">
        <v>18</v>
      </c>
      <c r="J806" s="19" t="s">
        <v>2697</v>
      </c>
      <c r="K806" s="19" t="s">
        <v>20</v>
      </c>
      <c r="L806" s="3" t="str">
        <f>HYPERLINK(VLOOKUP(C806,BAPs!$A$2:$C$1048576,3,FALSE),VLOOKUP(C806,BAPs!$A$2:$C$1048576,2,FALSE))</f>
        <v>1 out of 10</v>
      </c>
    </row>
    <row r="807" spans="1:12" hidden="1">
      <c r="A807" s="19" t="s">
        <v>2693</v>
      </c>
      <c r="B807" s="19" t="s">
        <v>2233</v>
      </c>
      <c r="C807" s="19" t="s">
        <v>2694</v>
      </c>
      <c r="D807" s="19" t="s">
        <v>2698</v>
      </c>
      <c r="E807" s="19" t="s">
        <v>2699</v>
      </c>
      <c r="F807" s="19" t="e">
        <f>MATCH(E807,#REF!,0)</f>
        <v>#REF!</v>
      </c>
      <c r="G807" s="19" t="s">
        <v>2700</v>
      </c>
      <c r="H807" s="19" t="s">
        <v>52</v>
      </c>
      <c r="I807" s="19"/>
      <c r="J807" s="19" t="s">
        <v>2697</v>
      </c>
      <c r="K807" s="19" t="s">
        <v>20</v>
      </c>
      <c r="L807" s="3" t="str">
        <f>HYPERLINK(VLOOKUP(C807,BAPs!$A$2:$C$1048576,3,FALSE),VLOOKUP(C807,BAPs!$A$2:$C$1048576,2,FALSE))</f>
        <v>1 out of 10</v>
      </c>
    </row>
    <row r="808" spans="1:12" hidden="1">
      <c r="A808" s="19" t="s">
        <v>2693</v>
      </c>
      <c r="B808" s="19" t="s">
        <v>2233</v>
      </c>
      <c r="C808" s="19" t="s">
        <v>2701</v>
      </c>
      <c r="D808" s="19" t="s">
        <v>2702</v>
      </c>
      <c r="E808" s="19" t="s">
        <v>2703</v>
      </c>
      <c r="F808" s="19" t="e">
        <f>MATCH(E808,#REF!,0)</f>
        <v>#REF!</v>
      </c>
      <c r="G808" s="19" t="s">
        <v>2704</v>
      </c>
      <c r="H808" s="19" t="s">
        <v>52</v>
      </c>
      <c r="I808" s="19"/>
      <c r="J808" s="19" t="s">
        <v>2705</v>
      </c>
      <c r="K808" s="19" t="s">
        <v>20</v>
      </c>
      <c r="L808" s="3" t="str">
        <f>HYPERLINK(VLOOKUP(C808,BAPs!$A$2:$C$1048576,3,FALSE),VLOOKUP(C808,BAPs!$A$2:$C$1048576,2,FALSE))</f>
        <v>5 out of 10</v>
      </c>
    </row>
    <row r="809" spans="1:12" hidden="1">
      <c r="A809" s="19" t="s">
        <v>2693</v>
      </c>
      <c r="B809" s="19" t="s">
        <v>2233</v>
      </c>
      <c r="C809" s="19" t="s">
        <v>2701</v>
      </c>
      <c r="D809" s="19" t="s">
        <v>2706</v>
      </c>
      <c r="E809" s="19" t="s">
        <v>2707</v>
      </c>
      <c r="F809" s="19" t="e">
        <f>MATCH(E809,#REF!,0)</f>
        <v>#REF!</v>
      </c>
      <c r="G809" s="19" t="s">
        <v>2708</v>
      </c>
      <c r="H809" s="19" t="s">
        <v>52</v>
      </c>
      <c r="I809" s="19"/>
      <c r="J809" s="19" t="s">
        <v>2705</v>
      </c>
      <c r="K809" s="19" t="s">
        <v>20</v>
      </c>
      <c r="L809" s="3" t="str">
        <f>HYPERLINK(VLOOKUP(C809,BAPs!$A$2:$C$1048576,3,FALSE),VLOOKUP(C809,BAPs!$A$2:$C$1048576,2,FALSE))</f>
        <v>5 out of 10</v>
      </c>
    </row>
    <row r="810" spans="1:12" hidden="1">
      <c r="A810" s="19" t="s">
        <v>2693</v>
      </c>
      <c r="B810" s="19" t="s">
        <v>2233</v>
      </c>
      <c r="C810" s="19" t="s">
        <v>2701</v>
      </c>
      <c r="D810" s="19" t="s">
        <v>2709</v>
      </c>
      <c r="E810" s="19" t="s">
        <v>2710</v>
      </c>
      <c r="F810" s="19" t="e">
        <f>MATCH(E810,#REF!,0)</f>
        <v>#REF!</v>
      </c>
      <c r="G810" s="19" t="s">
        <v>2711</v>
      </c>
      <c r="H810" s="19" t="s">
        <v>24</v>
      </c>
      <c r="I810" s="19"/>
      <c r="J810" s="19" t="s">
        <v>2705</v>
      </c>
      <c r="K810" s="19" t="s">
        <v>20</v>
      </c>
      <c r="L810" s="3" t="str">
        <f>HYPERLINK(VLOOKUP(C810,BAPs!$A$2:$C$1048576,3,FALSE),VLOOKUP(C810,BAPs!$A$2:$C$1048576,2,FALSE))</f>
        <v>5 out of 10</v>
      </c>
    </row>
    <row r="811" spans="1:12" hidden="1">
      <c r="A811" s="19" t="s">
        <v>2693</v>
      </c>
      <c r="B811" s="19" t="s">
        <v>2233</v>
      </c>
      <c r="C811" s="19" t="s">
        <v>2712</v>
      </c>
      <c r="D811" s="19" t="s">
        <v>2712</v>
      </c>
      <c r="E811" s="19" t="s">
        <v>2713</v>
      </c>
      <c r="F811" s="19" t="e">
        <f>MATCH(E811,#REF!,0)</f>
        <v>#REF!</v>
      </c>
      <c r="G811" s="19" t="s">
        <v>2714</v>
      </c>
      <c r="H811" s="19" t="s">
        <v>17</v>
      </c>
      <c r="I811" s="19"/>
      <c r="J811" s="19" t="s">
        <v>2715</v>
      </c>
      <c r="K811" s="19" t="s">
        <v>20</v>
      </c>
      <c r="L811" s="3" t="str">
        <f>HYPERLINK(VLOOKUP(C811,BAPs!$A$2:$C$1048576,3,FALSE),VLOOKUP(C811,BAPs!$A$2:$C$1048576,2,FALSE))</f>
        <v>4 out of 10</v>
      </c>
    </row>
    <row r="812" spans="1:12">
      <c r="A812" s="19" t="s">
        <v>2693</v>
      </c>
      <c r="B812" s="19" t="s">
        <v>2233</v>
      </c>
      <c r="C812" s="19" t="s">
        <v>2712</v>
      </c>
      <c r="D812" s="19" t="s">
        <v>2716</v>
      </c>
      <c r="E812" s="19" t="s">
        <v>2717</v>
      </c>
      <c r="F812" s="19" t="e">
        <f>MATCH(E812,#REF!,0)</f>
        <v>#REF!</v>
      </c>
      <c r="G812" s="19" t="s">
        <v>2718</v>
      </c>
      <c r="H812" s="19" t="s">
        <v>52</v>
      </c>
      <c r="I812" s="19"/>
      <c r="J812" s="19" t="s">
        <v>2715</v>
      </c>
      <c r="K812" s="19" t="s">
        <v>20</v>
      </c>
      <c r="L812" s="3" t="str">
        <f>HYPERLINK(VLOOKUP(C812,BAPs!$A$2:$C$1048576,3,FALSE),VLOOKUP(C812,BAPs!$A$2:$C$1048576,2,FALSE))</f>
        <v>4 out of 10</v>
      </c>
    </row>
    <row r="813" spans="1:12" hidden="1">
      <c r="A813" s="19" t="s">
        <v>2693</v>
      </c>
      <c r="B813" s="19" t="s">
        <v>2233</v>
      </c>
      <c r="C813" s="19" t="s">
        <v>2719</v>
      </c>
      <c r="D813" s="19" t="s">
        <v>2719</v>
      </c>
      <c r="E813" s="19" t="s">
        <v>2720</v>
      </c>
      <c r="F813" s="19" t="e">
        <f>MATCH(E813,#REF!,0)</f>
        <v>#REF!</v>
      </c>
      <c r="G813" s="19" t="s">
        <v>2721</v>
      </c>
      <c r="H813" s="19" t="s">
        <v>17</v>
      </c>
      <c r="I813" s="19" t="s">
        <v>18</v>
      </c>
      <c r="J813" s="19" t="s">
        <v>2722</v>
      </c>
      <c r="K813" s="19" t="s">
        <v>20</v>
      </c>
      <c r="L813" s="3" t="str">
        <f>HYPERLINK(VLOOKUP(C813,BAPs!$A$2:$C$1048576,3,FALSE),VLOOKUP(C813,BAPs!$A$2:$C$1048576,2,FALSE))</f>
        <v>4 out of 10</v>
      </c>
    </row>
    <row r="814" spans="1:12" hidden="1">
      <c r="A814" s="19" t="s">
        <v>2693</v>
      </c>
      <c r="B814" s="19" t="s">
        <v>2233</v>
      </c>
      <c r="C814" s="19" t="s">
        <v>2723</v>
      </c>
      <c r="D814" s="19" t="s">
        <v>2575</v>
      </c>
      <c r="E814" s="19" t="s">
        <v>2576</v>
      </c>
      <c r="F814" s="19" t="e">
        <f>MATCH(E814,#REF!,0)</f>
        <v>#REF!</v>
      </c>
      <c r="G814" s="19" t="s">
        <v>2577</v>
      </c>
      <c r="H814" s="19" t="s">
        <v>43</v>
      </c>
      <c r="I814" s="19"/>
      <c r="J814" s="19" t="s">
        <v>2724</v>
      </c>
      <c r="K814" s="19" t="s">
        <v>62</v>
      </c>
      <c r="L814" s="3" t="str">
        <f>HYPERLINK(VLOOKUP(C814,BAPs!$A$2:$C$1048576,3,FALSE),VLOOKUP(C814,BAPs!$A$2:$C$1048576,2,FALSE))</f>
        <v>9 out of 10</v>
      </c>
    </row>
    <row r="815" spans="1:12" hidden="1">
      <c r="A815" s="19" t="s">
        <v>2693</v>
      </c>
      <c r="B815" s="19" t="s">
        <v>2233</v>
      </c>
      <c r="C815" s="19" t="s">
        <v>2723</v>
      </c>
      <c r="D815" s="19" t="s">
        <v>2725</v>
      </c>
      <c r="E815" s="19" t="s">
        <v>2726</v>
      </c>
      <c r="F815" s="19" t="e">
        <f>MATCH(E815,#REF!,0)</f>
        <v>#REF!</v>
      </c>
      <c r="G815" s="19" t="s">
        <v>2727</v>
      </c>
      <c r="H815" s="19" t="s">
        <v>84</v>
      </c>
      <c r="I815" s="19"/>
      <c r="J815" s="19" t="s">
        <v>2724</v>
      </c>
      <c r="K815" s="19" t="s">
        <v>62</v>
      </c>
      <c r="L815" s="3" t="str">
        <f>HYPERLINK(VLOOKUP(C815,BAPs!$A$2:$C$1048576,3,FALSE),VLOOKUP(C815,BAPs!$A$2:$C$1048576,2,FALSE))</f>
        <v>9 out of 10</v>
      </c>
    </row>
    <row r="816" spans="1:12" hidden="1">
      <c r="A816" s="19" t="s">
        <v>2693</v>
      </c>
      <c r="B816" s="19" t="s">
        <v>2233</v>
      </c>
      <c r="C816" s="19" t="s">
        <v>2723</v>
      </c>
      <c r="D816" s="19" t="s">
        <v>2728</v>
      </c>
      <c r="E816" s="19" t="s">
        <v>2729</v>
      </c>
      <c r="F816" s="19" t="e">
        <f>MATCH(E816,#REF!,0)</f>
        <v>#REF!</v>
      </c>
      <c r="G816" s="19" t="s">
        <v>2730</v>
      </c>
      <c r="H816" s="19" t="s">
        <v>84</v>
      </c>
      <c r="I816" s="19"/>
      <c r="J816" s="19" t="s">
        <v>2724</v>
      </c>
      <c r="K816" s="19" t="s">
        <v>62</v>
      </c>
      <c r="L816" s="3" t="str">
        <f>HYPERLINK(VLOOKUP(C816,BAPs!$A$2:$C$1048576,3,FALSE),VLOOKUP(C816,BAPs!$A$2:$C$1048576,2,FALSE))</f>
        <v>9 out of 10</v>
      </c>
    </row>
    <row r="817" spans="1:12" hidden="1">
      <c r="A817" s="19" t="s">
        <v>2693</v>
      </c>
      <c r="B817" s="19" t="s">
        <v>2233</v>
      </c>
      <c r="C817" s="19" t="s">
        <v>2731</v>
      </c>
      <c r="D817" s="19" t="s">
        <v>2732</v>
      </c>
      <c r="E817" s="19" t="s">
        <v>2733</v>
      </c>
      <c r="F817" s="19" t="e">
        <f>MATCH(E817,#REF!,0)</f>
        <v>#REF!</v>
      </c>
      <c r="G817" s="19" t="s">
        <v>2734</v>
      </c>
      <c r="H817" s="19" t="s">
        <v>17</v>
      </c>
      <c r="I817" s="19" t="s">
        <v>18</v>
      </c>
      <c r="J817" s="19" t="s">
        <v>2735</v>
      </c>
      <c r="K817" s="19" t="s">
        <v>20</v>
      </c>
      <c r="L817" s="3" t="str">
        <f>HYPERLINK(VLOOKUP(C817,BAPs!$A$2:$C$1048576,3,FALSE),VLOOKUP(C817,BAPs!$A$2:$C$1048576,2,FALSE))</f>
        <v>7 out of 10</v>
      </c>
    </row>
    <row r="818" spans="1:12" hidden="1">
      <c r="A818" s="19" t="s">
        <v>2693</v>
      </c>
      <c r="B818" s="19" t="s">
        <v>2233</v>
      </c>
      <c r="C818" s="19" t="s">
        <v>2731</v>
      </c>
      <c r="D818" s="19" t="s">
        <v>2736</v>
      </c>
      <c r="E818" s="19" t="s">
        <v>2737</v>
      </c>
      <c r="F818" s="19" t="e">
        <f>MATCH(E818,#REF!,0)</f>
        <v>#REF!</v>
      </c>
      <c r="G818" s="19" t="s">
        <v>2738</v>
      </c>
      <c r="H818" s="19" t="s">
        <v>84</v>
      </c>
      <c r="I818" s="19"/>
      <c r="J818" s="19" t="s">
        <v>2735</v>
      </c>
      <c r="K818" s="19" t="s">
        <v>20</v>
      </c>
      <c r="L818" s="3" t="str">
        <f>HYPERLINK(VLOOKUP(C818,BAPs!$A$2:$C$1048576,3,FALSE),VLOOKUP(C818,BAPs!$A$2:$C$1048576,2,FALSE))</f>
        <v>7 out of 10</v>
      </c>
    </row>
    <row r="819" spans="1:12" hidden="1">
      <c r="A819" s="19" t="s">
        <v>2693</v>
      </c>
      <c r="B819" s="19" t="s">
        <v>2233</v>
      </c>
      <c r="C819" s="19" t="s">
        <v>2731</v>
      </c>
      <c r="D819" s="19" t="s">
        <v>2739</v>
      </c>
      <c r="E819" s="19" t="s">
        <v>2740</v>
      </c>
      <c r="F819" s="19" t="e">
        <f>MATCH(E819,#REF!,0)</f>
        <v>#REF!</v>
      </c>
      <c r="G819" s="19" t="s">
        <v>2741</v>
      </c>
      <c r="H819" s="19" t="s">
        <v>17</v>
      </c>
      <c r="I819" s="19"/>
      <c r="J819" s="19" t="s">
        <v>2735</v>
      </c>
      <c r="K819" s="19" t="s">
        <v>20</v>
      </c>
      <c r="L819" s="3" t="str">
        <f>HYPERLINK(VLOOKUP(C819,BAPs!$A$2:$C$1048576,3,FALSE),VLOOKUP(C819,BAPs!$A$2:$C$1048576,2,FALSE))</f>
        <v>7 out of 10</v>
      </c>
    </row>
    <row r="820" spans="1:12" hidden="1">
      <c r="A820" s="19" t="s">
        <v>2693</v>
      </c>
      <c r="B820" s="19" t="s">
        <v>2233</v>
      </c>
      <c r="C820" s="19" t="s">
        <v>2742</v>
      </c>
      <c r="D820" s="19" t="s">
        <v>2743</v>
      </c>
      <c r="E820" s="19" t="s">
        <v>2744</v>
      </c>
      <c r="F820" s="19" t="e">
        <f>MATCH(E820,#REF!,0)</f>
        <v>#REF!</v>
      </c>
      <c r="G820" s="19" t="s">
        <v>2745</v>
      </c>
      <c r="H820" s="19" t="s">
        <v>52</v>
      </c>
      <c r="I820" s="19"/>
      <c r="J820" s="19" t="s">
        <v>2746</v>
      </c>
      <c r="K820" s="19" t="s">
        <v>62</v>
      </c>
      <c r="L820" s="3" t="str">
        <f>HYPERLINK(VLOOKUP(C820,BAPs!$A$2:$C$1048576,3,FALSE),VLOOKUP(C820,BAPs!$A$2:$C$1048576,2,FALSE))</f>
        <v>9 out of 10</v>
      </c>
    </row>
    <row r="821" spans="1:12" hidden="1">
      <c r="A821" s="19" t="s">
        <v>2693</v>
      </c>
      <c r="B821" s="19" t="s">
        <v>2233</v>
      </c>
      <c r="C821" s="19" t="s">
        <v>2742</v>
      </c>
      <c r="D821" s="19" t="s">
        <v>2747</v>
      </c>
      <c r="E821" s="19" t="s">
        <v>2748</v>
      </c>
      <c r="F821" s="19" t="e">
        <f>MATCH(E821,#REF!,0)</f>
        <v>#REF!</v>
      </c>
      <c r="G821" s="19" t="s">
        <v>2749</v>
      </c>
      <c r="H821" s="19" t="s">
        <v>52</v>
      </c>
      <c r="I821" s="19"/>
      <c r="J821" s="19" t="s">
        <v>2746</v>
      </c>
      <c r="K821" s="19" t="s">
        <v>62</v>
      </c>
      <c r="L821" s="3" t="str">
        <f>HYPERLINK(VLOOKUP(C821,BAPs!$A$2:$C$1048576,3,FALSE),VLOOKUP(C821,BAPs!$A$2:$C$1048576,2,FALSE))</f>
        <v>9 out of 10</v>
      </c>
    </row>
    <row r="822" spans="1:12" hidden="1">
      <c r="A822" s="19" t="s">
        <v>2693</v>
      </c>
      <c r="B822" s="19" t="s">
        <v>2233</v>
      </c>
      <c r="C822" s="19" t="s">
        <v>2742</v>
      </c>
      <c r="D822" s="19" t="s">
        <v>2750</v>
      </c>
      <c r="E822" s="19" t="s">
        <v>2751</v>
      </c>
      <c r="F822" s="19" t="e">
        <f>MATCH(E822,#REF!,0)</f>
        <v>#REF!</v>
      </c>
      <c r="G822" s="19" t="s">
        <v>2752</v>
      </c>
      <c r="H822" s="19" t="s">
        <v>24</v>
      </c>
      <c r="I822" s="19"/>
      <c r="J822" s="19" t="s">
        <v>2746</v>
      </c>
      <c r="K822" s="19" t="s">
        <v>62</v>
      </c>
      <c r="L822" s="3" t="str">
        <f>HYPERLINK(VLOOKUP(C822,BAPs!$A$2:$C$1048576,3,FALSE),VLOOKUP(C822,BAPs!$A$2:$C$1048576,2,FALSE))</f>
        <v>9 out of 10</v>
      </c>
    </row>
    <row r="823" spans="1:12" hidden="1">
      <c r="A823" s="19" t="s">
        <v>2693</v>
      </c>
      <c r="B823" s="19" t="s">
        <v>2233</v>
      </c>
      <c r="C823" s="19" t="s">
        <v>2753</v>
      </c>
      <c r="D823" s="19" t="s">
        <v>2754</v>
      </c>
      <c r="E823" s="19" t="s">
        <v>2755</v>
      </c>
      <c r="F823" s="19" t="e">
        <f>MATCH(E823,#REF!,0)</f>
        <v>#REF!</v>
      </c>
      <c r="G823" s="19" t="s">
        <v>2756</v>
      </c>
      <c r="H823" s="19" t="s">
        <v>17</v>
      </c>
      <c r="I823" s="19" t="s">
        <v>18</v>
      </c>
      <c r="J823" s="19" t="s">
        <v>2757</v>
      </c>
      <c r="K823" s="19" t="s">
        <v>20</v>
      </c>
      <c r="L823" s="3" t="str">
        <f>HYPERLINK(VLOOKUP(C823,BAPs!$A$2:$C$1048576,3,FALSE),VLOOKUP(C823,BAPs!$A$2:$C$1048576,2,FALSE))</f>
        <v>1 out of 10</v>
      </c>
    </row>
    <row r="824" spans="1:12" hidden="1">
      <c r="A824" s="19" t="s">
        <v>2693</v>
      </c>
      <c r="B824" s="19" t="s">
        <v>2233</v>
      </c>
      <c r="C824" s="19" t="s">
        <v>2753</v>
      </c>
      <c r="D824" s="19" t="s">
        <v>2758</v>
      </c>
      <c r="E824" s="19" t="s">
        <v>2759</v>
      </c>
      <c r="F824" s="19" t="e">
        <f>MATCH(E824,#REF!,0)</f>
        <v>#REF!</v>
      </c>
      <c r="G824" s="19" t="s">
        <v>2760</v>
      </c>
      <c r="H824" s="19" t="s">
        <v>24</v>
      </c>
      <c r="I824" s="19"/>
      <c r="J824" s="19" t="s">
        <v>2757</v>
      </c>
      <c r="K824" s="19" t="s">
        <v>20</v>
      </c>
      <c r="L824" s="3" t="str">
        <f>HYPERLINK(VLOOKUP(C824,BAPs!$A$2:$C$1048576,3,FALSE),VLOOKUP(C824,BAPs!$A$2:$C$1048576,2,FALSE))</f>
        <v>1 out of 10</v>
      </c>
    </row>
    <row r="825" spans="1:12" hidden="1">
      <c r="A825" s="19" t="s">
        <v>2693</v>
      </c>
      <c r="B825" s="19" t="s">
        <v>2233</v>
      </c>
      <c r="C825" s="19" t="s">
        <v>2761</v>
      </c>
      <c r="D825" s="19" t="s">
        <v>2761</v>
      </c>
      <c r="E825" s="19" t="s">
        <v>2762</v>
      </c>
      <c r="F825" s="19" t="e">
        <f>MATCH(E825,#REF!,0)</f>
        <v>#REF!</v>
      </c>
      <c r="G825" s="19" t="s">
        <v>2763</v>
      </c>
      <c r="H825" s="19" t="s">
        <v>17</v>
      </c>
      <c r="I825" s="19" t="s">
        <v>18</v>
      </c>
      <c r="J825" s="19" t="s">
        <v>2764</v>
      </c>
      <c r="K825" s="19" t="s">
        <v>20</v>
      </c>
      <c r="L825" s="3" t="str">
        <f>HYPERLINK(VLOOKUP(C825,BAPs!$A$2:$C$1048576,3,FALSE),VLOOKUP(C825,BAPs!$A$2:$C$1048576,2,FALSE))</f>
        <v>1 out of 10</v>
      </c>
    </row>
    <row r="826" spans="1:12" hidden="1">
      <c r="A826" s="19" t="s">
        <v>2693</v>
      </c>
      <c r="B826" s="19" t="s">
        <v>2233</v>
      </c>
      <c r="C826" s="19" t="s">
        <v>2761</v>
      </c>
      <c r="D826" s="19" t="s">
        <v>2765</v>
      </c>
      <c r="E826" s="19" t="s">
        <v>2766</v>
      </c>
      <c r="F826" s="19" t="e">
        <f>MATCH(E826,#REF!,0)</f>
        <v>#REF!</v>
      </c>
      <c r="G826" s="19" t="s">
        <v>2767</v>
      </c>
      <c r="H826" s="19" t="s">
        <v>52</v>
      </c>
      <c r="I826" s="19"/>
      <c r="J826" s="19" t="s">
        <v>2764</v>
      </c>
      <c r="K826" s="19" t="s">
        <v>20</v>
      </c>
      <c r="L826" s="3" t="str">
        <f>HYPERLINK(VLOOKUP(C826,BAPs!$A$2:$C$1048576,3,FALSE),VLOOKUP(C826,BAPs!$A$2:$C$1048576,2,FALSE))</f>
        <v>1 out of 10</v>
      </c>
    </row>
    <row r="827" spans="1:12" hidden="1">
      <c r="A827" s="19" t="s">
        <v>2693</v>
      </c>
      <c r="B827" s="19" t="s">
        <v>2233</v>
      </c>
      <c r="C827" s="19" t="s">
        <v>2768</v>
      </c>
      <c r="D827" s="19" t="s">
        <v>2768</v>
      </c>
      <c r="E827" s="19" t="s">
        <v>2769</v>
      </c>
      <c r="F827" s="19" t="e">
        <f>MATCH(E827,#REF!,0)</f>
        <v>#REF!</v>
      </c>
      <c r="G827" s="19" t="s">
        <v>2770</v>
      </c>
      <c r="H827" s="19" t="s">
        <v>24</v>
      </c>
      <c r="I827" s="19" t="s">
        <v>18</v>
      </c>
      <c r="J827" s="19" t="s">
        <v>2771</v>
      </c>
      <c r="K827" s="19" t="s">
        <v>20</v>
      </c>
      <c r="L827" s="3" t="str">
        <f>HYPERLINK(VLOOKUP(C827,BAPs!$A$2:$C$1048576,3,FALSE),VLOOKUP(C827,BAPs!$A$2:$C$1048576,2,FALSE))</f>
        <v>3 out of 10</v>
      </c>
    </row>
    <row r="828" spans="1:12" hidden="1">
      <c r="A828" s="19" t="s">
        <v>2693</v>
      </c>
      <c r="B828" s="19" t="s">
        <v>2233</v>
      </c>
      <c r="C828" s="19" t="s">
        <v>2768</v>
      </c>
      <c r="D828" s="19" t="s">
        <v>2575</v>
      </c>
      <c r="E828" s="19" t="s">
        <v>2576</v>
      </c>
      <c r="F828" s="19" t="e">
        <f>MATCH(E828,#REF!,0)</f>
        <v>#REF!</v>
      </c>
      <c r="G828" s="19" t="s">
        <v>2577</v>
      </c>
      <c r="H828" s="19" t="s">
        <v>43</v>
      </c>
      <c r="I828" s="19"/>
      <c r="J828" s="19" t="s">
        <v>2771</v>
      </c>
      <c r="K828" s="19" t="s">
        <v>20</v>
      </c>
      <c r="L828" s="3" t="str">
        <f>HYPERLINK(VLOOKUP(C828,BAPs!$A$2:$C$1048576,3,FALSE),VLOOKUP(C828,BAPs!$A$2:$C$1048576,2,FALSE))</f>
        <v>3 out of 10</v>
      </c>
    </row>
    <row r="829" spans="1:12" hidden="1">
      <c r="A829" s="19" t="s">
        <v>2693</v>
      </c>
      <c r="B829" s="19" t="s">
        <v>2233</v>
      </c>
      <c r="C829" s="19" t="s">
        <v>2768</v>
      </c>
      <c r="D829" s="19" t="s">
        <v>2772</v>
      </c>
      <c r="E829" s="19" t="s">
        <v>2773</v>
      </c>
      <c r="F829" s="19" t="e">
        <f>MATCH(E829,#REF!,0)</f>
        <v>#REF!</v>
      </c>
      <c r="G829" s="19" t="s">
        <v>2774</v>
      </c>
      <c r="H829" s="19" t="s">
        <v>24</v>
      </c>
      <c r="I829" s="19" t="s">
        <v>18</v>
      </c>
      <c r="J829" s="19" t="s">
        <v>2771</v>
      </c>
      <c r="K829" s="19" t="s">
        <v>20</v>
      </c>
      <c r="L829" s="3" t="str">
        <f>HYPERLINK(VLOOKUP(C829,BAPs!$A$2:$C$1048576,3,FALSE),VLOOKUP(C829,BAPs!$A$2:$C$1048576,2,FALSE))</f>
        <v>3 out of 10</v>
      </c>
    </row>
    <row r="830" spans="1:12" hidden="1">
      <c r="A830" s="19" t="s">
        <v>2693</v>
      </c>
      <c r="B830" s="19" t="s">
        <v>2233</v>
      </c>
      <c r="C830" s="19" t="s">
        <v>2775</v>
      </c>
      <c r="D830" s="19" t="s">
        <v>2775</v>
      </c>
      <c r="E830" s="19" t="s">
        <v>2776</v>
      </c>
      <c r="F830" s="19" t="e">
        <f>MATCH(E830,#REF!,0)</f>
        <v>#REF!</v>
      </c>
      <c r="G830" s="19" t="s">
        <v>2777</v>
      </c>
      <c r="H830" s="19" t="s">
        <v>17</v>
      </c>
      <c r="I830" s="19" t="s">
        <v>18</v>
      </c>
      <c r="J830" s="19" t="s">
        <v>2778</v>
      </c>
      <c r="K830" s="19" t="s">
        <v>20</v>
      </c>
      <c r="L830" s="3" t="str">
        <f>HYPERLINK(VLOOKUP(C830,BAPs!$A$2:$C$1048576,3,FALSE),VLOOKUP(C830,BAPs!$A$2:$C$1048576,2,FALSE))</f>
        <v>4 out of 10</v>
      </c>
    </row>
    <row r="831" spans="1:12" hidden="1">
      <c r="A831" s="19" t="s">
        <v>2693</v>
      </c>
      <c r="B831" s="19" t="s">
        <v>2233</v>
      </c>
      <c r="C831" s="19" t="s">
        <v>2779</v>
      </c>
      <c r="D831" s="19" t="s">
        <v>2779</v>
      </c>
      <c r="E831" s="19" t="s">
        <v>2780</v>
      </c>
      <c r="F831" s="19" t="e">
        <f>MATCH(E831,#REF!,0)</f>
        <v>#REF!</v>
      </c>
      <c r="G831" s="19" t="s">
        <v>2781</v>
      </c>
      <c r="H831" s="19" t="s">
        <v>17</v>
      </c>
      <c r="I831" s="19" t="s">
        <v>18</v>
      </c>
      <c r="J831" s="19" t="s">
        <v>2782</v>
      </c>
      <c r="K831" s="19" t="s">
        <v>20</v>
      </c>
      <c r="L831" s="3" t="str">
        <f>HYPERLINK(VLOOKUP(C831,BAPs!$A$2:$C$1048576,3,FALSE),VLOOKUP(C831,BAPs!$A$2:$C$1048576,2,FALSE))</f>
        <v>2 out of 10</v>
      </c>
    </row>
    <row r="832" spans="1:12" hidden="1">
      <c r="A832" s="19" t="s">
        <v>2693</v>
      </c>
      <c r="B832" s="19" t="s">
        <v>2233</v>
      </c>
      <c r="C832" s="19" t="s">
        <v>2779</v>
      </c>
      <c r="D832" s="19" t="s">
        <v>2783</v>
      </c>
      <c r="E832" s="19" t="s">
        <v>2784</v>
      </c>
      <c r="F832" s="19" t="e">
        <f>MATCH(E832,#REF!,0)</f>
        <v>#REF!</v>
      </c>
      <c r="G832" s="19" t="s">
        <v>2785</v>
      </c>
      <c r="H832" s="19" t="s">
        <v>52</v>
      </c>
      <c r="I832" s="19"/>
      <c r="J832" s="19" t="s">
        <v>2782</v>
      </c>
      <c r="K832" s="19" t="s">
        <v>20</v>
      </c>
      <c r="L832" s="3" t="str">
        <f>HYPERLINK(VLOOKUP(C832,BAPs!$A$2:$C$1048576,3,FALSE),VLOOKUP(C832,BAPs!$A$2:$C$1048576,2,FALSE))</f>
        <v>2 out of 10</v>
      </c>
    </row>
    <row r="833" spans="1:12" hidden="1">
      <c r="A833" s="19" t="s">
        <v>2693</v>
      </c>
      <c r="B833" s="19" t="s">
        <v>2233</v>
      </c>
      <c r="C833" s="19" t="s">
        <v>2786</v>
      </c>
      <c r="D833" s="19" t="s">
        <v>2786</v>
      </c>
      <c r="E833" s="19" t="s">
        <v>2787</v>
      </c>
      <c r="F833" s="19" t="e">
        <f>MATCH(E833,#REF!,0)</f>
        <v>#REF!</v>
      </c>
      <c r="G833" s="19" t="s">
        <v>2788</v>
      </c>
      <c r="H833" s="19" t="s">
        <v>17</v>
      </c>
      <c r="I833" s="19"/>
      <c r="J833" s="19" t="s">
        <v>2789</v>
      </c>
      <c r="K833" s="19" t="s">
        <v>62</v>
      </c>
      <c r="L833" s="3" t="str">
        <f>HYPERLINK(VLOOKUP(C833,BAPs!$A$2:$C$1048576,3,FALSE),VLOOKUP(C833,BAPs!$A$2:$C$1048576,2,FALSE))</f>
        <v>9 out of 10</v>
      </c>
    </row>
    <row r="834" spans="1:12" hidden="1">
      <c r="A834" s="19" t="s">
        <v>2693</v>
      </c>
      <c r="B834" s="19" t="s">
        <v>2233</v>
      </c>
      <c r="C834" s="19" t="s">
        <v>2790</v>
      </c>
      <c r="D834" s="19" t="s">
        <v>2790</v>
      </c>
      <c r="E834" s="19" t="s">
        <v>2791</v>
      </c>
      <c r="F834" s="19" t="e">
        <f>MATCH(E834,#REF!,0)</f>
        <v>#REF!</v>
      </c>
      <c r="G834" s="19" t="s">
        <v>2792</v>
      </c>
      <c r="H834" s="19" t="s">
        <v>24</v>
      </c>
      <c r="I834" s="19" t="s">
        <v>18</v>
      </c>
      <c r="J834" s="19" t="s">
        <v>2793</v>
      </c>
      <c r="K834" s="19" t="s">
        <v>20</v>
      </c>
      <c r="L834" s="3" t="str">
        <f>HYPERLINK(VLOOKUP(C834,BAPs!$A$2:$C$1048576,3,FALSE),VLOOKUP(C834,BAPs!$A$2:$C$1048576,2,FALSE))</f>
        <v>5 out of 10</v>
      </c>
    </row>
    <row r="835" spans="1:12" hidden="1">
      <c r="A835" s="19" t="s">
        <v>2693</v>
      </c>
      <c r="B835" s="19" t="s">
        <v>2233</v>
      </c>
      <c r="C835" s="19" t="s">
        <v>2794</v>
      </c>
      <c r="D835" s="19" t="s">
        <v>2795</v>
      </c>
      <c r="E835" s="19" t="s">
        <v>2796</v>
      </c>
      <c r="F835" s="19" t="e">
        <f>MATCH(E835,#REF!,0)</f>
        <v>#REF!</v>
      </c>
      <c r="G835" s="19" t="s">
        <v>2797</v>
      </c>
      <c r="H835" s="19" t="s">
        <v>17</v>
      </c>
      <c r="I835" s="19" t="s">
        <v>18</v>
      </c>
      <c r="J835" s="19" t="s">
        <v>2798</v>
      </c>
      <c r="K835" s="19" t="s">
        <v>20</v>
      </c>
      <c r="L835" s="3" t="str">
        <f>HYPERLINK(VLOOKUP(C835,BAPs!$A$2:$C$1048576,3,FALSE),VLOOKUP(C835,BAPs!$A$2:$C$1048576,2,FALSE))</f>
        <v>4 out of 10</v>
      </c>
    </row>
    <row r="836" spans="1:12" hidden="1">
      <c r="A836" s="19" t="s">
        <v>2693</v>
      </c>
      <c r="B836" s="19" t="s">
        <v>2233</v>
      </c>
      <c r="C836" s="19" t="s">
        <v>2799</v>
      </c>
      <c r="D836" s="19" t="s">
        <v>2799</v>
      </c>
      <c r="E836" s="19" t="s">
        <v>2800</v>
      </c>
      <c r="F836" s="19" t="e">
        <f>MATCH(E836,#REF!,0)</f>
        <v>#REF!</v>
      </c>
      <c r="G836" s="19" t="s">
        <v>2801</v>
      </c>
      <c r="H836" s="19" t="s">
        <v>17</v>
      </c>
      <c r="I836" s="19"/>
      <c r="J836" s="19" t="s">
        <v>2802</v>
      </c>
      <c r="K836" s="19" t="s">
        <v>20</v>
      </c>
      <c r="L836" s="3" t="str">
        <f>HYPERLINK(VLOOKUP(C836,BAPs!$A$2:$C$1048576,3,FALSE),VLOOKUP(C836,BAPs!$A$2:$C$1048576,2,FALSE))</f>
        <v>6 out of 10</v>
      </c>
    </row>
    <row r="837" spans="1:12" hidden="1">
      <c r="A837" s="19" t="s">
        <v>2693</v>
      </c>
      <c r="B837" s="19" t="s">
        <v>2233</v>
      </c>
      <c r="C837" s="19" t="s">
        <v>2803</v>
      </c>
      <c r="D837" s="19" t="s">
        <v>2768</v>
      </c>
      <c r="E837" s="19" t="s">
        <v>2769</v>
      </c>
      <c r="F837" s="19" t="e">
        <f>MATCH(E837,#REF!,0)</f>
        <v>#REF!</v>
      </c>
      <c r="G837" s="19" t="s">
        <v>2770</v>
      </c>
      <c r="H837" s="19" t="s">
        <v>24</v>
      </c>
      <c r="I837" s="19" t="s">
        <v>18</v>
      </c>
      <c r="J837" s="19" t="s">
        <v>2804</v>
      </c>
      <c r="K837" s="19" t="s">
        <v>20</v>
      </c>
      <c r="L837" s="3" t="str">
        <f>HYPERLINK(VLOOKUP(C837,BAPs!$A$2:$C$1048576,3,FALSE),VLOOKUP(C837,BAPs!$A$2:$C$1048576,2,FALSE))</f>
        <v>3 out of 10</v>
      </c>
    </row>
    <row r="838" spans="1:12" hidden="1">
      <c r="A838" s="19" t="s">
        <v>2693</v>
      </c>
      <c r="B838" s="19" t="s">
        <v>2233</v>
      </c>
      <c r="C838" s="19" t="s">
        <v>2805</v>
      </c>
      <c r="D838" s="19" t="s">
        <v>2794</v>
      </c>
      <c r="E838" s="19" t="s">
        <v>2806</v>
      </c>
      <c r="F838" s="19" t="e">
        <f>MATCH(E838,#REF!,0)</f>
        <v>#REF!</v>
      </c>
      <c r="G838" s="19" t="s">
        <v>2807</v>
      </c>
      <c r="H838" s="19" t="s">
        <v>24</v>
      </c>
      <c r="I838" s="19" t="s">
        <v>18</v>
      </c>
      <c r="J838" s="19" t="s">
        <v>2808</v>
      </c>
      <c r="K838" s="19" t="s">
        <v>62</v>
      </c>
      <c r="L838" s="3" t="str">
        <f>HYPERLINK(VLOOKUP(C838,BAPs!$A$2:$C$1048576,3,FALSE),VLOOKUP(C838,BAPs!$A$2:$C$1048576,2,FALSE))</f>
        <v>10 out of 10</v>
      </c>
    </row>
    <row r="839" spans="1:12" hidden="1">
      <c r="A839" s="19" t="s">
        <v>2693</v>
      </c>
      <c r="B839" s="19" t="s">
        <v>2233</v>
      </c>
      <c r="C839" s="19" t="s">
        <v>2809</v>
      </c>
      <c r="D839" s="19" t="s">
        <v>2810</v>
      </c>
      <c r="E839" s="19" t="s">
        <v>2811</v>
      </c>
      <c r="F839" s="19" t="e">
        <f>MATCH(E839,#REF!,0)</f>
        <v>#REF!</v>
      </c>
      <c r="G839" s="19" t="s">
        <v>2812</v>
      </c>
      <c r="H839" s="19" t="s">
        <v>56</v>
      </c>
      <c r="I839" s="19"/>
      <c r="J839" s="19" t="s">
        <v>2813</v>
      </c>
      <c r="K839" s="19" t="s">
        <v>62</v>
      </c>
      <c r="L839" s="3" t="str">
        <f>HYPERLINK(VLOOKUP(C839,BAPs!$A$2:$C$1048576,3,FALSE),VLOOKUP(C839,BAPs!$A$2:$C$1048576,2,FALSE))</f>
        <v>9 out of 10</v>
      </c>
    </row>
    <row r="840" spans="1:12" hidden="1">
      <c r="A840" s="19" t="s">
        <v>2693</v>
      </c>
      <c r="B840" s="19" t="s">
        <v>2233</v>
      </c>
      <c r="C840" s="19" t="s">
        <v>2809</v>
      </c>
      <c r="D840" s="19" t="s">
        <v>2814</v>
      </c>
      <c r="E840" s="19" t="s">
        <v>2815</v>
      </c>
      <c r="F840" s="19" t="e">
        <f>MATCH(E840,#REF!,0)</f>
        <v>#REF!</v>
      </c>
      <c r="G840" s="19" t="s">
        <v>2816</v>
      </c>
      <c r="H840" s="19" t="s">
        <v>56</v>
      </c>
      <c r="I840" s="19"/>
      <c r="J840" s="19" t="s">
        <v>2813</v>
      </c>
      <c r="K840" s="19" t="s">
        <v>62</v>
      </c>
      <c r="L840" s="3" t="str">
        <f>HYPERLINK(VLOOKUP(C840,BAPs!$A$2:$C$1048576,3,FALSE),VLOOKUP(C840,BAPs!$A$2:$C$1048576,2,FALSE))</f>
        <v>9 out of 10</v>
      </c>
    </row>
    <row r="841" spans="1:12" hidden="1">
      <c r="A841" s="19" t="s">
        <v>2693</v>
      </c>
      <c r="B841" s="19" t="s">
        <v>2233</v>
      </c>
      <c r="C841" s="19" t="s">
        <v>2809</v>
      </c>
      <c r="D841" s="19" t="s">
        <v>2817</v>
      </c>
      <c r="E841" s="19" t="s">
        <v>2818</v>
      </c>
      <c r="F841" s="19" t="e">
        <f>MATCH(E841,#REF!,0)</f>
        <v>#REF!</v>
      </c>
      <c r="G841" s="19" t="s">
        <v>2819</v>
      </c>
      <c r="H841" s="19" t="s">
        <v>56</v>
      </c>
      <c r="I841" s="19"/>
      <c r="J841" s="19" t="s">
        <v>2813</v>
      </c>
      <c r="K841" s="19" t="s">
        <v>62</v>
      </c>
      <c r="L841" s="3" t="str">
        <f>HYPERLINK(VLOOKUP(C841,BAPs!$A$2:$C$1048576,3,FALSE),VLOOKUP(C841,BAPs!$A$2:$C$1048576,2,FALSE))</f>
        <v>9 out of 10</v>
      </c>
    </row>
    <row r="842" spans="1:12" hidden="1">
      <c r="A842" s="19" t="s">
        <v>2693</v>
      </c>
      <c r="B842" s="19" t="s">
        <v>2233</v>
      </c>
      <c r="C842" s="19" t="s">
        <v>2809</v>
      </c>
      <c r="D842" s="19" t="s">
        <v>2820</v>
      </c>
      <c r="E842" s="19" t="s">
        <v>2821</v>
      </c>
      <c r="F842" s="19" t="e">
        <f>MATCH(E842,#REF!,0)</f>
        <v>#REF!</v>
      </c>
      <c r="G842" s="19" t="s">
        <v>2822</v>
      </c>
      <c r="H842" s="19" t="s">
        <v>56</v>
      </c>
      <c r="I842" s="19"/>
      <c r="J842" s="19" t="s">
        <v>2813</v>
      </c>
      <c r="K842" s="19" t="s">
        <v>62</v>
      </c>
      <c r="L842" s="3" t="str">
        <f>HYPERLINK(VLOOKUP(C842,BAPs!$A$2:$C$1048576,3,FALSE),VLOOKUP(C842,BAPs!$A$2:$C$1048576,2,FALSE))</f>
        <v>9 out of 10</v>
      </c>
    </row>
    <row r="843" spans="1:12" hidden="1">
      <c r="A843" s="19" t="s">
        <v>2693</v>
      </c>
      <c r="B843" s="19" t="s">
        <v>2233</v>
      </c>
      <c r="C843" s="19" t="s">
        <v>2809</v>
      </c>
      <c r="D843" s="19" t="s">
        <v>2602</v>
      </c>
      <c r="E843" s="19" t="s">
        <v>2603</v>
      </c>
      <c r="F843" s="19" t="e">
        <f>MATCH(E843,#REF!,0)</f>
        <v>#REF!</v>
      </c>
      <c r="G843" s="19" t="s">
        <v>2604</v>
      </c>
      <c r="H843" s="19" t="s">
        <v>24</v>
      </c>
      <c r="I843" s="19"/>
      <c r="J843" s="19" t="s">
        <v>2813</v>
      </c>
      <c r="K843" s="19" t="s">
        <v>62</v>
      </c>
      <c r="L843" s="3" t="str">
        <f>HYPERLINK(VLOOKUP(C843,BAPs!$A$2:$C$1048576,3,FALSE),VLOOKUP(C843,BAPs!$A$2:$C$1048576,2,FALSE))</f>
        <v>9 out of 10</v>
      </c>
    </row>
    <row r="844" spans="1:12" hidden="1">
      <c r="A844" s="19" t="s">
        <v>2693</v>
      </c>
      <c r="B844" s="19" t="s">
        <v>2233</v>
      </c>
      <c r="C844" s="19" t="s">
        <v>2823</v>
      </c>
      <c r="D844" s="19" t="s">
        <v>2823</v>
      </c>
      <c r="E844" s="19" t="s">
        <v>2824</v>
      </c>
      <c r="F844" s="19" t="e">
        <f>MATCH(E844,#REF!,0)</f>
        <v>#REF!</v>
      </c>
      <c r="G844" s="19" t="s">
        <v>2825</v>
      </c>
      <c r="H844" s="19" t="s">
        <v>56</v>
      </c>
      <c r="I844" s="19"/>
      <c r="J844" s="19" t="s">
        <v>2826</v>
      </c>
      <c r="K844" s="19" t="s">
        <v>62</v>
      </c>
      <c r="L844" s="3" t="str">
        <f>HYPERLINK(VLOOKUP(C844,BAPs!$A$2:$C$1048576,3,FALSE),VLOOKUP(C844,BAPs!$A$2:$C$1048576,2,FALSE))</f>
        <v>9 out of 10</v>
      </c>
    </row>
    <row r="845" spans="1:12" hidden="1">
      <c r="A845" s="19" t="s">
        <v>2693</v>
      </c>
      <c r="B845" s="19" t="s">
        <v>2233</v>
      </c>
      <c r="C845" s="19" t="s">
        <v>2827</v>
      </c>
      <c r="D845" s="19" t="s">
        <v>2828</v>
      </c>
      <c r="E845" s="19" t="s">
        <v>2829</v>
      </c>
      <c r="F845" s="19" t="e">
        <f>MATCH(E845,#REF!,0)</f>
        <v>#REF!</v>
      </c>
      <c r="G845" s="19" t="s">
        <v>2830</v>
      </c>
      <c r="H845" s="19" t="s">
        <v>56</v>
      </c>
      <c r="I845" s="19"/>
      <c r="J845" s="19" t="s">
        <v>2831</v>
      </c>
      <c r="K845" s="19" t="s">
        <v>20</v>
      </c>
      <c r="L845" s="3" t="str">
        <f>HYPERLINK(VLOOKUP(C845,BAPs!$A$2:$C$1048576,3,FALSE),VLOOKUP(C845,BAPs!$A$2:$C$1048576,2,FALSE))</f>
        <v>8 out of 10</v>
      </c>
    </row>
    <row r="846" spans="1:12" hidden="1">
      <c r="A846" s="19" t="s">
        <v>2693</v>
      </c>
      <c r="B846" s="19" t="s">
        <v>2233</v>
      </c>
      <c r="C846" s="19" t="s">
        <v>2827</v>
      </c>
      <c r="D846" s="19" t="s">
        <v>2832</v>
      </c>
      <c r="E846" s="19" t="s">
        <v>2833</v>
      </c>
      <c r="F846" s="19" t="e">
        <f>MATCH(E846,#REF!,0)</f>
        <v>#REF!</v>
      </c>
      <c r="G846" s="19" t="s">
        <v>2834</v>
      </c>
      <c r="H846" s="19" t="s">
        <v>56</v>
      </c>
      <c r="I846" s="19"/>
      <c r="J846" s="19" t="s">
        <v>2831</v>
      </c>
      <c r="K846" s="19" t="s">
        <v>20</v>
      </c>
      <c r="L846" s="3" t="str">
        <f>HYPERLINK(VLOOKUP(C846,BAPs!$A$2:$C$1048576,3,FALSE),VLOOKUP(C846,BAPs!$A$2:$C$1048576,2,FALSE))</f>
        <v>8 out of 10</v>
      </c>
    </row>
    <row r="847" spans="1:12" hidden="1">
      <c r="A847" s="19" t="s">
        <v>2693</v>
      </c>
      <c r="B847" s="19" t="s">
        <v>2233</v>
      </c>
      <c r="C847" s="19" t="s">
        <v>2827</v>
      </c>
      <c r="D847" s="19" t="s">
        <v>2835</v>
      </c>
      <c r="E847" s="19" t="s">
        <v>2836</v>
      </c>
      <c r="F847" s="19" t="e">
        <f>MATCH(E847,#REF!,0)</f>
        <v>#REF!</v>
      </c>
      <c r="G847" s="19" t="s">
        <v>2837</v>
      </c>
      <c r="H847" s="19" t="s">
        <v>56</v>
      </c>
      <c r="I847" s="19"/>
      <c r="J847" s="19" t="s">
        <v>2831</v>
      </c>
      <c r="K847" s="19" t="s">
        <v>20</v>
      </c>
      <c r="L847" s="3" t="str">
        <f>HYPERLINK(VLOOKUP(C847,BAPs!$A$2:$C$1048576,3,FALSE),VLOOKUP(C847,BAPs!$A$2:$C$1048576,2,FALSE))</f>
        <v>8 out of 10</v>
      </c>
    </row>
    <row r="848" spans="1:12" hidden="1">
      <c r="A848" s="19" t="s">
        <v>2693</v>
      </c>
      <c r="B848" s="19" t="s">
        <v>2233</v>
      </c>
      <c r="C848" s="19" t="s">
        <v>2827</v>
      </c>
      <c r="D848" s="19" t="s">
        <v>2838</v>
      </c>
      <c r="E848" s="19" t="s">
        <v>2839</v>
      </c>
      <c r="F848" s="19" t="e">
        <f>MATCH(E848,#REF!,0)</f>
        <v>#REF!</v>
      </c>
      <c r="G848" s="19" t="s">
        <v>2840</v>
      </c>
      <c r="H848" s="19" t="s">
        <v>56</v>
      </c>
      <c r="I848" s="19"/>
      <c r="J848" s="19" t="s">
        <v>2831</v>
      </c>
      <c r="K848" s="19" t="s">
        <v>20</v>
      </c>
      <c r="L848" s="3" t="str">
        <f>HYPERLINK(VLOOKUP(C848,BAPs!$A$2:$C$1048576,3,FALSE),VLOOKUP(C848,BAPs!$A$2:$C$1048576,2,FALSE))</f>
        <v>8 out of 10</v>
      </c>
    </row>
    <row r="849" spans="1:12" hidden="1">
      <c r="A849" s="19" t="s">
        <v>2693</v>
      </c>
      <c r="B849" s="19" t="s">
        <v>2233</v>
      </c>
      <c r="C849" s="19" t="s">
        <v>2827</v>
      </c>
      <c r="D849" s="19" t="s">
        <v>2841</v>
      </c>
      <c r="E849" s="19" t="s">
        <v>2842</v>
      </c>
      <c r="F849" s="19" t="e">
        <f>MATCH(E849,#REF!,0)</f>
        <v>#REF!</v>
      </c>
      <c r="G849" s="19" t="s">
        <v>2843</v>
      </c>
      <c r="H849" s="19" t="s">
        <v>56</v>
      </c>
      <c r="I849" s="19"/>
      <c r="J849" s="19" t="s">
        <v>2831</v>
      </c>
      <c r="K849" s="19" t="s">
        <v>20</v>
      </c>
      <c r="L849" s="3" t="str">
        <f>HYPERLINK(VLOOKUP(C849,BAPs!$A$2:$C$1048576,3,FALSE),VLOOKUP(C849,BAPs!$A$2:$C$1048576,2,FALSE))</f>
        <v>8 out of 10</v>
      </c>
    </row>
    <row r="850" spans="1:12" hidden="1">
      <c r="A850" s="19" t="s">
        <v>2693</v>
      </c>
      <c r="B850" s="19" t="s">
        <v>2233</v>
      </c>
      <c r="C850" s="19" t="s">
        <v>2827</v>
      </c>
      <c r="D850" s="19" t="s">
        <v>2844</v>
      </c>
      <c r="E850" s="19" t="s">
        <v>2845</v>
      </c>
      <c r="F850" s="19" t="e">
        <f>MATCH(E850,#REF!,0)</f>
        <v>#REF!</v>
      </c>
      <c r="G850" s="19" t="s">
        <v>2846</v>
      </c>
      <c r="H850" s="19" t="s">
        <v>43</v>
      </c>
      <c r="I850" s="19"/>
      <c r="J850" s="19" t="s">
        <v>2831</v>
      </c>
      <c r="K850" s="19" t="s">
        <v>20</v>
      </c>
      <c r="L850" s="3" t="str">
        <f>HYPERLINK(VLOOKUP(C850,BAPs!$A$2:$C$1048576,3,FALSE),VLOOKUP(C850,BAPs!$A$2:$C$1048576,2,FALSE))</f>
        <v>8 out of 10</v>
      </c>
    </row>
    <row r="851" spans="1:12">
      <c r="A851" s="19" t="s">
        <v>2693</v>
      </c>
      <c r="B851" s="19" t="s">
        <v>2233</v>
      </c>
      <c r="C851" s="19" t="s">
        <v>2847</v>
      </c>
      <c r="D851" s="19" t="s">
        <v>2848</v>
      </c>
      <c r="E851" s="19" t="s">
        <v>2849</v>
      </c>
      <c r="F851" s="19" t="e">
        <f>MATCH(E851,#REF!,0)</f>
        <v>#REF!</v>
      </c>
      <c r="G851" s="19" t="s">
        <v>2850</v>
      </c>
      <c r="H851" s="19" t="s">
        <v>56</v>
      </c>
      <c r="I851" s="19"/>
      <c r="J851" s="19" t="s">
        <v>2851</v>
      </c>
      <c r="K851" s="19" t="s">
        <v>62</v>
      </c>
      <c r="L851" s="3" t="str">
        <f>HYPERLINK(VLOOKUP(C851,BAPs!$A$2:$C$1048576,3,FALSE),VLOOKUP(C851,BAPs!$A$2:$C$1048576,2,FALSE))</f>
        <v>10 out of 10</v>
      </c>
    </row>
    <row r="852" spans="1:12" hidden="1">
      <c r="A852" s="19" t="s">
        <v>2693</v>
      </c>
      <c r="B852" s="19" t="s">
        <v>2233</v>
      </c>
      <c r="C852" s="19" t="s">
        <v>2852</v>
      </c>
      <c r="D852" s="19" t="s">
        <v>2853</v>
      </c>
      <c r="E852" s="19" t="s">
        <v>2854</v>
      </c>
      <c r="F852" s="19" t="e">
        <f>MATCH(E852,#REF!,0)</f>
        <v>#REF!</v>
      </c>
      <c r="G852" s="19" t="s">
        <v>2855</v>
      </c>
      <c r="H852" s="19" t="s">
        <v>84</v>
      </c>
      <c r="I852" s="19"/>
      <c r="J852" s="19" t="s">
        <v>2856</v>
      </c>
      <c r="K852" s="19" t="s">
        <v>62</v>
      </c>
      <c r="L852" s="3" t="str">
        <f>HYPERLINK(VLOOKUP(C852,BAPs!$A$2:$C$1048576,3,FALSE),VLOOKUP(C852,BAPs!$A$2:$C$1048576,2,FALSE))</f>
        <v>10 out of 10</v>
      </c>
    </row>
    <row r="853" spans="1:12" hidden="1">
      <c r="A853" s="19" t="s">
        <v>2693</v>
      </c>
      <c r="B853" s="19" t="s">
        <v>2233</v>
      </c>
      <c r="C853" s="19" t="s">
        <v>2857</v>
      </c>
      <c r="D853" s="19" t="s">
        <v>2772</v>
      </c>
      <c r="E853" s="19" t="s">
        <v>2773</v>
      </c>
      <c r="F853" s="19" t="e">
        <f>MATCH(E853,#REF!,0)</f>
        <v>#REF!</v>
      </c>
      <c r="G853" s="19" t="s">
        <v>2774</v>
      </c>
      <c r="H853" s="19" t="s">
        <v>24</v>
      </c>
      <c r="I853" s="19" t="s">
        <v>18</v>
      </c>
      <c r="J853" s="19" t="s">
        <v>2858</v>
      </c>
      <c r="K853" s="19" t="s">
        <v>62</v>
      </c>
      <c r="L853" s="3" t="str">
        <f>HYPERLINK(VLOOKUP(C853,BAPs!$A$2:$C$1048576,3,FALSE),VLOOKUP(C853,BAPs!$A$2:$C$1048576,2,FALSE))</f>
        <v>9 out of 10</v>
      </c>
    </row>
    <row r="854" spans="1:12" hidden="1">
      <c r="A854" s="19" t="s">
        <v>2693</v>
      </c>
      <c r="B854" s="19" t="s">
        <v>2233</v>
      </c>
      <c r="C854" s="19" t="s">
        <v>2859</v>
      </c>
      <c r="D854" s="19" t="s">
        <v>2844</v>
      </c>
      <c r="E854" s="19" t="s">
        <v>2845</v>
      </c>
      <c r="F854" s="19" t="e">
        <f>MATCH(E854,#REF!,0)</f>
        <v>#REF!</v>
      </c>
      <c r="G854" s="19" t="s">
        <v>2846</v>
      </c>
      <c r="H854" s="19" t="s">
        <v>43</v>
      </c>
      <c r="I854" s="19"/>
      <c r="J854" s="19" t="s">
        <v>2860</v>
      </c>
      <c r="K854" s="19" t="s">
        <v>20</v>
      </c>
      <c r="L854" s="3" t="str">
        <f>HYPERLINK(VLOOKUP(C854,BAPs!$A$2:$C$1048576,3,FALSE),VLOOKUP(C854,BAPs!$A$2:$C$1048576,2,FALSE))</f>
        <v>6 out of 10</v>
      </c>
    </row>
    <row r="855" spans="1:12" hidden="1">
      <c r="A855" s="19" t="s">
        <v>2861</v>
      </c>
      <c r="B855" s="19" t="s">
        <v>2233</v>
      </c>
      <c r="C855" s="19" t="s">
        <v>2862</v>
      </c>
      <c r="D855" s="19" t="s">
        <v>2862</v>
      </c>
      <c r="E855" s="19" t="s">
        <v>2863</v>
      </c>
      <c r="F855" s="19" t="e">
        <f>MATCH(E855,#REF!,0)</f>
        <v>#REF!</v>
      </c>
      <c r="G855" s="19" t="s">
        <v>2864</v>
      </c>
      <c r="H855" s="19" t="s">
        <v>24</v>
      </c>
      <c r="I855" s="19" t="s">
        <v>18</v>
      </c>
      <c r="J855" s="19" t="s">
        <v>2865</v>
      </c>
      <c r="K855" s="19" t="s">
        <v>62</v>
      </c>
      <c r="L855" s="3" t="str">
        <f>HYPERLINK(VLOOKUP(C855,BAPs!$A$2:$C$1048576,3,FALSE),VLOOKUP(C855,BAPs!$A$2:$C$1048576,2,FALSE))</f>
        <v>9 out of 10</v>
      </c>
    </row>
    <row r="856" spans="1:12" hidden="1">
      <c r="A856" s="19" t="s">
        <v>2861</v>
      </c>
      <c r="B856" s="19" t="s">
        <v>2233</v>
      </c>
      <c r="C856" s="19" t="s">
        <v>2866</v>
      </c>
      <c r="D856" s="19" t="s">
        <v>2867</v>
      </c>
      <c r="E856" s="19" t="s">
        <v>2868</v>
      </c>
      <c r="F856" s="19" t="e">
        <f>MATCH(E856,#REF!,0)</f>
        <v>#REF!</v>
      </c>
      <c r="G856" s="19" t="s">
        <v>2869</v>
      </c>
      <c r="H856" s="19" t="s">
        <v>995</v>
      </c>
      <c r="I856" s="19"/>
      <c r="J856" s="19" t="s">
        <v>2870</v>
      </c>
      <c r="K856" s="19" t="s">
        <v>20</v>
      </c>
      <c r="L856" s="3" t="str">
        <f>HYPERLINK(VLOOKUP(C856,BAPs!$A$2:$C$1048576,3,FALSE),VLOOKUP(C856,BAPs!$A$2:$C$1048576,2,FALSE))</f>
        <v>1 out of 10</v>
      </c>
    </row>
    <row r="857" spans="1:12" hidden="1">
      <c r="A857" s="19" t="s">
        <v>2861</v>
      </c>
      <c r="B857" s="19" t="s">
        <v>2233</v>
      </c>
      <c r="C857" s="19" t="s">
        <v>2866</v>
      </c>
      <c r="D857" s="19" t="s">
        <v>2871</v>
      </c>
      <c r="E857" s="19" t="s">
        <v>2872</v>
      </c>
      <c r="F857" s="19" t="e">
        <f>MATCH(E857,#REF!,0)</f>
        <v>#REF!</v>
      </c>
      <c r="G857" s="19" t="s">
        <v>2873</v>
      </c>
      <c r="H857" s="19" t="s">
        <v>43</v>
      </c>
      <c r="I857" s="19" t="s">
        <v>18</v>
      </c>
      <c r="J857" s="19" t="s">
        <v>2870</v>
      </c>
      <c r="K857" s="19" t="s">
        <v>20</v>
      </c>
      <c r="L857" s="3" t="str">
        <f>HYPERLINK(VLOOKUP(C857,BAPs!$A$2:$C$1048576,3,FALSE),VLOOKUP(C857,BAPs!$A$2:$C$1048576,2,FALSE))</f>
        <v>1 out of 10</v>
      </c>
    </row>
    <row r="858" spans="1:12" hidden="1">
      <c r="A858" s="19" t="s">
        <v>2861</v>
      </c>
      <c r="B858" s="19" t="s">
        <v>2233</v>
      </c>
      <c r="C858" s="19" t="s">
        <v>2866</v>
      </c>
      <c r="D858" s="19" t="s">
        <v>2874</v>
      </c>
      <c r="E858" s="19" t="s">
        <v>2875</v>
      </c>
      <c r="F858" s="19" t="e">
        <f>MATCH(E858,#REF!,0)</f>
        <v>#REF!</v>
      </c>
      <c r="G858" s="19" t="s">
        <v>2876</v>
      </c>
      <c r="H858" s="19" t="s">
        <v>24</v>
      </c>
      <c r="I858" s="19" t="s">
        <v>18</v>
      </c>
      <c r="J858" s="19" t="s">
        <v>2870</v>
      </c>
      <c r="K858" s="19" t="s">
        <v>20</v>
      </c>
      <c r="L858" s="3" t="str">
        <f>HYPERLINK(VLOOKUP(C858,BAPs!$A$2:$C$1048576,3,FALSE),VLOOKUP(C858,BAPs!$A$2:$C$1048576,2,FALSE))</f>
        <v>1 out of 10</v>
      </c>
    </row>
    <row r="859" spans="1:12" hidden="1">
      <c r="A859" s="19" t="s">
        <v>2861</v>
      </c>
      <c r="B859" s="19" t="s">
        <v>2233</v>
      </c>
      <c r="C859" s="19" t="s">
        <v>2877</v>
      </c>
      <c r="D859" s="19" t="s">
        <v>2877</v>
      </c>
      <c r="E859" s="19" t="s">
        <v>2878</v>
      </c>
      <c r="F859" s="19" t="e">
        <f>MATCH(E859,#REF!,0)</f>
        <v>#REF!</v>
      </c>
      <c r="G859" s="19" t="s">
        <v>2879</v>
      </c>
      <c r="H859" s="19" t="s">
        <v>17</v>
      </c>
      <c r="I859" s="19" t="s">
        <v>18</v>
      </c>
      <c r="J859" s="19" t="s">
        <v>2880</v>
      </c>
      <c r="K859" s="19" t="s">
        <v>62</v>
      </c>
      <c r="L859" s="3" t="str">
        <f>HYPERLINK(VLOOKUP(C859,BAPs!$A$2:$C$1048576,3,FALSE),VLOOKUP(C859,BAPs!$A$2:$C$1048576,2,FALSE))</f>
        <v>9 out of 10</v>
      </c>
    </row>
    <row r="860" spans="1:12" hidden="1">
      <c r="A860" s="19" t="s">
        <v>2861</v>
      </c>
      <c r="B860" s="19" t="s">
        <v>2233</v>
      </c>
      <c r="C860" s="19" t="s">
        <v>2877</v>
      </c>
      <c r="D860" s="19" t="s">
        <v>2881</v>
      </c>
      <c r="E860" s="19" t="s">
        <v>2882</v>
      </c>
      <c r="F860" s="19" t="e">
        <f>MATCH(E860,#REF!,0)</f>
        <v>#REF!</v>
      </c>
      <c r="G860" s="19" t="s">
        <v>2883</v>
      </c>
      <c r="H860" s="19" t="s">
        <v>17</v>
      </c>
      <c r="I860" s="19" t="s">
        <v>18</v>
      </c>
      <c r="J860" s="19" t="s">
        <v>2880</v>
      </c>
      <c r="K860" s="19" t="s">
        <v>62</v>
      </c>
      <c r="L860" s="3" t="str">
        <f>HYPERLINK(VLOOKUP(C860,BAPs!$A$2:$C$1048576,3,FALSE),VLOOKUP(C860,BAPs!$A$2:$C$1048576,2,FALSE))</f>
        <v>9 out of 10</v>
      </c>
    </row>
    <row r="861" spans="1:12" hidden="1">
      <c r="A861" s="19" t="s">
        <v>2861</v>
      </c>
      <c r="B861" s="19" t="s">
        <v>2233</v>
      </c>
      <c r="C861" s="19" t="s">
        <v>2884</v>
      </c>
      <c r="D861" s="19" t="s">
        <v>2885</v>
      </c>
      <c r="E861" s="19" t="s">
        <v>2886</v>
      </c>
      <c r="F861" s="19" t="e">
        <f>MATCH(E861,#REF!,0)</f>
        <v>#REF!</v>
      </c>
      <c r="G861" s="19" t="s">
        <v>2887</v>
      </c>
      <c r="H861" s="19" t="s">
        <v>17</v>
      </c>
      <c r="I861" s="19" t="s">
        <v>18</v>
      </c>
      <c r="J861" s="19" t="s">
        <v>2888</v>
      </c>
      <c r="K861" s="19" t="s">
        <v>62</v>
      </c>
      <c r="L861" s="3" t="str">
        <f>HYPERLINK(VLOOKUP(C861,BAPs!$A$2:$C$1048576,3,FALSE),VLOOKUP(C861,BAPs!$A$2:$C$1048576,2,FALSE))</f>
        <v>9 out of 10</v>
      </c>
    </row>
    <row r="862" spans="1:12" hidden="1">
      <c r="A862" s="19" t="s">
        <v>2861</v>
      </c>
      <c r="B862" s="19" t="s">
        <v>2233</v>
      </c>
      <c r="C862" s="19" t="s">
        <v>2884</v>
      </c>
      <c r="D862" s="19" t="s">
        <v>2889</v>
      </c>
      <c r="E862" s="19" t="s">
        <v>2890</v>
      </c>
      <c r="F862" s="19" t="e">
        <f>MATCH(E862,#REF!,0)</f>
        <v>#REF!</v>
      </c>
      <c r="G862" s="19" t="s">
        <v>2891</v>
      </c>
      <c r="H862" s="19" t="s">
        <v>43</v>
      </c>
      <c r="I862" s="19"/>
      <c r="J862" s="19" t="s">
        <v>2888</v>
      </c>
      <c r="K862" s="19" t="s">
        <v>62</v>
      </c>
      <c r="L862" s="3" t="str">
        <f>HYPERLINK(VLOOKUP(C862,BAPs!$A$2:$C$1048576,3,FALSE),VLOOKUP(C862,BAPs!$A$2:$C$1048576,2,FALSE))</f>
        <v>9 out of 10</v>
      </c>
    </row>
    <row r="863" spans="1:12" hidden="1">
      <c r="A863" s="19" t="s">
        <v>2861</v>
      </c>
      <c r="B863" s="19" t="s">
        <v>2233</v>
      </c>
      <c r="C863" s="19" t="s">
        <v>2884</v>
      </c>
      <c r="D863" s="19" t="s">
        <v>2772</v>
      </c>
      <c r="E863" s="19" t="s">
        <v>2773</v>
      </c>
      <c r="F863" s="19" t="e">
        <f>MATCH(E863,#REF!,0)</f>
        <v>#REF!</v>
      </c>
      <c r="G863" s="19" t="s">
        <v>2774</v>
      </c>
      <c r="H863" s="19" t="s">
        <v>24</v>
      </c>
      <c r="I863" s="19" t="s">
        <v>18</v>
      </c>
      <c r="J863" s="19" t="s">
        <v>2888</v>
      </c>
      <c r="K863" s="19" t="s">
        <v>62</v>
      </c>
      <c r="L863" s="3" t="str">
        <f>HYPERLINK(VLOOKUP(C863,BAPs!$A$2:$C$1048576,3,FALSE),VLOOKUP(C863,BAPs!$A$2:$C$1048576,2,FALSE))</f>
        <v>9 out of 10</v>
      </c>
    </row>
    <row r="864" spans="1:12" hidden="1">
      <c r="A864" s="19" t="s">
        <v>2861</v>
      </c>
      <c r="B864" s="19" t="s">
        <v>2233</v>
      </c>
      <c r="C864" s="19" t="s">
        <v>2892</v>
      </c>
      <c r="D864" s="19" t="s">
        <v>2893</v>
      </c>
      <c r="E864" s="19" t="s">
        <v>2894</v>
      </c>
      <c r="F864" s="19" t="e">
        <f>MATCH(E864,#REF!,0)</f>
        <v>#REF!</v>
      </c>
      <c r="G864" s="19" t="s">
        <v>2895</v>
      </c>
      <c r="H864" s="19" t="s">
        <v>56</v>
      </c>
      <c r="I864" s="19"/>
      <c r="J864" s="19" t="s">
        <v>2896</v>
      </c>
      <c r="K864" s="19" t="s">
        <v>20</v>
      </c>
      <c r="L864" s="3" t="str">
        <f>HYPERLINK(VLOOKUP(C864,BAPs!$A$2:$C$1048576,3,FALSE),VLOOKUP(C864,BAPs!$A$2:$C$1048576,2,FALSE))</f>
        <v>7 out of 10</v>
      </c>
    </row>
    <row r="865" spans="1:12" hidden="1">
      <c r="A865" s="19" t="s">
        <v>2861</v>
      </c>
      <c r="B865" s="19" t="s">
        <v>2233</v>
      </c>
      <c r="C865" s="19" t="s">
        <v>2897</v>
      </c>
      <c r="D865" s="19" t="s">
        <v>2898</v>
      </c>
      <c r="E865" s="19" t="s">
        <v>2899</v>
      </c>
      <c r="F865" s="19" t="e">
        <f>MATCH(E865,#REF!,0)</f>
        <v>#REF!</v>
      </c>
      <c r="G865" s="19" t="s">
        <v>2900</v>
      </c>
      <c r="H865" s="19" t="s">
        <v>24</v>
      </c>
      <c r="I865" s="19"/>
      <c r="J865" s="19" t="s">
        <v>2901</v>
      </c>
      <c r="K865" s="19" t="s">
        <v>20</v>
      </c>
      <c r="L865" s="3" t="str">
        <f>HYPERLINK(VLOOKUP(C865,BAPs!$A$2:$C$1048576,3,FALSE),VLOOKUP(C865,BAPs!$A$2:$C$1048576,2,FALSE))</f>
        <v>3 out of 10</v>
      </c>
    </row>
    <row r="866" spans="1:12" hidden="1">
      <c r="A866" s="19" t="s">
        <v>2861</v>
      </c>
      <c r="B866" s="19" t="s">
        <v>2233</v>
      </c>
      <c r="C866" s="19" t="s">
        <v>2897</v>
      </c>
      <c r="D866" s="19" t="s">
        <v>2323</v>
      </c>
      <c r="E866" s="19" t="s">
        <v>2324</v>
      </c>
      <c r="F866" s="19" t="e">
        <f>MATCH(E866,#REF!,0)</f>
        <v>#REF!</v>
      </c>
      <c r="G866" s="19" t="s">
        <v>2325</v>
      </c>
      <c r="H866" s="19" t="s">
        <v>43</v>
      </c>
      <c r="I866" s="19" t="s">
        <v>18</v>
      </c>
      <c r="J866" s="19" t="s">
        <v>2901</v>
      </c>
      <c r="K866" s="19" t="s">
        <v>20</v>
      </c>
      <c r="L866" s="3" t="str">
        <f>HYPERLINK(VLOOKUP(C866,BAPs!$A$2:$C$1048576,3,FALSE),VLOOKUP(C866,BAPs!$A$2:$C$1048576,2,FALSE))</f>
        <v>3 out of 10</v>
      </c>
    </row>
    <row r="867" spans="1:12" hidden="1">
      <c r="A867" s="19" t="s">
        <v>2861</v>
      </c>
      <c r="B867" s="19" t="s">
        <v>2233</v>
      </c>
      <c r="C867" s="19" t="s">
        <v>2897</v>
      </c>
      <c r="D867" s="19" t="s">
        <v>2902</v>
      </c>
      <c r="E867" s="19" t="s">
        <v>2903</v>
      </c>
      <c r="F867" s="19" t="e">
        <f>MATCH(E867,#REF!,0)</f>
        <v>#REF!</v>
      </c>
      <c r="G867" s="19" t="s">
        <v>2904</v>
      </c>
      <c r="H867" s="19" t="s">
        <v>84</v>
      </c>
      <c r="I867" s="19"/>
      <c r="J867" s="19" t="s">
        <v>2901</v>
      </c>
      <c r="K867" s="19" t="s">
        <v>20</v>
      </c>
      <c r="L867" s="3" t="str">
        <f>HYPERLINK(VLOOKUP(C867,BAPs!$A$2:$C$1048576,3,FALSE),VLOOKUP(C867,BAPs!$A$2:$C$1048576,2,FALSE))</f>
        <v>3 out of 10</v>
      </c>
    </row>
    <row r="868" spans="1:12" hidden="1">
      <c r="A868" s="19" t="s">
        <v>2861</v>
      </c>
      <c r="B868" s="19" t="s">
        <v>2233</v>
      </c>
      <c r="C868" s="19" t="s">
        <v>2905</v>
      </c>
      <c r="D868" s="19" t="s">
        <v>2905</v>
      </c>
      <c r="E868" s="19" t="s">
        <v>2906</v>
      </c>
      <c r="F868" s="19" t="e">
        <f>MATCH(E868,#REF!,0)</f>
        <v>#REF!</v>
      </c>
      <c r="G868" s="19" t="s">
        <v>2907</v>
      </c>
      <c r="H868" s="19" t="s">
        <v>17</v>
      </c>
      <c r="I868" s="19" t="s">
        <v>18</v>
      </c>
      <c r="J868" s="19" t="s">
        <v>2908</v>
      </c>
      <c r="K868" s="19" t="s">
        <v>20</v>
      </c>
      <c r="L868" s="3" t="str">
        <f>HYPERLINK(VLOOKUP(C868,BAPs!$A$2:$C$1048576,3,FALSE),VLOOKUP(C868,BAPs!$A$2:$C$1048576,2,FALSE))</f>
        <v>8 out of 10</v>
      </c>
    </row>
    <row r="869" spans="1:12" hidden="1">
      <c r="A869" s="19" t="s">
        <v>2861</v>
      </c>
      <c r="B869" s="19" t="s">
        <v>2233</v>
      </c>
      <c r="C869" s="19" t="s">
        <v>2905</v>
      </c>
      <c r="D869" s="19" t="s">
        <v>2392</v>
      </c>
      <c r="E869" s="19" t="s">
        <v>2393</v>
      </c>
      <c r="F869" s="19" t="e">
        <f>MATCH(E869,#REF!,0)</f>
        <v>#REF!</v>
      </c>
      <c r="G869" s="19" t="s">
        <v>2394</v>
      </c>
      <c r="H869" s="19" t="s">
        <v>43</v>
      </c>
      <c r="I869" s="19"/>
      <c r="J869" s="19" t="s">
        <v>2908</v>
      </c>
      <c r="K869" s="19" t="s">
        <v>20</v>
      </c>
      <c r="L869" s="3" t="str">
        <f>HYPERLINK(VLOOKUP(C869,BAPs!$A$2:$C$1048576,3,FALSE),VLOOKUP(C869,BAPs!$A$2:$C$1048576,2,FALSE))</f>
        <v>8 out of 10</v>
      </c>
    </row>
    <row r="870" spans="1:12" hidden="1">
      <c r="A870" s="19" t="s">
        <v>2861</v>
      </c>
      <c r="B870" s="19" t="s">
        <v>2233</v>
      </c>
      <c r="C870" s="19" t="s">
        <v>2909</v>
      </c>
      <c r="D870" s="19" t="s">
        <v>2392</v>
      </c>
      <c r="E870" s="19" t="s">
        <v>2393</v>
      </c>
      <c r="F870" s="19" t="e">
        <f>MATCH(E870,#REF!,0)</f>
        <v>#REF!</v>
      </c>
      <c r="G870" s="19" t="s">
        <v>2394</v>
      </c>
      <c r="H870" s="19" t="s">
        <v>43</v>
      </c>
      <c r="I870" s="19"/>
      <c r="J870" s="19" t="s">
        <v>2910</v>
      </c>
      <c r="K870" s="19" t="s">
        <v>20</v>
      </c>
      <c r="L870" s="3" t="str">
        <f>HYPERLINK(VLOOKUP(C870,BAPs!$A$2:$C$1048576,3,FALSE),VLOOKUP(C870,BAPs!$A$2:$C$1048576,2,FALSE))</f>
        <v>7 out of 10</v>
      </c>
    </row>
    <row r="871" spans="1:12" hidden="1">
      <c r="A871" s="19" t="s">
        <v>2861</v>
      </c>
      <c r="B871" s="19" t="s">
        <v>2233</v>
      </c>
      <c r="C871" s="19" t="s">
        <v>2909</v>
      </c>
      <c r="D871" s="19" t="s">
        <v>2909</v>
      </c>
      <c r="E871" s="19" t="s">
        <v>2911</v>
      </c>
      <c r="F871" s="19" t="e">
        <f>MATCH(E871,#REF!,0)</f>
        <v>#REF!</v>
      </c>
      <c r="G871" s="19" t="s">
        <v>2912</v>
      </c>
      <c r="H871" s="19" t="s">
        <v>56</v>
      </c>
      <c r="I871" s="19"/>
      <c r="J871" s="19" t="s">
        <v>2910</v>
      </c>
      <c r="K871" s="19" t="s">
        <v>20</v>
      </c>
      <c r="L871" s="3" t="str">
        <f>HYPERLINK(VLOOKUP(C871,BAPs!$A$2:$C$1048576,3,FALSE),VLOOKUP(C871,BAPs!$A$2:$C$1048576,2,FALSE))</f>
        <v>7 out of 10</v>
      </c>
    </row>
    <row r="872" spans="1:12" hidden="1">
      <c r="A872" s="19" t="s">
        <v>2861</v>
      </c>
      <c r="B872" s="19" t="s">
        <v>2233</v>
      </c>
      <c r="C872" s="19" t="s">
        <v>2909</v>
      </c>
      <c r="D872" s="19" t="s">
        <v>2913</v>
      </c>
      <c r="E872" s="19" t="s">
        <v>2914</v>
      </c>
      <c r="F872" s="19" t="e">
        <f>MATCH(E872,#REF!,0)</f>
        <v>#REF!</v>
      </c>
      <c r="G872" s="19" t="s">
        <v>2915</v>
      </c>
      <c r="H872" s="19" t="s">
        <v>52</v>
      </c>
      <c r="I872" s="19"/>
      <c r="J872" s="19" t="s">
        <v>2910</v>
      </c>
      <c r="K872" s="19" t="s">
        <v>20</v>
      </c>
      <c r="L872" s="3" t="str">
        <f>HYPERLINK(VLOOKUP(C872,BAPs!$A$2:$C$1048576,3,FALSE),VLOOKUP(C872,BAPs!$A$2:$C$1048576,2,FALSE))</f>
        <v>7 out of 10</v>
      </c>
    </row>
    <row r="873" spans="1:12" hidden="1">
      <c r="A873" s="19" t="s">
        <v>2861</v>
      </c>
      <c r="B873" s="19" t="s">
        <v>2233</v>
      </c>
      <c r="C873" s="19" t="s">
        <v>2916</v>
      </c>
      <c r="D873" s="19" t="s">
        <v>2917</v>
      </c>
      <c r="E873" s="19" t="s">
        <v>2918</v>
      </c>
      <c r="F873" s="19" t="e">
        <f>MATCH(E873,#REF!,0)</f>
        <v>#REF!</v>
      </c>
      <c r="G873" s="19" t="s">
        <v>2919</v>
      </c>
      <c r="H873" s="19" t="s">
        <v>56</v>
      </c>
      <c r="I873" s="19"/>
      <c r="J873" s="19" t="s">
        <v>2920</v>
      </c>
      <c r="K873" s="19" t="s">
        <v>62</v>
      </c>
      <c r="L873" s="3" t="str">
        <f>HYPERLINK(VLOOKUP(C873,BAPs!$A$2:$C$1048576,3,FALSE),VLOOKUP(C873,BAPs!$A$2:$C$1048576,2,FALSE))</f>
        <v>9 out of 10</v>
      </c>
    </row>
    <row r="874" spans="1:12">
      <c r="A874" s="19" t="s">
        <v>2861</v>
      </c>
      <c r="B874" s="19" t="s">
        <v>2233</v>
      </c>
      <c r="C874" s="19" t="s">
        <v>2921</v>
      </c>
      <c r="D874" s="19" t="s">
        <v>2922</v>
      </c>
      <c r="E874" s="19" t="s">
        <v>2923</v>
      </c>
      <c r="F874" s="19" t="e">
        <f>MATCH(E874,#REF!,0)</f>
        <v>#REF!</v>
      </c>
      <c r="G874" s="19" t="s">
        <v>2924</v>
      </c>
      <c r="H874" s="19" t="s">
        <v>84</v>
      </c>
      <c r="I874" s="19"/>
      <c r="J874" s="19" t="s">
        <v>2925</v>
      </c>
      <c r="K874" s="19" t="s">
        <v>62</v>
      </c>
      <c r="L874" s="3" t="str">
        <f>HYPERLINK(VLOOKUP(C874,BAPs!$A$2:$C$1048576,3,FALSE),VLOOKUP(C874,BAPs!$A$2:$C$1048576,2,FALSE))</f>
        <v>9 out of 10</v>
      </c>
    </row>
    <row r="875" spans="1:12" hidden="1">
      <c r="A875" s="19" t="s">
        <v>2926</v>
      </c>
      <c r="B875" s="19" t="s">
        <v>2233</v>
      </c>
      <c r="C875" s="19" t="s">
        <v>2927</v>
      </c>
      <c r="D875" s="19" t="s">
        <v>2928</v>
      </c>
      <c r="E875" s="19" t="s">
        <v>2929</v>
      </c>
      <c r="F875" s="19" t="e">
        <f>MATCH(E875,#REF!,0)</f>
        <v>#REF!</v>
      </c>
      <c r="G875" s="19" t="s">
        <v>2930</v>
      </c>
      <c r="H875" s="19" t="s">
        <v>84</v>
      </c>
      <c r="I875" s="19"/>
      <c r="J875" s="19" t="s">
        <v>2931</v>
      </c>
      <c r="K875" s="19" t="s">
        <v>20</v>
      </c>
      <c r="L875" s="3" t="str">
        <f>HYPERLINK(VLOOKUP(C875,BAPs!$A$2:$C$1048576,3,FALSE),VLOOKUP(C875,BAPs!$A$2:$C$1048576,2,FALSE))</f>
        <v>8 out of 10</v>
      </c>
    </row>
    <row r="876" spans="1:12" hidden="1">
      <c r="A876" s="19" t="s">
        <v>2926</v>
      </c>
      <c r="B876" s="19" t="s">
        <v>2233</v>
      </c>
      <c r="C876" s="19" t="s">
        <v>2927</v>
      </c>
      <c r="D876" s="19" t="s">
        <v>2772</v>
      </c>
      <c r="E876" s="19" t="s">
        <v>2773</v>
      </c>
      <c r="F876" s="19" t="e">
        <f>MATCH(E876,#REF!,0)</f>
        <v>#REF!</v>
      </c>
      <c r="G876" s="19" t="s">
        <v>2774</v>
      </c>
      <c r="H876" s="19" t="s">
        <v>24</v>
      </c>
      <c r="I876" s="19" t="s">
        <v>18</v>
      </c>
      <c r="J876" s="19" t="s">
        <v>2931</v>
      </c>
      <c r="K876" s="19" t="s">
        <v>20</v>
      </c>
      <c r="L876" s="3" t="str">
        <f>HYPERLINK(VLOOKUP(C876,BAPs!$A$2:$C$1048576,3,FALSE),VLOOKUP(C876,BAPs!$A$2:$C$1048576,2,FALSE))</f>
        <v>8 out of 10</v>
      </c>
    </row>
    <row r="877" spans="1:12" hidden="1">
      <c r="A877" s="19" t="s">
        <v>2926</v>
      </c>
      <c r="B877" s="19" t="s">
        <v>2233</v>
      </c>
      <c r="C877" s="19" t="s">
        <v>2932</v>
      </c>
      <c r="D877" s="19" t="s">
        <v>2932</v>
      </c>
      <c r="E877" s="19" t="s">
        <v>2933</v>
      </c>
      <c r="F877" s="19" t="e">
        <f>MATCH(E877,#REF!,0)</f>
        <v>#REF!</v>
      </c>
      <c r="G877" s="19" t="s">
        <v>2934</v>
      </c>
      <c r="H877" s="19" t="s">
        <v>17</v>
      </c>
      <c r="I877" s="19" t="s">
        <v>18</v>
      </c>
      <c r="J877" s="19" t="s">
        <v>2935</v>
      </c>
      <c r="K877" s="19" t="s">
        <v>20</v>
      </c>
      <c r="L877" s="3" t="str">
        <f>HYPERLINK(VLOOKUP(C877,BAPs!$A$2:$C$1048576,3,FALSE),VLOOKUP(C877,BAPs!$A$2:$C$1048576,2,FALSE))</f>
        <v>4 out of 10</v>
      </c>
    </row>
    <row r="878" spans="1:12" hidden="1">
      <c r="A878" s="19" t="s">
        <v>2926</v>
      </c>
      <c r="B878" s="19" t="s">
        <v>2233</v>
      </c>
      <c r="C878" s="19" t="s">
        <v>2932</v>
      </c>
      <c r="D878" s="19" t="s">
        <v>2323</v>
      </c>
      <c r="E878" s="19" t="s">
        <v>2324</v>
      </c>
      <c r="F878" s="19" t="e">
        <f>MATCH(E878,#REF!,0)</f>
        <v>#REF!</v>
      </c>
      <c r="G878" s="19" t="s">
        <v>2325</v>
      </c>
      <c r="H878" s="19" t="s">
        <v>43</v>
      </c>
      <c r="I878" s="19" t="s">
        <v>18</v>
      </c>
      <c r="J878" s="19" t="s">
        <v>2935</v>
      </c>
      <c r="K878" s="19" t="s">
        <v>20</v>
      </c>
      <c r="L878" s="3" t="str">
        <f>HYPERLINK(VLOOKUP(C878,BAPs!$A$2:$C$1048576,3,FALSE),VLOOKUP(C878,BAPs!$A$2:$C$1048576,2,FALSE))</f>
        <v>4 out of 10</v>
      </c>
    </row>
    <row r="879" spans="1:12" hidden="1">
      <c r="A879" s="19" t="s">
        <v>2926</v>
      </c>
      <c r="B879" s="19" t="s">
        <v>2233</v>
      </c>
      <c r="C879" s="19" t="s">
        <v>2932</v>
      </c>
      <c r="D879" s="19" t="s">
        <v>2936</v>
      </c>
      <c r="E879" s="19" t="s">
        <v>2937</v>
      </c>
      <c r="F879" s="19" t="e">
        <f>MATCH(E879,#REF!,0)</f>
        <v>#REF!</v>
      </c>
      <c r="G879" s="19" t="s">
        <v>2938</v>
      </c>
      <c r="H879" s="19" t="s">
        <v>24</v>
      </c>
      <c r="I879" s="19"/>
      <c r="J879" s="19" t="s">
        <v>2935</v>
      </c>
      <c r="K879" s="19" t="s">
        <v>20</v>
      </c>
      <c r="L879" s="3" t="str">
        <f>HYPERLINK(VLOOKUP(C879,BAPs!$A$2:$C$1048576,3,FALSE),VLOOKUP(C879,BAPs!$A$2:$C$1048576,2,FALSE))</f>
        <v>4 out of 10</v>
      </c>
    </row>
    <row r="880" spans="1:12" hidden="1">
      <c r="A880" s="19" t="s">
        <v>2926</v>
      </c>
      <c r="B880" s="19" t="s">
        <v>2233</v>
      </c>
      <c r="C880" s="19" t="s">
        <v>2939</v>
      </c>
      <c r="D880" s="19" t="s">
        <v>2939</v>
      </c>
      <c r="E880" s="19" t="s">
        <v>2940</v>
      </c>
      <c r="F880" s="19" t="e">
        <f>MATCH(E880,#REF!,0)</f>
        <v>#REF!</v>
      </c>
      <c r="G880" s="19" t="s">
        <v>2941</v>
      </c>
      <c r="H880" s="19" t="s">
        <v>17</v>
      </c>
      <c r="I880" s="19" t="s">
        <v>18</v>
      </c>
      <c r="J880" s="19" t="s">
        <v>2942</v>
      </c>
      <c r="K880" s="19" t="s">
        <v>20</v>
      </c>
      <c r="L880" s="3" t="str">
        <f>HYPERLINK(VLOOKUP(C880,BAPs!$A$2:$C$1048576,3,FALSE),VLOOKUP(C880,BAPs!$A$2:$C$1048576,2,FALSE))</f>
        <v>3 out of 10</v>
      </c>
    </row>
    <row r="881" spans="1:12" hidden="1">
      <c r="A881" s="19" t="s">
        <v>2926</v>
      </c>
      <c r="B881" s="19" t="s">
        <v>2233</v>
      </c>
      <c r="C881" s="19" t="s">
        <v>2943</v>
      </c>
      <c r="D881" s="19" t="s">
        <v>2943</v>
      </c>
      <c r="E881" s="19" t="s">
        <v>2944</v>
      </c>
      <c r="F881" s="19" t="e">
        <f>MATCH(E881,#REF!,0)</f>
        <v>#REF!</v>
      </c>
      <c r="G881" s="19" t="s">
        <v>2945</v>
      </c>
      <c r="H881" s="19" t="s">
        <v>84</v>
      </c>
      <c r="I881" s="19"/>
      <c r="J881" s="19" t="s">
        <v>2946</v>
      </c>
      <c r="K881" s="19" t="s">
        <v>20</v>
      </c>
      <c r="L881" s="3" t="str">
        <f>HYPERLINK(VLOOKUP(C881,BAPs!$A$2:$C$1048576,3,FALSE),VLOOKUP(C881,BAPs!$A$2:$C$1048576,2,FALSE))</f>
        <v>8 out of 10</v>
      </c>
    </row>
    <row r="882" spans="1:12" hidden="1">
      <c r="A882" s="19" t="s">
        <v>2926</v>
      </c>
      <c r="B882" s="19" t="s">
        <v>2233</v>
      </c>
      <c r="C882" s="19" t="s">
        <v>2947</v>
      </c>
      <c r="D882" s="19" t="s">
        <v>2947</v>
      </c>
      <c r="E882" s="19" t="s">
        <v>2948</v>
      </c>
      <c r="F882" s="19" t="e">
        <f>MATCH(E882,#REF!,0)</f>
        <v>#REF!</v>
      </c>
      <c r="G882" s="19" t="s">
        <v>2949</v>
      </c>
      <c r="H882" s="19" t="s">
        <v>17</v>
      </c>
      <c r="I882" s="19" t="s">
        <v>18</v>
      </c>
      <c r="J882" s="19" t="s">
        <v>2950</v>
      </c>
      <c r="K882" s="19" t="s">
        <v>62</v>
      </c>
      <c r="L882" s="3" t="str">
        <f>HYPERLINK(VLOOKUP(C882,BAPs!$A$2:$C$1048576,3,FALSE),VLOOKUP(C882,BAPs!$A$2:$C$1048576,2,FALSE))</f>
        <v>9 out of 10</v>
      </c>
    </row>
    <row r="883" spans="1:12" hidden="1">
      <c r="A883" s="19" t="s">
        <v>2926</v>
      </c>
      <c r="B883" s="19" t="s">
        <v>2233</v>
      </c>
      <c r="C883" s="19" t="s">
        <v>2947</v>
      </c>
      <c r="D883" s="19" t="s">
        <v>2951</v>
      </c>
      <c r="E883" s="19" t="s">
        <v>2952</v>
      </c>
      <c r="F883" s="19" t="e">
        <f>MATCH(E883,#REF!,0)</f>
        <v>#REF!</v>
      </c>
      <c r="G883" s="19" t="s">
        <v>2953</v>
      </c>
      <c r="H883" s="19" t="s">
        <v>84</v>
      </c>
      <c r="I883" s="19"/>
      <c r="J883" s="19" t="s">
        <v>2950</v>
      </c>
      <c r="K883" s="19" t="s">
        <v>62</v>
      </c>
      <c r="L883" s="3" t="str">
        <f>HYPERLINK(VLOOKUP(C883,BAPs!$A$2:$C$1048576,3,FALSE),VLOOKUP(C883,BAPs!$A$2:$C$1048576,2,FALSE))</f>
        <v>9 out of 10</v>
      </c>
    </row>
    <row r="884" spans="1:12" hidden="1">
      <c r="A884" s="19" t="s">
        <v>2926</v>
      </c>
      <c r="B884" s="19" t="s">
        <v>2233</v>
      </c>
      <c r="C884" s="19" t="s">
        <v>2947</v>
      </c>
      <c r="D884" s="19" t="s">
        <v>2954</v>
      </c>
      <c r="E884" s="19" t="s">
        <v>2955</v>
      </c>
      <c r="F884" s="19" t="e">
        <f>MATCH(E884,#REF!,0)</f>
        <v>#REF!</v>
      </c>
      <c r="G884" s="19" t="s">
        <v>2956</v>
      </c>
      <c r="H884" s="19" t="s">
        <v>52</v>
      </c>
      <c r="I884" s="19"/>
      <c r="J884" s="19" t="s">
        <v>2950</v>
      </c>
      <c r="K884" s="19" t="s">
        <v>62</v>
      </c>
      <c r="L884" s="3" t="str">
        <f>HYPERLINK(VLOOKUP(C884,BAPs!$A$2:$C$1048576,3,FALSE),VLOOKUP(C884,BAPs!$A$2:$C$1048576,2,FALSE))</f>
        <v>9 out of 10</v>
      </c>
    </row>
    <row r="885" spans="1:12" hidden="1">
      <c r="A885" s="19" t="s">
        <v>2926</v>
      </c>
      <c r="B885" s="19" t="s">
        <v>2233</v>
      </c>
      <c r="C885" s="19" t="s">
        <v>2957</v>
      </c>
      <c r="D885" s="19" t="s">
        <v>2957</v>
      </c>
      <c r="E885" s="19" t="s">
        <v>2958</v>
      </c>
      <c r="F885" s="19" t="e">
        <f>MATCH(E885,#REF!,0)</f>
        <v>#REF!</v>
      </c>
      <c r="G885" s="19" t="s">
        <v>2959</v>
      </c>
      <c r="H885" s="19" t="s">
        <v>17</v>
      </c>
      <c r="I885" s="19" t="s">
        <v>18</v>
      </c>
      <c r="J885" s="19" t="s">
        <v>2960</v>
      </c>
      <c r="K885" s="19" t="s">
        <v>20</v>
      </c>
      <c r="L885" s="3" t="str">
        <f>HYPERLINK(VLOOKUP(C885,BAPs!$A$2:$C$1048576,3,FALSE),VLOOKUP(C885,BAPs!$A$2:$C$1048576,2,FALSE))</f>
        <v>7 out of 10</v>
      </c>
    </row>
    <row r="886" spans="1:12" hidden="1">
      <c r="A886" s="19" t="s">
        <v>2926</v>
      </c>
      <c r="B886" s="19" t="s">
        <v>2233</v>
      </c>
      <c r="C886" s="19" t="s">
        <v>2957</v>
      </c>
      <c r="D886" s="19" t="s">
        <v>2961</v>
      </c>
      <c r="E886" s="19" t="s">
        <v>2962</v>
      </c>
      <c r="F886" s="19" t="e">
        <f>MATCH(E886,#REF!,0)</f>
        <v>#REF!</v>
      </c>
      <c r="G886" s="19" t="s">
        <v>2963</v>
      </c>
      <c r="H886" s="19" t="s">
        <v>84</v>
      </c>
      <c r="I886" s="19"/>
      <c r="J886" s="19" t="s">
        <v>2960</v>
      </c>
      <c r="K886" s="19" t="s">
        <v>20</v>
      </c>
      <c r="L886" s="3" t="str">
        <f>HYPERLINK(VLOOKUP(C886,BAPs!$A$2:$C$1048576,3,FALSE),VLOOKUP(C886,BAPs!$A$2:$C$1048576,2,FALSE))</f>
        <v>7 out of 10</v>
      </c>
    </row>
    <row r="887" spans="1:12" hidden="1">
      <c r="A887" s="19" t="s">
        <v>2926</v>
      </c>
      <c r="B887" s="19" t="s">
        <v>2233</v>
      </c>
      <c r="C887" s="19" t="s">
        <v>2957</v>
      </c>
      <c r="D887" s="19" t="s">
        <v>2964</v>
      </c>
      <c r="E887" s="19" t="s">
        <v>2965</v>
      </c>
      <c r="F887" s="19" t="e">
        <f>MATCH(E887,#REF!,0)</f>
        <v>#REF!</v>
      </c>
      <c r="G887" s="19" t="s">
        <v>2966</v>
      </c>
      <c r="H887" s="19" t="s">
        <v>43</v>
      </c>
      <c r="I887" s="19"/>
      <c r="J887" s="19" t="s">
        <v>2960</v>
      </c>
      <c r="K887" s="19" t="s">
        <v>20</v>
      </c>
      <c r="L887" s="3" t="str">
        <f>HYPERLINK(VLOOKUP(C887,BAPs!$A$2:$C$1048576,3,FALSE),VLOOKUP(C887,BAPs!$A$2:$C$1048576,2,FALSE))</f>
        <v>7 out of 10</v>
      </c>
    </row>
    <row r="888" spans="1:12" hidden="1">
      <c r="A888" s="19" t="s">
        <v>2926</v>
      </c>
      <c r="B888" s="19" t="s">
        <v>2233</v>
      </c>
      <c r="C888" s="19" t="s">
        <v>2967</v>
      </c>
      <c r="D888" s="19" t="s">
        <v>2967</v>
      </c>
      <c r="E888" s="19" t="s">
        <v>2968</v>
      </c>
      <c r="F888" s="19" t="e">
        <f>MATCH(E888,#REF!,0)</f>
        <v>#REF!</v>
      </c>
      <c r="G888" s="19" t="s">
        <v>2969</v>
      </c>
      <c r="H888" s="19" t="s">
        <v>17</v>
      </c>
      <c r="I888" s="19" t="s">
        <v>18</v>
      </c>
      <c r="J888" s="19" t="s">
        <v>2970</v>
      </c>
      <c r="K888" s="19" t="s">
        <v>20</v>
      </c>
      <c r="L888" s="3" t="str">
        <f>HYPERLINK(VLOOKUP(C888,BAPs!$A$2:$C$1048576,3,FALSE),VLOOKUP(C888,BAPs!$A$2:$C$1048576,2,FALSE))</f>
        <v>3 out of 10</v>
      </c>
    </row>
    <row r="889" spans="1:12" hidden="1">
      <c r="A889" s="19" t="s">
        <v>2926</v>
      </c>
      <c r="B889" s="19" t="s">
        <v>2233</v>
      </c>
      <c r="C889" s="19" t="s">
        <v>2967</v>
      </c>
      <c r="D889" s="19" t="s">
        <v>2971</v>
      </c>
      <c r="E889" s="19" t="s">
        <v>2972</v>
      </c>
      <c r="F889" s="19" t="e">
        <f>MATCH(E889,#REF!,0)</f>
        <v>#REF!</v>
      </c>
      <c r="G889" s="19" t="s">
        <v>2973</v>
      </c>
      <c r="H889" s="19" t="s">
        <v>24</v>
      </c>
      <c r="I889" s="19"/>
      <c r="J889" s="19" t="s">
        <v>2970</v>
      </c>
      <c r="K889" s="19" t="s">
        <v>20</v>
      </c>
      <c r="L889" s="3" t="str">
        <f>HYPERLINK(VLOOKUP(C889,BAPs!$A$2:$C$1048576,3,FALSE),VLOOKUP(C889,BAPs!$A$2:$C$1048576,2,FALSE))</f>
        <v>3 out of 10</v>
      </c>
    </row>
    <row r="890" spans="1:12" hidden="1">
      <c r="A890" s="19" t="s">
        <v>2926</v>
      </c>
      <c r="B890" s="19" t="s">
        <v>2233</v>
      </c>
      <c r="C890" s="19" t="s">
        <v>2974</v>
      </c>
      <c r="D890" s="19" t="s">
        <v>2975</v>
      </c>
      <c r="E890" s="19" t="s">
        <v>2976</v>
      </c>
      <c r="F890" s="19" t="e">
        <f>MATCH(E890,#REF!,0)</f>
        <v>#REF!</v>
      </c>
      <c r="G890" s="19" t="s">
        <v>2977</v>
      </c>
      <c r="H890" s="19" t="s">
        <v>43</v>
      </c>
      <c r="I890" s="19"/>
      <c r="J890" s="19" t="s">
        <v>2978</v>
      </c>
      <c r="K890" s="19" t="s">
        <v>62</v>
      </c>
      <c r="L890" s="3" t="str">
        <f>HYPERLINK(VLOOKUP(C890,BAPs!$A$2:$C$1048576,3,FALSE),VLOOKUP(C890,BAPs!$A$2:$C$1048576,2,FALSE))</f>
        <v>9 out of 10</v>
      </c>
    </row>
    <row r="891" spans="1:12" hidden="1">
      <c r="A891" s="19" t="s">
        <v>2926</v>
      </c>
      <c r="B891" s="19" t="s">
        <v>2233</v>
      </c>
      <c r="C891" s="19" t="s">
        <v>2974</v>
      </c>
      <c r="D891" s="19" t="s">
        <v>2979</v>
      </c>
      <c r="E891" s="19" t="s">
        <v>2980</v>
      </c>
      <c r="F891" s="19" t="e">
        <f>MATCH(E891,#REF!,0)</f>
        <v>#REF!</v>
      </c>
      <c r="G891" s="19" t="s">
        <v>2981</v>
      </c>
      <c r="H891" s="19" t="s">
        <v>52</v>
      </c>
      <c r="I891" s="19"/>
      <c r="J891" s="19" t="s">
        <v>2978</v>
      </c>
      <c r="K891" s="19" t="s">
        <v>62</v>
      </c>
      <c r="L891" s="3" t="str">
        <f>HYPERLINK(VLOOKUP(C891,BAPs!$A$2:$C$1048576,3,FALSE),VLOOKUP(C891,BAPs!$A$2:$C$1048576,2,FALSE))</f>
        <v>9 out of 10</v>
      </c>
    </row>
    <row r="892" spans="1:12" hidden="1">
      <c r="A892" s="19" t="s">
        <v>2926</v>
      </c>
      <c r="B892" s="19" t="s">
        <v>2233</v>
      </c>
      <c r="C892" s="19" t="s">
        <v>2974</v>
      </c>
      <c r="D892" s="19" t="s">
        <v>2964</v>
      </c>
      <c r="E892" s="19" t="s">
        <v>2965</v>
      </c>
      <c r="F892" s="19" t="e">
        <f>MATCH(E892,#REF!,0)</f>
        <v>#REF!</v>
      </c>
      <c r="G892" s="19" t="s">
        <v>2966</v>
      </c>
      <c r="H892" s="19" t="s">
        <v>43</v>
      </c>
      <c r="I892" s="19"/>
      <c r="J892" s="19" t="s">
        <v>2978</v>
      </c>
      <c r="K892" s="19" t="s">
        <v>62</v>
      </c>
      <c r="L892" s="3" t="str">
        <f>HYPERLINK(VLOOKUP(C892,BAPs!$A$2:$C$1048576,3,FALSE),VLOOKUP(C892,BAPs!$A$2:$C$1048576,2,FALSE))</f>
        <v>9 out of 10</v>
      </c>
    </row>
    <row r="893" spans="1:12" hidden="1">
      <c r="A893" s="19" t="s">
        <v>2926</v>
      </c>
      <c r="B893" s="19" t="s">
        <v>2233</v>
      </c>
      <c r="C893" s="19" t="s">
        <v>2982</v>
      </c>
      <c r="D893" s="19" t="s">
        <v>2982</v>
      </c>
      <c r="E893" s="19" t="s">
        <v>2983</v>
      </c>
      <c r="F893" s="19" t="e">
        <f>MATCH(E893,#REF!,0)</f>
        <v>#REF!</v>
      </c>
      <c r="G893" s="19" t="s">
        <v>2984</v>
      </c>
      <c r="H893" s="19" t="s">
        <v>17</v>
      </c>
      <c r="I893" s="19" t="s">
        <v>18</v>
      </c>
      <c r="J893" s="19" t="s">
        <v>2985</v>
      </c>
      <c r="K893" s="19" t="s">
        <v>62</v>
      </c>
      <c r="L893" s="3" t="str">
        <f>HYPERLINK(VLOOKUP(C893,BAPs!$A$2:$C$1048576,3,FALSE),VLOOKUP(C893,BAPs!$A$2:$C$1048576,2,FALSE))</f>
        <v>9 out of 10</v>
      </c>
    </row>
    <row r="894" spans="1:12" hidden="1">
      <c r="A894" s="19" t="s">
        <v>2926</v>
      </c>
      <c r="B894" s="19" t="s">
        <v>2233</v>
      </c>
      <c r="C894" s="19" t="s">
        <v>2982</v>
      </c>
      <c r="D894" s="19" t="s">
        <v>2772</v>
      </c>
      <c r="E894" s="19" t="s">
        <v>2773</v>
      </c>
      <c r="F894" s="19" t="e">
        <f>MATCH(E894,#REF!,0)</f>
        <v>#REF!</v>
      </c>
      <c r="G894" s="19" t="s">
        <v>2774</v>
      </c>
      <c r="H894" s="19" t="s">
        <v>24</v>
      </c>
      <c r="I894" s="19" t="s">
        <v>18</v>
      </c>
      <c r="J894" s="19" t="s">
        <v>2985</v>
      </c>
      <c r="K894" s="19" t="s">
        <v>62</v>
      </c>
      <c r="L894" s="3" t="str">
        <f>HYPERLINK(VLOOKUP(C894,BAPs!$A$2:$C$1048576,3,FALSE),VLOOKUP(C894,BAPs!$A$2:$C$1048576,2,FALSE))</f>
        <v>9 out of 10</v>
      </c>
    </row>
    <row r="895" spans="1:12" hidden="1">
      <c r="A895" s="19" t="s">
        <v>2926</v>
      </c>
      <c r="B895" s="19" t="s">
        <v>2233</v>
      </c>
      <c r="C895" s="19" t="s">
        <v>2986</v>
      </c>
      <c r="D895" s="19" t="s">
        <v>2987</v>
      </c>
      <c r="E895" s="19" t="s">
        <v>2988</v>
      </c>
      <c r="F895" s="19" t="e">
        <f>MATCH(E895,#REF!,0)</f>
        <v>#REF!</v>
      </c>
      <c r="G895" s="19" t="s">
        <v>2989</v>
      </c>
      <c r="H895" s="19" t="s">
        <v>17</v>
      </c>
      <c r="I895" s="19"/>
      <c r="J895" s="19" t="s">
        <v>2990</v>
      </c>
      <c r="K895" s="19" t="s">
        <v>20</v>
      </c>
      <c r="L895" s="3" t="str">
        <f>HYPERLINK(VLOOKUP(C895,BAPs!$A$2:$C$1048576,3,FALSE),VLOOKUP(C895,BAPs!$A$2:$C$1048576,2,FALSE))</f>
        <v>1 out of 10</v>
      </c>
    </row>
    <row r="896" spans="1:12" hidden="1">
      <c r="A896" s="19" t="s">
        <v>2926</v>
      </c>
      <c r="B896" s="19" t="s">
        <v>2233</v>
      </c>
      <c r="C896" s="19" t="s">
        <v>2606</v>
      </c>
      <c r="D896" s="19" t="s">
        <v>2991</v>
      </c>
      <c r="E896" s="19" t="s">
        <v>2992</v>
      </c>
      <c r="F896" s="19" t="e">
        <f>MATCH(E896,#REF!,0)</f>
        <v>#REF!</v>
      </c>
      <c r="G896" s="19" t="s">
        <v>2993</v>
      </c>
      <c r="H896" s="19" t="s">
        <v>56</v>
      </c>
      <c r="I896" s="19"/>
      <c r="J896" s="19" t="s">
        <v>2994</v>
      </c>
      <c r="K896" s="19" t="s">
        <v>62</v>
      </c>
      <c r="L896" s="3" t="str">
        <f>HYPERLINK(VLOOKUP(C896,BAPs!$A$2:$C$1048576,3,FALSE),VLOOKUP(C896,BAPs!$A$2:$C$1048576,2,FALSE))</f>
        <v>9 out of 10</v>
      </c>
    </row>
    <row r="897" spans="1:12" hidden="1">
      <c r="A897" s="19" t="s">
        <v>2926</v>
      </c>
      <c r="B897" s="19" t="s">
        <v>2233</v>
      </c>
      <c r="C897" s="19" t="s">
        <v>2606</v>
      </c>
      <c r="D897" s="19" t="s">
        <v>2995</v>
      </c>
      <c r="E897" s="19" t="s">
        <v>2996</v>
      </c>
      <c r="F897" s="19" t="e">
        <f>MATCH(E897,#REF!,0)</f>
        <v>#REF!</v>
      </c>
      <c r="G897" s="19" t="s">
        <v>2997</v>
      </c>
      <c r="H897" s="19" t="s">
        <v>43</v>
      </c>
      <c r="I897" s="19"/>
      <c r="J897" s="19" t="s">
        <v>2994</v>
      </c>
      <c r="K897" s="19" t="s">
        <v>62</v>
      </c>
      <c r="L897" s="3" t="str">
        <f>HYPERLINK(VLOOKUP(C897,BAPs!$A$2:$C$1048576,3,FALSE),VLOOKUP(C897,BAPs!$A$2:$C$1048576,2,FALSE))</f>
        <v>9 out of 10</v>
      </c>
    </row>
    <row r="898" spans="1:12" hidden="1">
      <c r="A898" s="19" t="s">
        <v>2926</v>
      </c>
      <c r="B898" s="19" t="s">
        <v>2233</v>
      </c>
      <c r="C898" s="19" t="s">
        <v>2998</v>
      </c>
      <c r="D898" s="19" t="s">
        <v>2999</v>
      </c>
      <c r="E898" s="19" t="s">
        <v>3000</v>
      </c>
      <c r="F898" s="19" t="e">
        <f>MATCH(E898,#REF!,0)</f>
        <v>#REF!</v>
      </c>
      <c r="G898" s="19" t="s">
        <v>3001</v>
      </c>
      <c r="H898" s="19" t="s">
        <v>43</v>
      </c>
      <c r="I898" s="19"/>
      <c r="J898" s="19" t="s">
        <v>3002</v>
      </c>
      <c r="K898" s="19" t="s">
        <v>62</v>
      </c>
      <c r="L898" s="3" t="str">
        <f>HYPERLINK(VLOOKUP(C898,BAPs!$A$2:$C$1048576,3,FALSE),VLOOKUP(C898,BAPs!$A$2:$C$1048576,2,FALSE))</f>
        <v>10 out of 10</v>
      </c>
    </row>
    <row r="899" spans="1:12" hidden="1">
      <c r="A899" s="19" t="s">
        <v>2926</v>
      </c>
      <c r="B899" s="19" t="s">
        <v>2233</v>
      </c>
      <c r="C899" s="19" t="s">
        <v>3003</v>
      </c>
      <c r="D899" s="19" t="s">
        <v>3004</v>
      </c>
      <c r="E899" s="19" t="s">
        <v>3005</v>
      </c>
      <c r="F899" s="19" t="e">
        <f>MATCH(E899,#REF!,0)</f>
        <v>#REF!</v>
      </c>
      <c r="G899" s="19" t="s">
        <v>3006</v>
      </c>
      <c r="H899" s="19" t="s">
        <v>56</v>
      </c>
      <c r="I899" s="19"/>
      <c r="J899" s="19" t="s">
        <v>3007</v>
      </c>
      <c r="K899" s="19" t="s">
        <v>20</v>
      </c>
      <c r="L899" s="3" t="str">
        <f>HYPERLINK(VLOOKUP(C899,BAPs!$A$2:$C$1048576,3,FALSE),VLOOKUP(C899,BAPs!$A$2:$C$1048576,2,FALSE))</f>
        <v>1 out of 10</v>
      </c>
    </row>
    <row r="900" spans="1:12" hidden="1">
      <c r="A900" s="19" t="s">
        <v>2926</v>
      </c>
      <c r="B900" s="19" t="s">
        <v>2233</v>
      </c>
      <c r="C900" s="19" t="s">
        <v>3008</v>
      </c>
      <c r="D900" s="19" t="s">
        <v>3009</v>
      </c>
      <c r="E900" s="19" t="s">
        <v>3010</v>
      </c>
      <c r="F900" s="19" t="e">
        <f>MATCH(E900,#REF!,0)</f>
        <v>#REF!</v>
      </c>
      <c r="G900" s="19" t="s">
        <v>3011</v>
      </c>
      <c r="H900" s="19" t="s">
        <v>84</v>
      </c>
      <c r="I900" s="19"/>
      <c r="J900" s="19" t="s">
        <v>3012</v>
      </c>
      <c r="K900" s="19" t="s">
        <v>62</v>
      </c>
      <c r="L900" s="3" t="str">
        <f>HYPERLINK(VLOOKUP(C900,BAPs!$A$2:$C$1048576,3,FALSE),VLOOKUP(C900,BAPs!$A$2:$C$1048576,2,FALSE))</f>
        <v>10 out of 10</v>
      </c>
    </row>
    <row r="901" spans="1:12" hidden="1">
      <c r="A901" s="19" t="s">
        <v>3013</v>
      </c>
      <c r="B901" s="19" t="s">
        <v>2233</v>
      </c>
      <c r="C901" s="19" t="s">
        <v>3014</v>
      </c>
      <c r="D901" s="19" t="s">
        <v>3014</v>
      </c>
      <c r="E901" s="19" t="s">
        <v>3015</v>
      </c>
      <c r="F901" s="19" t="e">
        <f>MATCH(E901,#REF!,0)</f>
        <v>#REF!</v>
      </c>
      <c r="G901" s="19" t="s">
        <v>3016</v>
      </c>
      <c r="H901" s="19" t="s">
        <v>17</v>
      </c>
      <c r="I901" s="19" t="s">
        <v>18</v>
      </c>
      <c r="J901" s="19" t="s">
        <v>3017</v>
      </c>
      <c r="K901" s="19" t="s">
        <v>62</v>
      </c>
      <c r="L901" s="3" t="str">
        <f>HYPERLINK(VLOOKUP(C901,BAPs!$A$2:$C$1048576,3,FALSE),VLOOKUP(C901,BAPs!$A$2:$C$1048576,2,FALSE))</f>
        <v>10 out of 10</v>
      </c>
    </row>
    <row r="902" spans="1:12" hidden="1">
      <c r="A902" s="19" t="s">
        <v>3013</v>
      </c>
      <c r="B902" s="19" t="s">
        <v>2233</v>
      </c>
      <c r="C902" s="19" t="s">
        <v>3018</v>
      </c>
      <c r="D902" s="19" t="s">
        <v>3018</v>
      </c>
      <c r="E902" s="19" t="s">
        <v>3019</v>
      </c>
      <c r="F902" s="19" t="e">
        <f>MATCH(E902,#REF!,0)</f>
        <v>#REF!</v>
      </c>
      <c r="G902" s="19" t="s">
        <v>3020</v>
      </c>
      <c r="H902" s="19" t="s">
        <v>17</v>
      </c>
      <c r="I902" s="19" t="s">
        <v>18</v>
      </c>
      <c r="J902" s="19" t="s">
        <v>3021</v>
      </c>
      <c r="K902" s="19" t="s">
        <v>62</v>
      </c>
      <c r="L902" s="3" t="str">
        <f>HYPERLINK(VLOOKUP(C902,BAPs!$A$2:$C$1048576,3,FALSE),VLOOKUP(C902,BAPs!$A$2:$C$1048576,2,FALSE))</f>
        <v>10 out of 10</v>
      </c>
    </row>
    <row r="903" spans="1:12" hidden="1">
      <c r="A903" s="19" t="s">
        <v>3013</v>
      </c>
      <c r="B903" s="19" t="s">
        <v>2233</v>
      </c>
      <c r="C903" s="19" t="s">
        <v>3022</v>
      </c>
      <c r="D903" s="19" t="s">
        <v>3022</v>
      </c>
      <c r="E903" s="19" t="s">
        <v>3023</v>
      </c>
      <c r="F903" s="19" t="e">
        <f>MATCH(E903,#REF!,0)</f>
        <v>#REF!</v>
      </c>
      <c r="G903" s="19" t="s">
        <v>3024</v>
      </c>
      <c r="H903" s="19" t="s">
        <v>17</v>
      </c>
      <c r="I903" s="19" t="s">
        <v>18</v>
      </c>
      <c r="J903" s="19" t="s">
        <v>3025</v>
      </c>
      <c r="K903" s="19" t="s">
        <v>62</v>
      </c>
      <c r="L903" s="3" t="str">
        <f>HYPERLINK(VLOOKUP(C903,BAPs!$A$2:$C$1048576,3,FALSE),VLOOKUP(C903,BAPs!$A$2:$C$1048576,2,FALSE))</f>
        <v>10 out of 10</v>
      </c>
    </row>
    <row r="904" spans="1:12" hidden="1">
      <c r="A904" s="19" t="s">
        <v>3013</v>
      </c>
      <c r="B904" s="19" t="s">
        <v>2233</v>
      </c>
      <c r="C904" s="19" t="s">
        <v>3026</v>
      </c>
      <c r="D904" s="19" t="s">
        <v>3026</v>
      </c>
      <c r="E904" s="19" t="s">
        <v>3027</v>
      </c>
      <c r="F904" s="19" t="e">
        <f>MATCH(E904,#REF!,0)</f>
        <v>#REF!</v>
      </c>
      <c r="G904" s="19" t="s">
        <v>3028</v>
      </c>
      <c r="H904" s="19" t="s">
        <v>17</v>
      </c>
      <c r="I904" s="19" t="s">
        <v>18</v>
      </c>
      <c r="J904" s="19" t="s">
        <v>3029</v>
      </c>
      <c r="K904" s="19" t="s">
        <v>62</v>
      </c>
      <c r="L904" s="3" t="str">
        <f>HYPERLINK(VLOOKUP(C904,BAPs!$A$2:$C$1048576,3,FALSE),VLOOKUP(C904,BAPs!$A$2:$C$1048576,2,FALSE))</f>
        <v>10 out of 10</v>
      </c>
    </row>
    <row r="905" spans="1:12" hidden="1">
      <c r="A905" s="19" t="s">
        <v>3013</v>
      </c>
      <c r="B905" s="19" t="s">
        <v>2233</v>
      </c>
      <c r="C905" s="19" t="s">
        <v>3026</v>
      </c>
      <c r="D905" s="19" t="s">
        <v>2323</v>
      </c>
      <c r="E905" s="19" t="s">
        <v>2324</v>
      </c>
      <c r="F905" s="19" t="e">
        <f>MATCH(E905,#REF!,0)</f>
        <v>#REF!</v>
      </c>
      <c r="G905" s="19" t="s">
        <v>2325</v>
      </c>
      <c r="H905" s="19" t="s">
        <v>43</v>
      </c>
      <c r="I905" s="19" t="s">
        <v>18</v>
      </c>
      <c r="J905" s="19" t="s">
        <v>3029</v>
      </c>
      <c r="K905" s="19" t="s">
        <v>62</v>
      </c>
      <c r="L905" s="3" t="str">
        <f>HYPERLINK(VLOOKUP(C905,BAPs!$A$2:$C$1048576,3,FALSE),VLOOKUP(C905,BAPs!$A$2:$C$1048576,2,FALSE))</f>
        <v>10 out of 10</v>
      </c>
    </row>
    <row r="906" spans="1:12" hidden="1">
      <c r="A906" s="19" t="s">
        <v>3013</v>
      </c>
      <c r="B906" s="19" t="s">
        <v>2233</v>
      </c>
      <c r="C906" s="19" t="s">
        <v>3030</v>
      </c>
      <c r="D906" s="19" t="s">
        <v>3031</v>
      </c>
      <c r="E906" s="19" t="s">
        <v>3032</v>
      </c>
      <c r="F906" s="19" t="e">
        <f>MATCH(E906,#REF!,0)</f>
        <v>#REF!</v>
      </c>
      <c r="G906" s="19" t="s">
        <v>3033</v>
      </c>
      <c r="H906" s="19" t="s">
        <v>43</v>
      </c>
      <c r="I906" s="19"/>
      <c r="J906" s="19" t="s">
        <v>3034</v>
      </c>
      <c r="K906" s="19" t="s">
        <v>62</v>
      </c>
      <c r="L906" s="3" t="str">
        <f>HYPERLINK(VLOOKUP(C906,BAPs!$A$2:$C$1048576,3,FALSE),VLOOKUP(C906,BAPs!$A$2:$C$1048576,2,FALSE))</f>
        <v>10 out of 10</v>
      </c>
    </row>
    <row r="907" spans="1:12" hidden="1">
      <c r="A907" s="19" t="s">
        <v>3013</v>
      </c>
      <c r="B907" s="19" t="s">
        <v>2233</v>
      </c>
      <c r="C907" s="19" t="s">
        <v>3030</v>
      </c>
      <c r="D907" s="19" t="s">
        <v>2323</v>
      </c>
      <c r="E907" s="19" t="s">
        <v>2324</v>
      </c>
      <c r="F907" s="19" t="e">
        <f>MATCH(E907,#REF!,0)</f>
        <v>#REF!</v>
      </c>
      <c r="G907" s="19" t="s">
        <v>2325</v>
      </c>
      <c r="H907" s="19" t="s">
        <v>43</v>
      </c>
      <c r="I907" s="19" t="s">
        <v>18</v>
      </c>
      <c r="J907" s="19" t="s">
        <v>3034</v>
      </c>
      <c r="K907" s="19" t="s">
        <v>62</v>
      </c>
      <c r="L907" s="3" t="str">
        <f>HYPERLINK(VLOOKUP(C907,BAPs!$A$2:$C$1048576,3,FALSE),VLOOKUP(C907,BAPs!$A$2:$C$1048576,2,FALSE))</f>
        <v>10 out of 10</v>
      </c>
    </row>
    <row r="908" spans="1:12" hidden="1">
      <c r="A908" s="19" t="s">
        <v>3013</v>
      </c>
      <c r="B908" s="19" t="s">
        <v>2233</v>
      </c>
      <c r="C908" s="19" t="s">
        <v>3030</v>
      </c>
      <c r="D908" s="19" t="s">
        <v>3035</v>
      </c>
      <c r="E908" s="19" t="s">
        <v>3036</v>
      </c>
      <c r="F908" s="19" t="e">
        <f>MATCH(E908,#REF!,0)</f>
        <v>#REF!</v>
      </c>
      <c r="G908" s="19" t="s">
        <v>3037</v>
      </c>
      <c r="H908" s="19" t="s">
        <v>52</v>
      </c>
      <c r="I908" s="19"/>
      <c r="J908" s="19" t="s">
        <v>3034</v>
      </c>
      <c r="K908" s="19" t="s">
        <v>62</v>
      </c>
      <c r="L908" s="3" t="str">
        <f>HYPERLINK(VLOOKUP(C908,BAPs!$A$2:$C$1048576,3,FALSE),VLOOKUP(C908,BAPs!$A$2:$C$1048576,2,FALSE))</f>
        <v>10 out of 10</v>
      </c>
    </row>
    <row r="909" spans="1:12" hidden="1">
      <c r="A909" s="19" t="s">
        <v>3013</v>
      </c>
      <c r="B909" s="19" t="s">
        <v>2233</v>
      </c>
      <c r="C909" s="19" t="s">
        <v>3030</v>
      </c>
      <c r="D909" s="19" t="s">
        <v>3038</v>
      </c>
      <c r="E909" s="19" t="s">
        <v>3039</v>
      </c>
      <c r="F909" s="19" t="e">
        <f>MATCH(E909,#REF!,0)</f>
        <v>#REF!</v>
      </c>
      <c r="G909" s="19" t="s">
        <v>3040</v>
      </c>
      <c r="H909" s="19" t="s">
        <v>52</v>
      </c>
      <c r="I909" s="19"/>
      <c r="J909" s="19" t="s">
        <v>3034</v>
      </c>
      <c r="K909" s="19" t="s">
        <v>62</v>
      </c>
      <c r="L909" s="3" t="str">
        <f>HYPERLINK(VLOOKUP(C909,BAPs!$A$2:$C$1048576,3,FALSE),VLOOKUP(C909,BAPs!$A$2:$C$1048576,2,FALSE))</f>
        <v>10 out of 10</v>
      </c>
    </row>
    <row r="910" spans="1:12" hidden="1">
      <c r="A910" s="19" t="s">
        <v>3013</v>
      </c>
      <c r="B910" s="19" t="s">
        <v>2233</v>
      </c>
      <c r="C910" s="19" t="s">
        <v>3041</v>
      </c>
      <c r="D910" s="19" t="s">
        <v>3042</v>
      </c>
      <c r="E910" s="19" t="s">
        <v>3043</v>
      </c>
      <c r="F910" s="19" t="e">
        <f>MATCH(E910,#REF!,0)</f>
        <v>#REF!</v>
      </c>
      <c r="G910" s="19" t="s">
        <v>3044</v>
      </c>
      <c r="H910" s="19" t="s">
        <v>24</v>
      </c>
      <c r="I910" s="19" t="s">
        <v>18</v>
      </c>
      <c r="J910" s="19" t="s">
        <v>3045</v>
      </c>
      <c r="K910" s="19" t="s">
        <v>62</v>
      </c>
      <c r="L910" s="3" t="str">
        <f>HYPERLINK(VLOOKUP(C910,BAPs!$A$2:$C$1048576,3,FALSE),VLOOKUP(C910,BAPs!$A$2:$C$1048576,2,FALSE))</f>
        <v>10 out of 10</v>
      </c>
    </row>
    <row r="911" spans="1:12" hidden="1">
      <c r="A911" s="19" t="s">
        <v>3013</v>
      </c>
      <c r="B911" s="19" t="s">
        <v>2233</v>
      </c>
      <c r="C911" s="19" t="s">
        <v>3046</v>
      </c>
      <c r="D911" s="19" t="s">
        <v>3046</v>
      </c>
      <c r="E911" s="19" t="s">
        <v>3047</v>
      </c>
      <c r="F911" s="19" t="e">
        <f>MATCH(E911,#REF!,0)</f>
        <v>#REF!</v>
      </c>
      <c r="G911" s="19" t="s">
        <v>3048</v>
      </c>
      <c r="H911" s="19" t="s">
        <v>17</v>
      </c>
      <c r="I911" s="19" t="s">
        <v>18</v>
      </c>
      <c r="J911" s="19" t="s">
        <v>3049</v>
      </c>
      <c r="K911" s="19" t="s">
        <v>62</v>
      </c>
      <c r="L911" s="3" t="str">
        <f>HYPERLINK(VLOOKUP(C911,BAPs!$A$2:$C$1048576,3,FALSE),VLOOKUP(C911,BAPs!$A$2:$C$1048576,2,FALSE))</f>
        <v>9 out of 10</v>
      </c>
    </row>
    <row r="912" spans="1:12">
      <c r="A912" s="19" t="s">
        <v>3013</v>
      </c>
      <c r="B912" s="19" t="s">
        <v>2233</v>
      </c>
      <c r="C912" s="19" t="s">
        <v>3046</v>
      </c>
      <c r="D912" s="19" t="s">
        <v>3050</v>
      </c>
      <c r="E912" s="19" t="s">
        <v>3051</v>
      </c>
      <c r="F912" s="19" t="e">
        <f>MATCH(E912,#REF!,0)</f>
        <v>#REF!</v>
      </c>
      <c r="G912" s="19" t="s">
        <v>3052</v>
      </c>
      <c r="H912" s="19" t="s">
        <v>17</v>
      </c>
      <c r="I912" s="19" t="s">
        <v>18</v>
      </c>
      <c r="J912" s="19" t="s">
        <v>3049</v>
      </c>
      <c r="K912" s="19" t="s">
        <v>62</v>
      </c>
      <c r="L912" s="3" t="str">
        <f>HYPERLINK(VLOOKUP(C912,BAPs!$A$2:$C$1048576,3,FALSE),VLOOKUP(C912,BAPs!$A$2:$C$1048576,2,FALSE))</f>
        <v>9 out of 10</v>
      </c>
    </row>
    <row r="913" spans="1:12" hidden="1">
      <c r="A913" s="19" t="s">
        <v>3013</v>
      </c>
      <c r="B913" s="19" t="s">
        <v>2233</v>
      </c>
      <c r="C913" s="19" t="s">
        <v>3053</v>
      </c>
      <c r="D913" s="19" t="s">
        <v>3053</v>
      </c>
      <c r="E913" s="19" t="s">
        <v>3054</v>
      </c>
      <c r="F913" s="19" t="e">
        <f>MATCH(E913,#REF!,0)</f>
        <v>#REF!</v>
      </c>
      <c r="G913" s="19" t="s">
        <v>3055</v>
      </c>
      <c r="H913" s="19" t="s">
        <v>17</v>
      </c>
      <c r="I913" s="19" t="s">
        <v>18</v>
      </c>
      <c r="J913" s="19" t="s">
        <v>3056</v>
      </c>
      <c r="K913" s="19" t="s">
        <v>20</v>
      </c>
      <c r="L913" s="3" t="str">
        <f>HYPERLINK(VLOOKUP(C913,BAPs!$A$2:$C$1048576,3,FALSE),VLOOKUP(C913,BAPs!$A$2:$C$1048576,2,FALSE))</f>
        <v>7 out of 10</v>
      </c>
    </row>
    <row r="914" spans="1:12" hidden="1">
      <c r="A914" s="19" t="s">
        <v>3013</v>
      </c>
      <c r="B914" s="19" t="s">
        <v>2233</v>
      </c>
      <c r="C914" s="19" t="s">
        <v>3053</v>
      </c>
      <c r="D914" s="19" t="s">
        <v>3057</v>
      </c>
      <c r="E914" s="19" t="s">
        <v>3058</v>
      </c>
      <c r="F914" s="19" t="e">
        <f>MATCH(E914,#REF!,0)</f>
        <v>#REF!</v>
      </c>
      <c r="G914" s="19" t="s">
        <v>3059</v>
      </c>
      <c r="H914" s="19" t="s">
        <v>17</v>
      </c>
      <c r="I914" s="19" t="s">
        <v>18</v>
      </c>
      <c r="J914" s="19" t="s">
        <v>3056</v>
      </c>
      <c r="K914" s="19" t="s">
        <v>20</v>
      </c>
      <c r="L914" s="3" t="str">
        <f>HYPERLINK(VLOOKUP(C914,BAPs!$A$2:$C$1048576,3,FALSE),VLOOKUP(C914,BAPs!$A$2:$C$1048576,2,FALSE))</f>
        <v>7 out of 10</v>
      </c>
    </row>
    <row r="915" spans="1:12" hidden="1">
      <c r="A915" s="19" t="s">
        <v>3013</v>
      </c>
      <c r="B915" s="19" t="s">
        <v>2233</v>
      </c>
      <c r="C915" s="19" t="s">
        <v>3060</v>
      </c>
      <c r="D915" s="19" t="s">
        <v>3060</v>
      </c>
      <c r="E915" s="19" t="s">
        <v>3061</v>
      </c>
      <c r="F915" s="19" t="e">
        <f>MATCH(E915,#REF!,0)</f>
        <v>#REF!</v>
      </c>
      <c r="G915" s="19" t="s">
        <v>3062</v>
      </c>
      <c r="H915" s="19" t="s">
        <v>52</v>
      </c>
      <c r="I915" s="19"/>
      <c r="J915" s="19" t="s">
        <v>3063</v>
      </c>
      <c r="K915" s="19" t="s">
        <v>20</v>
      </c>
      <c r="L915" s="3" t="str">
        <f>HYPERLINK(VLOOKUP(C915,BAPs!$A$2:$C$1048576,3,FALSE),VLOOKUP(C915,BAPs!$A$2:$C$1048576,2,FALSE))</f>
        <v>7 out of 10</v>
      </c>
    </row>
    <row r="916" spans="1:12" hidden="1">
      <c r="A916" s="19" t="s">
        <v>3013</v>
      </c>
      <c r="B916" s="19" t="s">
        <v>2233</v>
      </c>
      <c r="C916" s="19" t="s">
        <v>3060</v>
      </c>
      <c r="D916" s="19" t="s">
        <v>3064</v>
      </c>
      <c r="E916" s="19" t="s">
        <v>3065</v>
      </c>
      <c r="F916" s="19" t="e">
        <f>MATCH(E916,#REF!,0)</f>
        <v>#REF!</v>
      </c>
      <c r="G916" s="19" t="s">
        <v>3066</v>
      </c>
      <c r="H916" s="19" t="s">
        <v>43</v>
      </c>
      <c r="I916" s="19" t="s">
        <v>18</v>
      </c>
      <c r="J916" s="19" t="s">
        <v>3063</v>
      </c>
      <c r="K916" s="19" t="s">
        <v>20</v>
      </c>
      <c r="L916" s="3" t="str">
        <f>HYPERLINK(VLOOKUP(C916,BAPs!$A$2:$C$1048576,3,FALSE),VLOOKUP(C916,BAPs!$A$2:$C$1048576,2,FALSE))</f>
        <v>7 out of 10</v>
      </c>
    </row>
    <row r="917" spans="1:12" hidden="1">
      <c r="A917" s="19" t="s">
        <v>3013</v>
      </c>
      <c r="B917" s="19" t="s">
        <v>2233</v>
      </c>
      <c r="C917" s="19" t="s">
        <v>3067</v>
      </c>
      <c r="D917" s="19" t="s">
        <v>3067</v>
      </c>
      <c r="E917" s="19" t="s">
        <v>3068</v>
      </c>
      <c r="F917" s="19" t="e">
        <f>MATCH(E917,#REF!,0)</f>
        <v>#REF!</v>
      </c>
      <c r="G917" s="19" t="s">
        <v>3069</v>
      </c>
      <c r="H917" s="19" t="s">
        <v>17</v>
      </c>
      <c r="I917" s="19" t="s">
        <v>18</v>
      </c>
      <c r="J917" s="19" t="s">
        <v>3070</v>
      </c>
      <c r="K917" s="19" t="s">
        <v>20</v>
      </c>
      <c r="L917" s="3" t="str">
        <f>HYPERLINK(VLOOKUP(C917,BAPs!$A$2:$C$1048576,3,FALSE),VLOOKUP(C917,BAPs!$A$2:$C$1048576,2,FALSE))</f>
        <v>8 out of 10</v>
      </c>
    </row>
    <row r="918" spans="1:12" hidden="1">
      <c r="A918" s="19" t="s">
        <v>3013</v>
      </c>
      <c r="B918" s="19" t="s">
        <v>2233</v>
      </c>
      <c r="C918" s="19" t="s">
        <v>3071</v>
      </c>
      <c r="D918" s="19" t="s">
        <v>3071</v>
      </c>
      <c r="E918" s="19" t="s">
        <v>3072</v>
      </c>
      <c r="F918" s="19" t="e">
        <f>MATCH(E918,#REF!,0)</f>
        <v>#REF!</v>
      </c>
      <c r="G918" s="19" t="s">
        <v>3073</v>
      </c>
      <c r="H918" s="19" t="s">
        <v>17</v>
      </c>
      <c r="I918" s="19" t="s">
        <v>18</v>
      </c>
      <c r="J918" s="19" t="s">
        <v>3074</v>
      </c>
      <c r="K918" s="19" t="s">
        <v>20</v>
      </c>
      <c r="L918" s="3" t="str">
        <f>HYPERLINK(VLOOKUP(C918,BAPs!$A$2:$C$1048576,3,FALSE),VLOOKUP(C918,BAPs!$A$2:$C$1048576,2,FALSE))</f>
        <v>5 out of 10</v>
      </c>
    </row>
    <row r="919" spans="1:12" hidden="1">
      <c r="A919" s="19" t="s">
        <v>3013</v>
      </c>
      <c r="B919" s="19" t="s">
        <v>2233</v>
      </c>
      <c r="C919" s="19" t="s">
        <v>3071</v>
      </c>
      <c r="D919" s="19" t="s">
        <v>3075</v>
      </c>
      <c r="E919" s="19" t="s">
        <v>3076</v>
      </c>
      <c r="F919" s="19" t="e">
        <f>MATCH(E919,#REF!,0)</f>
        <v>#REF!</v>
      </c>
      <c r="G919" s="19" t="s">
        <v>3077</v>
      </c>
      <c r="H919" s="19" t="s">
        <v>17</v>
      </c>
      <c r="I919" s="19" t="s">
        <v>18</v>
      </c>
      <c r="J919" s="19" t="s">
        <v>3074</v>
      </c>
      <c r="K919" s="19" t="s">
        <v>20</v>
      </c>
      <c r="L919" s="3" t="str">
        <f>HYPERLINK(VLOOKUP(C919,BAPs!$A$2:$C$1048576,3,FALSE),VLOOKUP(C919,BAPs!$A$2:$C$1048576,2,FALSE))</f>
        <v>5 out of 10</v>
      </c>
    </row>
    <row r="920" spans="1:12" hidden="1">
      <c r="A920" s="19" t="s">
        <v>3013</v>
      </c>
      <c r="B920" s="19" t="s">
        <v>2233</v>
      </c>
      <c r="C920" s="19" t="s">
        <v>3078</v>
      </c>
      <c r="D920" s="19" t="s">
        <v>3078</v>
      </c>
      <c r="E920" s="19" t="s">
        <v>3079</v>
      </c>
      <c r="F920" s="19" t="e">
        <f>MATCH(E920,#REF!,0)</f>
        <v>#REF!</v>
      </c>
      <c r="G920" s="19" t="s">
        <v>3080</v>
      </c>
      <c r="H920" s="19" t="s">
        <v>17</v>
      </c>
      <c r="I920" s="19" t="s">
        <v>18</v>
      </c>
      <c r="J920" s="19" t="s">
        <v>3081</v>
      </c>
      <c r="K920" s="19" t="s">
        <v>20</v>
      </c>
      <c r="L920" s="3" t="str">
        <f>HYPERLINK(VLOOKUP(C920,BAPs!$A$2:$C$1048576,3,FALSE),VLOOKUP(C920,BAPs!$A$2:$C$1048576,2,FALSE))</f>
        <v>6 out of 10</v>
      </c>
    </row>
    <row r="921" spans="1:12">
      <c r="A921" s="19" t="s">
        <v>3013</v>
      </c>
      <c r="B921" s="19" t="s">
        <v>2233</v>
      </c>
      <c r="C921" s="19" t="s">
        <v>3078</v>
      </c>
      <c r="D921" s="19" t="s">
        <v>3082</v>
      </c>
      <c r="E921" s="19" t="s">
        <v>3083</v>
      </c>
      <c r="F921" s="19" t="e">
        <f>MATCH(E921,#REF!,0)</f>
        <v>#REF!</v>
      </c>
      <c r="G921" s="19" t="s">
        <v>3084</v>
      </c>
      <c r="H921" s="19" t="s">
        <v>52</v>
      </c>
      <c r="I921" s="19"/>
      <c r="J921" s="19" t="s">
        <v>3081</v>
      </c>
      <c r="K921" s="19" t="s">
        <v>20</v>
      </c>
      <c r="L921" s="3" t="str">
        <f>HYPERLINK(VLOOKUP(C921,BAPs!$A$2:$C$1048576,3,FALSE),VLOOKUP(C921,BAPs!$A$2:$C$1048576,2,FALSE))</f>
        <v>6 out of 10</v>
      </c>
    </row>
    <row r="922" spans="1:12" hidden="1">
      <c r="A922" s="19" t="s">
        <v>3013</v>
      </c>
      <c r="B922" s="19" t="s">
        <v>2233</v>
      </c>
      <c r="C922" s="19" t="s">
        <v>3085</v>
      </c>
      <c r="D922" s="19" t="s">
        <v>3086</v>
      </c>
      <c r="E922" s="19" t="s">
        <v>3087</v>
      </c>
      <c r="F922" s="19" t="e">
        <f>MATCH(E922,#REF!,0)</f>
        <v>#REF!</v>
      </c>
      <c r="G922" s="19" t="s">
        <v>3088</v>
      </c>
      <c r="H922" s="19" t="s">
        <v>24</v>
      </c>
      <c r="I922" s="19"/>
      <c r="J922" s="19" t="s">
        <v>3089</v>
      </c>
      <c r="K922" s="19" t="s">
        <v>62</v>
      </c>
      <c r="L922" s="3" t="str">
        <f>HYPERLINK(VLOOKUP(C922,BAPs!$A$2:$C$1048576,3,FALSE),VLOOKUP(C922,BAPs!$A$2:$C$1048576,2,FALSE))</f>
        <v>10 out of 10</v>
      </c>
    </row>
    <row r="923" spans="1:12" hidden="1">
      <c r="A923" s="19" t="s">
        <v>3013</v>
      </c>
      <c r="B923" s="19" t="s">
        <v>2233</v>
      </c>
      <c r="C923" s="19" t="s">
        <v>3085</v>
      </c>
      <c r="D923" s="19" t="s">
        <v>3090</v>
      </c>
      <c r="E923" s="19" t="s">
        <v>3091</v>
      </c>
      <c r="F923" s="19" t="e">
        <f>MATCH(E923,#REF!,0)</f>
        <v>#REF!</v>
      </c>
      <c r="G923" s="19" t="s">
        <v>3092</v>
      </c>
      <c r="H923" s="19" t="s">
        <v>17</v>
      </c>
      <c r="I923" s="19"/>
      <c r="J923" s="19" t="s">
        <v>3089</v>
      </c>
      <c r="K923" s="19" t="s">
        <v>62</v>
      </c>
      <c r="L923" s="3" t="str">
        <f>HYPERLINK(VLOOKUP(C923,BAPs!$A$2:$C$1048576,3,FALSE),VLOOKUP(C923,BAPs!$A$2:$C$1048576,2,FALSE))</f>
        <v>10 out of 10</v>
      </c>
    </row>
    <row r="924" spans="1:12" hidden="1">
      <c r="A924" s="19" t="s">
        <v>3013</v>
      </c>
      <c r="B924" s="19" t="s">
        <v>2233</v>
      </c>
      <c r="C924" s="19" t="s">
        <v>3093</v>
      </c>
      <c r="D924" s="19" t="s">
        <v>3093</v>
      </c>
      <c r="E924" s="19" t="s">
        <v>3094</v>
      </c>
      <c r="F924" s="19" t="e">
        <f>MATCH(E924,#REF!,0)</f>
        <v>#REF!</v>
      </c>
      <c r="G924" s="19" t="s">
        <v>3095</v>
      </c>
      <c r="H924" s="19" t="s">
        <v>17</v>
      </c>
      <c r="I924" s="19"/>
      <c r="J924" s="19" t="s">
        <v>3096</v>
      </c>
      <c r="K924" s="19" t="s">
        <v>62</v>
      </c>
      <c r="L924" s="3" t="str">
        <f>HYPERLINK(VLOOKUP(C924,BAPs!$A$2:$C$1048576,3,FALSE),VLOOKUP(C924,BAPs!$A$2:$C$1048576,2,FALSE))</f>
        <v>10 out of 10</v>
      </c>
    </row>
    <row r="925" spans="1:12" hidden="1">
      <c r="A925" s="19" t="s">
        <v>3013</v>
      </c>
      <c r="B925" s="19" t="s">
        <v>2233</v>
      </c>
      <c r="C925" s="19" t="s">
        <v>3097</v>
      </c>
      <c r="D925" s="19" t="s">
        <v>2323</v>
      </c>
      <c r="E925" s="19" t="s">
        <v>2324</v>
      </c>
      <c r="F925" s="19" t="e">
        <f>MATCH(E925,#REF!,0)</f>
        <v>#REF!</v>
      </c>
      <c r="G925" s="19" t="s">
        <v>2325</v>
      </c>
      <c r="H925" s="19" t="s">
        <v>43</v>
      </c>
      <c r="I925" s="19" t="s">
        <v>18</v>
      </c>
      <c r="J925" s="19" t="s">
        <v>3098</v>
      </c>
      <c r="K925" s="19" t="s">
        <v>20</v>
      </c>
      <c r="L925" s="3" t="str">
        <f>HYPERLINK(VLOOKUP(C925,BAPs!$A$2:$C$1048576,3,FALSE),VLOOKUP(C925,BAPs!$A$2:$C$1048576,2,FALSE))</f>
        <v>6 out of 10</v>
      </c>
    </row>
    <row r="926" spans="1:12" hidden="1">
      <c r="A926" s="19" t="s">
        <v>3013</v>
      </c>
      <c r="B926" s="19" t="s">
        <v>2233</v>
      </c>
      <c r="C926" s="19" t="s">
        <v>3097</v>
      </c>
      <c r="D926" s="19" t="s">
        <v>3097</v>
      </c>
      <c r="E926" s="19" t="s">
        <v>3099</v>
      </c>
      <c r="F926" s="19" t="e">
        <f>MATCH(E926,#REF!,0)</f>
        <v>#REF!</v>
      </c>
      <c r="G926" s="19" t="s">
        <v>3100</v>
      </c>
      <c r="H926" s="19" t="s">
        <v>17</v>
      </c>
      <c r="I926" s="19" t="s">
        <v>18</v>
      </c>
      <c r="J926" s="19" t="s">
        <v>3098</v>
      </c>
      <c r="K926" s="19" t="s">
        <v>20</v>
      </c>
      <c r="L926" s="3" t="str">
        <f>HYPERLINK(VLOOKUP(C926,BAPs!$A$2:$C$1048576,3,FALSE),VLOOKUP(C926,BAPs!$A$2:$C$1048576,2,FALSE))</f>
        <v>6 out of 10</v>
      </c>
    </row>
    <row r="927" spans="1:12" hidden="1">
      <c r="A927" s="19" t="s">
        <v>3013</v>
      </c>
      <c r="B927" s="19" t="s">
        <v>2233</v>
      </c>
      <c r="C927" s="19" t="s">
        <v>3101</v>
      </c>
      <c r="D927" s="19" t="s">
        <v>3102</v>
      </c>
      <c r="E927" s="19" t="s">
        <v>3103</v>
      </c>
      <c r="F927" s="19" t="e">
        <f>MATCH(E927,#REF!,0)</f>
        <v>#REF!</v>
      </c>
      <c r="G927" s="19" t="s">
        <v>3104</v>
      </c>
      <c r="H927" s="19" t="s">
        <v>84</v>
      </c>
      <c r="I927" s="19"/>
      <c r="J927" s="19" t="s">
        <v>3105</v>
      </c>
      <c r="K927" s="19" t="s">
        <v>62</v>
      </c>
      <c r="L927" s="3" t="str">
        <f>HYPERLINK(VLOOKUP(C927,BAPs!$A$2:$C$1048576,3,FALSE),VLOOKUP(C927,BAPs!$A$2:$C$1048576,2,FALSE))</f>
        <v>9 out of 10</v>
      </c>
    </row>
    <row r="928" spans="1:12" hidden="1">
      <c r="A928" s="19" t="s">
        <v>3013</v>
      </c>
      <c r="B928" s="19" t="s">
        <v>2233</v>
      </c>
      <c r="C928" s="19" t="s">
        <v>3101</v>
      </c>
      <c r="D928" s="19" t="s">
        <v>3106</v>
      </c>
      <c r="E928" s="19" t="s">
        <v>3107</v>
      </c>
      <c r="F928" s="19" t="e">
        <f>MATCH(E928,#REF!,0)</f>
        <v>#REF!</v>
      </c>
      <c r="G928" s="19" t="s">
        <v>3108</v>
      </c>
      <c r="H928" s="19" t="s">
        <v>52</v>
      </c>
      <c r="I928" s="19"/>
      <c r="J928" s="19" t="s">
        <v>3105</v>
      </c>
      <c r="K928" s="19" t="s">
        <v>62</v>
      </c>
      <c r="L928" s="3" t="str">
        <f>HYPERLINK(VLOOKUP(C928,BAPs!$A$2:$C$1048576,3,FALSE),VLOOKUP(C928,BAPs!$A$2:$C$1048576,2,FALSE))</f>
        <v>9 out of 10</v>
      </c>
    </row>
    <row r="929" spans="1:12" hidden="1">
      <c r="A929" s="19" t="s">
        <v>3013</v>
      </c>
      <c r="B929" s="19" t="s">
        <v>2233</v>
      </c>
      <c r="C929" s="19" t="s">
        <v>3109</v>
      </c>
      <c r="D929" s="19" t="s">
        <v>3110</v>
      </c>
      <c r="E929" s="19" t="s">
        <v>3111</v>
      </c>
      <c r="F929" s="19" t="e">
        <f>MATCH(E929,#REF!,0)</f>
        <v>#REF!</v>
      </c>
      <c r="G929" s="19" t="s">
        <v>3112</v>
      </c>
      <c r="H929" s="19" t="s">
        <v>24</v>
      </c>
      <c r="I929" s="19" t="s">
        <v>18</v>
      </c>
      <c r="J929" s="19" t="s">
        <v>3113</v>
      </c>
      <c r="K929" s="19" t="s">
        <v>62</v>
      </c>
      <c r="L929" s="3" t="str">
        <f>HYPERLINK(VLOOKUP(C929,BAPs!$A$2:$C$1048576,3,FALSE),VLOOKUP(C929,BAPs!$A$2:$C$1048576,2,FALSE))</f>
        <v>10 out of 10</v>
      </c>
    </row>
    <row r="930" spans="1:12" hidden="1">
      <c r="A930" s="19" t="s">
        <v>3013</v>
      </c>
      <c r="B930" s="19" t="s">
        <v>2233</v>
      </c>
      <c r="C930" s="19" t="s">
        <v>3114</v>
      </c>
      <c r="D930" s="19" t="s">
        <v>3115</v>
      </c>
      <c r="E930" s="19" t="s">
        <v>3116</v>
      </c>
      <c r="F930" s="19" t="e">
        <f>MATCH(E930,#REF!,0)</f>
        <v>#REF!</v>
      </c>
      <c r="G930" s="19" t="s">
        <v>3117</v>
      </c>
      <c r="H930" s="19" t="s">
        <v>56</v>
      </c>
      <c r="I930" s="19"/>
      <c r="J930" s="19" t="s">
        <v>3118</v>
      </c>
      <c r="K930" s="19" t="s">
        <v>20</v>
      </c>
      <c r="L930" s="3" t="str">
        <f>HYPERLINK(VLOOKUP(C930,BAPs!$A$2:$C$1048576,3,FALSE),VLOOKUP(C930,BAPs!$A$2:$C$1048576,2,FALSE))</f>
        <v>7 out of 10</v>
      </c>
    </row>
    <row r="931" spans="1:12" hidden="1">
      <c r="A931" s="19" t="s">
        <v>3013</v>
      </c>
      <c r="B931" s="19" t="s">
        <v>2233</v>
      </c>
      <c r="C931" s="19" t="s">
        <v>3114</v>
      </c>
      <c r="D931" s="19" t="s">
        <v>3119</v>
      </c>
      <c r="E931" s="19" t="s">
        <v>3120</v>
      </c>
      <c r="F931" s="19" t="e">
        <f>MATCH(E931,#REF!,0)</f>
        <v>#REF!</v>
      </c>
      <c r="G931" s="19" t="s">
        <v>3121</v>
      </c>
      <c r="H931" s="19" t="s">
        <v>56</v>
      </c>
      <c r="I931" s="19"/>
      <c r="J931" s="19" t="s">
        <v>3118</v>
      </c>
      <c r="K931" s="19" t="s">
        <v>20</v>
      </c>
      <c r="L931" s="3" t="str">
        <f>HYPERLINK(VLOOKUP(C931,BAPs!$A$2:$C$1048576,3,FALSE),VLOOKUP(C931,BAPs!$A$2:$C$1048576,2,FALSE))</f>
        <v>7 out of 10</v>
      </c>
    </row>
    <row r="932" spans="1:12" hidden="1">
      <c r="A932" s="19" t="s">
        <v>3013</v>
      </c>
      <c r="B932" s="19" t="s">
        <v>2233</v>
      </c>
      <c r="C932" s="19" t="s">
        <v>3114</v>
      </c>
      <c r="D932" s="19" t="s">
        <v>3122</v>
      </c>
      <c r="E932" s="19" t="s">
        <v>3123</v>
      </c>
      <c r="F932" s="19" t="e">
        <f>MATCH(E932,#REF!,0)</f>
        <v>#REF!</v>
      </c>
      <c r="G932" s="19" t="s">
        <v>3124</v>
      </c>
      <c r="H932" s="19" t="s">
        <v>56</v>
      </c>
      <c r="I932" s="19"/>
      <c r="J932" s="19" t="s">
        <v>3118</v>
      </c>
      <c r="K932" s="19" t="s">
        <v>20</v>
      </c>
      <c r="L932" s="3" t="str">
        <f>HYPERLINK(VLOOKUP(C932,BAPs!$A$2:$C$1048576,3,FALSE),VLOOKUP(C932,BAPs!$A$2:$C$1048576,2,FALSE))</f>
        <v>7 out of 10</v>
      </c>
    </row>
    <row r="933" spans="1:12" hidden="1">
      <c r="A933" s="19" t="s">
        <v>3013</v>
      </c>
      <c r="B933" s="19" t="s">
        <v>2233</v>
      </c>
      <c r="C933" s="19" t="s">
        <v>3114</v>
      </c>
      <c r="D933" s="19" t="s">
        <v>3125</v>
      </c>
      <c r="E933" s="19" t="s">
        <v>3126</v>
      </c>
      <c r="F933" s="19" t="e">
        <f>MATCH(E933,#REF!,0)</f>
        <v>#REF!</v>
      </c>
      <c r="G933" s="19" t="s">
        <v>3127</v>
      </c>
      <c r="H933" s="19" t="s">
        <v>56</v>
      </c>
      <c r="I933" s="19"/>
      <c r="J933" s="19" t="s">
        <v>3118</v>
      </c>
      <c r="K933" s="19" t="s">
        <v>20</v>
      </c>
      <c r="L933" s="3" t="str">
        <f>HYPERLINK(VLOOKUP(C933,BAPs!$A$2:$C$1048576,3,FALSE),VLOOKUP(C933,BAPs!$A$2:$C$1048576,2,FALSE))</f>
        <v>7 out of 10</v>
      </c>
    </row>
    <row r="934" spans="1:12" hidden="1">
      <c r="A934" s="19" t="s">
        <v>3013</v>
      </c>
      <c r="B934" s="19" t="s">
        <v>2233</v>
      </c>
      <c r="C934" s="19" t="s">
        <v>3128</v>
      </c>
      <c r="D934" s="19" t="s">
        <v>3128</v>
      </c>
      <c r="E934" s="19" t="s">
        <v>3129</v>
      </c>
      <c r="F934" s="19" t="e">
        <f>MATCH(E934,#REF!,0)</f>
        <v>#REF!</v>
      </c>
      <c r="G934" s="19" t="s">
        <v>3130</v>
      </c>
      <c r="H934" s="19" t="s">
        <v>52</v>
      </c>
      <c r="I934" s="19"/>
      <c r="J934" s="19" t="s">
        <v>3131</v>
      </c>
      <c r="K934" s="19" t="s">
        <v>20</v>
      </c>
      <c r="L934" s="3" t="str">
        <f>HYPERLINK(VLOOKUP(C934,BAPs!$A$2:$C$1048576,3,FALSE),VLOOKUP(C934,BAPs!$A$2:$C$1048576,2,FALSE))</f>
        <v>7 out of 10</v>
      </c>
    </row>
    <row r="935" spans="1:12" hidden="1">
      <c r="A935" s="19" t="s">
        <v>3013</v>
      </c>
      <c r="B935" s="19" t="s">
        <v>2233</v>
      </c>
      <c r="C935" s="19" t="s">
        <v>3132</v>
      </c>
      <c r="D935" s="19" t="s">
        <v>3132</v>
      </c>
      <c r="E935" s="19" t="s">
        <v>3133</v>
      </c>
      <c r="F935" s="19" t="e">
        <f>MATCH(E935,#REF!,0)</f>
        <v>#REF!</v>
      </c>
      <c r="G935" s="19" t="s">
        <v>3134</v>
      </c>
      <c r="H935" s="19" t="s">
        <v>56</v>
      </c>
      <c r="I935" s="19"/>
      <c r="J935" s="19" t="s">
        <v>3135</v>
      </c>
      <c r="K935" s="19" t="s">
        <v>20</v>
      </c>
      <c r="L935" s="3" t="str">
        <f>HYPERLINK(VLOOKUP(C935,BAPs!$A$2:$C$1048576,3,FALSE),VLOOKUP(C935,BAPs!$A$2:$C$1048576,2,FALSE))</f>
        <v>6 out of 10</v>
      </c>
    </row>
    <row r="936" spans="1:12" hidden="1">
      <c r="A936" s="19" t="s">
        <v>3013</v>
      </c>
      <c r="B936" s="19" t="s">
        <v>2233</v>
      </c>
      <c r="C936" s="19" t="s">
        <v>3136</v>
      </c>
      <c r="D936" s="19" t="s">
        <v>3137</v>
      </c>
      <c r="E936" s="19" t="s">
        <v>3138</v>
      </c>
      <c r="F936" s="19" t="e">
        <f>MATCH(E936,#REF!,0)</f>
        <v>#REF!</v>
      </c>
      <c r="G936" s="19" t="s">
        <v>3139</v>
      </c>
      <c r="H936" s="19" t="s">
        <v>56</v>
      </c>
      <c r="I936" s="19"/>
      <c r="J936" s="19" t="s">
        <v>3140</v>
      </c>
      <c r="K936" s="19" t="s">
        <v>20</v>
      </c>
      <c r="L936" s="3" t="str">
        <f>HYPERLINK(VLOOKUP(C936,BAPs!$A$2:$C$1048576,3,FALSE),VLOOKUP(C936,BAPs!$A$2:$C$1048576,2,FALSE))</f>
        <v>4 out of 10</v>
      </c>
    </row>
    <row r="937" spans="1:12" hidden="1">
      <c r="A937" s="19" t="s">
        <v>3013</v>
      </c>
      <c r="B937" s="19" t="s">
        <v>2233</v>
      </c>
      <c r="C937" s="19" t="s">
        <v>3141</v>
      </c>
      <c r="D937" s="19" t="s">
        <v>3142</v>
      </c>
      <c r="E937" s="19" t="s">
        <v>3143</v>
      </c>
      <c r="F937" s="19" t="e">
        <f>MATCH(E937,#REF!,0)</f>
        <v>#REF!</v>
      </c>
      <c r="G937" s="19" t="s">
        <v>3144</v>
      </c>
      <c r="H937" s="19" t="s">
        <v>84</v>
      </c>
      <c r="I937" s="19"/>
      <c r="J937" s="19" t="s">
        <v>3145</v>
      </c>
      <c r="K937" s="19" t="s">
        <v>62</v>
      </c>
      <c r="L937" s="3" t="str">
        <f>HYPERLINK(VLOOKUP(C937,BAPs!$A$2:$C$1048576,3,FALSE),VLOOKUP(C937,BAPs!$A$2:$C$1048576,2,FALSE))</f>
        <v>10 out of 10</v>
      </c>
    </row>
    <row r="938" spans="1:12" hidden="1">
      <c r="A938" s="19" t="s">
        <v>3013</v>
      </c>
      <c r="B938" s="19" t="s">
        <v>2233</v>
      </c>
      <c r="C938" s="19" t="s">
        <v>3146</v>
      </c>
      <c r="D938" s="19" t="s">
        <v>3147</v>
      </c>
      <c r="E938" s="19" t="s">
        <v>3148</v>
      </c>
      <c r="F938" s="19" t="e">
        <f>MATCH(E938,#REF!,0)</f>
        <v>#REF!</v>
      </c>
      <c r="G938" s="19" t="s">
        <v>3149</v>
      </c>
      <c r="H938" s="19" t="s">
        <v>56</v>
      </c>
      <c r="I938" s="19"/>
      <c r="J938" s="19" t="s">
        <v>3150</v>
      </c>
      <c r="K938" s="19" t="s">
        <v>62</v>
      </c>
      <c r="L938" s="3" t="str">
        <f>HYPERLINK(VLOOKUP(C938,BAPs!$A$2:$C$1048576,3,FALSE),VLOOKUP(C938,BAPs!$A$2:$C$1048576,2,FALSE))</f>
        <v>10 out of 10</v>
      </c>
    </row>
    <row r="939" spans="1:12" hidden="1">
      <c r="A939" s="19" t="s">
        <v>3013</v>
      </c>
      <c r="B939" s="19" t="s">
        <v>2233</v>
      </c>
      <c r="C939" s="19" t="s">
        <v>3151</v>
      </c>
      <c r="D939" s="19" t="s">
        <v>3152</v>
      </c>
      <c r="E939" s="19" t="s">
        <v>3153</v>
      </c>
      <c r="F939" s="19" t="e">
        <f>MATCH(E939,#REF!,0)</f>
        <v>#REF!</v>
      </c>
      <c r="G939" s="19" t="s">
        <v>3154</v>
      </c>
      <c r="H939" s="19" t="s">
        <v>24</v>
      </c>
      <c r="I939" s="19"/>
      <c r="J939" s="19" t="s">
        <v>3155</v>
      </c>
      <c r="K939" s="19" t="s">
        <v>62</v>
      </c>
      <c r="L939" s="3" t="str">
        <f>HYPERLINK(VLOOKUP(C939,BAPs!$A$2:$C$1048576,3,FALSE),VLOOKUP(C939,BAPs!$A$2:$C$1048576,2,FALSE))</f>
        <v>9 out of 10</v>
      </c>
    </row>
    <row r="940" spans="1:12" hidden="1">
      <c r="A940" s="19" t="s">
        <v>3013</v>
      </c>
      <c r="B940" s="19" t="s">
        <v>2233</v>
      </c>
      <c r="C940" s="19" t="s">
        <v>3156</v>
      </c>
      <c r="D940" s="19" t="s">
        <v>3157</v>
      </c>
      <c r="E940" s="19" t="s">
        <v>3158</v>
      </c>
      <c r="F940" s="19" t="e">
        <f>MATCH(E940,#REF!,0)</f>
        <v>#REF!</v>
      </c>
      <c r="G940" s="19" t="s">
        <v>3159</v>
      </c>
      <c r="H940" s="19" t="s">
        <v>24</v>
      </c>
      <c r="I940" s="19"/>
      <c r="J940" s="19" t="s">
        <v>3160</v>
      </c>
      <c r="K940" s="19" t="s">
        <v>62</v>
      </c>
      <c r="L940" s="3" t="str">
        <f>HYPERLINK(VLOOKUP(C940,BAPs!$A$2:$C$1048576,3,FALSE),VLOOKUP(C940,BAPs!$A$2:$C$1048576,2,FALSE))</f>
        <v>9 out of 10</v>
      </c>
    </row>
    <row r="941" spans="1:12" hidden="1">
      <c r="A941" s="19" t="s">
        <v>3161</v>
      </c>
      <c r="B941" s="19" t="s">
        <v>3162</v>
      </c>
      <c r="C941" s="19" t="s">
        <v>3163</v>
      </c>
      <c r="D941" s="19" t="s">
        <v>3163</v>
      </c>
      <c r="E941" s="19" t="s">
        <v>3164</v>
      </c>
      <c r="F941" s="19" t="e">
        <f>MATCH(E941,#REF!,0)</f>
        <v>#REF!</v>
      </c>
      <c r="G941" s="19" t="s">
        <v>3165</v>
      </c>
      <c r="H941" s="19" t="s">
        <v>52</v>
      </c>
      <c r="I941" s="19"/>
      <c r="J941" s="19" t="s">
        <v>3166</v>
      </c>
      <c r="K941" s="19" t="s">
        <v>62</v>
      </c>
      <c r="L941" s="3" t="str">
        <f>HYPERLINK(VLOOKUP(C941,BAPs!$A$2:$C$1048576,3,FALSE),VLOOKUP(C941,BAPs!$A$2:$C$1048576,2,FALSE))</f>
        <v>10 out of 10</v>
      </c>
    </row>
    <row r="942" spans="1:12" hidden="1">
      <c r="A942" s="19" t="s">
        <v>3161</v>
      </c>
      <c r="B942" s="19" t="s">
        <v>3162</v>
      </c>
      <c r="C942" s="19" t="s">
        <v>3163</v>
      </c>
      <c r="D942" s="19" t="s">
        <v>3167</v>
      </c>
      <c r="E942" s="19" t="s">
        <v>3168</v>
      </c>
      <c r="F942" s="19" t="e">
        <f>MATCH(E942,#REF!,0)</f>
        <v>#REF!</v>
      </c>
      <c r="G942" s="19" t="s">
        <v>3169</v>
      </c>
      <c r="H942" s="19" t="s">
        <v>24</v>
      </c>
      <c r="I942" s="19"/>
      <c r="J942" s="19" t="s">
        <v>3166</v>
      </c>
      <c r="K942" s="19" t="s">
        <v>62</v>
      </c>
      <c r="L942" s="3" t="str">
        <f>HYPERLINK(VLOOKUP(C942,BAPs!$A$2:$C$1048576,3,FALSE),VLOOKUP(C942,BAPs!$A$2:$C$1048576,2,FALSE))</f>
        <v>10 out of 10</v>
      </c>
    </row>
    <row r="943" spans="1:12" hidden="1">
      <c r="A943" s="19" t="s">
        <v>3161</v>
      </c>
      <c r="B943" s="19" t="s">
        <v>3162</v>
      </c>
      <c r="C943" s="19" t="s">
        <v>3170</v>
      </c>
      <c r="D943" s="19" t="s">
        <v>3170</v>
      </c>
      <c r="E943" s="19" t="s">
        <v>3171</v>
      </c>
      <c r="F943" s="19" t="e">
        <f>MATCH(E943,#REF!,0)</f>
        <v>#REF!</v>
      </c>
      <c r="G943" s="19" t="s">
        <v>3172</v>
      </c>
      <c r="H943" s="19" t="s">
        <v>17</v>
      </c>
      <c r="I943" s="19" t="s">
        <v>18</v>
      </c>
      <c r="J943" s="19" t="s">
        <v>3173</v>
      </c>
      <c r="K943" s="19" t="s">
        <v>62</v>
      </c>
      <c r="L943" s="3" t="str">
        <f>HYPERLINK(VLOOKUP(C943,BAPs!$A$2:$C$1048576,3,FALSE),VLOOKUP(C943,BAPs!$A$2:$C$1048576,2,FALSE))</f>
        <v>10 out of 10</v>
      </c>
    </row>
    <row r="944" spans="1:12" hidden="1">
      <c r="A944" s="19" t="s">
        <v>3161</v>
      </c>
      <c r="B944" s="19" t="s">
        <v>3162</v>
      </c>
      <c r="C944" s="19" t="s">
        <v>3170</v>
      </c>
      <c r="D944" s="19" t="s">
        <v>3174</v>
      </c>
      <c r="E944" s="19" t="s">
        <v>3175</v>
      </c>
      <c r="F944" s="19" t="e">
        <f>MATCH(E944,#REF!,0)</f>
        <v>#REF!</v>
      </c>
      <c r="G944" s="19" t="s">
        <v>3176</v>
      </c>
      <c r="H944" s="19" t="s">
        <v>43</v>
      </c>
      <c r="I944" s="19"/>
      <c r="J944" s="19" t="s">
        <v>3173</v>
      </c>
      <c r="K944" s="19" t="s">
        <v>62</v>
      </c>
      <c r="L944" s="3" t="str">
        <f>HYPERLINK(VLOOKUP(C944,BAPs!$A$2:$C$1048576,3,FALSE),VLOOKUP(C944,BAPs!$A$2:$C$1048576,2,FALSE))</f>
        <v>10 out of 10</v>
      </c>
    </row>
    <row r="945" spans="1:12" hidden="1">
      <c r="A945" s="19" t="s">
        <v>3161</v>
      </c>
      <c r="B945" s="19" t="s">
        <v>3162</v>
      </c>
      <c r="C945" s="19" t="s">
        <v>3177</v>
      </c>
      <c r="D945" s="19" t="s">
        <v>3177</v>
      </c>
      <c r="E945" s="19" t="s">
        <v>3178</v>
      </c>
      <c r="F945" s="19" t="e">
        <f>MATCH(E945,#REF!,0)</f>
        <v>#REF!</v>
      </c>
      <c r="G945" s="19" t="s">
        <v>3179</v>
      </c>
      <c r="H945" s="19" t="s">
        <v>17</v>
      </c>
      <c r="I945" s="19"/>
      <c r="J945" s="19" t="s">
        <v>3180</v>
      </c>
      <c r="K945" s="19" t="s">
        <v>62</v>
      </c>
      <c r="L945" s="3" t="str">
        <f>HYPERLINK(VLOOKUP(C945,BAPs!$A$2:$C$1048576,3,FALSE),VLOOKUP(C945,BAPs!$A$2:$C$1048576,2,FALSE))</f>
        <v>9 out of 10</v>
      </c>
    </row>
    <row r="946" spans="1:12" hidden="1">
      <c r="A946" s="19" t="s">
        <v>3161</v>
      </c>
      <c r="B946" s="19" t="s">
        <v>3162</v>
      </c>
      <c r="C946" s="19" t="s">
        <v>3181</v>
      </c>
      <c r="D946" s="19" t="s">
        <v>3181</v>
      </c>
      <c r="E946" s="19" t="s">
        <v>3182</v>
      </c>
      <c r="F946" s="19" t="e">
        <f>MATCH(E946,#REF!,0)</f>
        <v>#REF!</v>
      </c>
      <c r="G946" s="19" t="s">
        <v>3183</v>
      </c>
      <c r="H946" s="19" t="s">
        <v>17</v>
      </c>
      <c r="I946" s="19" t="s">
        <v>18</v>
      </c>
      <c r="J946" s="19" t="s">
        <v>3184</v>
      </c>
      <c r="K946" s="19" t="s">
        <v>62</v>
      </c>
      <c r="L946" s="3" t="str">
        <f>HYPERLINK(VLOOKUP(C946,BAPs!$A$2:$C$1048576,3,FALSE),VLOOKUP(C946,BAPs!$A$2:$C$1048576,2,FALSE))</f>
        <v>9 out of 10</v>
      </c>
    </row>
    <row r="947" spans="1:12" hidden="1">
      <c r="A947" s="19" t="s">
        <v>3161</v>
      </c>
      <c r="B947" s="19" t="s">
        <v>3162</v>
      </c>
      <c r="C947" s="19" t="s">
        <v>3185</v>
      </c>
      <c r="D947" s="19" t="s">
        <v>3185</v>
      </c>
      <c r="E947" s="19" t="s">
        <v>3186</v>
      </c>
      <c r="F947" s="19" t="e">
        <f>MATCH(E947,#REF!,0)</f>
        <v>#REF!</v>
      </c>
      <c r="G947" s="19" t="s">
        <v>3187</v>
      </c>
      <c r="H947" s="19" t="s">
        <v>17</v>
      </c>
      <c r="I947" s="19"/>
      <c r="J947" s="19" t="s">
        <v>3188</v>
      </c>
      <c r="K947" s="19" t="s">
        <v>62</v>
      </c>
      <c r="L947" s="3" t="str">
        <f>HYPERLINK(VLOOKUP(C947,BAPs!$A$2:$C$1048576,3,FALSE),VLOOKUP(C947,BAPs!$A$2:$C$1048576,2,FALSE))</f>
        <v>9 out of 10</v>
      </c>
    </row>
    <row r="948" spans="1:12" hidden="1">
      <c r="A948" s="19" t="s">
        <v>3161</v>
      </c>
      <c r="B948" s="19" t="s">
        <v>3162</v>
      </c>
      <c r="C948" s="19" t="s">
        <v>3189</v>
      </c>
      <c r="D948" s="19" t="s">
        <v>3189</v>
      </c>
      <c r="E948" s="19" t="s">
        <v>3190</v>
      </c>
      <c r="F948" s="19" t="e">
        <f>MATCH(E948,#REF!,0)</f>
        <v>#REF!</v>
      </c>
      <c r="G948" s="19" t="s">
        <v>3191</v>
      </c>
      <c r="H948" s="19" t="s">
        <v>17</v>
      </c>
      <c r="I948" s="19" t="s">
        <v>18</v>
      </c>
      <c r="J948" s="19" t="s">
        <v>3192</v>
      </c>
      <c r="K948" s="19" t="s">
        <v>62</v>
      </c>
      <c r="L948" s="3" t="str">
        <f>HYPERLINK(VLOOKUP(C948,BAPs!$A$2:$C$1048576,3,FALSE),VLOOKUP(C948,BAPs!$A$2:$C$1048576,2,FALSE))</f>
        <v>9 out of 10</v>
      </c>
    </row>
    <row r="949" spans="1:12" hidden="1">
      <c r="A949" s="19" t="s">
        <v>3161</v>
      </c>
      <c r="B949" s="19" t="s">
        <v>3162</v>
      </c>
      <c r="C949" s="19" t="s">
        <v>3193</v>
      </c>
      <c r="D949" s="19" t="s">
        <v>3193</v>
      </c>
      <c r="E949" s="19" t="s">
        <v>3194</v>
      </c>
      <c r="F949" s="19" t="e">
        <f>MATCH(E949,#REF!,0)</f>
        <v>#REF!</v>
      </c>
      <c r="G949" s="19" t="s">
        <v>3195</v>
      </c>
      <c r="H949" s="19" t="s">
        <v>553</v>
      </c>
      <c r="I949" s="19" t="s">
        <v>18</v>
      </c>
      <c r="J949" s="19" t="s">
        <v>3196</v>
      </c>
      <c r="K949" s="19" t="s">
        <v>62</v>
      </c>
      <c r="L949" s="3" t="str">
        <f>HYPERLINK(VLOOKUP(C949,BAPs!$A$2:$C$1048576,3,FALSE),VLOOKUP(C949,BAPs!$A$2:$C$1048576,2,FALSE))</f>
        <v>10 out of 10</v>
      </c>
    </row>
    <row r="950" spans="1:12" hidden="1">
      <c r="A950" s="19" t="s">
        <v>3161</v>
      </c>
      <c r="B950" s="19" t="s">
        <v>3162</v>
      </c>
      <c r="C950" s="19" t="s">
        <v>3197</v>
      </c>
      <c r="D950" s="19" t="s">
        <v>3197</v>
      </c>
      <c r="E950" s="19" t="s">
        <v>3198</v>
      </c>
      <c r="F950" s="19" t="e">
        <f>MATCH(E950,#REF!,0)</f>
        <v>#REF!</v>
      </c>
      <c r="G950" s="19" t="s">
        <v>3199</v>
      </c>
      <c r="H950" s="19" t="s">
        <v>24</v>
      </c>
      <c r="I950" s="19"/>
      <c r="J950" s="19" t="s">
        <v>3200</v>
      </c>
      <c r="K950" s="19" t="s">
        <v>62</v>
      </c>
      <c r="L950" s="3" t="str">
        <f>HYPERLINK(VLOOKUP(C950,BAPs!$A$2:$C$1048576,3,FALSE),VLOOKUP(C950,BAPs!$A$2:$C$1048576,2,FALSE))</f>
        <v>9 out of 10</v>
      </c>
    </row>
    <row r="951" spans="1:12" hidden="1">
      <c r="A951" s="19" t="s">
        <v>3161</v>
      </c>
      <c r="B951" s="19" t="s">
        <v>3162</v>
      </c>
      <c r="C951" s="19" t="s">
        <v>3201</v>
      </c>
      <c r="D951" s="19" t="s">
        <v>3167</v>
      </c>
      <c r="E951" s="19" t="s">
        <v>3168</v>
      </c>
      <c r="F951" s="19" t="e">
        <f>MATCH(E951,#REF!,0)</f>
        <v>#REF!</v>
      </c>
      <c r="G951" s="19" t="s">
        <v>3169</v>
      </c>
      <c r="H951" s="19" t="s">
        <v>24</v>
      </c>
      <c r="I951" s="19"/>
      <c r="J951" s="19" t="s">
        <v>3202</v>
      </c>
      <c r="K951" s="19" t="s">
        <v>62</v>
      </c>
      <c r="L951" s="3" t="str">
        <f>HYPERLINK(VLOOKUP(C951,BAPs!$A$2:$C$1048576,3,FALSE),VLOOKUP(C951,BAPs!$A$2:$C$1048576,2,FALSE))</f>
        <v>10 out of 10</v>
      </c>
    </row>
    <row r="952" spans="1:12" hidden="1">
      <c r="A952" s="19" t="s">
        <v>3161</v>
      </c>
      <c r="B952" s="19" t="s">
        <v>3162</v>
      </c>
      <c r="C952" s="19" t="s">
        <v>3201</v>
      </c>
      <c r="D952" s="19" t="s">
        <v>3201</v>
      </c>
      <c r="E952" s="19" t="s">
        <v>3203</v>
      </c>
      <c r="F952" s="19" t="e">
        <f>MATCH(E952,#REF!,0)</f>
        <v>#REF!</v>
      </c>
      <c r="G952" s="19" t="s">
        <v>3204</v>
      </c>
      <c r="H952" s="19" t="s">
        <v>17</v>
      </c>
      <c r="I952" s="19" t="s">
        <v>18</v>
      </c>
      <c r="J952" s="19" t="s">
        <v>3202</v>
      </c>
      <c r="K952" s="19" t="s">
        <v>62</v>
      </c>
      <c r="L952" s="3" t="str">
        <f>HYPERLINK(VLOOKUP(C952,BAPs!$A$2:$C$1048576,3,FALSE),VLOOKUP(C952,BAPs!$A$2:$C$1048576,2,FALSE))</f>
        <v>10 out of 10</v>
      </c>
    </row>
    <row r="953" spans="1:12" hidden="1">
      <c r="A953" s="19" t="s">
        <v>3161</v>
      </c>
      <c r="B953" s="19" t="s">
        <v>3162</v>
      </c>
      <c r="C953" s="19" t="s">
        <v>3205</v>
      </c>
      <c r="D953" s="19" t="s">
        <v>3205</v>
      </c>
      <c r="E953" s="19" t="s">
        <v>3206</v>
      </c>
      <c r="F953" s="19" t="e">
        <f>MATCH(E953,#REF!,0)</f>
        <v>#REF!</v>
      </c>
      <c r="G953" s="19" t="s">
        <v>3207</v>
      </c>
      <c r="H953" s="19" t="s">
        <v>52</v>
      </c>
      <c r="I953" s="19"/>
      <c r="J953" s="19" t="s">
        <v>3208</v>
      </c>
      <c r="K953" s="19" t="s">
        <v>62</v>
      </c>
      <c r="L953" s="3" t="str">
        <f>HYPERLINK(VLOOKUP(C953,BAPs!$A$2:$C$1048576,3,FALSE),VLOOKUP(C953,BAPs!$A$2:$C$1048576,2,FALSE))</f>
        <v>9 out of 10</v>
      </c>
    </row>
    <row r="954" spans="1:12" hidden="1">
      <c r="A954" s="19" t="s">
        <v>3161</v>
      </c>
      <c r="B954" s="19" t="s">
        <v>3162</v>
      </c>
      <c r="C954" s="19" t="s">
        <v>3209</v>
      </c>
      <c r="D954" s="19" t="s">
        <v>3209</v>
      </c>
      <c r="E954" s="19" t="s">
        <v>3210</v>
      </c>
      <c r="F954" s="19" t="e">
        <f>MATCH(E954,#REF!,0)</f>
        <v>#REF!</v>
      </c>
      <c r="G954" s="19" t="s">
        <v>3211</v>
      </c>
      <c r="H954" s="19" t="s">
        <v>17</v>
      </c>
      <c r="I954" s="19" t="s">
        <v>18</v>
      </c>
      <c r="J954" s="19" t="s">
        <v>3212</v>
      </c>
      <c r="K954" s="19" t="s">
        <v>20</v>
      </c>
      <c r="L954" s="3" t="str">
        <f>HYPERLINK(VLOOKUP(C954,BAPs!$A$2:$C$1048576,3,FALSE),VLOOKUP(C954,BAPs!$A$2:$C$1048576,2,FALSE))</f>
        <v>8 out of 10</v>
      </c>
    </row>
    <row r="955" spans="1:12" hidden="1">
      <c r="A955" s="19" t="s">
        <v>3161</v>
      </c>
      <c r="B955" s="19" t="s">
        <v>3162</v>
      </c>
      <c r="C955" s="19" t="s">
        <v>3213</v>
      </c>
      <c r="D955" s="19" t="s">
        <v>3213</v>
      </c>
      <c r="E955" s="19" t="s">
        <v>3214</v>
      </c>
      <c r="F955" s="19" t="e">
        <f>MATCH(E955,#REF!,0)</f>
        <v>#REF!</v>
      </c>
      <c r="G955" s="19" t="s">
        <v>3215</v>
      </c>
      <c r="H955" s="19" t="s">
        <v>17</v>
      </c>
      <c r="I955" s="19" t="s">
        <v>18</v>
      </c>
      <c r="J955" s="19" t="s">
        <v>3216</v>
      </c>
      <c r="K955" s="19" t="s">
        <v>20</v>
      </c>
      <c r="L955" s="3" t="str">
        <f>HYPERLINK(VLOOKUP(C955,BAPs!$A$2:$C$1048576,3,FALSE),VLOOKUP(C955,BAPs!$A$2:$C$1048576,2,FALSE))</f>
        <v>1 out of 10</v>
      </c>
    </row>
    <row r="956" spans="1:12" hidden="1">
      <c r="A956" s="19" t="s">
        <v>3161</v>
      </c>
      <c r="B956" s="19" t="s">
        <v>3162</v>
      </c>
      <c r="C956" s="19" t="s">
        <v>3217</v>
      </c>
      <c r="D956" s="19" t="s">
        <v>3217</v>
      </c>
      <c r="E956" s="19" t="s">
        <v>3218</v>
      </c>
      <c r="F956" s="19" t="e">
        <f>MATCH(E956,#REF!,0)</f>
        <v>#REF!</v>
      </c>
      <c r="G956" s="19" t="s">
        <v>3219</v>
      </c>
      <c r="H956" s="19" t="s">
        <v>52</v>
      </c>
      <c r="I956" s="19"/>
      <c r="J956" s="19" t="s">
        <v>3220</v>
      </c>
      <c r="K956" s="19" t="s">
        <v>20</v>
      </c>
      <c r="L956" s="3" t="str">
        <f>HYPERLINK(VLOOKUP(C956,BAPs!$A$2:$C$1048576,3,FALSE),VLOOKUP(C956,BAPs!$A$2:$C$1048576,2,FALSE))</f>
        <v>5 out of 10</v>
      </c>
    </row>
    <row r="957" spans="1:12" hidden="1">
      <c r="A957" s="19" t="s">
        <v>3161</v>
      </c>
      <c r="B957" s="19" t="s">
        <v>3162</v>
      </c>
      <c r="C957" s="19" t="s">
        <v>3221</v>
      </c>
      <c r="D957" s="19" t="s">
        <v>3221</v>
      </c>
      <c r="E957" s="19" t="s">
        <v>3222</v>
      </c>
      <c r="F957" s="19" t="e">
        <f>MATCH(E957,#REF!,0)</f>
        <v>#REF!</v>
      </c>
      <c r="G957" s="19" t="s">
        <v>3223</v>
      </c>
      <c r="H957" s="19" t="s">
        <v>24</v>
      </c>
      <c r="I957" s="19" t="s">
        <v>18</v>
      </c>
      <c r="J957" s="19" t="s">
        <v>3224</v>
      </c>
      <c r="K957" s="19" t="s">
        <v>62</v>
      </c>
      <c r="L957" s="3" t="str">
        <f>HYPERLINK(VLOOKUP(C957,BAPs!$A$2:$C$1048576,3,FALSE),VLOOKUP(C957,BAPs!$A$2:$C$1048576,2,FALSE))</f>
        <v>9 out of 10</v>
      </c>
    </row>
    <row r="958" spans="1:12" hidden="1">
      <c r="A958" s="19" t="s">
        <v>3161</v>
      </c>
      <c r="B958" s="19" t="s">
        <v>3162</v>
      </c>
      <c r="C958" s="19" t="s">
        <v>3225</v>
      </c>
      <c r="D958" s="19" t="s">
        <v>3225</v>
      </c>
      <c r="E958" s="19" t="s">
        <v>3226</v>
      </c>
      <c r="F958" s="19" t="e">
        <f>MATCH(E958,#REF!,0)</f>
        <v>#REF!</v>
      </c>
      <c r="G958" s="19" t="s">
        <v>3227</v>
      </c>
      <c r="H958" s="19" t="s">
        <v>17</v>
      </c>
      <c r="I958" s="19" t="s">
        <v>18</v>
      </c>
      <c r="J958" s="19" t="s">
        <v>3228</v>
      </c>
      <c r="K958" s="19" t="s">
        <v>20</v>
      </c>
      <c r="L958" s="3" t="str">
        <f>HYPERLINK(VLOOKUP(C958,BAPs!$A$2:$C$1048576,3,FALSE),VLOOKUP(C958,BAPs!$A$2:$C$1048576,2,FALSE))</f>
        <v>7 out of 10</v>
      </c>
    </row>
    <row r="959" spans="1:12" hidden="1">
      <c r="A959" s="19" t="s">
        <v>3161</v>
      </c>
      <c r="B959" s="19" t="s">
        <v>3162</v>
      </c>
      <c r="C959" s="19" t="s">
        <v>3229</v>
      </c>
      <c r="D959" s="19" t="s">
        <v>3229</v>
      </c>
      <c r="E959" s="19" t="s">
        <v>3230</v>
      </c>
      <c r="F959" s="19" t="e">
        <f>MATCH(E959,#REF!,0)</f>
        <v>#REF!</v>
      </c>
      <c r="G959" s="19" t="s">
        <v>3231</v>
      </c>
      <c r="H959" s="19" t="s">
        <v>17</v>
      </c>
      <c r="I959" s="19"/>
      <c r="J959" s="19" t="s">
        <v>3232</v>
      </c>
      <c r="K959" s="19" t="s">
        <v>62</v>
      </c>
      <c r="L959" s="3" t="str">
        <f>HYPERLINK(VLOOKUP(C959,BAPs!$A$2:$C$1048576,3,FALSE),VLOOKUP(C959,BAPs!$A$2:$C$1048576,2,FALSE))</f>
        <v>9 out of 10</v>
      </c>
    </row>
    <row r="960" spans="1:12" hidden="1">
      <c r="A960" s="19" t="s">
        <v>3161</v>
      </c>
      <c r="B960" s="19" t="s">
        <v>3162</v>
      </c>
      <c r="C960" s="19" t="s">
        <v>3233</v>
      </c>
      <c r="D960" s="19" t="s">
        <v>3233</v>
      </c>
      <c r="E960" s="19" t="s">
        <v>3234</v>
      </c>
      <c r="F960" s="19" t="e">
        <f>MATCH(E960,#REF!,0)</f>
        <v>#REF!</v>
      </c>
      <c r="G960" s="19" t="s">
        <v>3235</v>
      </c>
      <c r="H960" s="19" t="s">
        <v>17</v>
      </c>
      <c r="I960" s="19" t="s">
        <v>18</v>
      </c>
      <c r="J960" s="19" t="s">
        <v>3236</v>
      </c>
      <c r="K960" s="19" t="s">
        <v>62</v>
      </c>
      <c r="L960" s="3" t="str">
        <f>HYPERLINK(VLOOKUP(C960,BAPs!$A$2:$C$1048576,3,FALSE),VLOOKUP(C960,BAPs!$A$2:$C$1048576,2,FALSE))</f>
        <v>9 out of 10</v>
      </c>
    </row>
    <row r="961" spans="1:12" hidden="1">
      <c r="A961" s="19" t="s">
        <v>3161</v>
      </c>
      <c r="B961" s="19" t="s">
        <v>3162</v>
      </c>
      <c r="C961" s="19" t="s">
        <v>3237</v>
      </c>
      <c r="D961" s="19" t="s">
        <v>3238</v>
      </c>
      <c r="E961" s="19" t="s">
        <v>3239</v>
      </c>
      <c r="F961" s="19" t="e">
        <f>MATCH(E961,#REF!,0)</f>
        <v>#REF!</v>
      </c>
      <c r="G961" s="19" t="s">
        <v>3240</v>
      </c>
      <c r="H961" s="19" t="s">
        <v>24</v>
      </c>
      <c r="I961" s="19" t="s">
        <v>18</v>
      </c>
      <c r="J961" s="19" t="s">
        <v>3241</v>
      </c>
      <c r="K961" s="19" t="s">
        <v>20</v>
      </c>
      <c r="L961" s="3" t="str">
        <f>HYPERLINK(VLOOKUP(C961,BAPs!$A$2:$C$1048576,3,FALSE),VLOOKUP(C961,BAPs!$A$2:$C$1048576,2,FALSE))</f>
        <v>5 out of 10</v>
      </c>
    </row>
    <row r="962" spans="1:12" hidden="1">
      <c r="A962" s="19" t="s">
        <v>3161</v>
      </c>
      <c r="B962" s="19" t="s">
        <v>3162</v>
      </c>
      <c r="C962" s="19" t="s">
        <v>3237</v>
      </c>
      <c r="D962" s="19" t="s">
        <v>3237</v>
      </c>
      <c r="E962" s="19" t="s">
        <v>3242</v>
      </c>
      <c r="F962" s="19" t="e">
        <f>MATCH(E962,#REF!,0)</f>
        <v>#REF!</v>
      </c>
      <c r="G962" s="19" t="s">
        <v>3243</v>
      </c>
      <c r="H962" s="19" t="s">
        <v>52</v>
      </c>
      <c r="I962" s="19"/>
      <c r="J962" s="19" t="s">
        <v>3241</v>
      </c>
      <c r="K962" s="19" t="s">
        <v>20</v>
      </c>
      <c r="L962" s="3" t="str">
        <f>HYPERLINK(VLOOKUP(C962,BAPs!$A$2:$C$1048576,3,FALSE),VLOOKUP(C962,BAPs!$A$2:$C$1048576,2,FALSE))</f>
        <v>5 out of 10</v>
      </c>
    </row>
    <row r="963" spans="1:12" hidden="1">
      <c r="A963" s="19" t="s">
        <v>3161</v>
      </c>
      <c r="B963" s="19" t="s">
        <v>3162</v>
      </c>
      <c r="C963" s="19" t="s">
        <v>3244</v>
      </c>
      <c r="D963" s="19" t="s">
        <v>3244</v>
      </c>
      <c r="E963" s="19" t="s">
        <v>3245</v>
      </c>
      <c r="F963" s="19" t="e">
        <f>MATCH(E963,#REF!,0)</f>
        <v>#REF!</v>
      </c>
      <c r="G963" s="19" t="s">
        <v>3246</v>
      </c>
      <c r="H963" s="19" t="s">
        <v>24</v>
      </c>
      <c r="I963" s="19" t="s">
        <v>18</v>
      </c>
      <c r="J963" s="19" t="s">
        <v>3247</v>
      </c>
      <c r="K963" s="19" t="s">
        <v>62</v>
      </c>
      <c r="L963" s="3" t="str">
        <f>HYPERLINK(VLOOKUP(C963,BAPs!$A$2:$C$1048576,3,FALSE),VLOOKUP(C963,BAPs!$A$2:$C$1048576,2,FALSE))</f>
        <v>9 out of 10</v>
      </c>
    </row>
    <row r="964" spans="1:12" hidden="1">
      <c r="A964" s="19" t="s">
        <v>3161</v>
      </c>
      <c r="B964" s="19" t="s">
        <v>3162</v>
      </c>
      <c r="C964" s="19" t="s">
        <v>3248</v>
      </c>
      <c r="D964" s="19" t="s">
        <v>3248</v>
      </c>
      <c r="E964" s="19" t="s">
        <v>3249</v>
      </c>
      <c r="F964" s="19" t="e">
        <f>MATCH(E964,#REF!,0)</f>
        <v>#REF!</v>
      </c>
      <c r="G964" s="19" t="s">
        <v>3250</v>
      </c>
      <c r="H964" s="19" t="s">
        <v>24</v>
      </c>
      <c r="I964" s="19" t="s">
        <v>18</v>
      </c>
      <c r="J964" s="19" t="s">
        <v>3251</v>
      </c>
      <c r="K964" s="19" t="s">
        <v>62</v>
      </c>
      <c r="L964" s="3" t="str">
        <f>HYPERLINK(VLOOKUP(C964,BAPs!$A$2:$C$1048576,3,FALSE),VLOOKUP(C964,BAPs!$A$2:$C$1048576,2,FALSE))</f>
        <v>9 out of 10</v>
      </c>
    </row>
    <row r="965" spans="1:12" hidden="1">
      <c r="A965" s="19" t="s">
        <v>3161</v>
      </c>
      <c r="B965" s="19" t="s">
        <v>3162</v>
      </c>
      <c r="C965" s="19" t="s">
        <v>3252</v>
      </c>
      <c r="D965" s="19" t="s">
        <v>3252</v>
      </c>
      <c r="E965" s="19" t="s">
        <v>3253</v>
      </c>
      <c r="F965" s="19" t="e">
        <f>MATCH(E965,#REF!,0)</f>
        <v>#REF!</v>
      </c>
      <c r="G965" s="19" t="s">
        <v>3254</v>
      </c>
      <c r="H965" s="19" t="s">
        <v>24</v>
      </c>
      <c r="I965" s="19"/>
      <c r="J965" s="19" t="s">
        <v>3255</v>
      </c>
      <c r="K965" s="19" t="s">
        <v>62</v>
      </c>
      <c r="L965" s="3" t="str">
        <f>HYPERLINK(VLOOKUP(C965,BAPs!$A$2:$C$1048576,3,FALSE),VLOOKUP(C965,BAPs!$A$2:$C$1048576,2,FALSE))</f>
        <v>9 out of 10</v>
      </c>
    </row>
    <row r="966" spans="1:12" hidden="1">
      <c r="A966" s="19" t="s">
        <v>3161</v>
      </c>
      <c r="B966" s="19" t="s">
        <v>3162</v>
      </c>
      <c r="C966" s="19" t="s">
        <v>3256</v>
      </c>
      <c r="D966" s="19" t="s">
        <v>3256</v>
      </c>
      <c r="E966" s="19" t="s">
        <v>3257</v>
      </c>
      <c r="F966" s="19" t="e">
        <f>MATCH(E966,#REF!,0)</f>
        <v>#REF!</v>
      </c>
      <c r="G966" s="19" t="s">
        <v>3258</v>
      </c>
      <c r="H966" s="19" t="s">
        <v>52</v>
      </c>
      <c r="I966" s="19"/>
      <c r="J966" s="19" t="s">
        <v>3259</v>
      </c>
      <c r="K966" s="19" t="s">
        <v>62</v>
      </c>
      <c r="L966" s="3" t="str">
        <f>HYPERLINK(VLOOKUP(C966,BAPs!$A$2:$C$1048576,3,FALSE),VLOOKUP(C966,BAPs!$A$2:$C$1048576,2,FALSE))</f>
        <v>9 out of 10</v>
      </c>
    </row>
    <row r="967" spans="1:12" hidden="1">
      <c r="A967" s="19" t="s">
        <v>3161</v>
      </c>
      <c r="B967" s="19" t="s">
        <v>3162</v>
      </c>
      <c r="C967" s="19" t="s">
        <v>3260</v>
      </c>
      <c r="D967" s="19" t="s">
        <v>3260</v>
      </c>
      <c r="E967" s="19" t="s">
        <v>3261</v>
      </c>
      <c r="F967" s="19" t="e">
        <f>MATCH(E967,#REF!,0)</f>
        <v>#REF!</v>
      </c>
      <c r="G967" s="19" t="s">
        <v>3262</v>
      </c>
      <c r="H967" s="19" t="s">
        <v>17</v>
      </c>
      <c r="I967" s="19" t="s">
        <v>18</v>
      </c>
      <c r="J967" s="19" t="s">
        <v>3263</v>
      </c>
      <c r="K967" s="19" t="s">
        <v>62</v>
      </c>
      <c r="L967" s="3" t="str">
        <f>HYPERLINK(VLOOKUP(C967,BAPs!$A$2:$C$1048576,3,FALSE),VLOOKUP(C967,BAPs!$A$2:$C$1048576,2,FALSE))</f>
        <v>9 out of 10</v>
      </c>
    </row>
    <row r="968" spans="1:12" hidden="1">
      <c r="A968" s="19" t="s">
        <v>3161</v>
      </c>
      <c r="B968" s="19" t="s">
        <v>3162</v>
      </c>
      <c r="C968" s="19" t="s">
        <v>3264</v>
      </c>
      <c r="D968" s="19" t="s">
        <v>3264</v>
      </c>
      <c r="E968" s="19" t="s">
        <v>3265</v>
      </c>
      <c r="F968" s="19" t="e">
        <f>MATCH(E968,#REF!,0)</f>
        <v>#REF!</v>
      </c>
      <c r="G968" s="19" t="s">
        <v>3266</v>
      </c>
      <c r="H968" s="19" t="s">
        <v>17</v>
      </c>
      <c r="I968" s="19" t="s">
        <v>18</v>
      </c>
      <c r="J968" s="19" t="s">
        <v>3267</v>
      </c>
      <c r="K968" s="19" t="s">
        <v>62</v>
      </c>
      <c r="L968" s="3" t="str">
        <f>HYPERLINK(VLOOKUP(C968,BAPs!$A$2:$C$1048576,3,FALSE),VLOOKUP(C968,BAPs!$A$2:$C$1048576,2,FALSE))</f>
        <v>9 out of 10</v>
      </c>
    </row>
    <row r="969" spans="1:12" hidden="1">
      <c r="A969" s="19" t="s">
        <v>3161</v>
      </c>
      <c r="B969" s="19" t="s">
        <v>3162</v>
      </c>
      <c r="C969" s="19" t="s">
        <v>3268</v>
      </c>
      <c r="D969" s="19" t="s">
        <v>3268</v>
      </c>
      <c r="E969" s="19" t="s">
        <v>3269</v>
      </c>
      <c r="F969" s="19" t="e">
        <f>MATCH(E969,#REF!,0)</f>
        <v>#REF!</v>
      </c>
      <c r="G969" s="19" t="s">
        <v>3270</v>
      </c>
      <c r="H969" s="19" t="s">
        <v>17</v>
      </c>
      <c r="I969" s="19" t="s">
        <v>18</v>
      </c>
      <c r="J969" s="19" t="s">
        <v>3271</v>
      </c>
      <c r="K969" s="19" t="s">
        <v>62</v>
      </c>
      <c r="L969" s="3" t="str">
        <f>HYPERLINK(VLOOKUP(C969,BAPs!$A$2:$C$1048576,3,FALSE),VLOOKUP(C969,BAPs!$A$2:$C$1048576,2,FALSE))</f>
        <v>9 out of 10</v>
      </c>
    </row>
    <row r="970" spans="1:12" hidden="1">
      <c r="A970" s="19" t="s">
        <v>3161</v>
      </c>
      <c r="B970" s="19" t="s">
        <v>3162</v>
      </c>
      <c r="C970" s="19" t="s">
        <v>3272</v>
      </c>
      <c r="D970" s="19" t="s">
        <v>3272</v>
      </c>
      <c r="E970" s="19" t="s">
        <v>3273</v>
      </c>
      <c r="F970" s="19" t="e">
        <f>MATCH(E970,#REF!,0)</f>
        <v>#REF!</v>
      </c>
      <c r="G970" s="19" t="s">
        <v>3274</v>
      </c>
      <c r="H970" s="19" t="s">
        <v>17</v>
      </c>
      <c r="I970" s="19" t="s">
        <v>18</v>
      </c>
      <c r="J970" s="19" t="s">
        <v>3275</v>
      </c>
      <c r="K970" s="19" t="s">
        <v>20</v>
      </c>
      <c r="L970" s="3" t="str">
        <f>HYPERLINK(VLOOKUP(C970,BAPs!$A$2:$C$1048576,3,FALSE),VLOOKUP(C970,BAPs!$A$2:$C$1048576,2,FALSE))</f>
        <v>5 out of 10</v>
      </c>
    </row>
    <row r="971" spans="1:12" hidden="1">
      <c r="A971" s="19" t="s">
        <v>3161</v>
      </c>
      <c r="B971" s="19" t="s">
        <v>3162</v>
      </c>
      <c r="C971" s="19" t="s">
        <v>3276</v>
      </c>
      <c r="D971" s="19" t="s">
        <v>3238</v>
      </c>
      <c r="E971" s="19" t="s">
        <v>3239</v>
      </c>
      <c r="F971" s="19" t="e">
        <f>MATCH(E971,#REF!,0)</f>
        <v>#REF!</v>
      </c>
      <c r="G971" s="19" t="s">
        <v>3240</v>
      </c>
      <c r="H971" s="19" t="s">
        <v>24</v>
      </c>
      <c r="I971" s="19" t="s">
        <v>18</v>
      </c>
      <c r="J971" s="19" t="s">
        <v>3277</v>
      </c>
      <c r="K971" s="19" t="s">
        <v>62</v>
      </c>
      <c r="L971" s="3" t="str">
        <f>HYPERLINK(VLOOKUP(C971,BAPs!$A$2:$C$1048576,3,FALSE),VLOOKUP(C971,BAPs!$A$2:$C$1048576,2,FALSE))</f>
        <v>10 out of 10</v>
      </c>
    </row>
    <row r="972" spans="1:12" hidden="1">
      <c r="A972" s="19" t="s">
        <v>3161</v>
      </c>
      <c r="B972" s="19" t="s">
        <v>3162</v>
      </c>
      <c r="C972" s="19" t="s">
        <v>3276</v>
      </c>
      <c r="D972" s="19" t="s">
        <v>3276</v>
      </c>
      <c r="E972" s="19" t="s">
        <v>3278</v>
      </c>
      <c r="F972" s="19" t="e">
        <f>MATCH(E972,#REF!,0)</f>
        <v>#REF!</v>
      </c>
      <c r="G972" s="19" t="s">
        <v>3279</v>
      </c>
      <c r="H972" s="19" t="s">
        <v>17</v>
      </c>
      <c r="I972" s="19" t="s">
        <v>18</v>
      </c>
      <c r="J972" s="19" t="s">
        <v>3277</v>
      </c>
      <c r="K972" s="19" t="s">
        <v>62</v>
      </c>
      <c r="L972" s="3" t="str">
        <f>HYPERLINK(VLOOKUP(C972,BAPs!$A$2:$C$1048576,3,FALSE),VLOOKUP(C972,BAPs!$A$2:$C$1048576,2,FALSE))</f>
        <v>10 out of 10</v>
      </c>
    </row>
    <row r="973" spans="1:12" hidden="1">
      <c r="A973" s="19" t="s">
        <v>3161</v>
      </c>
      <c r="B973" s="19" t="s">
        <v>3162</v>
      </c>
      <c r="C973" s="19" t="s">
        <v>3280</v>
      </c>
      <c r="D973" s="19" t="s">
        <v>3281</v>
      </c>
      <c r="E973" s="19" t="s">
        <v>3282</v>
      </c>
      <c r="F973" s="19" t="e">
        <f>MATCH(E973,#REF!,0)</f>
        <v>#REF!</v>
      </c>
      <c r="G973" s="19" t="s">
        <v>3283</v>
      </c>
      <c r="H973" s="19" t="s">
        <v>17</v>
      </c>
      <c r="I973" s="19" t="s">
        <v>18</v>
      </c>
      <c r="J973" s="19" t="s">
        <v>3284</v>
      </c>
      <c r="K973" s="19" t="s">
        <v>62</v>
      </c>
      <c r="L973" s="3" t="str">
        <f>HYPERLINK(VLOOKUP(C973,BAPs!$A$2:$C$1048576,3,FALSE),VLOOKUP(C973,BAPs!$A$2:$C$1048576,2,FALSE))</f>
        <v>10 out of 10</v>
      </c>
    </row>
    <row r="974" spans="1:12" hidden="1">
      <c r="A974" s="19" t="s">
        <v>3161</v>
      </c>
      <c r="B974" s="19" t="s">
        <v>3162</v>
      </c>
      <c r="C974" s="19" t="s">
        <v>3285</v>
      </c>
      <c r="D974" s="19" t="s">
        <v>3286</v>
      </c>
      <c r="E974" s="19" t="s">
        <v>3287</v>
      </c>
      <c r="F974" s="19" t="e">
        <f>MATCH(E974,#REF!,0)</f>
        <v>#REF!</v>
      </c>
      <c r="G974" s="19" t="s">
        <v>3288</v>
      </c>
      <c r="H974" s="19" t="s">
        <v>24</v>
      </c>
      <c r="I974" s="19"/>
      <c r="J974" s="19" t="s">
        <v>3289</v>
      </c>
      <c r="K974" s="19" t="s">
        <v>62</v>
      </c>
      <c r="L974" s="3" t="str">
        <f>HYPERLINK(VLOOKUP(C974,BAPs!$A$2:$C$1048576,3,FALSE),VLOOKUP(C974,BAPs!$A$2:$C$1048576,2,FALSE))</f>
        <v>10 out of 10</v>
      </c>
    </row>
    <row r="975" spans="1:12" hidden="1">
      <c r="A975" s="19" t="s">
        <v>3161</v>
      </c>
      <c r="B975" s="19" t="s">
        <v>3162</v>
      </c>
      <c r="C975" s="19" t="s">
        <v>3285</v>
      </c>
      <c r="D975" s="19" t="s">
        <v>3174</v>
      </c>
      <c r="E975" s="19" t="s">
        <v>3175</v>
      </c>
      <c r="F975" s="19" t="e">
        <f>MATCH(E975,#REF!,0)</f>
        <v>#REF!</v>
      </c>
      <c r="G975" s="19" t="s">
        <v>3176</v>
      </c>
      <c r="H975" s="19" t="s">
        <v>43</v>
      </c>
      <c r="I975" s="19"/>
      <c r="J975" s="19" t="s">
        <v>3289</v>
      </c>
      <c r="K975" s="19" t="s">
        <v>62</v>
      </c>
      <c r="L975" s="3" t="str">
        <f>HYPERLINK(VLOOKUP(C975,BAPs!$A$2:$C$1048576,3,FALSE),VLOOKUP(C975,BAPs!$A$2:$C$1048576,2,FALSE))</f>
        <v>10 out of 10</v>
      </c>
    </row>
    <row r="976" spans="1:12" hidden="1">
      <c r="A976" s="19" t="s">
        <v>3161</v>
      </c>
      <c r="B976" s="19" t="s">
        <v>3162</v>
      </c>
      <c r="C976" s="19" t="s">
        <v>3290</v>
      </c>
      <c r="D976" s="19" t="s">
        <v>3174</v>
      </c>
      <c r="E976" s="19" t="s">
        <v>3175</v>
      </c>
      <c r="F976" s="19" t="e">
        <f>MATCH(E976,#REF!,0)</f>
        <v>#REF!</v>
      </c>
      <c r="G976" s="19" t="s">
        <v>3176</v>
      </c>
      <c r="H976" s="19" t="s">
        <v>43</v>
      </c>
      <c r="I976" s="19"/>
      <c r="J976" s="19" t="s">
        <v>3291</v>
      </c>
      <c r="K976" s="19" t="s">
        <v>62</v>
      </c>
      <c r="L976" s="3" t="str">
        <f>HYPERLINK(VLOOKUP(C976,BAPs!$A$2:$C$1048576,3,FALSE),VLOOKUP(C976,BAPs!$A$2:$C$1048576,2,FALSE))</f>
        <v>10 out of 10</v>
      </c>
    </row>
    <row r="977" spans="1:12" hidden="1">
      <c r="A977" s="19" t="s">
        <v>3161</v>
      </c>
      <c r="B977" s="19" t="s">
        <v>3162</v>
      </c>
      <c r="C977" s="19" t="s">
        <v>3290</v>
      </c>
      <c r="D977" s="19" t="s">
        <v>3292</v>
      </c>
      <c r="E977" s="19" t="s">
        <v>3293</v>
      </c>
      <c r="F977" s="19" t="e">
        <f>MATCH(E977,#REF!,0)</f>
        <v>#REF!</v>
      </c>
      <c r="G977" s="19" t="s">
        <v>3294</v>
      </c>
      <c r="H977" s="19" t="s">
        <v>17</v>
      </c>
      <c r="I977" s="19" t="s">
        <v>18</v>
      </c>
      <c r="J977" s="19" t="s">
        <v>3291</v>
      </c>
      <c r="K977" s="19" t="s">
        <v>62</v>
      </c>
      <c r="L977" s="3" t="str">
        <f>HYPERLINK(VLOOKUP(C977,BAPs!$A$2:$C$1048576,3,FALSE),VLOOKUP(C977,BAPs!$A$2:$C$1048576,2,FALSE))</f>
        <v>10 out of 10</v>
      </c>
    </row>
    <row r="978" spans="1:12" hidden="1">
      <c r="A978" s="19" t="s">
        <v>3161</v>
      </c>
      <c r="B978" s="19" t="s">
        <v>3162</v>
      </c>
      <c r="C978" s="19" t="s">
        <v>3295</v>
      </c>
      <c r="D978" s="19" t="s">
        <v>3296</v>
      </c>
      <c r="E978" s="19" t="s">
        <v>3297</v>
      </c>
      <c r="F978" s="19" t="e">
        <f>MATCH(E978,#REF!,0)</f>
        <v>#REF!</v>
      </c>
      <c r="G978" s="19" t="s">
        <v>3298</v>
      </c>
      <c r="H978" s="19" t="s">
        <v>17</v>
      </c>
      <c r="I978" s="19"/>
      <c r="J978" s="19" t="s">
        <v>3299</v>
      </c>
      <c r="K978" s="19" t="s">
        <v>62</v>
      </c>
      <c r="L978" s="3" t="str">
        <f>HYPERLINK(VLOOKUP(C978,BAPs!$A$2:$C$1048576,3,FALSE),VLOOKUP(C978,BAPs!$A$2:$C$1048576,2,FALSE))</f>
        <v>10 out of 10</v>
      </c>
    </row>
    <row r="979" spans="1:12" hidden="1">
      <c r="A979" s="19" t="s">
        <v>3161</v>
      </c>
      <c r="B979" s="19" t="s">
        <v>3162</v>
      </c>
      <c r="C979" s="19" t="s">
        <v>3300</v>
      </c>
      <c r="D979" s="19" t="s">
        <v>3301</v>
      </c>
      <c r="E979" s="19" t="s">
        <v>3302</v>
      </c>
      <c r="F979" s="19" t="e">
        <f>MATCH(E979,#REF!,0)</f>
        <v>#REF!</v>
      </c>
      <c r="G979" s="19" t="s">
        <v>3303</v>
      </c>
      <c r="H979" s="19" t="s">
        <v>43</v>
      </c>
      <c r="I979" s="19"/>
      <c r="J979" s="19" t="s">
        <v>3304</v>
      </c>
      <c r="K979" s="19" t="s">
        <v>62</v>
      </c>
      <c r="L979" s="3" t="str">
        <f>HYPERLINK(VLOOKUP(C979,BAPs!$A$2:$C$1048576,3,FALSE),VLOOKUP(C979,BAPs!$A$2:$C$1048576,2,FALSE))</f>
        <v>10 out of 10</v>
      </c>
    </row>
    <row r="980" spans="1:12" hidden="1">
      <c r="A980" s="19" t="s">
        <v>3161</v>
      </c>
      <c r="B980" s="19" t="s">
        <v>3162</v>
      </c>
      <c r="C980" s="19" t="s">
        <v>3300</v>
      </c>
      <c r="D980" s="19" t="s">
        <v>3300</v>
      </c>
      <c r="E980" s="19" t="s">
        <v>3305</v>
      </c>
      <c r="F980" s="19" t="e">
        <f>MATCH(E980,#REF!,0)</f>
        <v>#REF!</v>
      </c>
      <c r="G980" s="19" t="s">
        <v>3306</v>
      </c>
      <c r="H980" s="19" t="s">
        <v>17</v>
      </c>
      <c r="I980" s="19" t="s">
        <v>18</v>
      </c>
      <c r="J980" s="19" t="s">
        <v>3304</v>
      </c>
      <c r="K980" s="19" t="s">
        <v>62</v>
      </c>
      <c r="L980" s="3" t="str">
        <f>HYPERLINK(VLOOKUP(C980,BAPs!$A$2:$C$1048576,3,FALSE),VLOOKUP(C980,BAPs!$A$2:$C$1048576,2,FALSE))</f>
        <v>10 out of 10</v>
      </c>
    </row>
    <row r="981" spans="1:12" hidden="1">
      <c r="A981" s="19" t="s">
        <v>3161</v>
      </c>
      <c r="B981" s="19" t="s">
        <v>3162</v>
      </c>
      <c r="C981" s="19" t="s">
        <v>3307</v>
      </c>
      <c r="D981" s="19" t="s">
        <v>3308</v>
      </c>
      <c r="E981" s="19" t="s">
        <v>3309</v>
      </c>
      <c r="F981" s="19" t="e">
        <f>MATCH(E981,#REF!,0)</f>
        <v>#REF!</v>
      </c>
      <c r="G981" s="19" t="s">
        <v>3310</v>
      </c>
      <c r="H981" s="19" t="s">
        <v>17</v>
      </c>
      <c r="I981" s="19" t="s">
        <v>18</v>
      </c>
      <c r="J981" s="19" t="s">
        <v>3311</v>
      </c>
      <c r="K981" s="19" t="s">
        <v>62</v>
      </c>
      <c r="L981" s="3" t="str">
        <f>HYPERLINK(VLOOKUP(C981,BAPs!$A$2:$C$1048576,3,FALSE),VLOOKUP(C981,BAPs!$A$2:$C$1048576,2,FALSE))</f>
        <v>10 out of 10</v>
      </c>
    </row>
    <row r="982" spans="1:12" hidden="1">
      <c r="A982" s="19" t="s">
        <v>3161</v>
      </c>
      <c r="B982" s="19" t="s">
        <v>3162</v>
      </c>
      <c r="C982" s="19" t="s">
        <v>3312</v>
      </c>
      <c r="D982" s="19" t="s">
        <v>3301</v>
      </c>
      <c r="E982" s="19" t="s">
        <v>3302</v>
      </c>
      <c r="F982" s="19" t="e">
        <f>MATCH(E982,#REF!,0)</f>
        <v>#REF!</v>
      </c>
      <c r="G982" s="19" t="s">
        <v>3303</v>
      </c>
      <c r="H982" s="19" t="s">
        <v>43</v>
      </c>
      <c r="I982" s="19"/>
      <c r="J982" s="19" t="s">
        <v>3313</v>
      </c>
      <c r="K982" s="19" t="s">
        <v>62</v>
      </c>
      <c r="L982" s="3" t="str">
        <f>HYPERLINK(VLOOKUP(C982,BAPs!$A$2:$C$1048576,3,FALSE),VLOOKUP(C982,BAPs!$A$2:$C$1048576,2,FALSE))</f>
        <v>10 out of 10</v>
      </c>
    </row>
    <row r="983" spans="1:12" hidden="1">
      <c r="A983" s="19" t="s">
        <v>3161</v>
      </c>
      <c r="B983" s="19" t="s">
        <v>3162</v>
      </c>
      <c r="C983" s="19" t="s">
        <v>3312</v>
      </c>
      <c r="D983" s="19" t="s">
        <v>3312</v>
      </c>
      <c r="E983" s="19" t="s">
        <v>3314</v>
      </c>
      <c r="F983" s="19" t="e">
        <f>MATCH(E983,#REF!,0)</f>
        <v>#REF!</v>
      </c>
      <c r="G983" s="19" t="s">
        <v>3315</v>
      </c>
      <c r="H983" s="19" t="s">
        <v>52</v>
      </c>
      <c r="I983" s="19"/>
      <c r="J983" s="19" t="s">
        <v>3313</v>
      </c>
      <c r="K983" s="19" t="s">
        <v>62</v>
      </c>
      <c r="L983" s="3" t="str">
        <f>HYPERLINK(VLOOKUP(C983,BAPs!$A$2:$C$1048576,3,FALSE),VLOOKUP(C983,BAPs!$A$2:$C$1048576,2,FALSE))</f>
        <v>10 out of 10</v>
      </c>
    </row>
    <row r="984" spans="1:12" hidden="1">
      <c r="A984" s="19" t="s">
        <v>3161</v>
      </c>
      <c r="B984" s="19" t="s">
        <v>3162</v>
      </c>
      <c r="C984" s="19" t="s">
        <v>3316</v>
      </c>
      <c r="D984" s="19" t="s">
        <v>3317</v>
      </c>
      <c r="E984" s="19" t="s">
        <v>3318</v>
      </c>
      <c r="F984" s="19" t="e">
        <f>MATCH(E984,#REF!,0)</f>
        <v>#REF!</v>
      </c>
      <c r="G984" s="19" t="s">
        <v>3319</v>
      </c>
      <c r="H984" s="19" t="s">
        <v>17</v>
      </c>
      <c r="I984" s="19"/>
      <c r="J984" s="19" t="s">
        <v>3320</v>
      </c>
      <c r="K984" s="19" t="s">
        <v>62</v>
      </c>
      <c r="L984" s="3" t="str">
        <f>HYPERLINK(VLOOKUP(C984,BAPs!$A$2:$C$1048576,3,FALSE),VLOOKUP(C984,BAPs!$A$2:$C$1048576,2,FALSE))</f>
        <v>10 out of 10</v>
      </c>
    </row>
    <row r="985" spans="1:12" hidden="1">
      <c r="A985" s="19" t="s">
        <v>3161</v>
      </c>
      <c r="B985" s="19" t="s">
        <v>3162</v>
      </c>
      <c r="C985" s="19" t="s">
        <v>3321</v>
      </c>
      <c r="D985" s="19" t="s">
        <v>3322</v>
      </c>
      <c r="E985" s="19" t="s">
        <v>3323</v>
      </c>
      <c r="F985" s="19" t="e">
        <f>MATCH(E985,#REF!,0)</f>
        <v>#REF!</v>
      </c>
      <c r="G985" s="19" t="s">
        <v>3324</v>
      </c>
      <c r="H985" s="19" t="s">
        <v>17</v>
      </c>
      <c r="I985" s="19"/>
      <c r="J985" s="19" t="s">
        <v>3325</v>
      </c>
      <c r="K985" s="19" t="s">
        <v>62</v>
      </c>
      <c r="L985" s="3" t="str">
        <f>HYPERLINK(VLOOKUP(C985,BAPs!$A$2:$C$1048576,3,FALSE),VLOOKUP(C985,BAPs!$A$2:$C$1048576,2,FALSE))</f>
        <v>10 out of 10</v>
      </c>
    </row>
    <row r="986" spans="1:12" hidden="1">
      <c r="A986" s="19" t="s">
        <v>3161</v>
      </c>
      <c r="B986" s="19" t="s">
        <v>3162</v>
      </c>
      <c r="C986" s="19" t="s">
        <v>3321</v>
      </c>
      <c r="D986" s="19" t="s">
        <v>3301</v>
      </c>
      <c r="E986" s="19" t="s">
        <v>3302</v>
      </c>
      <c r="F986" s="19" t="e">
        <f>MATCH(E986,#REF!,0)</f>
        <v>#REF!</v>
      </c>
      <c r="G986" s="19" t="s">
        <v>3303</v>
      </c>
      <c r="H986" s="19" t="s">
        <v>43</v>
      </c>
      <c r="I986" s="19"/>
      <c r="J986" s="19" t="s">
        <v>3325</v>
      </c>
      <c r="K986" s="19" t="s">
        <v>62</v>
      </c>
      <c r="L986" s="3" t="str">
        <f>HYPERLINK(VLOOKUP(C986,BAPs!$A$2:$C$1048576,3,FALSE),VLOOKUP(C986,BAPs!$A$2:$C$1048576,2,FALSE))</f>
        <v>10 out of 10</v>
      </c>
    </row>
    <row r="987" spans="1:12" hidden="1">
      <c r="A987" s="19" t="s">
        <v>3161</v>
      </c>
      <c r="B987" s="19" t="s">
        <v>3162</v>
      </c>
      <c r="C987" s="19" t="s">
        <v>3326</v>
      </c>
      <c r="D987" s="19" t="s">
        <v>3301</v>
      </c>
      <c r="E987" s="19" t="s">
        <v>3302</v>
      </c>
      <c r="F987" s="19" t="e">
        <f>MATCH(E987,#REF!,0)</f>
        <v>#REF!</v>
      </c>
      <c r="G987" s="19" t="s">
        <v>3303</v>
      </c>
      <c r="H987" s="19" t="s">
        <v>43</v>
      </c>
      <c r="I987" s="19"/>
      <c r="J987" s="19" t="s">
        <v>3327</v>
      </c>
      <c r="K987" s="19" t="s">
        <v>62</v>
      </c>
      <c r="L987" s="3" t="str">
        <f>HYPERLINK(VLOOKUP(C987,BAPs!$A$2:$C$1048576,3,FALSE),VLOOKUP(C987,BAPs!$A$2:$C$1048576,2,FALSE))</f>
        <v>10 out of 10</v>
      </c>
    </row>
    <row r="988" spans="1:12" hidden="1">
      <c r="A988" s="19" t="s">
        <v>3161</v>
      </c>
      <c r="B988" s="19" t="s">
        <v>3162</v>
      </c>
      <c r="C988" s="19" t="s">
        <v>3326</v>
      </c>
      <c r="D988" s="19" t="s">
        <v>3326</v>
      </c>
      <c r="E988" s="19" t="s">
        <v>3328</v>
      </c>
      <c r="F988" s="19" t="e">
        <f>MATCH(E988,#REF!,0)</f>
        <v>#REF!</v>
      </c>
      <c r="G988" s="19" t="s">
        <v>3329</v>
      </c>
      <c r="H988" s="19" t="s">
        <v>52</v>
      </c>
      <c r="I988" s="19"/>
      <c r="J988" s="19" t="s">
        <v>3327</v>
      </c>
      <c r="K988" s="19" t="s">
        <v>62</v>
      </c>
      <c r="L988" s="3" t="str">
        <f>HYPERLINK(VLOOKUP(C988,BAPs!$A$2:$C$1048576,3,FALSE),VLOOKUP(C988,BAPs!$A$2:$C$1048576,2,FALSE))</f>
        <v>10 out of 10</v>
      </c>
    </row>
    <row r="989" spans="1:12" hidden="1">
      <c r="A989" s="19" t="s">
        <v>3161</v>
      </c>
      <c r="B989" s="19" t="s">
        <v>3162</v>
      </c>
      <c r="C989" s="19" t="s">
        <v>3330</v>
      </c>
      <c r="D989" s="19" t="s">
        <v>3301</v>
      </c>
      <c r="E989" s="19" t="s">
        <v>3302</v>
      </c>
      <c r="F989" s="19" t="e">
        <f>MATCH(E989,#REF!,0)</f>
        <v>#REF!</v>
      </c>
      <c r="G989" s="19" t="s">
        <v>3303</v>
      </c>
      <c r="H989" s="19" t="s">
        <v>43</v>
      </c>
      <c r="I989" s="19"/>
      <c r="J989" s="19" t="s">
        <v>3331</v>
      </c>
      <c r="K989" s="19" t="s">
        <v>20</v>
      </c>
      <c r="L989" s="3" t="str">
        <f>HYPERLINK(VLOOKUP(C989,BAPs!$A$2:$C$1048576,3,FALSE),VLOOKUP(C989,BAPs!$A$2:$C$1048576,2,FALSE))</f>
        <v>8 out of 10</v>
      </c>
    </row>
    <row r="990" spans="1:12" hidden="1">
      <c r="A990" s="19" t="s">
        <v>3161</v>
      </c>
      <c r="B990" s="19" t="s">
        <v>3162</v>
      </c>
      <c r="C990" s="19" t="s">
        <v>3330</v>
      </c>
      <c r="D990" s="19" t="s">
        <v>3330</v>
      </c>
      <c r="E990" s="19" t="s">
        <v>3332</v>
      </c>
      <c r="F990" s="19" t="e">
        <f>MATCH(E990,#REF!,0)</f>
        <v>#REF!</v>
      </c>
      <c r="G990" s="19" t="s">
        <v>3333</v>
      </c>
      <c r="H990" s="19" t="s">
        <v>56</v>
      </c>
      <c r="I990" s="19"/>
      <c r="J990" s="19" t="s">
        <v>3331</v>
      </c>
      <c r="K990" s="19" t="s">
        <v>20</v>
      </c>
      <c r="L990" s="3" t="str">
        <f>HYPERLINK(VLOOKUP(C990,BAPs!$A$2:$C$1048576,3,FALSE),VLOOKUP(C990,BAPs!$A$2:$C$1048576,2,FALSE))</f>
        <v>8 out of 10</v>
      </c>
    </row>
    <row r="991" spans="1:12" hidden="1">
      <c r="A991" s="19" t="s">
        <v>3161</v>
      </c>
      <c r="B991" s="19" t="s">
        <v>3162</v>
      </c>
      <c r="C991" s="19" t="s">
        <v>3334</v>
      </c>
      <c r="D991" s="19" t="s">
        <v>3334</v>
      </c>
      <c r="E991" s="19" t="s">
        <v>3335</v>
      </c>
      <c r="F991" s="19" t="e">
        <f>MATCH(E991,#REF!,0)</f>
        <v>#REF!</v>
      </c>
      <c r="G991" s="19" t="s">
        <v>3336</v>
      </c>
      <c r="H991" s="19" t="s">
        <v>56</v>
      </c>
      <c r="I991" s="19"/>
      <c r="J991" s="19" t="s">
        <v>3337</v>
      </c>
      <c r="K991" s="19" t="s">
        <v>62</v>
      </c>
      <c r="L991" s="3" t="str">
        <f>HYPERLINK(VLOOKUP(C991,BAPs!$A$2:$C$1048576,3,FALSE),VLOOKUP(C991,BAPs!$A$2:$C$1048576,2,FALSE))</f>
        <v>10 out of 10</v>
      </c>
    </row>
    <row r="992" spans="1:12" hidden="1">
      <c r="A992" s="19" t="s">
        <v>3161</v>
      </c>
      <c r="B992" s="19" t="s">
        <v>3162</v>
      </c>
      <c r="C992" s="19" t="s">
        <v>3334</v>
      </c>
      <c r="D992" s="19" t="s">
        <v>3338</v>
      </c>
      <c r="E992" s="19" t="s">
        <v>3339</v>
      </c>
      <c r="F992" s="19" t="e">
        <f>MATCH(E992,#REF!,0)</f>
        <v>#REF!</v>
      </c>
      <c r="G992" s="19" t="s">
        <v>3340</v>
      </c>
      <c r="H992" s="19" t="s">
        <v>56</v>
      </c>
      <c r="I992" s="19"/>
      <c r="J992" s="19" t="s">
        <v>3337</v>
      </c>
      <c r="K992" s="19" t="s">
        <v>62</v>
      </c>
      <c r="L992" s="3" t="str">
        <f>HYPERLINK(VLOOKUP(C992,BAPs!$A$2:$C$1048576,3,FALSE),VLOOKUP(C992,BAPs!$A$2:$C$1048576,2,FALSE))</f>
        <v>10 out of 10</v>
      </c>
    </row>
    <row r="993" spans="1:12" hidden="1">
      <c r="A993" s="19" t="s">
        <v>3161</v>
      </c>
      <c r="B993" s="19" t="s">
        <v>3162</v>
      </c>
      <c r="C993" s="19" t="s">
        <v>3341</v>
      </c>
      <c r="D993" s="19" t="s">
        <v>3341</v>
      </c>
      <c r="E993" s="19" t="s">
        <v>3342</v>
      </c>
      <c r="F993" s="19" t="e">
        <f>MATCH(E993,#REF!,0)</f>
        <v>#REF!</v>
      </c>
      <c r="G993" s="19" t="s">
        <v>3343</v>
      </c>
      <c r="H993" s="19" t="s">
        <v>56</v>
      </c>
      <c r="I993" s="19"/>
      <c r="J993" s="19" t="s">
        <v>3344</v>
      </c>
      <c r="K993" s="19" t="s">
        <v>62</v>
      </c>
      <c r="L993" s="3" t="str">
        <f>HYPERLINK(VLOOKUP(C993,BAPs!$A$2:$C$1048576,3,FALSE),VLOOKUP(C993,BAPs!$A$2:$C$1048576,2,FALSE))</f>
        <v>10 out of 10</v>
      </c>
    </row>
    <row r="994" spans="1:12" hidden="1">
      <c r="A994" s="19" t="s">
        <v>3161</v>
      </c>
      <c r="B994" s="19" t="s">
        <v>3162</v>
      </c>
      <c r="C994" s="19" t="s">
        <v>3341</v>
      </c>
      <c r="D994" s="19" t="s">
        <v>3345</v>
      </c>
      <c r="E994" s="19" t="s">
        <v>3346</v>
      </c>
      <c r="F994" s="19" t="e">
        <f>MATCH(E994,#REF!,0)</f>
        <v>#REF!</v>
      </c>
      <c r="G994" s="19" t="s">
        <v>3347</v>
      </c>
      <c r="H994" s="19" t="s">
        <v>56</v>
      </c>
      <c r="I994" s="19"/>
      <c r="J994" s="19" t="s">
        <v>3344</v>
      </c>
      <c r="K994" s="19" t="s">
        <v>62</v>
      </c>
      <c r="L994" s="3" t="str">
        <f>HYPERLINK(VLOOKUP(C994,BAPs!$A$2:$C$1048576,3,FALSE),VLOOKUP(C994,BAPs!$A$2:$C$1048576,2,FALSE))</f>
        <v>10 out of 10</v>
      </c>
    </row>
    <row r="995" spans="1:12" hidden="1">
      <c r="A995" s="19" t="s">
        <v>3161</v>
      </c>
      <c r="B995" s="19" t="s">
        <v>3162</v>
      </c>
      <c r="C995" s="19" t="s">
        <v>3348</v>
      </c>
      <c r="D995" s="19" t="s">
        <v>3348</v>
      </c>
      <c r="E995" s="19" t="s">
        <v>3349</v>
      </c>
      <c r="F995" s="19" t="e">
        <f>MATCH(E995,#REF!,0)</f>
        <v>#REF!</v>
      </c>
      <c r="G995" s="19" t="s">
        <v>3350</v>
      </c>
      <c r="H995" s="19" t="s">
        <v>56</v>
      </c>
      <c r="I995" s="19"/>
      <c r="J995" s="19" t="s">
        <v>3351</v>
      </c>
      <c r="K995" s="19" t="s">
        <v>62</v>
      </c>
      <c r="L995" s="3" t="str">
        <f>HYPERLINK(VLOOKUP(C995,BAPs!$A$2:$C$1048576,3,FALSE),VLOOKUP(C995,BAPs!$A$2:$C$1048576,2,FALSE))</f>
        <v>9 out of 10</v>
      </c>
    </row>
    <row r="996" spans="1:12" hidden="1">
      <c r="A996" s="19" t="s">
        <v>3161</v>
      </c>
      <c r="B996" s="19" t="s">
        <v>3162</v>
      </c>
      <c r="C996" s="19" t="s">
        <v>3352</v>
      </c>
      <c r="D996" s="19" t="s">
        <v>3352</v>
      </c>
      <c r="E996" s="19" t="s">
        <v>3353</v>
      </c>
      <c r="F996" s="19" t="e">
        <f>MATCH(E996,#REF!,0)</f>
        <v>#REF!</v>
      </c>
      <c r="G996" s="19" t="s">
        <v>3354</v>
      </c>
      <c r="H996" s="19" t="s">
        <v>56</v>
      </c>
      <c r="I996" s="19"/>
      <c r="J996" s="19" t="s">
        <v>3355</v>
      </c>
      <c r="K996" s="19" t="s">
        <v>20</v>
      </c>
      <c r="L996" s="3" t="str">
        <f>HYPERLINK(VLOOKUP(C996,BAPs!$A$2:$C$1048576,3,FALSE),VLOOKUP(C996,BAPs!$A$2:$C$1048576,2,FALSE))</f>
        <v>6 out of 10</v>
      </c>
    </row>
    <row r="997" spans="1:12" hidden="1">
      <c r="A997" s="19" t="s">
        <v>3161</v>
      </c>
      <c r="B997" s="19" t="s">
        <v>3162</v>
      </c>
      <c r="C997" s="19" t="s">
        <v>3345</v>
      </c>
      <c r="D997" s="19" t="s">
        <v>3356</v>
      </c>
      <c r="E997" s="19" t="s">
        <v>3357</v>
      </c>
      <c r="F997" s="19" t="e">
        <f>MATCH(E997,#REF!,0)</f>
        <v>#REF!</v>
      </c>
      <c r="G997" s="19" t="s">
        <v>3358</v>
      </c>
      <c r="H997" s="19" t="s">
        <v>17</v>
      </c>
      <c r="I997" s="19"/>
      <c r="J997" s="19" t="s">
        <v>3359</v>
      </c>
      <c r="K997" s="19" t="s">
        <v>62</v>
      </c>
      <c r="L997" s="3" t="str">
        <f>HYPERLINK(VLOOKUP(C997,BAPs!$A$2:$C$1048576,3,FALSE),VLOOKUP(C997,BAPs!$A$2:$C$1048576,2,FALSE))</f>
        <v>10 out of 10</v>
      </c>
    </row>
    <row r="998" spans="1:12" hidden="1">
      <c r="A998" s="19" t="s">
        <v>3161</v>
      </c>
      <c r="B998" s="19" t="s">
        <v>3162</v>
      </c>
      <c r="C998" s="19" t="s">
        <v>3360</v>
      </c>
      <c r="D998" s="19" t="s">
        <v>3345</v>
      </c>
      <c r="E998" s="19" t="s">
        <v>3346</v>
      </c>
      <c r="F998" s="19" t="e">
        <f>MATCH(E998,#REF!,0)</f>
        <v>#REF!</v>
      </c>
      <c r="G998" s="19" t="s">
        <v>3347</v>
      </c>
      <c r="H998" s="19" t="s">
        <v>56</v>
      </c>
      <c r="I998" s="19"/>
      <c r="J998" s="19" t="s">
        <v>3361</v>
      </c>
      <c r="K998" s="19" t="s">
        <v>62</v>
      </c>
      <c r="L998" s="3" t="str">
        <f>HYPERLINK(VLOOKUP(C998,BAPs!$A$2:$C$1048576,3,FALSE),VLOOKUP(C998,BAPs!$A$2:$C$1048576,2,FALSE))</f>
        <v>10 out of 10</v>
      </c>
    </row>
    <row r="999" spans="1:12" hidden="1">
      <c r="A999" s="19" t="s">
        <v>3161</v>
      </c>
      <c r="B999" s="19" t="s">
        <v>3162</v>
      </c>
      <c r="C999" s="19" t="s">
        <v>3362</v>
      </c>
      <c r="D999" s="19" t="s">
        <v>3363</v>
      </c>
      <c r="E999" s="19" t="s">
        <v>3364</v>
      </c>
      <c r="F999" s="19" t="e">
        <f>MATCH(E999,#REF!,0)</f>
        <v>#REF!</v>
      </c>
      <c r="G999" s="19" t="s">
        <v>3365</v>
      </c>
      <c r="H999" s="19" t="s">
        <v>56</v>
      </c>
      <c r="I999" s="19"/>
      <c r="J999" s="19" t="s">
        <v>3366</v>
      </c>
      <c r="K999" s="19" t="s">
        <v>62</v>
      </c>
      <c r="L999" s="3" t="str">
        <f>HYPERLINK(VLOOKUP(C999,BAPs!$A$2:$C$1048576,3,FALSE),VLOOKUP(C999,BAPs!$A$2:$C$1048576,2,FALSE))</f>
        <v>10 out of 10</v>
      </c>
    </row>
    <row r="1000" spans="1:12" hidden="1">
      <c r="A1000" s="19" t="s">
        <v>3161</v>
      </c>
      <c r="B1000" s="19" t="s">
        <v>3162</v>
      </c>
      <c r="C1000" s="19" t="s">
        <v>3362</v>
      </c>
      <c r="D1000" s="19" t="s">
        <v>3367</v>
      </c>
      <c r="E1000" s="19" t="s">
        <v>3368</v>
      </c>
      <c r="F1000" s="19" t="e">
        <f>MATCH(E1000,#REF!,0)</f>
        <v>#REF!</v>
      </c>
      <c r="G1000" s="19" t="s">
        <v>3369</v>
      </c>
      <c r="H1000" s="19" t="s">
        <v>56</v>
      </c>
      <c r="I1000" s="19"/>
      <c r="J1000" s="19" t="s">
        <v>3366</v>
      </c>
      <c r="K1000" s="19" t="s">
        <v>62</v>
      </c>
      <c r="L1000" s="3" t="str">
        <f>HYPERLINK(VLOOKUP(C1000,BAPs!$A$2:$C$1048576,3,FALSE),VLOOKUP(C1000,BAPs!$A$2:$C$1048576,2,FALSE))</f>
        <v>10 out of 10</v>
      </c>
    </row>
    <row r="1001" spans="1:12" hidden="1">
      <c r="A1001" s="19" t="s">
        <v>3161</v>
      </c>
      <c r="B1001" s="19" t="s">
        <v>3162</v>
      </c>
      <c r="C1001" s="19" t="s">
        <v>3362</v>
      </c>
      <c r="D1001" s="19" t="s">
        <v>3370</v>
      </c>
      <c r="E1001" s="19" t="s">
        <v>3371</v>
      </c>
      <c r="F1001" s="19" t="e">
        <f>MATCH(E1001,#REF!,0)</f>
        <v>#REF!</v>
      </c>
      <c r="G1001" s="19" t="s">
        <v>3372</v>
      </c>
      <c r="H1001" s="19" t="s">
        <v>56</v>
      </c>
      <c r="I1001" s="19"/>
      <c r="J1001" s="19" t="s">
        <v>3366</v>
      </c>
      <c r="K1001" s="19" t="s">
        <v>62</v>
      </c>
      <c r="L1001" s="3" t="str">
        <f>HYPERLINK(VLOOKUP(C1001,BAPs!$A$2:$C$1048576,3,FALSE),VLOOKUP(C1001,BAPs!$A$2:$C$1048576,2,FALSE))</f>
        <v>10 out of 10</v>
      </c>
    </row>
    <row r="1002" spans="1:12" hidden="1">
      <c r="A1002" s="19" t="s">
        <v>3161</v>
      </c>
      <c r="B1002" s="19" t="s">
        <v>3162</v>
      </c>
      <c r="C1002" s="19" t="s">
        <v>3373</v>
      </c>
      <c r="D1002" s="19" t="s">
        <v>3374</v>
      </c>
      <c r="E1002" s="19" t="s">
        <v>3375</v>
      </c>
      <c r="F1002" s="19" t="e">
        <f>MATCH(E1002,#REF!,0)</f>
        <v>#REF!</v>
      </c>
      <c r="G1002" s="19" t="s">
        <v>3376</v>
      </c>
      <c r="H1002" s="19" t="s">
        <v>56</v>
      </c>
      <c r="I1002" s="19"/>
      <c r="J1002" s="19" t="s">
        <v>3377</v>
      </c>
      <c r="K1002" s="19" t="s">
        <v>62</v>
      </c>
      <c r="L1002" s="3" t="str">
        <f>HYPERLINK(VLOOKUP(C1002,BAPs!$A$2:$C$1048576,3,FALSE),VLOOKUP(C1002,BAPs!$A$2:$C$1048576,2,FALSE))</f>
        <v>10 out of 10</v>
      </c>
    </row>
    <row r="1003" spans="1:12" hidden="1">
      <c r="A1003" s="19" t="s">
        <v>3161</v>
      </c>
      <c r="B1003" s="19" t="s">
        <v>3162</v>
      </c>
      <c r="C1003" s="19" t="s">
        <v>3373</v>
      </c>
      <c r="D1003" s="19" t="s">
        <v>3378</v>
      </c>
      <c r="E1003" s="19" t="s">
        <v>3379</v>
      </c>
      <c r="F1003" s="19" t="e">
        <f>MATCH(E1003,#REF!,0)</f>
        <v>#REF!</v>
      </c>
      <c r="G1003" s="19" t="s">
        <v>3380</v>
      </c>
      <c r="H1003" s="19" t="s">
        <v>56</v>
      </c>
      <c r="I1003" s="19"/>
      <c r="J1003" s="19" t="s">
        <v>3377</v>
      </c>
      <c r="K1003" s="19" t="s">
        <v>62</v>
      </c>
      <c r="L1003" s="3" t="str">
        <f>HYPERLINK(VLOOKUP(C1003,BAPs!$A$2:$C$1048576,3,FALSE),VLOOKUP(C1003,BAPs!$A$2:$C$1048576,2,FALSE))</f>
        <v>10 out of 10</v>
      </c>
    </row>
    <row r="1004" spans="1:12" hidden="1">
      <c r="A1004" s="19" t="s">
        <v>3161</v>
      </c>
      <c r="B1004" s="19" t="s">
        <v>3162</v>
      </c>
      <c r="C1004" s="19" t="s">
        <v>3373</v>
      </c>
      <c r="D1004" s="19" t="s">
        <v>3373</v>
      </c>
      <c r="E1004" s="19" t="s">
        <v>3381</v>
      </c>
      <c r="F1004" s="19" t="e">
        <f>MATCH(E1004,#REF!,0)</f>
        <v>#REF!</v>
      </c>
      <c r="G1004" s="19" t="s">
        <v>3382</v>
      </c>
      <c r="H1004" s="19" t="s">
        <v>56</v>
      </c>
      <c r="I1004" s="19"/>
      <c r="J1004" s="19" t="s">
        <v>3377</v>
      </c>
      <c r="K1004" s="19" t="s">
        <v>62</v>
      </c>
      <c r="L1004" s="3" t="str">
        <f>HYPERLINK(VLOOKUP(C1004,BAPs!$A$2:$C$1048576,3,FALSE),VLOOKUP(C1004,BAPs!$A$2:$C$1048576,2,FALSE))</f>
        <v>10 out of 10</v>
      </c>
    </row>
    <row r="1005" spans="1:12" hidden="1">
      <c r="A1005" s="19" t="s">
        <v>3161</v>
      </c>
      <c r="B1005" s="19" t="s">
        <v>3162</v>
      </c>
      <c r="C1005" s="19" t="s">
        <v>3373</v>
      </c>
      <c r="D1005" s="19" t="s">
        <v>3383</v>
      </c>
      <c r="E1005" s="19" t="s">
        <v>3384</v>
      </c>
      <c r="F1005" s="19" t="e">
        <f>MATCH(E1005,#REF!,0)</f>
        <v>#REF!</v>
      </c>
      <c r="G1005" s="19" t="s">
        <v>3385</v>
      </c>
      <c r="H1005" s="19" t="s">
        <v>56</v>
      </c>
      <c r="I1005" s="19"/>
      <c r="J1005" s="19" t="s">
        <v>3377</v>
      </c>
      <c r="K1005" s="19" t="s">
        <v>62</v>
      </c>
      <c r="L1005" s="3" t="str">
        <f>HYPERLINK(VLOOKUP(C1005,BAPs!$A$2:$C$1048576,3,FALSE),VLOOKUP(C1005,BAPs!$A$2:$C$1048576,2,FALSE))</f>
        <v>10 out of 10</v>
      </c>
    </row>
    <row r="1006" spans="1:12" hidden="1">
      <c r="A1006" s="19" t="s">
        <v>3161</v>
      </c>
      <c r="B1006" s="19" t="s">
        <v>3162</v>
      </c>
      <c r="C1006" s="19" t="s">
        <v>3386</v>
      </c>
      <c r="D1006" s="19" t="s">
        <v>3387</v>
      </c>
      <c r="E1006" s="19" t="s">
        <v>3388</v>
      </c>
      <c r="F1006" s="19" t="e">
        <f>MATCH(E1006,#REF!,0)</f>
        <v>#REF!</v>
      </c>
      <c r="G1006" s="19" t="s">
        <v>3389</v>
      </c>
      <c r="H1006" s="19" t="s">
        <v>56</v>
      </c>
      <c r="I1006" s="19"/>
      <c r="J1006" s="19" t="s">
        <v>3390</v>
      </c>
      <c r="K1006" s="19" t="s">
        <v>62</v>
      </c>
      <c r="L1006" s="3" t="str">
        <f>HYPERLINK(VLOOKUP(C1006,BAPs!$A$2:$C$1048576,3,FALSE),VLOOKUP(C1006,BAPs!$A$2:$C$1048576,2,FALSE))</f>
        <v>9 out of 10</v>
      </c>
    </row>
    <row r="1007" spans="1:12" hidden="1">
      <c r="A1007" s="19" t="s">
        <v>3161</v>
      </c>
      <c r="B1007" s="19" t="s">
        <v>3162</v>
      </c>
      <c r="C1007" s="19" t="s">
        <v>3386</v>
      </c>
      <c r="D1007" s="19" t="s">
        <v>3391</v>
      </c>
      <c r="E1007" s="19" t="s">
        <v>3392</v>
      </c>
      <c r="F1007" s="19" t="e">
        <f>MATCH(E1007,#REF!,0)</f>
        <v>#REF!</v>
      </c>
      <c r="G1007" s="19" t="s">
        <v>3393</v>
      </c>
      <c r="H1007" s="19" t="s">
        <v>52</v>
      </c>
      <c r="I1007" s="19"/>
      <c r="J1007" s="19" t="s">
        <v>3390</v>
      </c>
      <c r="K1007" s="19" t="s">
        <v>62</v>
      </c>
      <c r="L1007" s="3" t="str">
        <f>HYPERLINK(VLOOKUP(C1007,BAPs!$A$2:$C$1048576,3,FALSE),VLOOKUP(C1007,BAPs!$A$2:$C$1048576,2,FALSE))</f>
        <v>9 out of 10</v>
      </c>
    </row>
    <row r="1008" spans="1:12" hidden="1">
      <c r="A1008" s="19" t="s">
        <v>3161</v>
      </c>
      <c r="B1008" s="19" t="s">
        <v>3162</v>
      </c>
      <c r="C1008" s="19" t="s">
        <v>3394</v>
      </c>
      <c r="D1008" s="19" t="s">
        <v>3395</v>
      </c>
      <c r="E1008" s="19" t="s">
        <v>3396</v>
      </c>
      <c r="F1008" s="19" t="e">
        <f>MATCH(E1008,#REF!,0)</f>
        <v>#REF!</v>
      </c>
      <c r="G1008" s="19" t="s">
        <v>3397</v>
      </c>
      <c r="H1008" s="19" t="s">
        <v>84</v>
      </c>
      <c r="I1008" s="19"/>
      <c r="J1008" s="19" t="s">
        <v>3398</v>
      </c>
      <c r="K1008" s="19" t="s">
        <v>62</v>
      </c>
      <c r="L1008" s="3" t="str">
        <f>HYPERLINK(VLOOKUP(C1008,BAPs!$A$2:$C$1048576,3,FALSE),VLOOKUP(C1008,BAPs!$A$2:$C$1048576,2,FALSE))</f>
        <v>10 out of 10</v>
      </c>
    </row>
    <row r="1009" spans="1:12" hidden="1">
      <c r="A1009" s="19" t="s">
        <v>3399</v>
      </c>
      <c r="B1009" s="19" t="s">
        <v>3162</v>
      </c>
      <c r="C1009" s="19" t="s">
        <v>3400</v>
      </c>
      <c r="D1009" s="19" t="s">
        <v>3400</v>
      </c>
      <c r="E1009" s="19" t="s">
        <v>3401</v>
      </c>
      <c r="F1009" s="19" t="e">
        <f>MATCH(E1009,#REF!,0)</f>
        <v>#REF!</v>
      </c>
      <c r="G1009" s="19" t="s">
        <v>3402</v>
      </c>
      <c r="H1009" s="19" t="s">
        <v>17</v>
      </c>
      <c r="I1009" s="19" t="s">
        <v>18</v>
      </c>
      <c r="J1009" s="19" t="s">
        <v>3403</v>
      </c>
      <c r="K1009" s="19" t="s">
        <v>62</v>
      </c>
      <c r="L1009" s="3" t="str">
        <f>HYPERLINK(VLOOKUP(C1009,BAPs!$A$2:$C$1048576,3,FALSE),VLOOKUP(C1009,BAPs!$A$2:$C$1048576,2,FALSE))</f>
        <v>9 out of 10</v>
      </c>
    </row>
    <row r="1010" spans="1:12" hidden="1">
      <c r="A1010" s="19" t="s">
        <v>3399</v>
      </c>
      <c r="B1010" s="19" t="s">
        <v>3162</v>
      </c>
      <c r="C1010" s="19" t="s">
        <v>3404</v>
      </c>
      <c r="D1010" s="19" t="s">
        <v>3404</v>
      </c>
      <c r="E1010" s="19" t="s">
        <v>3405</v>
      </c>
      <c r="F1010" s="19" t="e">
        <f>MATCH(E1010,#REF!,0)</f>
        <v>#REF!</v>
      </c>
      <c r="G1010" s="19" t="s">
        <v>3406</v>
      </c>
      <c r="H1010" s="19" t="s">
        <v>17</v>
      </c>
      <c r="I1010" s="19" t="s">
        <v>18</v>
      </c>
      <c r="J1010" s="19" t="s">
        <v>3407</v>
      </c>
      <c r="K1010" s="19" t="s">
        <v>62</v>
      </c>
      <c r="L1010" s="3" t="str">
        <f>HYPERLINK(VLOOKUP(C1010,BAPs!$A$2:$C$1048576,3,FALSE),VLOOKUP(C1010,BAPs!$A$2:$C$1048576,2,FALSE))</f>
        <v>9 out of 10</v>
      </c>
    </row>
    <row r="1011" spans="1:12" hidden="1">
      <c r="A1011" s="19" t="s">
        <v>3399</v>
      </c>
      <c r="B1011" s="19" t="s">
        <v>3162</v>
      </c>
      <c r="C1011" s="19" t="s">
        <v>3408</v>
      </c>
      <c r="D1011" s="19" t="s">
        <v>3408</v>
      </c>
      <c r="E1011" s="19" t="s">
        <v>3409</v>
      </c>
      <c r="F1011" s="19" t="e">
        <f>MATCH(E1011,#REF!,0)</f>
        <v>#REF!</v>
      </c>
      <c r="G1011" s="19" t="s">
        <v>3410</v>
      </c>
      <c r="H1011" s="19" t="s">
        <v>17</v>
      </c>
      <c r="I1011" s="19" t="s">
        <v>18</v>
      </c>
      <c r="J1011" s="19" t="s">
        <v>3411</v>
      </c>
      <c r="K1011" s="19" t="s">
        <v>20</v>
      </c>
      <c r="L1011" s="3" t="str">
        <f>HYPERLINK(VLOOKUP(C1011,BAPs!$A$2:$C$1048576,3,FALSE),VLOOKUP(C1011,BAPs!$A$2:$C$1048576,2,FALSE))</f>
        <v>8 out of 10</v>
      </c>
    </row>
    <row r="1012" spans="1:12" hidden="1">
      <c r="A1012" s="19" t="s">
        <v>3399</v>
      </c>
      <c r="B1012" s="19" t="s">
        <v>3162</v>
      </c>
      <c r="C1012" s="19" t="s">
        <v>3412</v>
      </c>
      <c r="D1012" s="19" t="s">
        <v>3412</v>
      </c>
      <c r="E1012" s="19" t="s">
        <v>3413</v>
      </c>
      <c r="F1012" s="19" t="e">
        <f>MATCH(E1012,#REF!,0)</f>
        <v>#REF!</v>
      </c>
      <c r="G1012" s="19" t="s">
        <v>3414</v>
      </c>
      <c r="H1012" s="19" t="s">
        <v>52</v>
      </c>
      <c r="I1012" s="19"/>
      <c r="J1012" s="19" t="s">
        <v>3415</v>
      </c>
      <c r="K1012" s="19" t="s">
        <v>62</v>
      </c>
      <c r="L1012" s="3" t="str">
        <f>HYPERLINK(VLOOKUP(C1012,BAPs!$A$2:$C$1048576,3,FALSE),VLOOKUP(C1012,BAPs!$A$2:$C$1048576,2,FALSE))</f>
        <v>9 out of 10</v>
      </c>
    </row>
    <row r="1013" spans="1:12" hidden="1">
      <c r="A1013" s="19" t="s">
        <v>3399</v>
      </c>
      <c r="B1013" s="19" t="s">
        <v>3162</v>
      </c>
      <c r="C1013" s="19" t="s">
        <v>3412</v>
      </c>
      <c r="D1013" s="19" t="s">
        <v>3416</v>
      </c>
      <c r="E1013" s="19" t="s">
        <v>3417</v>
      </c>
      <c r="F1013" s="19" t="e">
        <f>MATCH(E1013,#REF!,0)</f>
        <v>#REF!</v>
      </c>
      <c r="G1013" s="19" t="s">
        <v>3418</v>
      </c>
      <c r="H1013" s="19" t="s">
        <v>43</v>
      </c>
      <c r="I1013" s="19"/>
      <c r="J1013" s="19" t="s">
        <v>3415</v>
      </c>
      <c r="K1013" s="19" t="s">
        <v>62</v>
      </c>
      <c r="L1013" s="3" t="str">
        <f>HYPERLINK(VLOOKUP(C1013,BAPs!$A$2:$C$1048576,3,FALSE),VLOOKUP(C1013,BAPs!$A$2:$C$1048576,2,FALSE))</f>
        <v>9 out of 10</v>
      </c>
    </row>
    <row r="1014" spans="1:12" hidden="1">
      <c r="A1014" s="19" t="s">
        <v>3399</v>
      </c>
      <c r="B1014" s="19" t="s">
        <v>3162</v>
      </c>
      <c r="C1014" s="19" t="s">
        <v>3412</v>
      </c>
      <c r="D1014" s="19" t="s">
        <v>3419</v>
      </c>
      <c r="E1014" s="19" t="s">
        <v>3420</v>
      </c>
      <c r="F1014" s="19" t="e">
        <f>MATCH(E1014,#REF!,0)</f>
        <v>#REF!</v>
      </c>
      <c r="G1014" s="19" t="s">
        <v>3421</v>
      </c>
      <c r="H1014" s="19" t="s">
        <v>84</v>
      </c>
      <c r="I1014" s="19"/>
      <c r="J1014" s="19" t="s">
        <v>3415</v>
      </c>
      <c r="K1014" s="19" t="s">
        <v>62</v>
      </c>
      <c r="L1014" s="3" t="str">
        <f>HYPERLINK(VLOOKUP(C1014,BAPs!$A$2:$C$1048576,3,FALSE),VLOOKUP(C1014,BAPs!$A$2:$C$1048576,2,FALSE))</f>
        <v>9 out of 10</v>
      </c>
    </row>
    <row r="1015" spans="1:12" hidden="1">
      <c r="A1015" s="19" t="s">
        <v>3399</v>
      </c>
      <c r="B1015" s="19" t="s">
        <v>3162</v>
      </c>
      <c r="C1015" s="19" t="s">
        <v>3422</v>
      </c>
      <c r="D1015" s="19" t="s">
        <v>3422</v>
      </c>
      <c r="E1015" s="19" t="s">
        <v>3423</v>
      </c>
      <c r="F1015" s="19" t="e">
        <f>MATCH(E1015,#REF!,0)</f>
        <v>#REF!</v>
      </c>
      <c r="G1015" s="19" t="s">
        <v>3424</v>
      </c>
      <c r="H1015" s="19" t="s">
        <v>17</v>
      </c>
      <c r="I1015" s="19" t="s">
        <v>18</v>
      </c>
      <c r="J1015" s="19" t="s">
        <v>3425</v>
      </c>
      <c r="K1015" s="19" t="s">
        <v>62</v>
      </c>
      <c r="L1015" s="3" t="str">
        <f>HYPERLINK(VLOOKUP(C1015,BAPs!$A$2:$C$1048576,3,FALSE),VLOOKUP(C1015,BAPs!$A$2:$C$1048576,2,FALSE))</f>
        <v>9 out of 10</v>
      </c>
    </row>
    <row r="1016" spans="1:12" hidden="1">
      <c r="A1016" s="19" t="s">
        <v>3399</v>
      </c>
      <c r="B1016" s="19" t="s">
        <v>3162</v>
      </c>
      <c r="C1016" s="19" t="s">
        <v>3426</v>
      </c>
      <c r="D1016" s="19" t="s">
        <v>3426</v>
      </c>
      <c r="E1016" s="19" t="s">
        <v>3427</v>
      </c>
      <c r="F1016" s="19" t="e">
        <f>MATCH(E1016,#REF!,0)</f>
        <v>#REF!</v>
      </c>
      <c r="G1016" s="19" t="s">
        <v>3428</v>
      </c>
      <c r="H1016" s="19" t="s">
        <v>17</v>
      </c>
      <c r="I1016" s="19" t="s">
        <v>18</v>
      </c>
      <c r="J1016" s="19" t="s">
        <v>3429</v>
      </c>
      <c r="K1016" s="19" t="s">
        <v>20</v>
      </c>
      <c r="L1016" s="3" t="str">
        <f>HYPERLINK(VLOOKUP(C1016,BAPs!$A$2:$C$1048576,3,FALSE),VLOOKUP(C1016,BAPs!$A$2:$C$1048576,2,FALSE))</f>
        <v>1 out of 10</v>
      </c>
    </row>
    <row r="1017" spans="1:12" hidden="1">
      <c r="A1017" s="19" t="s">
        <v>3399</v>
      </c>
      <c r="B1017" s="19" t="s">
        <v>3162</v>
      </c>
      <c r="C1017" s="19" t="s">
        <v>3430</v>
      </c>
      <c r="D1017" s="19" t="s">
        <v>3430</v>
      </c>
      <c r="E1017" s="19" t="s">
        <v>3431</v>
      </c>
      <c r="F1017" s="19" t="e">
        <f>MATCH(E1017,#REF!,0)</f>
        <v>#REF!</v>
      </c>
      <c r="G1017" s="19" t="s">
        <v>3432</v>
      </c>
      <c r="H1017" s="19" t="s">
        <v>17</v>
      </c>
      <c r="I1017" s="19" t="s">
        <v>18</v>
      </c>
      <c r="J1017" s="19" t="s">
        <v>3433</v>
      </c>
      <c r="K1017" s="19" t="s">
        <v>62</v>
      </c>
      <c r="L1017" s="3" t="str">
        <f>HYPERLINK(VLOOKUP(C1017,BAPs!$A$2:$C$1048576,3,FALSE),VLOOKUP(C1017,BAPs!$A$2:$C$1048576,2,FALSE))</f>
        <v>9 out of 10</v>
      </c>
    </row>
    <row r="1018" spans="1:12" hidden="1">
      <c r="A1018" s="19" t="s">
        <v>3399</v>
      </c>
      <c r="B1018" s="19" t="s">
        <v>3162</v>
      </c>
      <c r="C1018" s="19" t="s">
        <v>3434</v>
      </c>
      <c r="D1018" s="19" t="s">
        <v>3434</v>
      </c>
      <c r="E1018" s="19" t="s">
        <v>3435</v>
      </c>
      <c r="F1018" s="19" t="e">
        <f>MATCH(E1018,#REF!,0)</f>
        <v>#REF!</v>
      </c>
      <c r="G1018" s="19" t="s">
        <v>3436</v>
      </c>
      <c r="H1018" s="19" t="s">
        <v>17</v>
      </c>
      <c r="I1018" s="19" t="s">
        <v>18</v>
      </c>
      <c r="J1018" s="19" t="s">
        <v>3437</v>
      </c>
      <c r="K1018" s="19" t="s">
        <v>20</v>
      </c>
      <c r="L1018" s="3" t="str">
        <f>HYPERLINK(VLOOKUP(C1018,BAPs!$A$2:$C$1048576,3,FALSE),VLOOKUP(C1018,BAPs!$A$2:$C$1048576,2,FALSE))</f>
        <v>7 out of 10</v>
      </c>
    </row>
    <row r="1019" spans="1:12" hidden="1">
      <c r="A1019" s="19" t="s">
        <v>3399</v>
      </c>
      <c r="B1019" s="19" t="s">
        <v>3162</v>
      </c>
      <c r="C1019" s="19" t="s">
        <v>3438</v>
      </c>
      <c r="D1019" s="19" t="s">
        <v>3438</v>
      </c>
      <c r="E1019" s="19" t="s">
        <v>3439</v>
      </c>
      <c r="F1019" s="19" t="e">
        <f>MATCH(E1019,#REF!,0)</f>
        <v>#REF!</v>
      </c>
      <c r="G1019" s="19" t="s">
        <v>3440</v>
      </c>
      <c r="H1019" s="19" t="s">
        <v>17</v>
      </c>
      <c r="I1019" s="19" t="s">
        <v>18</v>
      </c>
      <c r="J1019" s="19" t="s">
        <v>3441</v>
      </c>
      <c r="K1019" s="19" t="s">
        <v>62</v>
      </c>
      <c r="L1019" s="3" t="str">
        <f>HYPERLINK(VLOOKUP(C1019,BAPs!$A$2:$C$1048576,3,FALSE),VLOOKUP(C1019,BAPs!$A$2:$C$1048576,2,FALSE))</f>
        <v>9 out of 10</v>
      </c>
    </row>
    <row r="1020" spans="1:12" hidden="1">
      <c r="A1020" s="19" t="s">
        <v>3399</v>
      </c>
      <c r="B1020" s="19" t="s">
        <v>3162</v>
      </c>
      <c r="C1020" s="19" t="s">
        <v>3442</v>
      </c>
      <c r="D1020" s="19" t="s">
        <v>3442</v>
      </c>
      <c r="E1020" s="19" t="s">
        <v>3443</v>
      </c>
      <c r="F1020" s="19" t="e">
        <f>MATCH(E1020,#REF!,0)</f>
        <v>#REF!</v>
      </c>
      <c r="G1020" s="19" t="s">
        <v>3444</v>
      </c>
      <c r="H1020" s="19" t="s">
        <v>17</v>
      </c>
      <c r="I1020" s="19" t="s">
        <v>18</v>
      </c>
      <c r="J1020" s="19" t="s">
        <v>3445</v>
      </c>
      <c r="K1020" s="19" t="s">
        <v>62</v>
      </c>
      <c r="L1020" s="3" t="str">
        <f>HYPERLINK(VLOOKUP(C1020,BAPs!$A$2:$C$1048576,3,FALSE),VLOOKUP(C1020,BAPs!$A$2:$C$1048576,2,FALSE))</f>
        <v>9 out of 10</v>
      </c>
    </row>
    <row r="1021" spans="1:12" hidden="1">
      <c r="A1021" s="19" t="s">
        <v>3399</v>
      </c>
      <c r="B1021" s="19" t="s">
        <v>3162</v>
      </c>
      <c r="C1021" s="19" t="s">
        <v>3442</v>
      </c>
      <c r="D1021" s="19" t="s">
        <v>3174</v>
      </c>
      <c r="E1021" s="19" t="s">
        <v>3175</v>
      </c>
      <c r="F1021" s="19" t="e">
        <f>MATCH(E1021,#REF!,0)</f>
        <v>#REF!</v>
      </c>
      <c r="G1021" s="19" t="s">
        <v>3176</v>
      </c>
      <c r="H1021" s="19" t="s">
        <v>43</v>
      </c>
      <c r="I1021" s="19"/>
      <c r="J1021" s="19" t="s">
        <v>3445</v>
      </c>
      <c r="K1021" s="19" t="s">
        <v>62</v>
      </c>
      <c r="L1021" s="3" t="str">
        <f>HYPERLINK(VLOOKUP(C1021,BAPs!$A$2:$C$1048576,3,FALSE),VLOOKUP(C1021,BAPs!$A$2:$C$1048576,2,FALSE))</f>
        <v>9 out of 10</v>
      </c>
    </row>
    <row r="1022" spans="1:12" hidden="1">
      <c r="A1022" s="19" t="s">
        <v>3399</v>
      </c>
      <c r="B1022" s="19" t="s">
        <v>3162</v>
      </c>
      <c r="C1022" s="19" t="s">
        <v>3446</v>
      </c>
      <c r="D1022" s="19" t="s">
        <v>3446</v>
      </c>
      <c r="E1022" s="19" t="s">
        <v>3447</v>
      </c>
      <c r="F1022" s="19" t="e">
        <f>MATCH(E1022,#REF!,0)</f>
        <v>#REF!</v>
      </c>
      <c r="G1022" s="19" t="s">
        <v>3448</v>
      </c>
      <c r="H1022" s="19" t="s">
        <v>17</v>
      </c>
      <c r="I1022" s="19" t="s">
        <v>18</v>
      </c>
      <c r="J1022" s="19" t="s">
        <v>3449</v>
      </c>
      <c r="K1022" s="19" t="s">
        <v>62</v>
      </c>
      <c r="L1022" s="3" t="str">
        <f>HYPERLINK(VLOOKUP(C1022,BAPs!$A$2:$C$1048576,3,FALSE),VLOOKUP(C1022,BAPs!$A$2:$C$1048576,2,FALSE))</f>
        <v>9 out of 10</v>
      </c>
    </row>
    <row r="1023" spans="1:12" hidden="1">
      <c r="A1023" s="19" t="s">
        <v>3399</v>
      </c>
      <c r="B1023" s="19" t="s">
        <v>3162</v>
      </c>
      <c r="C1023" s="19" t="s">
        <v>3450</v>
      </c>
      <c r="D1023" s="19" t="s">
        <v>3450</v>
      </c>
      <c r="E1023" s="19" t="s">
        <v>3451</v>
      </c>
      <c r="F1023" s="19" t="e">
        <f>MATCH(E1023,#REF!,0)</f>
        <v>#REF!</v>
      </c>
      <c r="G1023" s="19" t="s">
        <v>3452</v>
      </c>
      <c r="H1023" s="19" t="s">
        <v>17</v>
      </c>
      <c r="I1023" s="19" t="s">
        <v>18</v>
      </c>
      <c r="J1023" s="19" t="s">
        <v>3453</v>
      </c>
      <c r="K1023" s="19" t="s">
        <v>20</v>
      </c>
      <c r="L1023" s="3" t="str">
        <f>HYPERLINK(VLOOKUP(C1023,BAPs!$A$2:$C$1048576,3,FALSE),VLOOKUP(C1023,BAPs!$A$2:$C$1048576,2,FALSE))</f>
        <v>6 out of 10</v>
      </c>
    </row>
    <row r="1024" spans="1:12" hidden="1">
      <c r="A1024" s="19" t="s">
        <v>3399</v>
      </c>
      <c r="B1024" s="19" t="s">
        <v>3162</v>
      </c>
      <c r="C1024" s="19" t="s">
        <v>3454</v>
      </c>
      <c r="D1024" s="19" t="s">
        <v>3455</v>
      </c>
      <c r="E1024" s="19" t="s">
        <v>3456</v>
      </c>
      <c r="F1024" s="19" t="e">
        <f>MATCH(E1024,#REF!,0)</f>
        <v>#REF!</v>
      </c>
      <c r="G1024" s="19" t="s">
        <v>3457</v>
      </c>
      <c r="H1024" s="19" t="s">
        <v>52</v>
      </c>
      <c r="I1024" s="19"/>
      <c r="J1024" s="19" t="s">
        <v>3458</v>
      </c>
      <c r="K1024" s="19" t="s">
        <v>62</v>
      </c>
      <c r="L1024" s="3" t="str">
        <f>HYPERLINK(VLOOKUP(C1024,BAPs!$A$2:$C$1048576,3,FALSE),VLOOKUP(C1024,BAPs!$A$2:$C$1048576,2,FALSE))</f>
        <v>9 out of 10</v>
      </c>
    </row>
    <row r="1025" spans="1:12" hidden="1">
      <c r="A1025" s="19" t="s">
        <v>3399</v>
      </c>
      <c r="B1025" s="19" t="s">
        <v>3162</v>
      </c>
      <c r="C1025" s="19" t="s">
        <v>3454</v>
      </c>
      <c r="D1025" s="19" t="s">
        <v>3459</v>
      </c>
      <c r="E1025" s="19" t="s">
        <v>3460</v>
      </c>
      <c r="F1025" s="19" t="e">
        <f>MATCH(E1025,#REF!,0)</f>
        <v>#REF!</v>
      </c>
      <c r="G1025" s="19" t="s">
        <v>3461</v>
      </c>
      <c r="H1025" s="19" t="s">
        <v>84</v>
      </c>
      <c r="I1025" s="19"/>
      <c r="J1025" s="19" t="s">
        <v>3458</v>
      </c>
      <c r="K1025" s="19" t="s">
        <v>62</v>
      </c>
      <c r="L1025" s="3" t="str">
        <f>HYPERLINK(VLOOKUP(C1025,BAPs!$A$2:$C$1048576,3,FALSE),VLOOKUP(C1025,BAPs!$A$2:$C$1048576,2,FALSE))</f>
        <v>9 out of 10</v>
      </c>
    </row>
    <row r="1026" spans="1:12" hidden="1">
      <c r="A1026" s="19" t="s">
        <v>3399</v>
      </c>
      <c r="B1026" s="19" t="s">
        <v>3162</v>
      </c>
      <c r="C1026" s="19" t="s">
        <v>3454</v>
      </c>
      <c r="D1026" s="19" t="s">
        <v>3174</v>
      </c>
      <c r="E1026" s="19" t="s">
        <v>3175</v>
      </c>
      <c r="F1026" s="19" t="e">
        <f>MATCH(E1026,#REF!,0)</f>
        <v>#REF!</v>
      </c>
      <c r="G1026" s="19" t="s">
        <v>3176</v>
      </c>
      <c r="H1026" s="19" t="s">
        <v>43</v>
      </c>
      <c r="I1026" s="19"/>
      <c r="J1026" s="19" t="s">
        <v>3458</v>
      </c>
      <c r="K1026" s="19" t="s">
        <v>62</v>
      </c>
      <c r="L1026" s="3" t="str">
        <f>HYPERLINK(VLOOKUP(C1026,BAPs!$A$2:$C$1048576,3,FALSE),VLOOKUP(C1026,BAPs!$A$2:$C$1048576,2,FALSE))</f>
        <v>9 out of 10</v>
      </c>
    </row>
    <row r="1027" spans="1:12" hidden="1">
      <c r="A1027" s="19" t="s">
        <v>3399</v>
      </c>
      <c r="B1027" s="19" t="s">
        <v>3162</v>
      </c>
      <c r="C1027" s="19" t="s">
        <v>3462</v>
      </c>
      <c r="D1027" s="19" t="s">
        <v>3462</v>
      </c>
      <c r="E1027" s="19" t="s">
        <v>3463</v>
      </c>
      <c r="F1027" s="19" t="e">
        <f>MATCH(E1027,#REF!,0)</f>
        <v>#REF!</v>
      </c>
      <c r="G1027" s="19" t="s">
        <v>3464</v>
      </c>
      <c r="H1027" s="19" t="s">
        <v>52</v>
      </c>
      <c r="I1027" s="19"/>
      <c r="J1027" s="19" t="s">
        <v>3465</v>
      </c>
      <c r="K1027" s="19" t="s">
        <v>20</v>
      </c>
      <c r="L1027" s="3" t="str">
        <f>HYPERLINK(VLOOKUP(C1027,BAPs!$A$2:$C$1048576,3,FALSE),VLOOKUP(C1027,BAPs!$A$2:$C$1048576,2,FALSE))</f>
        <v>4 out of 10</v>
      </c>
    </row>
    <row r="1028" spans="1:12" hidden="1">
      <c r="A1028" s="19" t="s">
        <v>3399</v>
      </c>
      <c r="B1028" s="19" t="s">
        <v>3162</v>
      </c>
      <c r="C1028" s="19" t="s">
        <v>3466</v>
      </c>
      <c r="D1028" s="19" t="s">
        <v>3167</v>
      </c>
      <c r="E1028" s="19" t="s">
        <v>3168</v>
      </c>
      <c r="F1028" s="19" t="e">
        <f>MATCH(E1028,#REF!,0)</f>
        <v>#REF!</v>
      </c>
      <c r="G1028" s="19" t="s">
        <v>3169</v>
      </c>
      <c r="H1028" s="19" t="s">
        <v>24</v>
      </c>
      <c r="I1028" s="19"/>
      <c r="J1028" s="19" t="s">
        <v>3467</v>
      </c>
      <c r="K1028" s="19" t="s">
        <v>20</v>
      </c>
      <c r="L1028" s="3" t="str">
        <f>HYPERLINK(VLOOKUP(C1028,BAPs!$A$2:$C$1048576,3,FALSE),VLOOKUP(C1028,BAPs!$A$2:$C$1048576,2,FALSE))</f>
        <v>1 out of 10</v>
      </c>
    </row>
    <row r="1029" spans="1:12" hidden="1">
      <c r="A1029" s="19" t="s">
        <v>3399</v>
      </c>
      <c r="B1029" s="19" t="s">
        <v>3162</v>
      </c>
      <c r="C1029" s="19" t="s">
        <v>3466</v>
      </c>
      <c r="D1029" s="19" t="s">
        <v>3466</v>
      </c>
      <c r="E1029" s="19" t="s">
        <v>3468</v>
      </c>
      <c r="F1029" s="19" t="e">
        <f>MATCH(E1029,#REF!,0)</f>
        <v>#REF!</v>
      </c>
      <c r="G1029" s="19" t="s">
        <v>3469</v>
      </c>
      <c r="H1029" s="19" t="s">
        <v>17</v>
      </c>
      <c r="I1029" s="19" t="s">
        <v>18</v>
      </c>
      <c r="J1029" s="19" t="s">
        <v>3467</v>
      </c>
      <c r="K1029" s="19" t="s">
        <v>20</v>
      </c>
      <c r="L1029" s="3" t="str">
        <f>HYPERLINK(VLOOKUP(C1029,BAPs!$A$2:$C$1048576,3,FALSE),VLOOKUP(C1029,BAPs!$A$2:$C$1048576,2,FALSE))</f>
        <v>1 out of 10</v>
      </c>
    </row>
    <row r="1030" spans="1:12" hidden="1">
      <c r="A1030" s="19" t="s">
        <v>3399</v>
      </c>
      <c r="B1030" s="19" t="s">
        <v>3162</v>
      </c>
      <c r="C1030" s="19" t="s">
        <v>3470</v>
      </c>
      <c r="D1030" s="19" t="s">
        <v>3470</v>
      </c>
      <c r="E1030" s="19" t="s">
        <v>3471</v>
      </c>
      <c r="F1030" s="19" t="e">
        <f>MATCH(E1030,#REF!,0)</f>
        <v>#REF!</v>
      </c>
      <c r="G1030" s="19" t="s">
        <v>3472</v>
      </c>
      <c r="H1030" s="19" t="s">
        <v>52</v>
      </c>
      <c r="I1030" s="19"/>
      <c r="J1030" s="19" t="s">
        <v>3473</v>
      </c>
      <c r="K1030" s="19" t="s">
        <v>20</v>
      </c>
      <c r="L1030" s="3" t="str">
        <f>HYPERLINK(VLOOKUP(C1030,BAPs!$A$2:$C$1048576,3,FALSE),VLOOKUP(C1030,BAPs!$A$2:$C$1048576,2,FALSE))</f>
        <v>6 out of 10</v>
      </c>
    </row>
    <row r="1031" spans="1:12" hidden="1">
      <c r="A1031" s="19" t="s">
        <v>3399</v>
      </c>
      <c r="B1031" s="19" t="s">
        <v>3162</v>
      </c>
      <c r="C1031" s="19" t="s">
        <v>3470</v>
      </c>
      <c r="D1031" s="19" t="s">
        <v>3474</v>
      </c>
      <c r="E1031" s="19" t="s">
        <v>3475</v>
      </c>
      <c r="F1031" s="19" t="e">
        <f>MATCH(E1031,#REF!,0)</f>
        <v>#REF!</v>
      </c>
      <c r="G1031" s="19" t="s">
        <v>3476</v>
      </c>
      <c r="H1031" s="19" t="s">
        <v>84</v>
      </c>
      <c r="I1031" s="19"/>
      <c r="J1031" s="19" t="s">
        <v>3473</v>
      </c>
      <c r="K1031" s="19" t="s">
        <v>20</v>
      </c>
      <c r="L1031" s="3" t="str">
        <f>HYPERLINK(VLOOKUP(C1031,BAPs!$A$2:$C$1048576,3,FALSE),VLOOKUP(C1031,BAPs!$A$2:$C$1048576,2,FALSE))</f>
        <v>6 out of 10</v>
      </c>
    </row>
    <row r="1032" spans="1:12" hidden="1">
      <c r="A1032" s="19" t="s">
        <v>3399</v>
      </c>
      <c r="B1032" s="19" t="s">
        <v>3162</v>
      </c>
      <c r="C1032" s="19" t="s">
        <v>3477</v>
      </c>
      <c r="D1032" s="19" t="s">
        <v>3477</v>
      </c>
      <c r="E1032" s="19" t="s">
        <v>3478</v>
      </c>
      <c r="F1032" s="19" t="e">
        <f>MATCH(E1032,#REF!,0)</f>
        <v>#REF!</v>
      </c>
      <c r="G1032" s="19" t="s">
        <v>3479</v>
      </c>
      <c r="H1032" s="19" t="s">
        <v>553</v>
      </c>
      <c r="I1032" s="19" t="s">
        <v>18</v>
      </c>
      <c r="J1032" s="19" t="s">
        <v>3480</v>
      </c>
      <c r="K1032" s="19" t="s">
        <v>62</v>
      </c>
      <c r="L1032" s="3" t="str">
        <f>HYPERLINK(VLOOKUP(C1032,BAPs!$A$2:$C$1048576,3,FALSE),VLOOKUP(C1032,BAPs!$A$2:$C$1048576,2,FALSE))</f>
        <v>10 out of 10</v>
      </c>
    </row>
    <row r="1033" spans="1:12" hidden="1">
      <c r="A1033" s="19" t="s">
        <v>3399</v>
      </c>
      <c r="B1033" s="19" t="s">
        <v>3162</v>
      </c>
      <c r="C1033" s="19" t="s">
        <v>3481</v>
      </c>
      <c r="D1033" s="19" t="s">
        <v>3481</v>
      </c>
      <c r="E1033" s="19" t="s">
        <v>3482</v>
      </c>
      <c r="F1033" s="19" t="e">
        <f>MATCH(E1033,#REF!,0)</f>
        <v>#REF!</v>
      </c>
      <c r="G1033" s="19" t="s">
        <v>3483</v>
      </c>
      <c r="H1033" s="19" t="s">
        <v>553</v>
      </c>
      <c r="I1033" s="19" t="s">
        <v>18</v>
      </c>
      <c r="J1033" s="19" t="s">
        <v>3484</v>
      </c>
      <c r="K1033" s="19" t="s">
        <v>62</v>
      </c>
      <c r="L1033" s="3" t="str">
        <f>HYPERLINK(VLOOKUP(C1033,BAPs!$A$2:$C$1048576,3,FALSE),VLOOKUP(C1033,BAPs!$A$2:$C$1048576,2,FALSE))</f>
        <v>10 out of 10</v>
      </c>
    </row>
    <row r="1034" spans="1:12" hidden="1">
      <c r="A1034" s="19" t="s">
        <v>3399</v>
      </c>
      <c r="B1034" s="19" t="s">
        <v>3162</v>
      </c>
      <c r="C1034" s="19" t="s">
        <v>3485</v>
      </c>
      <c r="D1034" s="19" t="s">
        <v>3486</v>
      </c>
      <c r="E1034" s="19" t="s">
        <v>3487</v>
      </c>
      <c r="F1034" s="19" t="e">
        <f>MATCH(E1034,#REF!,0)</f>
        <v>#REF!</v>
      </c>
      <c r="G1034" s="19" t="s">
        <v>3488</v>
      </c>
      <c r="H1034" s="19" t="s">
        <v>52</v>
      </c>
      <c r="I1034" s="19"/>
      <c r="J1034" s="19" t="s">
        <v>3489</v>
      </c>
      <c r="K1034" s="19" t="s">
        <v>62</v>
      </c>
      <c r="L1034" s="3" t="str">
        <f>HYPERLINK(VLOOKUP(C1034,BAPs!$A$2:$C$1048576,3,FALSE),VLOOKUP(C1034,BAPs!$A$2:$C$1048576,2,FALSE))</f>
        <v>9 out of 10</v>
      </c>
    </row>
    <row r="1035" spans="1:12" hidden="1">
      <c r="A1035" s="19" t="s">
        <v>3399</v>
      </c>
      <c r="B1035" s="19" t="s">
        <v>3162</v>
      </c>
      <c r="C1035" s="19" t="s">
        <v>3490</v>
      </c>
      <c r="D1035" s="19" t="s">
        <v>3490</v>
      </c>
      <c r="E1035" s="19" t="s">
        <v>3491</v>
      </c>
      <c r="F1035" s="19" t="e">
        <f>MATCH(E1035,#REF!,0)</f>
        <v>#REF!</v>
      </c>
      <c r="G1035" s="19" t="s">
        <v>3492</v>
      </c>
      <c r="H1035" s="19" t="s">
        <v>56</v>
      </c>
      <c r="I1035" s="19"/>
      <c r="J1035" s="19" t="s">
        <v>3493</v>
      </c>
      <c r="K1035" s="19" t="s">
        <v>20</v>
      </c>
      <c r="L1035" s="3" t="str">
        <f>HYPERLINK(VLOOKUP(C1035,BAPs!$A$2:$C$1048576,3,FALSE),VLOOKUP(C1035,BAPs!$A$2:$C$1048576,2,FALSE))</f>
        <v>7 out of 10</v>
      </c>
    </row>
    <row r="1036" spans="1:12" hidden="1">
      <c r="A1036" s="19" t="s">
        <v>3399</v>
      </c>
      <c r="B1036" s="19" t="s">
        <v>3162</v>
      </c>
      <c r="C1036" s="19" t="s">
        <v>3494</v>
      </c>
      <c r="D1036" s="19" t="s">
        <v>3494</v>
      </c>
      <c r="E1036" s="19" t="s">
        <v>3495</v>
      </c>
      <c r="F1036" s="19" t="e">
        <f>MATCH(E1036,#REF!,0)</f>
        <v>#REF!</v>
      </c>
      <c r="G1036" s="19" t="s">
        <v>3496</v>
      </c>
      <c r="H1036" s="19" t="s">
        <v>24</v>
      </c>
      <c r="I1036" s="19" t="s">
        <v>18</v>
      </c>
      <c r="J1036" s="19" t="s">
        <v>3497</v>
      </c>
      <c r="K1036" s="19" t="s">
        <v>62</v>
      </c>
      <c r="L1036" s="3" t="str">
        <f>HYPERLINK(VLOOKUP(C1036,BAPs!$A$2:$C$1048576,3,FALSE),VLOOKUP(C1036,BAPs!$A$2:$C$1048576,2,FALSE))</f>
        <v>10 out of 10</v>
      </c>
    </row>
    <row r="1037" spans="1:12" hidden="1">
      <c r="A1037" s="19" t="s">
        <v>3399</v>
      </c>
      <c r="B1037" s="19" t="s">
        <v>3162</v>
      </c>
      <c r="C1037" s="19" t="s">
        <v>3494</v>
      </c>
      <c r="D1037" s="19" t="s">
        <v>3498</v>
      </c>
      <c r="E1037" s="19" t="s">
        <v>3499</v>
      </c>
      <c r="F1037" s="19" t="e">
        <f>MATCH(E1037,#REF!,0)</f>
        <v>#REF!</v>
      </c>
      <c r="G1037" s="19" t="s">
        <v>3500</v>
      </c>
      <c r="H1037" s="19" t="s">
        <v>43</v>
      </c>
      <c r="I1037" s="19"/>
      <c r="J1037" s="19" t="s">
        <v>3497</v>
      </c>
      <c r="K1037" s="19" t="s">
        <v>62</v>
      </c>
      <c r="L1037" s="3" t="str">
        <f>HYPERLINK(VLOOKUP(C1037,BAPs!$A$2:$C$1048576,3,FALSE),VLOOKUP(C1037,BAPs!$A$2:$C$1048576,2,FALSE))</f>
        <v>10 out of 10</v>
      </c>
    </row>
    <row r="1038" spans="1:12" hidden="1">
      <c r="A1038" s="19" t="s">
        <v>3399</v>
      </c>
      <c r="B1038" s="19" t="s">
        <v>3162</v>
      </c>
      <c r="C1038" s="19" t="s">
        <v>3501</v>
      </c>
      <c r="D1038" s="19" t="s">
        <v>3174</v>
      </c>
      <c r="E1038" s="19" t="s">
        <v>3175</v>
      </c>
      <c r="F1038" s="19" t="e">
        <f>MATCH(E1038,#REF!,0)</f>
        <v>#REF!</v>
      </c>
      <c r="G1038" s="19" t="s">
        <v>3176</v>
      </c>
      <c r="H1038" s="19" t="s">
        <v>43</v>
      </c>
      <c r="I1038" s="19"/>
      <c r="J1038" s="19" t="s">
        <v>3502</v>
      </c>
      <c r="K1038" s="19" t="s">
        <v>62</v>
      </c>
      <c r="L1038" s="3" t="str">
        <f>HYPERLINK(VLOOKUP(C1038,BAPs!$A$2:$C$1048576,3,FALSE),VLOOKUP(C1038,BAPs!$A$2:$C$1048576,2,FALSE))</f>
        <v>10 out of 10</v>
      </c>
    </row>
    <row r="1039" spans="1:12" hidden="1">
      <c r="A1039" s="19" t="s">
        <v>3399</v>
      </c>
      <c r="B1039" s="19" t="s">
        <v>3162</v>
      </c>
      <c r="C1039" s="19" t="s">
        <v>3501</v>
      </c>
      <c r="D1039" s="19" t="s">
        <v>3503</v>
      </c>
      <c r="E1039" s="19" t="s">
        <v>3504</v>
      </c>
      <c r="F1039" s="19" t="e">
        <f>MATCH(E1039,#REF!,0)</f>
        <v>#REF!</v>
      </c>
      <c r="G1039" s="19" t="s">
        <v>3505</v>
      </c>
      <c r="H1039" s="19" t="s">
        <v>56</v>
      </c>
      <c r="I1039" s="19"/>
      <c r="J1039" s="19" t="s">
        <v>3502</v>
      </c>
      <c r="K1039" s="19" t="s">
        <v>62</v>
      </c>
      <c r="L1039" s="3" t="str">
        <f>HYPERLINK(VLOOKUP(C1039,BAPs!$A$2:$C$1048576,3,FALSE),VLOOKUP(C1039,BAPs!$A$2:$C$1048576,2,FALSE))</f>
        <v>10 out of 10</v>
      </c>
    </row>
    <row r="1040" spans="1:12" hidden="1">
      <c r="A1040" s="19" t="s">
        <v>3506</v>
      </c>
      <c r="B1040" s="19" t="s">
        <v>3162</v>
      </c>
      <c r="C1040" s="19" t="s">
        <v>3507</v>
      </c>
      <c r="D1040" s="19" t="s">
        <v>3507</v>
      </c>
      <c r="E1040" s="19" t="s">
        <v>3508</v>
      </c>
      <c r="F1040" s="19" t="e">
        <f>MATCH(E1040,#REF!,0)</f>
        <v>#REF!</v>
      </c>
      <c r="G1040" s="19" t="s">
        <v>3509</v>
      </c>
      <c r="H1040" s="19" t="s">
        <v>17</v>
      </c>
      <c r="I1040" s="19" t="s">
        <v>18</v>
      </c>
      <c r="J1040" s="19" t="s">
        <v>3510</v>
      </c>
      <c r="K1040" s="19" t="s">
        <v>20</v>
      </c>
      <c r="L1040" s="3" t="str">
        <f>HYPERLINK(VLOOKUP(C1040,BAPs!$A$2:$C$1048576,3,FALSE),VLOOKUP(C1040,BAPs!$A$2:$C$1048576,2,FALSE))</f>
        <v>5 out of 10</v>
      </c>
    </row>
    <row r="1041" spans="1:12" hidden="1">
      <c r="A1041" s="19" t="s">
        <v>3506</v>
      </c>
      <c r="B1041" s="19" t="s">
        <v>3162</v>
      </c>
      <c r="C1041" s="19" t="s">
        <v>3511</v>
      </c>
      <c r="D1041" s="19" t="s">
        <v>3511</v>
      </c>
      <c r="E1041" s="19" t="s">
        <v>3512</v>
      </c>
      <c r="F1041" s="19" t="e">
        <f>MATCH(E1041,#REF!,0)</f>
        <v>#REF!</v>
      </c>
      <c r="G1041" s="19" t="s">
        <v>3513</v>
      </c>
      <c r="H1041" s="19" t="s">
        <v>52</v>
      </c>
      <c r="I1041" s="19"/>
      <c r="J1041" s="19" t="s">
        <v>3514</v>
      </c>
      <c r="K1041" s="19" t="s">
        <v>62</v>
      </c>
      <c r="L1041" s="3" t="str">
        <f>HYPERLINK(VLOOKUP(C1041,BAPs!$A$2:$C$1048576,3,FALSE),VLOOKUP(C1041,BAPs!$A$2:$C$1048576,2,FALSE))</f>
        <v>9 out of 10</v>
      </c>
    </row>
    <row r="1042" spans="1:12" hidden="1">
      <c r="A1042" s="19" t="s">
        <v>3506</v>
      </c>
      <c r="B1042" s="19" t="s">
        <v>3162</v>
      </c>
      <c r="C1042" s="19" t="s">
        <v>3515</v>
      </c>
      <c r="D1042" s="19" t="s">
        <v>3515</v>
      </c>
      <c r="E1042" s="19" t="s">
        <v>3516</v>
      </c>
      <c r="F1042" s="19" t="e">
        <f>MATCH(E1042,#REF!,0)</f>
        <v>#REF!</v>
      </c>
      <c r="G1042" s="19" t="s">
        <v>3517</v>
      </c>
      <c r="H1042" s="19" t="s">
        <v>52</v>
      </c>
      <c r="I1042" s="19"/>
      <c r="J1042" s="19" t="s">
        <v>3518</v>
      </c>
      <c r="K1042" s="19" t="s">
        <v>62</v>
      </c>
      <c r="L1042" s="3" t="str">
        <f>HYPERLINK(VLOOKUP(C1042,BAPs!$A$2:$C$1048576,3,FALSE),VLOOKUP(C1042,BAPs!$A$2:$C$1048576,2,FALSE))</f>
        <v>9 out of 10</v>
      </c>
    </row>
    <row r="1043" spans="1:12" hidden="1">
      <c r="A1043" s="19" t="s">
        <v>3506</v>
      </c>
      <c r="B1043" s="19" t="s">
        <v>3162</v>
      </c>
      <c r="C1043" s="19" t="s">
        <v>3519</v>
      </c>
      <c r="D1043" s="19" t="s">
        <v>3519</v>
      </c>
      <c r="E1043" s="19" t="s">
        <v>3520</v>
      </c>
      <c r="F1043" s="19" t="e">
        <f>MATCH(E1043,#REF!,0)</f>
        <v>#REF!</v>
      </c>
      <c r="G1043" s="19" t="s">
        <v>3521</v>
      </c>
      <c r="H1043" s="19" t="s">
        <v>17</v>
      </c>
      <c r="I1043" s="19" t="s">
        <v>18</v>
      </c>
      <c r="J1043" s="19" t="s">
        <v>3522</v>
      </c>
      <c r="K1043" s="19" t="s">
        <v>20</v>
      </c>
      <c r="L1043" s="3" t="str">
        <f>HYPERLINK(VLOOKUP(C1043,BAPs!$A$2:$C$1048576,3,FALSE),VLOOKUP(C1043,BAPs!$A$2:$C$1048576,2,FALSE))</f>
        <v>1 out of 10</v>
      </c>
    </row>
    <row r="1044" spans="1:12" hidden="1">
      <c r="A1044" s="19" t="s">
        <v>3506</v>
      </c>
      <c r="B1044" s="19" t="s">
        <v>3162</v>
      </c>
      <c r="C1044" s="19" t="s">
        <v>3523</v>
      </c>
      <c r="D1044" s="19" t="s">
        <v>3523</v>
      </c>
      <c r="E1044" s="19" t="s">
        <v>3524</v>
      </c>
      <c r="F1044" s="19" t="e">
        <f>MATCH(E1044,#REF!,0)</f>
        <v>#REF!</v>
      </c>
      <c r="G1044" s="19" t="s">
        <v>3525</v>
      </c>
      <c r="H1044" s="19" t="s">
        <v>17</v>
      </c>
      <c r="I1044" s="19" t="s">
        <v>18</v>
      </c>
      <c r="J1044" s="19" t="s">
        <v>3526</v>
      </c>
      <c r="K1044" s="19" t="s">
        <v>20</v>
      </c>
      <c r="L1044" s="3" t="str">
        <f>HYPERLINK(VLOOKUP(C1044,BAPs!$A$2:$C$1048576,3,FALSE),VLOOKUP(C1044,BAPs!$A$2:$C$1048576,2,FALSE))</f>
        <v>4 out of 10</v>
      </c>
    </row>
    <row r="1045" spans="1:12" hidden="1">
      <c r="A1045" s="19" t="s">
        <v>3506</v>
      </c>
      <c r="B1045" s="19" t="s">
        <v>3162</v>
      </c>
      <c r="C1045" s="19" t="s">
        <v>3527</v>
      </c>
      <c r="D1045" s="19" t="s">
        <v>3527</v>
      </c>
      <c r="E1045" s="19" t="s">
        <v>3528</v>
      </c>
      <c r="F1045" s="19" t="e">
        <f>MATCH(E1045,#REF!,0)</f>
        <v>#REF!</v>
      </c>
      <c r="G1045" s="19" t="s">
        <v>3529</v>
      </c>
      <c r="H1045" s="19" t="s">
        <v>17</v>
      </c>
      <c r="I1045" s="19" t="s">
        <v>18</v>
      </c>
      <c r="J1045" s="19" t="s">
        <v>3530</v>
      </c>
      <c r="K1045" s="19" t="s">
        <v>20</v>
      </c>
      <c r="L1045" s="3" t="str">
        <f>HYPERLINK(VLOOKUP(C1045,BAPs!$A$2:$C$1048576,3,FALSE),VLOOKUP(C1045,BAPs!$A$2:$C$1048576,2,FALSE))</f>
        <v>4 out of 10</v>
      </c>
    </row>
    <row r="1046" spans="1:12" hidden="1">
      <c r="A1046" s="19" t="s">
        <v>3506</v>
      </c>
      <c r="B1046" s="19" t="s">
        <v>3162</v>
      </c>
      <c r="C1046" s="19" t="s">
        <v>3527</v>
      </c>
      <c r="D1046" s="19" t="s">
        <v>3498</v>
      </c>
      <c r="E1046" s="19" t="s">
        <v>3499</v>
      </c>
      <c r="F1046" s="19" t="e">
        <f>MATCH(E1046,#REF!,0)</f>
        <v>#REF!</v>
      </c>
      <c r="G1046" s="19" t="s">
        <v>3500</v>
      </c>
      <c r="H1046" s="19" t="s">
        <v>43</v>
      </c>
      <c r="I1046" s="19"/>
      <c r="J1046" s="19" t="s">
        <v>3530</v>
      </c>
      <c r="K1046" s="19" t="s">
        <v>20</v>
      </c>
      <c r="L1046" s="3" t="str">
        <f>HYPERLINK(VLOOKUP(C1046,BAPs!$A$2:$C$1048576,3,FALSE),VLOOKUP(C1046,BAPs!$A$2:$C$1048576,2,FALSE))</f>
        <v>4 out of 10</v>
      </c>
    </row>
    <row r="1047" spans="1:12" hidden="1">
      <c r="A1047" s="19" t="s">
        <v>3506</v>
      </c>
      <c r="B1047" s="19" t="s">
        <v>3162</v>
      </c>
      <c r="C1047" s="19" t="s">
        <v>3531</v>
      </c>
      <c r="D1047" s="19" t="s">
        <v>3531</v>
      </c>
      <c r="E1047" s="19" t="s">
        <v>3532</v>
      </c>
      <c r="F1047" s="19" t="e">
        <f>MATCH(E1047,#REF!,0)</f>
        <v>#REF!</v>
      </c>
      <c r="G1047" s="19" t="s">
        <v>3533</v>
      </c>
      <c r="H1047" s="19" t="s">
        <v>52</v>
      </c>
      <c r="I1047" s="19"/>
      <c r="J1047" s="19" t="s">
        <v>3534</v>
      </c>
      <c r="K1047" s="19" t="s">
        <v>20</v>
      </c>
      <c r="L1047" s="3" t="str">
        <f>HYPERLINK(VLOOKUP(C1047,BAPs!$A$2:$C$1048576,3,FALSE),VLOOKUP(C1047,BAPs!$A$2:$C$1048576,2,FALSE))</f>
        <v>3 out of 10</v>
      </c>
    </row>
    <row r="1048" spans="1:12" hidden="1">
      <c r="A1048" s="19" t="s">
        <v>3506</v>
      </c>
      <c r="B1048" s="19" t="s">
        <v>3162</v>
      </c>
      <c r="C1048" s="19" t="s">
        <v>3535</v>
      </c>
      <c r="D1048" s="19" t="s">
        <v>3535</v>
      </c>
      <c r="E1048" s="19" t="s">
        <v>3536</v>
      </c>
      <c r="F1048" s="19" t="e">
        <f>MATCH(E1048,#REF!,0)</f>
        <v>#REF!</v>
      </c>
      <c r="G1048" s="19" t="s">
        <v>3537</v>
      </c>
      <c r="H1048" s="19" t="s">
        <v>52</v>
      </c>
      <c r="I1048" s="19"/>
      <c r="J1048" s="19" t="s">
        <v>3538</v>
      </c>
      <c r="K1048" s="19" t="s">
        <v>20</v>
      </c>
      <c r="L1048" s="3" t="str">
        <f>HYPERLINK(VLOOKUP(C1048,BAPs!$A$2:$C$1048576,3,FALSE),VLOOKUP(C1048,BAPs!$A$2:$C$1048576,2,FALSE))</f>
        <v>1 out of 10</v>
      </c>
    </row>
    <row r="1049" spans="1:12" hidden="1">
      <c r="A1049" s="19" t="s">
        <v>3506</v>
      </c>
      <c r="B1049" s="19" t="s">
        <v>3162</v>
      </c>
      <c r="C1049" s="19" t="s">
        <v>3539</v>
      </c>
      <c r="D1049" s="19" t="s">
        <v>3539</v>
      </c>
      <c r="E1049" s="19" t="s">
        <v>3540</v>
      </c>
      <c r="F1049" s="19" t="e">
        <f>MATCH(E1049,#REF!,0)</f>
        <v>#REF!</v>
      </c>
      <c r="G1049" s="19" t="s">
        <v>3541</v>
      </c>
      <c r="H1049" s="19" t="s">
        <v>43</v>
      </c>
      <c r="I1049" s="19"/>
      <c r="J1049" s="19" t="s">
        <v>3542</v>
      </c>
      <c r="K1049" s="19" t="s">
        <v>20</v>
      </c>
      <c r="L1049" s="3" t="str">
        <f>HYPERLINK(VLOOKUP(C1049,BAPs!$A$2:$C$1048576,3,FALSE),VLOOKUP(C1049,BAPs!$A$2:$C$1048576,2,FALSE))</f>
        <v>4 out of 10</v>
      </c>
    </row>
    <row r="1050" spans="1:12" hidden="1">
      <c r="A1050" s="19" t="s">
        <v>3506</v>
      </c>
      <c r="B1050" s="19" t="s">
        <v>3162</v>
      </c>
      <c r="C1050" s="19" t="s">
        <v>3543</v>
      </c>
      <c r="D1050" s="19" t="s">
        <v>3544</v>
      </c>
      <c r="E1050" s="19" t="s">
        <v>3545</v>
      </c>
      <c r="F1050" s="19" t="e">
        <f>MATCH(E1050,#REF!,0)</f>
        <v>#REF!</v>
      </c>
      <c r="G1050" s="19" t="s">
        <v>3546</v>
      </c>
      <c r="H1050" s="19" t="s">
        <v>24</v>
      </c>
      <c r="I1050" s="19" t="s">
        <v>18</v>
      </c>
      <c r="J1050" s="19" t="s">
        <v>3547</v>
      </c>
      <c r="K1050" s="19" t="s">
        <v>20</v>
      </c>
      <c r="L1050" s="3" t="str">
        <f>HYPERLINK(VLOOKUP(C1050,BAPs!$A$2:$C$1048576,3,FALSE),VLOOKUP(C1050,BAPs!$A$2:$C$1048576,2,FALSE))</f>
        <v>1 out of 10</v>
      </c>
    </row>
    <row r="1051" spans="1:12" hidden="1">
      <c r="A1051" s="19" t="s">
        <v>3506</v>
      </c>
      <c r="B1051" s="19" t="s">
        <v>3162</v>
      </c>
      <c r="C1051" s="19" t="s">
        <v>3548</v>
      </c>
      <c r="D1051" s="19" t="s">
        <v>3548</v>
      </c>
      <c r="E1051" s="19" t="s">
        <v>3549</v>
      </c>
      <c r="F1051" s="19" t="e">
        <f>MATCH(E1051,#REF!,0)</f>
        <v>#REF!</v>
      </c>
      <c r="G1051" s="19" t="s">
        <v>3550</v>
      </c>
      <c r="H1051" s="19" t="s">
        <v>17</v>
      </c>
      <c r="I1051" s="19" t="s">
        <v>18</v>
      </c>
      <c r="J1051" s="19" t="s">
        <v>3551</v>
      </c>
      <c r="K1051" s="19" t="s">
        <v>62</v>
      </c>
      <c r="L1051" s="3" t="str">
        <f>HYPERLINK(VLOOKUP(C1051,BAPs!$A$2:$C$1048576,3,FALSE),VLOOKUP(C1051,BAPs!$A$2:$C$1048576,2,FALSE))</f>
        <v>10 out of 10</v>
      </c>
    </row>
    <row r="1052" spans="1:12" hidden="1">
      <c r="A1052" s="19" t="s">
        <v>3506</v>
      </c>
      <c r="B1052" s="19" t="s">
        <v>3162</v>
      </c>
      <c r="C1052" s="19" t="s">
        <v>3548</v>
      </c>
      <c r="D1052" s="19" t="s">
        <v>3552</v>
      </c>
      <c r="E1052" s="19" t="s">
        <v>3553</v>
      </c>
      <c r="F1052" s="19" t="e">
        <f>MATCH(E1052,#REF!,0)</f>
        <v>#REF!</v>
      </c>
      <c r="G1052" s="19" t="s">
        <v>3554</v>
      </c>
      <c r="H1052" s="19" t="s">
        <v>24</v>
      </c>
      <c r="I1052" s="19" t="s">
        <v>18</v>
      </c>
      <c r="J1052" s="19" t="s">
        <v>3551</v>
      </c>
      <c r="K1052" s="19" t="s">
        <v>62</v>
      </c>
      <c r="L1052" s="3" t="str">
        <f>HYPERLINK(VLOOKUP(C1052,BAPs!$A$2:$C$1048576,3,FALSE),VLOOKUP(C1052,BAPs!$A$2:$C$1048576,2,FALSE))</f>
        <v>10 out of 10</v>
      </c>
    </row>
    <row r="1053" spans="1:12" hidden="1">
      <c r="A1053" s="19" t="s">
        <v>3506</v>
      </c>
      <c r="B1053" s="19" t="s">
        <v>3162</v>
      </c>
      <c r="C1053" s="19" t="s">
        <v>3555</v>
      </c>
      <c r="D1053" s="19" t="s">
        <v>3555</v>
      </c>
      <c r="E1053" s="19" t="s">
        <v>3556</v>
      </c>
      <c r="F1053" s="19" t="e">
        <f>MATCH(E1053,#REF!,0)</f>
        <v>#REF!</v>
      </c>
      <c r="G1053" s="19" t="s">
        <v>3557</v>
      </c>
      <c r="H1053" s="19" t="s">
        <v>17</v>
      </c>
      <c r="I1053" s="19" t="s">
        <v>18</v>
      </c>
      <c r="J1053" s="19" t="s">
        <v>3558</v>
      </c>
      <c r="K1053" s="19" t="s">
        <v>62</v>
      </c>
      <c r="L1053" s="3" t="str">
        <f>HYPERLINK(VLOOKUP(C1053,BAPs!$A$2:$C$1048576,3,FALSE),VLOOKUP(C1053,BAPs!$A$2:$C$1048576,2,FALSE))</f>
        <v>9 out of 10</v>
      </c>
    </row>
    <row r="1054" spans="1:12" hidden="1">
      <c r="A1054" s="19" t="s">
        <v>3506</v>
      </c>
      <c r="B1054" s="19" t="s">
        <v>3162</v>
      </c>
      <c r="C1054" s="19" t="s">
        <v>3559</v>
      </c>
      <c r="D1054" s="19" t="s">
        <v>3559</v>
      </c>
      <c r="E1054" s="19" t="s">
        <v>3560</v>
      </c>
      <c r="F1054" s="19" t="e">
        <f>MATCH(E1054,#REF!,0)</f>
        <v>#REF!</v>
      </c>
      <c r="G1054" s="19" t="s">
        <v>3561</v>
      </c>
      <c r="H1054" s="19" t="s">
        <v>17</v>
      </c>
      <c r="I1054" s="19" t="s">
        <v>18</v>
      </c>
      <c r="J1054" s="19" t="s">
        <v>3562</v>
      </c>
      <c r="K1054" s="19" t="s">
        <v>20</v>
      </c>
      <c r="L1054" s="3" t="str">
        <f>HYPERLINK(VLOOKUP(C1054,BAPs!$A$2:$C$1048576,3,FALSE),VLOOKUP(C1054,BAPs!$A$2:$C$1048576,2,FALSE))</f>
        <v>4 out of 10</v>
      </c>
    </row>
    <row r="1055" spans="1:12" hidden="1">
      <c r="A1055" s="19" t="s">
        <v>3506</v>
      </c>
      <c r="B1055" s="19" t="s">
        <v>3162</v>
      </c>
      <c r="C1055" s="19" t="s">
        <v>3559</v>
      </c>
      <c r="D1055" s="19" t="s">
        <v>3498</v>
      </c>
      <c r="E1055" s="19" t="s">
        <v>3499</v>
      </c>
      <c r="F1055" s="19" t="e">
        <f>MATCH(E1055,#REF!,0)</f>
        <v>#REF!</v>
      </c>
      <c r="G1055" s="19" t="s">
        <v>3500</v>
      </c>
      <c r="H1055" s="19" t="s">
        <v>43</v>
      </c>
      <c r="I1055" s="19"/>
      <c r="J1055" s="19" t="s">
        <v>3562</v>
      </c>
      <c r="K1055" s="19" t="s">
        <v>20</v>
      </c>
      <c r="L1055" s="3" t="str">
        <f>HYPERLINK(VLOOKUP(C1055,BAPs!$A$2:$C$1048576,3,FALSE),VLOOKUP(C1055,BAPs!$A$2:$C$1048576,2,FALSE))</f>
        <v>4 out of 10</v>
      </c>
    </row>
    <row r="1056" spans="1:12" hidden="1">
      <c r="A1056" s="19" t="s">
        <v>3506</v>
      </c>
      <c r="B1056" s="19" t="s">
        <v>3162</v>
      </c>
      <c r="C1056" s="19" t="s">
        <v>3563</v>
      </c>
      <c r="D1056" s="19" t="s">
        <v>3563</v>
      </c>
      <c r="E1056" s="19" t="s">
        <v>3564</v>
      </c>
      <c r="F1056" s="19" t="e">
        <f>MATCH(E1056,#REF!,0)</f>
        <v>#REF!</v>
      </c>
      <c r="G1056" s="19" t="s">
        <v>3565</v>
      </c>
      <c r="H1056" s="19" t="s">
        <v>24</v>
      </c>
      <c r="I1056" s="19"/>
      <c r="J1056" s="19" t="s">
        <v>3566</v>
      </c>
      <c r="K1056" s="19" t="s">
        <v>62</v>
      </c>
      <c r="L1056" s="3" t="str">
        <f>HYPERLINK(VLOOKUP(C1056,BAPs!$A$2:$C$1048576,3,FALSE),VLOOKUP(C1056,BAPs!$A$2:$C$1048576,2,FALSE))</f>
        <v>10 out of 10</v>
      </c>
    </row>
    <row r="1057" spans="1:12" hidden="1">
      <c r="A1057" s="19" t="s">
        <v>3506</v>
      </c>
      <c r="B1057" s="19" t="s">
        <v>3162</v>
      </c>
      <c r="C1057" s="19" t="s">
        <v>3563</v>
      </c>
      <c r="D1057" s="19" t="s">
        <v>3498</v>
      </c>
      <c r="E1057" s="19" t="s">
        <v>3499</v>
      </c>
      <c r="F1057" s="19" t="e">
        <f>MATCH(E1057,#REF!,0)</f>
        <v>#REF!</v>
      </c>
      <c r="G1057" s="19" t="s">
        <v>3500</v>
      </c>
      <c r="H1057" s="19" t="s">
        <v>43</v>
      </c>
      <c r="I1057" s="19"/>
      <c r="J1057" s="19" t="s">
        <v>3566</v>
      </c>
      <c r="K1057" s="19" t="s">
        <v>62</v>
      </c>
      <c r="L1057" s="3" t="str">
        <f>HYPERLINK(VLOOKUP(C1057,BAPs!$A$2:$C$1048576,3,FALSE),VLOOKUP(C1057,BAPs!$A$2:$C$1048576,2,FALSE))</f>
        <v>10 out of 10</v>
      </c>
    </row>
    <row r="1058" spans="1:12" hidden="1">
      <c r="A1058" s="19" t="s">
        <v>3506</v>
      </c>
      <c r="B1058" s="19" t="s">
        <v>3162</v>
      </c>
      <c r="C1058" s="19" t="s">
        <v>3567</v>
      </c>
      <c r="D1058" s="19" t="s">
        <v>3544</v>
      </c>
      <c r="E1058" s="19" t="s">
        <v>3545</v>
      </c>
      <c r="F1058" s="19" t="e">
        <f>MATCH(E1058,#REF!,0)</f>
        <v>#REF!</v>
      </c>
      <c r="G1058" s="19" t="s">
        <v>3546</v>
      </c>
      <c r="H1058" s="19" t="s">
        <v>24</v>
      </c>
      <c r="I1058" s="19" t="s">
        <v>18</v>
      </c>
      <c r="J1058" s="19" t="s">
        <v>3568</v>
      </c>
      <c r="K1058" s="19" t="s">
        <v>20</v>
      </c>
      <c r="L1058" s="3" t="str">
        <f>HYPERLINK(VLOOKUP(C1058,BAPs!$A$2:$C$1048576,3,FALSE),VLOOKUP(C1058,BAPs!$A$2:$C$1048576,2,FALSE))</f>
        <v>5 out of 10</v>
      </c>
    </row>
    <row r="1059" spans="1:12" hidden="1">
      <c r="A1059" s="19" t="s">
        <v>3506</v>
      </c>
      <c r="B1059" s="19" t="s">
        <v>3162</v>
      </c>
      <c r="C1059" s="19" t="s">
        <v>3567</v>
      </c>
      <c r="D1059" s="19" t="s">
        <v>3567</v>
      </c>
      <c r="E1059" s="19" t="s">
        <v>3569</v>
      </c>
      <c r="F1059" s="19" t="e">
        <f>MATCH(E1059,#REF!,0)</f>
        <v>#REF!</v>
      </c>
      <c r="G1059" s="19" t="s">
        <v>3570</v>
      </c>
      <c r="H1059" s="19" t="s">
        <v>17</v>
      </c>
      <c r="I1059" s="19" t="s">
        <v>18</v>
      </c>
      <c r="J1059" s="19" t="s">
        <v>3568</v>
      </c>
      <c r="K1059" s="19" t="s">
        <v>20</v>
      </c>
      <c r="L1059" s="3" t="str">
        <f>HYPERLINK(VLOOKUP(C1059,BAPs!$A$2:$C$1048576,3,FALSE),VLOOKUP(C1059,BAPs!$A$2:$C$1048576,2,FALSE))</f>
        <v>5 out of 10</v>
      </c>
    </row>
    <row r="1060" spans="1:12" hidden="1">
      <c r="A1060" s="19" t="s">
        <v>3506</v>
      </c>
      <c r="B1060" s="19" t="s">
        <v>3162</v>
      </c>
      <c r="C1060" s="19" t="s">
        <v>3571</v>
      </c>
      <c r="D1060" s="19" t="s">
        <v>3571</v>
      </c>
      <c r="E1060" s="19" t="s">
        <v>3572</v>
      </c>
      <c r="F1060" s="19" t="e">
        <f>MATCH(E1060,#REF!,0)</f>
        <v>#REF!</v>
      </c>
      <c r="G1060" s="19" t="s">
        <v>3573</v>
      </c>
      <c r="H1060" s="19" t="s">
        <v>52</v>
      </c>
      <c r="I1060" s="19"/>
      <c r="J1060" s="19" t="s">
        <v>3574</v>
      </c>
      <c r="K1060" s="19" t="s">
        <v>20</v>
      </c>
      <c r="L1060" s="3" t="str">
        <f>HYPERLINK(VLOOKUP(C1060,BAPs!$A$2:$C$1048576,3,FALSE),VLOOKUP(C1060,BAPs!$A$2:$C$1048576,2,FALSE))</f>
        <v>1 out of 10</v>
      </c>
    </row>
    <row r="1061" spans="1:12" hidden="1">
      <c r="A1061" s="19" t="s">
        <v>3506</v>
      </c>
      <c r="B1061" s="19" t="s">
        <v>3162</v>
      </c>
      <c r="C1061" s="19" t="s">
        <v>3575</v>
      </c>
      <c r="D1061" s="19" t="s">
        <v>3552</v>
      </c>
      <c r="E1061" s="19" t="s">
        <v>3553</v>
      </c>
      <c r="F1061" s="19" t="e">
        <f>MATCH(E1061,#REF!,0)</f>
        <v>#REF!</v>
      </c>
      <c r="G1061" s="19" t="s">
        <v>3554</v>
      </c>
      <c r="H1061" s="19" t="s">
        <v>24</v>
      </c>
      <c r="I1061" s="19" t="s">
        <v>18</v>
      </c>
      <c r="J1061" s="19" t="s">
        <v>3576</v>
      </c>
      <c r="K1061" s="19" t="s">
        <v>62</v>
      </c>
      <c r="L1061" s="3" t="str">
        <f>HYPERLINK(VLOOKUP(C1061,BAPs!$A$2:$C$1048576,3,FALSE),VLOOKUP(C1061,BAPs!$A$2:$C$1048576,2,FALSE))</f>
        <v>10 out of 10</v>
      </c>
    </row>
    <row r="1062" spans="1:12" hidden="1">
      <c r="A1062" s="19" t="s">
        <v>3506</v>
      </c>
      <c r="B1062" s="19" t="s">
        <v>3162</v>
      </c>
      <c r="C1062" s="19" t="s">
        <v>3575</v>
      </c>
      <c r="D1062" s="19" t="s">
        <v>3575</v>
      </c>
      <c r="E1062" s="19" t="s">
        <v>3577</v>
      </c>
      <c r="F1062" s="19" t="e">
        <f>MATCH(E1062,#REF!,0)</f>
        <v>#REF!</v>
      </c>
      <c r="G1062" s="19" t="s">
        <v>3578</v>
      </c>
      <c r="H1062" s="19" t="s">
        <v>24</v>
      </c>
      <c r="I1062" s="19" t="s">
        <v>18</v>
      </c>
      <c r="J1062" s="19" t="s">
        <v>3576</v>
      </c>
      <c r="K1062" s="19" t="s">
        <v>62</v>
      </c>
      <c r="L1062" s="3" t="str">
        <f>HYPERLINK(VLOOKUP(C1062,BAPs!$A$2:$C$1048576,3,FALSE),VLOOKUP(C1062,BAPs!$A$2:$C$1048576,2,FALSE))</f>
        <v>10 out of 10</v>
      </c>
    </row>
    <row r="1063" spans="1:12" hidden="1">
      <c r="A1063" s="19" t="s">
        <v>3506</v>
      </c>
      <c r="B1063" s="19" t="s">
        <v>3162</v>
      </c>
      <c r="C1063" s="19" t="s">
        <v>3579</v>
      </c>
      <c r="D1063" s="19" t="s">
        <v>3580</v>
      </c>
      <c r="E1063" s="19" t="s">
        <v>3581</v>
      </c>
      <c r="F1063" s="19" t="e">
        <f>MATCH(E1063,#REF!,0)</f>
        <v>#REF!</v>
      </c>
      <c r="G1063" s="19" t="s">
        <v>3582</v>
      </c>
      <c r="H1063" s="19" t="s">
        <v>17</v>
      </c>
      <c r="I1063" s="19" t="s">
        <v>18</v>
      </c>
      <c r="J1063" s="19" t="s">
        <v>3583</v>
      </c>
      <c r="K1063" s="19" t="s">
        <v>62</v>
      </c>
      <c r="L1063" s="3" t="str">
        <f>HYPERLINK(VLOOKUP(C1063,BAPs!$A$2:$C$1048576,3,FALSE),VLOOKUP(C1063,BAPs!$A$2:$C$1048576,2,FALSE))</f>
        <v>10 out of 10</v>
      </c>
    </row>
    <row r="1064" spans="1:12" hidden="1">
      <c r="A1064" s="19" t="s">
        <v>3506</v>
      </c>
      <c r="B1064" s="19" t="s">
        <v>3162</v>
      </c>
      <c r="C1064" s="19" t="s">
        <v>3584</v>
      </c>
      <c r="D1064" s="19" t="s">
        <v>3585</v>
      </c>
      <c r="E1064" s="19" t="s">
        <v>3586</v>
      </c>
      <c r="F1064" s="19" t="e">
        <f>MATCH(E1064,#REF!,0)</f>
        <v>#REF!</v>
      </c>
      <c r="G1064" s="19" t="s">
        <v>3587</v>
      </c>
      <c r="H1064" s="19" t="s">
        <v>17</v>
      </c>
      <c r="I1064" s="19"/>
      <c r="J1064" s="19" t="s">
        <v>3588</v>
      </c>
      <c r="K1064" s="19" t="s">
        <v>20</v>
      </c>
      <c r="L1064" s="3" t="str">
        <f>HYPERLINK(VLOOKUP(C1064,BAPs!$A$2:$C$1048576,3,FALSE),VLOOKUP(C1064,BAPs!$A$2:$C$1048576,2,FALSE))</f>
        <v>4 out of 10</v>
      </c>
    </row>
    <row r="1065" spans="1:12" hidden="1">
      <c r="A1065" s="19" t="s">
        <v>3506</v>
      </c>
      <c r="B1065" s="19" t="s">
        <v>3162</v>
      </c>
      <c r="C1065" s="19" t="s">
        <v>3584</v>
      </c>
      <c r="D1065" s="19" t="s">
        <v>3589</v>
      </c>
      <c r="E1065" s="19" t="s">
        <v>3590</v>
      </c>
      <c r="F1065" s="19" t="e">
        <f>MATCH(E1065,#REF!,0)</f>
        <v>#REF!</v>
      </c>
      <c r="G1065" s="19" t="s">
        <v>3591</v>
      </c>
      <c r="H1065" s="19" t="s">
        <v>17</v>
      </c>
      <c r="I1065" s="19" t="s">
        <v>18</v>
      </c>
      <c r="J1065" s="19" t="s">
        <v>3588</v>
      </c>
      <c r="K1065" s="19" t="s">
        <v>20</v>
      </c>
      <c r="L1065" s="3" t="str">
        <f>HYPERLINK(VLOOKUP(C1065,BAPs!$A$2:$C$1048576,3,FALSE),VLOOKUP(C1065,BAPs!$A$2:$C$1048576,2,FALSE))</f>
        <v>4 out of 10</v>
      </c>
    </row>
    <row r="1066" spans="1:12" hidden="1">
      <c r="A1066" s="19" t="s">
        <v>3506</v>
      </c>
      <c r="B1066" s="19" t="s">
        <v>3162</v>
      </c>
      <c r="C1066" s="19" t="s">
        <v>3592</v>
      </c>
      <c r="D1066" s="19" t="s">
        <v>3593</v>
      </c>
      <c r="E1066" s="19" t="s">
        <v>3594</v>
      </c>
      <c r="F1066" s="19" t="e">
        <f>MATCH(E1066,#REF!,0)</f>
        <v>#REF!</v>
      </c>
      <c r="G1066" s="19" t="s">
        <v>3595</v>
      </c>
      <c r="H1066" s="19" t="s">
        <v>56</v>
      </c>
      <c r="I1066" s="19"/>
      <c r="J1066" s="19" t="s">
        <v>3596</v>
      </c>
      <c r="K1066" s="19" t="s">
        <v>20</v>
      </c>
      <c r="L1066" s="3" t="str">
        <f>HYPERLINK(VLOOKUP(C1066,BAPs!$A$2:$C$1048576,3,FALSE),VLOOKUP(C1066,BAPs!$A$2:$C$1048576,2,FALSE))</f>
        <v>5 out of 10</v>
      </c>
    </row>
    <row r="1067" spans="1:12" hidden="1">
      <c r="A1067" s="19" t="s">
        <v>3506</v>
      </c>
      <c r="B1067" s="19" t="s">
        <v>3162</v>
      </c>
      <c r="C1067" s="19" t="s">
        <v>3592</v>
      </c>
      <c r="D1067" s="19" t="s">
        <v>3597</v>
      </c>
      <c r="E1067" s="19" t="s">
        <v>3598</v>
      </c>
      <c r="F1067" s="19" t="e">
        <f>MATCH(E1067,#REF!,0)</f>
        <v>#REF!</v>
      </c>
      <c r="G1067" s="19" t="s">
        <v>3599</v>
      </c>
      <c r="H1067" s="19" t="s">
        <v>43</v>
      </c>
      <c r="I1067" s="19"/>
      <c r="J1067" s="19" t="s">
        <v>3596</v>
      </c>
      <c r="K1067" s="19" t="s">
        <v>20</v>
      </c>
      <c r="L1067" s="3" t="str">
        <f>HYPERLINK(VLOOKUP(C1067,BAPs!$A$2:$C$1048576,3,FALSE),VLOOKUP(C1067,BAPs!$A$2:$C$1048576,2,FALSE))</f>
        <v>5 out of 10</v>
      </c>
    </row>
    <row r="1068" spans="1:12" hidden="1">
      <c r="A1068" s="19" t="s">
        <v>3506</v>
      </c>
      <c r="B1068" s="19" t="s">
        <v>3162</v>
      </c>
      <c r="C1068" s="19" t="s">
        <v>3600</v>
      </c>
      <c r="D1068" s="19" t="s">
        <v>3600</v>
      </c>
      <c r="E1068" s="19" t="s">
        <v>3601</v>
      </c>
      <c r="F1068" s="19" t="e">
        <f>MATCH(E1068,#REF!,0)</f>
        <v>#REF!</v>
      </c>
      <c r="G1068" s="19" t="s">
        <v>3602</v>
      </c>
      <c r="H1068" s="19" t="s">
        <v>56</v>
      </c>
      <c r="I1068" s="19"/>
      <c r="J1068" s="19" t="s">
        <v>3603</v>
      </c>
      <c r="K1068" s="19" t="s">
        <v>20</v>
      </c>
      <c r="L1068" s="3" t="str">
        <f>HYPERLINK(VLOOKUP(C1068,BAPs!$A$2:$C$1048576,3,FALSE),VLOOKUP(C1068,BAPs!$A$2:$C$1048576,2,FALSE))</f>
        <v>3 out of 10</v>
      </c>
    </row>
    <row r="1069" spans="1:12" hidden="1">
      <c r="A1069" s="19" t="s">
        <v>3506</v>
      </c>
      <c r="B1069" s="19" t="s">
        <v>3162</v>
      </c>
      <c r="C1069" s="19" t="s">
        <v>3600</v>
      </c>
      <c r="D1069" s="19" t="s">
        <v>3498</v>
      </c>
      <c r="E1069" s="19" t="s">
        <v>3499</v>
      </c>
      <c r="F1069" s="19" t="e">
        <f>MATCH(E1069,#REF!,0)</f>
        <v>#REF!</v>
      </c>
      <c r="G1069" s="19" t="s">
        <v>3500</v>
      </c>
      <c r="H1069" s="19" t="s">
        <v>43</v>
      </c>
      <c r="I1069" s="19"/>
      <c r="J1069" s="19" t="s">
        <v>3603</v>
      </c>
      <c r="K1069" s="19" t="s">
        <v>20</v>
      </c>
      <c r="L1069" s="3" t="str">
        <f>HYPERLINK(VLOOKUP(C1069,BAPs!$A$2:$C$1048576,3,FALSE),VLOOKUP(C1069,BAPs!$A$2:$C$1048576,2,FALSE))</f>
        <v>3 out of 10</v>
      </c>
    </row>
    <row r="1070" spans="1:12" hidden="1">
      <c r="A1070" s="19" t="s">
        <v>3506</v>
      </c>
      <c r="B1070" s="19" t="s">
        <v>3162</v>
      </c>
      <c r="C1070" s="19" t="s">
        <v>3604</v>
      </c>
      <c r="D1070" s="19" t="s">
        <v>3604</v>
      </c>
      <c r="E1070" s="19" t="s">
        <v>3605</v>
      </c>
      <c r="F1070" s="19" t="e">
        <f>MATCH(E1070,#REF!,0)</f>
        <v>#REF!</v>
      </c>
      <c r="G1070" s="19" t="s">
        <v>3606</v>
      </c>
      <c r="H1070" s="19" t="s">
        <v>56</v>
      </c>
      <c r="I1070" s="19"/>
      <c r="J1070" s="19" t="s">
        <v>3607</v>
      </c>
      <c r="K1070" s="19" t="s">
        <v>62</v>
      </c>
      <c r="L1070" s="3" t="str">
        <f>HYPERLINK(VLOOKUP(C1070,BAPs!$A$2:$C$1048576,3,FALSE),VLOOKUP(C1070,BAPs!$A$2:$C$1048576,2,FALSE))</f>
        <v>9 out of 10</v>
      </c>
    </row>
    <row r="1071" spans="1:12" hidden="1">
      <c r="A1071" s="19" t="s">
        <v>3506</v>
      </c>
      <c r="B1071" s="19" t="s">
        <v>3162</v>
      </c>
      <c r="C1071" s="19" t="s">
        <v>3604</v>
      </c>
      <c r="D1071" s="19" t="s">
        <v>3597</v>
      </c>
      <c r="E1071" s="19" t="s">
        <v>3598</v>
      </c>
      <c r="F1071" s="19" t="e">
        <f>MATCH(E1071,#REF!,0)</f>
        <v>#REF!</v>
      </c>
      <c r="G1071" s="19" t="s">
        <v>3599</v>
      </c>
      <c r="H1071" s="19" t="s">
        <v>43</v>
      </c>
      <c r="I1071" s="19"/>
      <c r="J1071" s="19" t="s">
        <v>3607</v>
      </c>
      <c r="K1071" s="19" t="s">
        <v>62</v>
      </c>
      <c r="L1071" s="3" t="str">
        <f>HYPERLINK(VLOOKUP(C1071,BAPs!$A$2:$C$1048576,3,FALSE),VLOOKUP(C1071,BAPs!$A$2:$C$1048576,2,FALSE))</f>
        <v>9 out of 10</v>
      </c>
    </row>
    <row r="1072" spans="1:12" hidden="1">
      <c r="A1072" s="19" t="s">
        <v>3506</v>
      </c>
      <c r="B1072" s="19" t="s">
        <v>3162</v>
      </c>
      <c r="C1072" s="19" t="s">
        <v>3608</v>
      </c>
      <c r="D1072" s="19" t="s">
        <v>3539</v>
      </c>
      <c r="E1072" s="19" t="s">
        <v>3540</v>
      </c>
      <c r="F1072" s="19" t="e">
        <f>MATCH(E1072,#REF!,0)</f>
        <v>#REF!</v>
      </c>
      <c r="G1072" s="19" t="s">
        <v>3541</v>
      </c>
      <c r="H1072" s="19" t="s">
        <v>43</v>
      </c>
      <c r="I1072" s="19"/>
      <c r="J1072" s="19" t="s">
        <v>3609</v>
      </c>
      <c r="K1072" s="19" t="s">
        <v>20</v>
      </c>
      <c r="L1072" s="3" t="str">
        <f>HYPERLINK(VLOOKUP(C1072,BAPs!$A$2:$C$1048576,3,FALSE),VLOOKUP(C1072,BAPs!$A$2:$C$1048576,2,FALSE))</f>
        <v>8 out of 10</v>
      </c>
    </row>
    <row r="1073" spans="1:12" hidden="1">
      <c r="A1073" s="19" t="s">
        <v>3506</v>
      </c>
      <c r="B1073" s="19" t="s">
        <v>3162</v>
      </c>
      <c r="C1073" s="19" t="s">
        <v>3608</v>
      </c>
      <c r="D1073" s="19" t="s">
        <v>3321</v>
      </c>
      <c r="E1073" s="19" t="s">
        <v>3610</v>
      </c>
      <c r="F1073" s="19" t="e">
        <f>MATCH(E1073,#REF!,0)</f>
        <v>#REF!</v>
      </c>
      <c r="G1073" s="19" t="s">
        <v>3611</v>
      </c>
      <c r="H1073" s="19" t="s">
        <v>56</v>
      </c>
      <c r="I1073" s="19"/>
      <c r="J1073" s="19" t="s">
        <v>3609</v>
      </c>
      <c r="K1073" s="19" t="s">
        <v>20</v>
      </c>
      <c r="L1073" s="3" t="str">
        <f>HYPERLINK(VLOOKUP(C1073,BAPs!$A$2:$C$1048576,3,FALSE),VLOOKUP(C1073,BAPs!$A$2:$C$1048576,2,FALSE))</f>
        <v>8 out of 10</v>
      </c>
    </row>
    <row r="1074" spans="1:12" hidden="1">
      <c r="A1074" s="19" t="s">
        <v>3506</v>
      </c>
      <c r="B1074" s="19" t="s">
        <v>3162</v>
      </c>
      <c r="C1074" s="19" t="s">
        <v>3608</v>
      </c>
      <c r="D1074" s="19" t="s">
        <v>3608</v>
      </c>
      <c r="E1074" s="19" t="s">
        <v>3612</v>
      </c>
      <c r="F1074" s="19" t="e">
        <f>MATCH(E1074,#REF!,0)</f>
        <v>#REF!</v>
      </c>
      <c r="G1074" s="19" t="s">
        <v>3613</v>
      </c>
      <c r="H1074" s="19" t="s">
        <v>56</v>
      </c>
      <c r="I1074" s="19"/>
      <c r="J1074" s="19" t="s">
        <v>3609</v>
      </c>
      <c r="K1074" s="19" t="s">
        <v>20</v>
      </c>
      <c r="L1074" s="3" t="str">
        <f>HYPERLINK(VLOOKUP(C1074,BAPs!$A$2:$C$1048576,3,FALSE),VLOOKUP(C1074,BAPs!$A$2:$C$1048576,2,FALSE))</f>
        <v>8 out of 10</v>
      </c>
    </row>
    <row r="1075" spans="1:12" hidden="1">
      <c r="A1075" s="19" t="s">
        <v>3506</v>
      </c>
      <c r="B1075" s="19" t="s">
        <v>3162</v>
      </c>
      <c r="C1075" s="19" t="s">
        <v>3614</v>
      </c>
      <c r="D1075" s="19" t="s">
        <v>3614</v>
      </c>
      <c r="E1075" s="19" t="s">
        <v>3615</v>
      </c>
      <c r="F1075" s="19" t="e">
        <f>MATCH(E1075,#REF!,0)</f>
        <v>#REF!</v>
      </c>
      <c r="G1075" s="19" t="s">
        <v>3616</v>
      </c>
      <c r="H1075" s="19" t="s">
        <v>56</v>
      </c>
      <c r="I1075" s="19"/>
      <c r="J1075" s="19" t="s">
        <v>3617</v>
      </c>
      <c r="K1075" s="19" t="s">
        <v>62</v>
      </c>
      <c r="L1075" s="3" t="str">
        <f>HYPERLINK(VLOOKUP(C1075,BAPs!$A$2:$C$1048576,3,FALSE),VLOOKUP(C1075,BAPs!$A$2:$C$1048576,2,FALSE))</f>
        <v>10 out of 10</v>
      </c>
    </row>
    <row r="1076" spans="1:12" hidden="1">
      <c r="A1076" s="19" t="s">
        <v>3506</v>
      </c>
      <c r="B1076" s="19" t="s">
        <v>3162</v>
      </c>
      <c r="C1076" s="19" t="s">
        <v>3614</v>
      </c>
      <c r="D1076" s="19" t="s">
        <v>3597</v>
      </c>
      <c r="E1076" s="19" t="s">
        <v>3598</v>
      </c>
      <c r="F1076" s="19" t="e">
        <f>MATCH(E1076,#REF!,0)</f>
        <v>#REF!</v>
      </c>
      <c r="G1076" s="19" t="s">
        <v>3599</v>
      </c>
      <c r="H1076" s="19" t="s">
        <v>43</v>
      </c>
      <c r="I1076" s="19"/>
      <c r="J1076" s="19" t="s">
        <v>3617</v>
      </c>
      <c r="K1076" s="19" t="s">
        <v>62</v>
      </c>
      <c r="L1076" s="3" t="str">
        <f>HYPERLINK(VLOOKUP(C1076,BAPs!$A$2:$C$1048576,3,FALSE),VLOOKUP(C1076,BAPs!$A$2:$C$1048576,2,FALSE))</f>
        <v>10 out of 10</v>
      </c>
    </row>
    <row r="1077" spans="1:12" hidden="1">
      <c r="A1077" s="19" t="s">
        <v>3506</v>
      </c>
      <c r="B1077" s="19" t="s">
        <v>3162</v>
      </c>
      <c r="C1077" s="19" t="s">
        <v>3597</v>
      </c>
      <c r="D1077" s="19" t="s">
        <v>3597</v>
      </c>
      <c r="E1077" s="19" t="s">
        <v>3598</v>
      </c>
      <c r="F1077" s="19" t="e">
        <f>MATCH(E1077,#REF!,0)</f>
        <v>#REF!</v>
      </c>
      <c r="G1077" s="19" t="s">
        <v>3599</v>
      </c>
      <c r="H1077" s="19" t="s">
        <v>43</v>
      </c>
      <c r="I1077" s="19"/>
      <c r="J1077" s="19" t="s">
        <v>3618</v>
      </c>
      <c r="K1077" s="19" t="s">
        <v>20</v>
      </c>
      <c r="L1077" s="3" t="str">
        <f>HYPERLINK(VLOOKUP(C1077,BAPs!$A$2:$C$1048576,3,FALSE),VLOOKUP(C1077,BAPs!$A$2:$C$1048576,2,FALSE))</f>
        <v>1 out of 10</v>
      </c>
    </row>
    <row r="1078" spans="1:12" hidden="1">
      <c r="A1078" s="19" t="s">
        <v>3619</v>
      </c>
      <c r="B1078" s="19" t="s">
        <v>3162</v>
      </c>
      <c r="C1078" s="19" t="s">
        <v>3620</v>
      </c>
      <c r="D1078" s="19" t="s">
        <v>3620</v>
      </c>
      <c r="E1078" s="19" t="s">
        <v>3621</v>
      </c>
      <c r="F1078" s="19" t="e">
        <f>MATCH(E1078,#REF!,0)</f>
        <v>#REF!</v>
      </c>
      <c r="G1078" s="19" t="s">
        <v>3622</v>
      </c>
      <c r="H1078" s="19" t="s">
        <v>24</v>
      </c>
      <c r="I1078" s="19" t="s">
        <v>18</v>
      </c>
      <c r="J1078" s="19" t="s">
        <v>3623</v>
      </c>
      <c r="K1078" s="19" t="s">
        <v>62</v>
      </c>
      <c r="L1078" s="3" t="str">
        <f>HYPERLINK(VLOOKUP(C1078,BAPs!$A$2:$C$1048576,3,FALSE),VLOOKUP(C1078,BAPs!$A$2:$C$1048576,2,FALSE))</f>
        <v>9 out of 10</v>
      </c>
    </row>
    <row r="1079" spans="1:12" hidden="1">
      <c r="A1079" s="19" t="s">
        <v>3619</v>
      </c>
      <c r="B1079" s="19" t="s">
        <v>3162</v>
      </c>
      <c r="C1079" s="19" t="s">
        <v>3620</v>
      </c>
      <c r="D1079" s="19" t="s">
        <v>3416</v>
      </c>
      <c r="E1079" s="19" t="s">
        <v>3417</v>
      </c>
      <c r="F1079" s="19" t="e">
        <f>MATCH(E1079,#REF!,0)</f>
        <v>#REF!</v>
      </c>
      <c r="G1079" s="19" t="s">
        <v>3418</v>
      </c>
      <c r="H1079" s="19" t="s">
        <v>43</v>
      </c>
      <c r="I1079" s="19"/>
      <c r="J1079" s="19" t="s">
        <v>3623</v>
      </c>
      <c r="K1079" s="19" t="s">
        <v>62</v>
      </c>
      <c r="L1079" s="3" t="str">
        <f>HYPERLINK(VLOOKUP(C1079,BAPs!$A$2:$C$1048576,3,FALSE),VLOOKUP(C1079,BAPs!$A$2:$C$1048576,2,FALSE))</f>
        <v>9 out of 10</v>
      </c>
    </row>
    <row r="1080" spans="1:12" hidden="1">
      <c r="A1080" s="19" t="s">
        <v>3619</v>
      </c>
      <c r="B1080" s="19" t="s">
        <v>3162</v>
      </c>
      <c r="C1080" s="19" t="s">
        <v>3624</v>
      </c>
      <c r="D1080" s="19" t="s">
        <v>3624</v>
      </c>
      <c r="E1080" s="19" t="s">
        <v>3625</v>
      </c>
      <c r="F1080" s="19" t="e">
        <f>MATCH(E1080,#REF!,0)</f>
        <v>#REF!</v>
      </c>
      <c r="G1080" s="19" t="s">
        <v>3626</v>
      </c>
      <c r="H1080" s="19" t="s">
        <v>24</v>
      </c>
      <c r="I1080" s="19" t="s">
        <v>18</v>
      </c>
      <c r="J1080" s="19" t="s">
        <v>3627</v>
      </c>
      <c r="K1080" s="19" t="s">
        <v>62</v>
      </c>
      <c r="L1080" s="3" t="str">
        <f>HYPERLINK(VLOOKUP(C1080,BAPs!$A$2:$C$1048576,3,FALSE),VLOOKUP(C1080,BAPs!$A$2:$C$1048576,2,FALSE))</f>
        <v>10 out of 10</v>
      </c>
    </row>
    <row r="1081" spans="1:12" hidden="1">
      <c r="A1081" s="19" t="s">
        <v>3619</v>
      </c>
      <c r="B1081" s="19" t="s">
        <v>3162</v>
      </c>
      <c r="C1081" s="19" t="s">
        <v>3624</v>
      </c>
      <c r="D1081" s="19" t="s">
        <v>3628</v>
      </c>
      <c r="E1081" s="19" t="s">
        <v>3629</v>
      </c>
      <c r="F1081" s="19" t="e">
        <f>MATCH(E1081,#REF!,0)</f>
        <v>#REF!</v>
      </c>
      <c r="G1081" s="19" t="s">
        <v>3630</v>
      </c>
      <c r="H1081" s="19" t="s">
        <v>43</v>
      </c>
      <c r="I1081" s="19" t="s">
        <v>18</v>
      </c>
      <c r="J1081" s="19" t="s">
        <v>3627</v>
      </c>
      <c r="K1081" s="19" t="s">
        <v>62</v>
      </c>
      <c r="L1081" s="3" t="str">
        <f>HYPERLINK(VLOOKUP(C1081,BAPs!$A$2:$C$1048576,3,FALSE),VLOOKUP(C1081,BAPs!$A$2:$C$1048576,2,FALSE))</f>
        <v>10 out of 10</v>
      </c>
    </row>
    <row r="1082" spans="1:12" hidden="1">
      <c r="A1082" s="19" t="s">
        <v>3619</v>
      </c>
      <c r="B1082" s="19" t="s">
        <v>3162</v>
      </c>
      <c r="C1082" s="19" t="s">
        <v>3631</v>
      </c>
      <c r="D1082" s="19" t="s">
        <v>3631</v>
      </c>
      <c r="E1082" s="19" t="s">
        <v>3632</v>
      </c>
      <c r="F1082" s="19" t="e">
        <f>MATCH(E1082,#REF!,0)</f>
        <v>#REF!</v>
      </c>
      <c r="G1082" s="19" t="s">
        <v>3633</v>
      </c>
      <c r="H1082" s="19" t="s">
        <v>553</v>
      </c>
      <c r="I1082" s="19" t="s">
        <v>18</v>
      </c>
      <c r="J1082" s="19" t="s">
        <v>3634</v>
      </c>
      <c r="K1082" s="19" t="s">
        <v>62</v>
      </c>
      <c r="L1082" s="3" t="str">
        <f>HYPERLINK(VLOOKUP(C1082,BAPs!$A$2:$C$1048576,3,FALSE),VLOOKUP(C1082,BAPs!$A$2:$C$1048576,2,FALSE))</f>
        <v>10 out of 10</v>
      </c>
    </row>
    <row r="1083" spans="1:12" hidden="1">
      <c r="A1083" s="19" t="s">
        <v>3619</v>
      </c>
      <c r="B1083" s="19" t="s">
        <v>3162</v>
      </c>
      <c r="C1083" s="19" t="s">
        <v>3635</v>
      </c>
      <c r="D1083" s="19" t="s">
        <v>3635</v>
      </c>
      <c r="E1083" s="19" t="s">
        <v>3636</v>
      </c>
      <c r="F1083" s="19" t="e">
        <f>MATCH(E1083,#REF!,0)</f>
        <v>#REF!</v>
      </c>
      <c r="G1083" s="19" t="s">
        <v>3637</v>
      </c>
      <c r="H1083" s="19" t="s">
        <v>52</v>
      </c>
      <c r="I1083" s="19"/>
      <c r="J1083" s="19" t="s">
        <v>3638</v>
      </c>
      <c r="K1083" s="19" t="s">
        <v>20</v>
      </c>
      <c r="L1083" s="3" t="str">
        <f>HYPERLINK(VLOOKUP(C1083,BAPs!$A$2:$C$1048576,3,FALSE),VLOOKUP(C1083,BAPs!$A$2:$C$1048576,2,FALSE))</f>
        <v>8 out of 10</v>
      </c>
    </row>
    <row r="1084" spans="1:12" hidden="1">
      <c r="A1084" s="19" t="s">
        <v>3619</v>
      </c>
      <c r="B1084" s="19" t="s">
        <v>3162</v>
      </c>
      <c r="C1084" s="19" t="s">
        <v>3635</v>
      </c>
      <c r="D1084" s="19" t="s">
        <v>3639</v>
      </c>
      <c r="E1084" s="19" t="s">
        <v>3640</v>
      </c>
      <c r="F1084" s="19" t="e">
        <f>MATCH(E1084,#REF!,0)</f>
        <v>#REF!</v>
      </c>
      <c r="G1084" s="19" t="s">
        <v>3641</v>
      </c>
      <c r="H1084" s="19" t="s">
        <v>52</v>
      </c>
      <c r="I1084" s="19"/>
      <c r="J1084" s="19" t="s">
        <v>3638</v>
      </c>
      <c r="K1084" s="19" t="s">
        <v>20</v>
      </c>
      <c r="L1084" s="3" t="str">
        <f>HYPERLINK(VLOOKUP(C1084,BAPs!$A$2:$C$1048576,3,FALSE),VLOOKUP(C1084,BAPs!$A$2:$C$1048576,2,FALSE))</f>
        <v>8 out of 10</v>
      </c>
    </row>
    <row r="1085" spans="1:12" hidden="1">
      <c r="A1085" s="19" t="s">
        <v>3619</v>
      </c>
      <c r="B1085" s="19" t="s">
        <v>3162</v>
      </c>
      <c r="C1085" s="19" t="s">
        <v>3635</v>
      </c>
      <c r="D1085" s="19" t="s">
        <v>3642</v>
      </c>
      <c r="E1085" s="19" t="s">
        <v>3643</v>
      </c>
      <c r="F1085" s="19" t="e">
        <f>MATCH(E1085,#REF!,0)</f>
        <v>#REF!</v>
      </c>
      <c r="G1085" s="19" t="s">
        <v>3644</v>
      </c>
      <c r="H1085" s="19" t="s">
        <v>17</v>
      </c>
      <c r="I1085" s="19"/>
      <c r="J1085" s="19" t="s">
        <v>3638</v>
      </c>
      <c r="K1085" s="19" t="s">
        <v>20</v>
      </c>
      <c r="L1085" s="3" t="str">
        <f>HYPERLINK(VLOOKUP(C1085,BAPs!$A$2:$C$1048576,3,FALSE),VLOOKUP(C1085,BAPs!$A$2:$C$1048576,2,FALSE))</f>
        <v>8 out of 10</v>
      </c>
    </row>
    <row r="1086" spans="1:12" hidden="1">
      <c r="A1086" s="19" t="s">
        <v>3619</v>
      </c>
      <c r="B1086" s="19" t="s">
        <v>3162</v>
      </c>
      <c r="C1086" s="19" t="s">
        <v>3645</v>
      </c>
      <c r="D1086" s="19" t="s">
        <v>3645</v>
      </c>
      <c r="E1086" s="19" t="s">
        <v>3646</v>
      </c>
      <c r="F1086" s="19" t="e">
        <f>MATCH(E1086,#REF!,0)</f>
        <v>#REF!</v>
      </c>
      <c r="G1086" s="19" t="s">
        <v>3647</v>
      </c>
      <c r="H1086" s="19" t="s">
        <v>17</v>
      </c>
      <c r="I1086" s="19" t="s">
        <v>18</v>
      </c>
      <c r="J1086" s="19" t="s">
        <v>3648</v>
      </c>
      <c r="K1086" s="19" t="s">
        <v>20</v>
      </c>
      <c r="L1086" s="3" t="str">
        <f>HYPERLINK(VLOOKUP(C1086,BAPs!$A$2:$C$1048576,3,FALSE),VLOOKUP(C1086,BAPs!$A$2:$C$1048576,2,FALSE))</f>
        <v>4 out of 10</v>
      </c>
    </row>
    <row r="1087" spans="1:12" hidden="1">
      <c r="A1087" s="19" t="s">
        <v>3619</v>
      </c>
      <c r="B1087" s="19" t="s">
        <v>3162</v>
      </c>
      <c r="C1087" s="19" t="s">
        <v>3649</v>
      </c>
      <c r="D1087" s="19" t="s">
        <v>3649</v>
      </c>
      <c r="E1087" s="19" t="s">
        <v>3650</v>
      </c>
      <c r="F1087" s="19" t="e">
        <f>MATCH(E1087,#REF!,0)</f>
        <v>#REF!</v>
      </c>
      <c r="G1087" s="19" t="s">
        <v>3651</v>
      </c>
      <c r="H1087" s="19" t="s">
        <v>17</v>
      </c>
      <c r="I1087" s="19" t="s">
        <v>18</v>
      </c>
      <c r="J1087" s="19" t="s">
        <v>3652</v>
      </c>
      <c r="K1087" s="19" t="s">
        <v>62</v>
      </c>
      <c r="L1087" s="3" t="str">
        <f>HYPERLINK(VLOOKUP(C1087,BAPs!$A$2:$C$1048576,3,FALSE),VLOOKUP(C1087,BAPs!$A$2:$C$1048576,2,FALSE))</f>
        <v>9 out of 10</v>
      </c>
    </row>
    <row r="1088" spans="1:12" hidden="1">
      <c r="A1088" s="19" t="s">
        <v>3619</v>
      </c>
      <c r="B1088" s="19" t="s">
        <v>3162</v>
      </c>
      <c r="C1088" s="19" t="s">
        <v>3653</v>
      </c>
      <c r="D1088" s="19" t="s">
        <v>3653</v>
      </c>
      <c r="E1088" s="19" t="s">
        <v>3654</v>
      </c>
      <c r="F1088" s="19" t="e">
        <f>MATCH(E1088,#REF!,0)</f>
        <v>#REF!</v>
      </c>
      <c r="G1088" s="19" t="s">
        <v>3655</v>
      </c>
      <c r="H1088" s="19" t="s">
        <v>17</v>
      </c>
      <c r="I1088" s="19" t="s">
        <v>18</v>
      </c>
      <c r="J1088" s="19" t="s">
        <v>3656</v>
      </c>
      <c r="K1088" s="19" t="s">
        <v>20</v>
      </c>
      <c r="L1088" s="3" t="str">
        <f>HYPERLINK(VLOOKUP(C1088,BAPs!$A$2:$C$1048576,3,FALSE),VLOOKUP(C1088,BAPs!$A$2:$C$1048576,2,FALSE))</f>
        <v>8 out of 10</v>
      </c>
    </row>
    <row r="1089" spans="1:12" hidden="1">
      <c r="A1089" s="19" t="s">
        <v>3619</v>
      </c>
      <c r="B1089" s="19" t="s">
        <v>3162</v>
      </c>
      <c r="C1089" s="19" t="s">
        <v>3657</v>
      </c>
      <c r="D1089" s="19" t="s">
        <v>3657</v>
      </c>
      <c r="E1089" s="19" t="s">
        <v>3658</v>
      </c>
      <c r="F1089" s="19" t="e">
        <f>MATCH(E1089,#REF!,0)</f>
        <v>#REF!</v>
      </c>
      <c r="G1089" s="19" t="s">
        <v>3659</v>
      </c>
      <c r="H1089" s="19" t="s">
        <v>17</v>
      </c>
      <c r="I1089" s="19" t="s">
        <v>18</v>
      </c>
      <c r="J1089" s="19" t="s">
        <v>3660</v>
      </c>
      <c r="K1089" s="19" t="s">
        <v>62</v>
      </c>
      <c r="L1089" s="3" t="str">
        <f>HYPERLINK(VLOOKUP(C1089,BAPs!$A$2:$C$1048576,3,FALSE),VLOOKUP(C1089,BAPs!$A$2:$C$1048576,2,FALSE))</f>
        <v>9 out of 10</v>
      </c>
    </row>
    <row r="1090" spans="1:12" hidden="1">
      <c r="A1090" s="19" t="s">
        <v>3619</v>
      </c>
      <c r="B1090" s="19" t="s">
        <v>3162</v>
      </c>
      <c r="C1090" s="19" t="s">
        <v>3661</v>
      </c>
      <c r="D1090" s="19" t="s">
        <v>3661</v>
      </c>
      <c r="E1090" s="19" t="s">
        <v>3662</v>
      </c>
      <c r="F1090" s="19" t="e">
        <f>MATCH(E1090,#REF!,0)</f>
        <v>#REF!</v>
      </c>
      <c r="G1090" s="19" t="s">
        <v>3663</v>
      </c>
      <c r="H1090" s="19" t="s">
        <v>17</v>
      </c>
      <c r="I1090" s="19" t="s">
        <v>18</v>
      </c>
      <c r="J1090" s="19" t="s">
        <v>3664</v>
      </c>
      <c r="K1090" s="19" t="s">
        <v>62</v>
      </c>
      <c r="L1090" s="3" t="str">
        <f>HYPERLINK(VLOOKUP(C1090,BAPs!$A$2:$C$1048576,3,FALSE),VLOOKUP(C1090,BAPs!$A$2:$C$1048576,2,FALSE))</f>
        <v>9 out of 10</v>
      </c>
    </row>
    <row r="1091" spans="1:12" hidden="1">
      <c r="A1091" s="19" t="s">
        <v>3619</v>
      </c>
      <c r="B1091" s="19" t="s">
        <v>3162</v>
      </c>
      <c r="C1091" s="19" t="s">
        <v>3665</v>
      </c>
      <c r="D1091" s="19" t="s">
        <v>3665</v>
      </c>
      <c r="E1091" s="19" t="s">
        <v>3666</v>
      </c>
      <c r="F1091" s="19" t="e">
        <f>MATCH(E1091,#REF!,0)</f>
        <v>#REF!</v>
      </c>
      <c r="G1091" s="19" t="s">
        <v>3667</v>
      </c>
      <c r="H1091" s="19" t="s">
        <v>17</v>
      </c>
      <c r="I1091" s="19" t="s">
        <v>18</v>
      </c>
      <c r="J1091" s="19" t="s">
        <v>3668</v>
      </c>
      <c r="K1091" s="19" t="s">
        <v>20</v>
      </c>
      <c r="L1091" s="3" t="str">
        <f>HYPERLINK(VLOOKUP(C1091,BAPs!$A$2:$C$1048576,3,FALSE),VLOOKUP(C1091,BAPs!$A$2:$C$1048576,2,FALSE))</f>
        <v>8 out of 10</v>
      </c>
    </row>
    <row r="1092" spans="1:12" hidden="1">
      <c r="A1092" s="19" t="s">
        <v>3619</v>
      </c>
      <c r="B1092" s="19" t="s">
        <v>3162</v>
      </c>
      <c r="C1092" s="19" t="s">
        <v>3669</v>
      </c>
      <c r="D1092" s="19" t="s">
        <v>3669</v>
      </c>
      <c r="E1092" s="19" t="s">
        <v>3670</v>
      </c>
      <c r="F1092" s="19" t="e">
        <f>MATCH(E1092,#REF!,0)</f>
        <v>#REF!</v>
      </c>
      <c r="G1092" s="19" t="s">
        <v>3671</v>
      </c>
      <c r="H1092" s="19" t="s">
        <v>17</v>
      </c>
      <c r="I1092" s="19" t="s">
        <v>18</v>
      </c>
      <c r="J1092" s="19" t="s">
        <v>3672</v>
      </c>
      <c r="K1092" s="19" t="s">
        <v>62</v>
      </c>
      <c r="L1092" s="3" t="str">
        <f>HYPERLINK(VLOOKUP(C1092,BAPs!$A$2:$C$1048576,3,FALSE),VLOOKUP(C1092,BAPs!$A$2:$C$1048576,2,FALSE))</f>
        <v>9 out of 10</v>
      </c>
    </row>
    <row r="1093" spans="1:12" hidden="1">
      <c r="A1093" s="19" t="s">
        <v>3619</v>
      </c>
      <c r="B1093" s="19" t="s">
        <v>3162</v>
      </c>
      <c r="C1093" s="19" t="s">
        <v>3673</v>
      </c>
      <c r="D1093" s="19" t="s">
        <v>3673</v>
      </c>
      <c r="E1093" s="19" t="s">
        <v>3674</v>
      </c>
      <c r="F1093" s="19" t="e">
        <f>MATCH(E1093,#REF!,0)</f>
        <v>#REF!</v>
      </c>
      <c r="G1093" s="19" t="s">
        <v>3675</v>
      </c>
      <c r="H1093" s="19" t="s">
        <v>17</v>
      </c>
      <c r="I1093" s="19" t="s">
        <v>18</v>
      </c>
      <c r="J1093" s="19" t="s">
        <v>3676</v>
      </c>
      <c r="K1093" s="19" t="s">
        <v>20</v>
      </c>
      <c r="L1093" s="3" t="str">
        <f>HYPERLINK(VLOOKUP(C1093,BAPs!$A$2:$C$1048576,3,FALSE),VLOOKUP(C1093,BAPs!$A$2:$C$1048576,2,FALSE))</f>
        <v>8 out of 10</v>
      </c>
    </row>
    <row r="1094" spans="1:12" hidden="1">
      <c r="A1094" s="19" t="s">
        <v>3619</v>
      </c>
      <c r="B1094" s="19" t="s">
        <v>3162</v>
      </c>
      <c r="C1094" s="19" t="s">
        <v>3677</v>
      </c>
      <c r="D1094" s="19" t="s">
        <v>3677</v>
      </c>
      <c r="E1094" s="19" t="s">
        <v>3678</v>
      </c>
      <c r="F1094" s="19" t="e">
        <f>MATCH(E1094,#REF!,0)</f>
        <v>#REF!</v>
      </c>
      <c r="G1094" s="19" t="s">
        <v>3679</v>
      </c>
      <c r="H1094" s="19" t="s">
        <v>24</v>
      </c>
      <c r="I1094" s="19" t="s">
        <v>18</v>
      </c>
      <c r="J1094" s="19" t="s">
        <v>3680</v>
      </c>
      <c r="K1094" s="19" t="s">
        <v>20</v>
      </c>
      <c r="L1094" s="3" t="str">
        <f>HYPERLINK(VLOOKUP(C1094,BAPs!$A$2:$C$1048576,3,FALSE),VLOOKUP(C1094,BAPs!$A$2:$C$1048576,2,FALSE))</f>
        <v>1 out of 10</v>
      </c>
    </row>
    <row r="1095" spans="1:12" hidden="1">
      <c r="A1095" s="19" t="s">
        <v>3619</v>
      </c>
      <c r="B1095" s="19" t="s">
        <v>3162</v>
      </c>
      <c r="C1095" s="19" t="s">
        <v>3677</v>
      </c>
      <c r="D1095" s="19" t="s">
        <v>3628</v>
      </c>
      <c r="E1095" s="19" t="s">
        <v>3629</v>
      </c>
      <c r="F1095" s="19" t="e">
        <f>MATCH(E1095,#REF!,0)</f>
        <v>#REF!</v>
      </c>
      <c r="G1095" s="19" t="s">
        <v>3630</v>
      </c>
      <c r="H1095" s="19" t="s">
        <v>43</v>
      </c>
      <c r="I1095" s="19" t="s">
        <v>18</v>
      </c>
      <c r="J1095" s="19" t="s">
        <v>3680</v>
      </c>
      <c r="K1095" s="19" t="s">
        <v>20</v>
      </c>
      <c r="L1095" s="3" t="str">
        <f>HYPERLINK(VLOOKUP(C1095,BAPs!$A$2:$C$1048576,3,FALSE),VLOOKUP(C1095,BAPs!$A$2:$C$1048576,2,FALSE))</f>
        <v>1 out of 10</v>
      </c>
    </row>
    <row r="1096" spans="1:12" hidden="1">
      <c r="A1096" s="19" t="s">
        <v>3619</v>
      </c>
      <c r="B1096" s="19" t="s">
        <v>3162</v>
      </c>
      <c r="C1096" s="19" t="s">
        <v>3681</v>
      </c>
      <c r="D1096" s="19" t="s">
        <v>3681</v>
      </c>
      <c r="E1096" s="19" t="s">
        <v>3682</v>
      </c>
      <c r="F1096" s="19" t="e">
        <f>MATCH(E1096,#REF!,0)</f>
        <v>#REF!</v>
      </c>
      <c r="G1096" s="19" t="s">
        <v>3683</v>
      </c>
      <c r="H1096" s="19" t="s">
        <v>24</v>
      </c>
      <c r="I1096" s="19"/>
      <c r="J1096" s="19" t="s">
        <v>3684</v>
      </c>
      <c r="K1096" s="19" t="s">
        <v>20</v>
      </c>
      <c r="L1096" s="3" t="str">
        <f>HYPERLINK(VLOOKUP(C1096,BAPs!$A$2:$C$1048576,3,FALSE),VLOOKUP(C1096,BAPs!$A$2:$C$1048576,2,FALSE))</f>
        <v>8 out of 10</v>
      </c>
    </row>
    <row r="1097" spans="1:12" hidden="1">
      <c r="A1097" s="19" t="s">
        <v>3619</v>
      </c>
      <c r="B1097" s="19" t="s">
        <v>3162</v>
      </c>
      <c r="C1097" s="19" t="s">
        <v>3685</v>
      </c>
      <c r="D1097" s="19" t="s">
        <v>3685</v>
      </c>
      <c r="E1097" s="19" t="s">
        <v>3686</v>
      </c>
      <c r="F1097" s="19" t="e">
        <f>MATCH(E1097,#REF!,0)</f>
        <v>#REF!</v>
      </c>
      <c r="G1097" s="19" t="s">
        <v>3687</v>
      </c>
      <c r="H1097" s="19" t="s">
        <v>52</v>
      </c>
      <c r="I1097" s="19"/>
      <c r="J1097" s="19" t="s">
        <v>3688</v>
      </c>
      <c r="K1097" s="19" t="s">
        <v>62</v>
      </c>
      <c r="L1097" s="3" t="str">
        <f>HYPERLINK(VLOOKUP(C1097,BAPs!$A$2:$C$1048576,3,FALSE),VLOOKUP(C1097,BAPs!$A$2:$C$1048576,2,FALSE))</f>
        <v>10 out of 10</v>
      </c>
    </row>
    <row r="1098" spans="1:12" hidden="1">
      <c r="A1098" s="19" t="s">
        <v>3619</v>
      </c>
      <c r="B1098" s="19" t="s">
        <v>3162</v>
      </c>
      <c r="C1098" s="19" t="s">
        <v>3689</v>
      </c>
      <c r="D1098" s="19" t="s">
        <v>3690</v>
      </c>
      <c r="E1098" s="19" t="s">
        <v>3691</v>
      </c>
      <c r="F1098" s="19" t="e">
        <f>MATCH(E1098,#REF!,0)</f>
        <v>#REF!</v>
      </c>
      <c r="G1098" s="19" t="s">
        <v>3692</v>
      </c>
      <c r="H1098" s="19" t="s">
        <v>84</v>
      </c>
      <c r="I1098" s="19"/>
      <c r="J1098" s="19" t="s">
        <v>3693</v>
      </c>
      <c r="K1098" s="19" t="s">
        <v>20</v>
      </c>
      <c r="L1098" s="3" t="str">
        <f>HYPERLINK(VLOOKUP(C1098,BAPs!$A$2:$C$1048576,3,FALSE),VLOOKUP(C1098,BAPs!$A$2:$C$1048576,2,FALSE))</f>
        <v>4 out of 10</v>
      </c>
    </row>
    <row r="1099" spans="1:12" hidden="1">
      <c r="A1099" s="19" t="s">
        <v>3619</v>
      </c>
      <c r="B1099" s="19" t="s">
        <v>3162</v>
      </c>
      <c r="C1099" s="19" t="s">
        <v>3694</v>
      </c>
      <c r="D1099" s="19" t="s">
        <v>3628</v>
      </c>
      <c r="E1099" s="19" t="s">
        <v>3629</v>
      </c>
      <c r="F1099" s="19" t="e">
        <f>MATCH(E1099,#REF!,0)</f>
        <v>#REF!</v>
      </c>
      <c r="G1099" s="19" t="s">
        <v>3630</v>
      </c>
      <c r="H1099" s="19" t="s">
        <v>43</v>
      </c>
      <c r="I1099" s="19" t="s">
        <v>18</v>
      </c>
      <c r="J1099" s="19" t="s">
        <v>3695</v>
      </c>
      <c r="K1099" s="19" t="s">
        <v>20</v>
      </c>
      <c r="L1099" s="3" t="str">
        <f>HYPERLINK(VLOOKUP(C1099,BAPs!$A$2:$C$1048576,3,FALSE),VLOOKUP(C1099,BAPs!$A$2:$C$1048576,2,FALSE))</f>
        <v>4 out of 10</v>
      </c>
    </row>
    <row r="1100" spans="1:12" hidden="1">
      <c r="A1100" s="19" t="s">
        <v>3619</v>
      </c>
      <c r="B1100" s="19" t="s">
        <v>3162</v>
      </c>
      <c r="C1100" s="19" t="s">
        <v>3694</v>
      </c>
      <c r="D1100" s="19" t="s">
        <v>3696</v>
      </c>
      <c r="E1100" s="19" t="s">
        <v>3697</v>
      </c>
      <c r="F1100" s="19" t="e">
        <f>MATCH(E1100,#REF!,0)</f>
        <v>#REF!</v>
      </c>
      <c r="G1100" s="19" t="s">
        <v>3698</v>
      </c>
      <c r="H1100" s="19" t="s">
        <v>24</v>
      </c>
      <c r="I1100" s="19" t="s">
        <v>18</v>
      </c>
      <c r="J1100" s="19" t="s">
        <v>3695</v>
      </c>
      <c r="K1100" s="19" t="s">
        <v>20</v>
      </c>
      <c r="L1100" s="3" t="str">
        <f>HYPERLINK(VLOOKUP(C1100,BAPs!$A$2:$C$1048576,3,FALSE),VLOOKUP(C1100,BAPs!$A$2:$C$1048576,2,FALSE))</f>
        <v>4 out of 10</v>
      </c>
    </row>
    <row r="1101" spans="1:12" hidden="1">
      <c r="A1101" s="19" t="s">
        <v>3619</v>
      </c>
      <c r="B1101" s="19" t="s">
        <v>3162</v>
      </c>
      <c r="C1101" s="19" t="s">
        <v>3699</v>
      </c>
      <c r="D1101" s="19" t="s">
        <v>3699</v>
      </c>
      <c r="E1101" s="19" t="s">
        <v>3700</v>
      </c>
      <c r="F1101" s="19" t="e">
        <f>MATCH(E1101,#REF!,0)</f>
        <v>#REF!</v>
      </c>
      <c r="G1101" s="19" t="s">
        <v>3701</v>
      </c>
      <c r="H1101" s="19" t="s">
        <v>52</v>
      </c>
      <c r="I1101" s="19"/>
      <c r="J1101" s="19" t="s">
        <v>3702</v>
      </c>
      <c r="K1101" s="19" t="s">
        <v>20</v>
      </c>
      <c r="L1101" s="3" t="str">
        <f>HYPERLINK(VLOOKUP(C1101,BAPs!$A$2:$C$1048576,3,FALSE),VLOOKUP(C1101,BAPs!$A$2:$C$1048576,2,FALSE))</f>
        <v>8 out of 10</v>
      </c>
    </row>
    <row r="1102" spans="1:12" hidden="1">
      <c r="A1102" s="19" t="s">
        <v>3619</v>
      </c>
      <c r="B1102" s="19" t="s">
        <v>3162</v>
      </c>
      <c r="C1102" s="19" t="s">
        <v>3699</v>
      </c>
      <c r="D1102" s="19" t="s">
        <v>3703</v>
      </c>
      <c r="E1102" s="19" t="s">
        <v>3704</v>
      </c>
      <c r="F1102" s="19" t="e">
        <f>MATCH(E1102,#REF!,0)</f>
        <v>#REF!</v>
      </c>
      <c r="G1102" s="19" t="s">
        <v>3705</v>
      </c>
      <c r="H1102" s="19" t="s">
        <v>56</v>
      </c>
      <c r="I1102" s="19"/>
      <c r="J1102" s="19" t="s">
        <v>3702</v>
      </c>
      <c r="K1102" s="19" t="s">
        <v>20</v>
      </c>
      <c r="L1102" s="3" t="str">
        <f>HYPERLINK(VLOOKUP(C1102,BAPs!$A$2:$C$1048576,3,FALSE),VLOOKUP(C1102,BAPs!$A$2:$C$1048576,2,FALSE))</f>
        <v>8 out of 10</v>
      </c>
    </row>
    <row r="1103" spans="1:12" hidden="1">
      <c r="A1103" s="19" t="s">
        <v>3619</v>
      </c>
      <c r="B1103" s="19" t="s">
        <v>3162</v>
      </c>
      <c r="C1103" s="19" t="s">
        <v>3706</v>
      </c>
      <c r="D1103" s="19" t="s">
        <v>3706</v>
      </c>
      <c r="E1103" s="19" t="s">
        <v>3707</v>
      </c>
      <c r="F1103" s="19" t="e">
        <f>MATCH(E1103,#REF!,0)</f>
        <v>#REF!</v>
      </c>
      <c r="G1103" s="19" t="s">
        <v>3708</v>
      </c>
      <c r="H1103" s="19" t="s">
        <v>24</v>
      </c>
      <c r="I1103" s="19" t="s">
        <v>18</v>
      </c>
      <c r="J1103" s="19" t="s">
        <v>3709</v>
      </c>
      <c r="K1103" s="19" t="s">
        <v>20</v>
      </c>
      <c r="L1103" s="3" t="str">
        <f>HYPERLINK(VLOOKUP(C1103,BAPs!$A$2:$C$1048576,3,FALSE),VLOOKUP(C1103,BAPs!$A$2:$C$1048576,2,FALSE))</f>
        <v>4 out of 10</v>
      </c>
    </row>
    <row r="1104" spans="1:12" hidden="1">
      <c r="A1104" s="19" t="s">
        <v>3619</v>
      </c>
      <c r="B1104" s="19" t="s">
        <v>3162</v>
      </c>
      <c r="C1104" s="19" t="s">
        <v>3710</v>
      </c>
      <c r="D1104" s="19" t="s">
        <v>3710</v>
      </c>
      <c r="E1104" s="19" t="s">
        <v>3711</v>
      </c>
      <c r="F1104" s="19" t="e">
        <f>MATCH(E1104,#REF!,0)</f>
        <v>#REF!</v>
      </c>
      <c r="G1104" s="19" t="s">
        <v>3712</v>
      </c>
      <c r="H1104" s="19" t="s">
        <v>52</v>
      </c>
      <c r="I1104" s="19"/>
      <c r="J1104" s="19" t="s">
        <v>3713</v>
      </c>
      <c r="K1104" s="19" t="s">
        <v>20</v>
      </c>
      <c r="L1104" s="3" t="str">
        <f>HYPERLINK(VLOOKUP(C1104,BAPs!$A$2:$C$1048576,3,FALSE),VLOOKUP(C1104,BAPs!$A$2:$C$1048576,2,FALSE))</f>
        <v>8 out of 10</v>
      </c>
    </row>
    <row r="1105" spans="1:12" hidden="1">
      <c r="A1105" s="19" t="s">
        <v>3619</v>
      </c>
      <c r="B1105" s="19" t="s">
        <v>3162</v>
      </c>
      <c r="C1105" s="19" t="s">
        <v>3714</v>
      </c>
      <c r="D1105" s="19" t="s">
        <v>3715</v>
      </c>
      <c r="E1105" s="19" t="s">
        <v>3716</v>
      </c>
      <c r="F1105" s="19" t="e">
        <f>MATCH(E1105,#REF!,0)</f>
        <v>#REF!</v>
      </c>
      <c r="G1105" s="19" t="s">
        <v>3717</v>
      </c>
      <c r="H1105" s="19" t="s">
        <v>17</v>
      </c>
      <c r="I1105" s="19" t="s">
        <v>18</v>
      </c>
      <c r="J1105" s="19" t="s">
        <v>3718</v>
      </c>
      <c r="K1105" s="19" t="s">
        <v>20</v>
      </c>
      <c r="L1105" s="3" t="str">
        <f>HYPERLINK(VLOOKUP(C1105,BAPs!$A$2:$C$1048576,3,FALSE),VLOOKUP(C1105,BAPs!$A$2:$C$1048576,2,FALSE))</f>
        <v>1 out of 10</v>
      </c>
    </row>
    <row r="1106" spans="1:12" hidden="1">
      <c r="A1106" s="19" t="s">
        <v>3619</v>
      </c>
      <c r="B1106" s="19" t="s">
        <v>3162</v>
      </c>
      <c r="C1106" s="19" t="s">
        <v>3719</v>
      </c>
      <c r="D1106" s="19" t="s">
        <v>3238</v>
      </c>
      <c r="E1106" s="19" t="s">
        <v>3239</v>
      </c>
      <c r="F1106" s="19" t="e">
        <f>MATCH(E1106,#REF!,0)</f>
        <v>#REF!</v>
      </c>
      <c r="G1106" s="19" t="s">
        <v>3240</v>
      </c>
      <c r="H1106" s="19" t="s">
        <v>24</v>
      </c>
      <c r="I1106" s="19" t="s">
        <v>18</v>
      </c>
      <c r="J1106" s="19" t="s">
        <v>3720</v>
      </c>
      <c r="K1106" s="19" t="s">
        <v>20</v>
      </c>
      <c r="L1106" s="3" t="str">
        <f>HYPERLINK(VLOOKUP(C1106,BAPs!$A$2:$C$1048576,3,FALSE),VLOOKUP(C1106,BAPs!$A$2:$C$1048576,2,FALSE))</f>
        <v>7 out of 10</v>
      </c>
    </row>
    <row r="1107" spans="1:12" hidden="1">
      <c r="A1107" s="19" t="s">
        <v>3619</v>
      </c>
      <c r="B1107" s="19" t="s">
        <v>3162</v>
      </c>
      <c r="C1107" s="19" t="s">
        <v>3719</v>
      </c>
      <c r="D1107" s="19" t="s">
        <v>3719</v>
      </c>
      <c r="E1107" s="19" t="s">
        <v>3721</v>
      </c>
      <c r="F1107" s="19" t="e">
        <f>MATCH(E1107,#REF!,0)</f>
        <v>#REF!</v>
      </c>
      <c r="G1107" s="19" t="s">
        <v>3722</v>
      </c>
      <c r="H1107" s="19" t="s">
        <v>17</v>
      </c>
      <c r="I1107" s="19" t="s">
        <v>18</v>
      </c>
      <c r="J1107" s="19" t="s">
        <v>3720</v>
      </c>
      <c r="K1107" s="19" t="s">
        <v>20</v>
      </c>
      <c r="L1107" s="3" t="str">
        <f>HYPERLINK(VLOOKUP(C1107,BAPs!$A$2:$C$1048576,3,FALSE),VLOOKUP(C1107,BAPs!$A$2:$C$1048576,2,FALSE))</f>
        <v>7 out of 10</v>
      </c>
    </row>
    <row r="1108" spans="1:12" hidden="1">
      <c r="A1108" s="19" t="s">
        <v>3619</v>
      </c>
      <c r="B1108" s="19" t="s">
        <v>3162</v>
      </c>
      <c r="C1108" s="19" t="s">
        <v>3723</v>
      </c>
      <c r="D1108" s="19" t="s">
        <v>3723</v>
      </c>
      <c r="E1108" s="19" t="s">
        <v>3724</v>
      </c>
      <c r="F1108" s="19" t="e">
        <f>MATCH(E1108,#REF!,0)</f>
        <v>#REF!</v>
      </c>
      <c r="G1108" s="19" t="s">
        <v>3725</v>
      </c>
      <c r="H1108" s="19" t="s">
        <v>52</v>
      </c>
      <c r="I1108" s="19"/>
      <c r="J1108" s="19" t="s">
        <v>3726</v>
      </c>
      <c r="K1108" s="19" t="s">
        <v>62</v>
      </c>
      <c r="L1108" s="3" t="str">
        <f>HYPERLINK(VLOOKUP(C1108,BAPs!$A$2:$C$1048576,3,FALSE),VLOOKUP(C1108,BAPs!$A$2:$C$1048576,2,FALSE))</f>
        <v>9 out of 10</v>
      </c>
    </row>
    <row r="1109" spans="1:12" hidden="1">
      <c r="A1109" s="19" t="s">
        <v>3619</v>
      </c>
      <c r="B1109" s="19" t="s">
        <v>3162</v>
      </c>
      <c r="C1109" s="19" t="s">
        <v>3723</v>
      </c>
      <c r="D1109" s="19" t="s">
        <v>3416</v>
      </c>
      <c r="E1109" s="19" t="s">
        <v>3417</v>
      </c>
      <c r="F1109" s="19" t="e">
        <f>MATCH(E1109,#REF!,0)</f>
        <v>#REF!</v>
      </c>
      <c r="G1109" s="19" t="s">
        <v>3418</v>
      </c>
      <c r="H1109" s="19" t="s">
        <v>43</v>
      </c>
      <c r="I1109" s="19"/>
      <c r="J1109" s="19" t="s">
        <v>3726</v>
      </c>
      <c r="K1109" s="19" t="s">
        <v>62</v>
      </c>
      <c r="L1109" s="3" t="str">
        <f>HYPERLINK(VLOOKUP(C1109,BAPs!$A$2:$C$1048576,3,FALSE),VLOOKUP(C1109,BAPs!$A$2:$C$1048576,2,FALSE))</f>
        <v>9 out of 10</v>
      </c>
    </row>
    <row r="1110" spans="1:12" hidden="1">
      <c r="A1110" s="19" t="s">
        <v>3619</v>
      </c>
      <c r="B1110" s="19" t="s">
        <v>3162</v>
      </c>
      <c r="C1110" s="19" t="s">
        <v>3723</v>
      </c>
      <c r="D1110" s="19" t="s">
        <v>3727</v>
      </c>
      <c r="E1110" s="19" t="s">
        <v>3728</v>
      </c>
      <c r="F1110" s="19" t="e">
        <f>MATCH(E1110,#REF!,0)</f>
        <v>#REF!</v>
      </c>
      <c r="G1110" s="19" t="s">
        <v>3729</v>
      </c>
      <c r="H1110" s="19" t="s">
        <v>52</v>
      </c>
      <c r="I1110" s="19"/>
      <c r="J1110" s="19" t="s">
        <v>3726</v>
      </c>
      <c r="K1110" s="19" t="s">
        <v>62</v>
      </c>
      <c r="L1110" s="3" t="str">
        <f>HYPERLINK(VLOOKUP(C1110,BAPs!$A$2:$C$1048576,3,FALSE),VLOOKUP(C1110,BAPs!$A$2:$C$1048576,2,FALSE))</f>
        <v>9 out of 10</v>
      </c>
    </row>
    <row r="1111" spans="1:12" hidden="1">
      <c r="A1111" s="19" t="s">
        <v>3619</v>
      </c>
      <c r="B1111" s="19" t="s">
        <v>3162</v>
      </c>
      <c r="C1111" s="19" t="s">
        <v>3723</v>
      </c>
      <c r="D1111" s="19" t="s">
        <v>3730</v>
      </c>
      <c r="E1111" s="19" t="s">
        <v>3731</v>
      </c>
      <c r="F1111" s="19" t="e">
        <f>MATCH(E1111,#REF!,0)</f>
        <v>#REF!</v>
      </c>
      <c r="G1111" s="19" t="s">
        <v>3732</v>
      </c>
      <c r="H1111" s="19" t="s">
        <v>56</v>
      </c>
      <c r="I1111" s="19"/>
      <c r="J1111" s="19" t="s">
        <v>3726</v>
      </c>
      <c r="K1111" s="19" t="s">
        <v>62</v>
      </c>
      <c r="L1111" s="3" t="str">
        <f>HYPERLINK(VLOOKUP(C1111,BAPs!$A$2:$C$1048576,3,FALSE),VLOOKUP(C1111,BAPs!$A$2:$C$1048576,2,FALSE))</f>
        <v>9 out of 10</v>
      </c>
    </row>
    <row r="1112" spans="1:12" hidden="1">
      <c r="A1112" s="19" t="s">
        <v>3619</v>
      </c>
      <c r="B1112" s="19" t="s">
        <v>3162</v>
      </c>
      <c r="C1112" s="19" t="s">
        <v>3733</v>
      </c>
      <c r="D1112" s="19" t="s">
        <v>3733</v>
      </c>
      <c r="E1112" s="19" t="s">
        <v>3734</v>
      </c>
      <c r="F1112" s="19" t="e">
        <f>MATCH(E1112,#REF!,0)</f>
        <v>#REF!</v>
      </c>
      <c r="G1112" s="19" t="s">
        <v>3735</v>
      </c>
      <c r="H1112" s="19" t="s">
        <v>24</v>
      </c>
      <c r="I1112" s="19" t="s">
        <v>18</v>
      </c>
      <c r="J1112" s="19" t="s">
        <v>3736</v>
      </c>
      <c r="K1112" s="19" t="s">
        <v>20</v>
      </c>
      <c r="L1112" s="3" t="str">
        <f>HYPERLINK(VLOOKUP(C1112,BAPs!$A$2:$C$1048576,3,FALSE),VLOOKUP(C1112,BAPs!$A$2:$C$1048576,2,FALSE))</f>
        <v>4 out of 10</v>
      </c>
    </row>
    <row r="1113" spans="1:12" hidden="1">
      <c r="A1113" s="19" t="s">
        <v>3619</v>
      </c>
      <c r="B1113" s="19" t="s">
        <v>3162</v>
      </c>
      <c r="C1113" s="19" t="s">
        <v>3737</v>
      </c>
      <c r="D1113" s="19" t="s">
        <v>3737</v>
      </c>
      <c r="E1113" s="19" t="s">
        <v>3738</v>
      </c>
      <c r="F1113" s="19" t="e">
        <f>MATCH(E1113,#REF!,0)</f>
        <v>#REF!</v>
      </c>
      <c r="G1113" s="19" t="s">
        <v>3739</v>
      </c>
      <c r="H1113" s="19" t="s">
        <v>17</v>
      </c>
      <c r="I1113" s="19" t="s">
        <v>18</v>
      </c>
      <c r="J1113" s="19" t="s">
        <v>3740</v>
      </c>
      <c r="K1113" s="19" t="s">
        <v>62</v>
      </c>
      <c r="L1113" s="3" t="str">
        <f>HYPERLINK(VLOOKUP(C1113,BAPs!$A$2:$C$1048576,3,FALSE),VLOOKUP(C1113,BAPs!$A$2:$C$1048576,2,FALSE))</f>
        <v>9 out of 10</v>
      </c>
    </row>
    <row r="1114" spans="1:12" hidden="1">
      <c r="A1114" s="19" t="s">
        <v>3619</v>
      </c>
      <c r="B1114" s="19" t="s">
        <v>3162</v>
      </c>
      <c r="C1114" s="19" t="s">
        <v>3737</v>
      </c>
      <c r="D1114" s="19" t="s">
        <v>3628</v>
      </c>
      <c r="E1114" s="19" t="s">
        <v>3629</v>
      </c>
      <c r="F1114" s="19" t="e">
        <f>MATCH(E1114,#REF!,0)</f>
        <v>#REF!</v>
      </c>
      <c r="G1114" s="19" t="s">
        <v>3630</v>
      </c>
      <c r="H1114" s="19" t="s">
        <v>43</v>
      </c>
      <c r="I1114" s="19" t="s">
        <v>18</v>
      </c>
      <c r="J1114" s="19" t="s">
        <v>3740</v>
      </c>
      <c r="K1114" s="19" t="s">
        <v>62</v>
      </c>
      <c r="L1114" s="3" t="str">
        <f>HYPERLINK(VLOOKUP(C1114,BAPs!$A$2:$C$1048576,3,FALSE),VLOOKUP(C1114,BAPs!$A$2:$C$1048576,2,FALSE))</f>
        <v>9 out of 10</v>
      </c>
    </row>
    <row r="1115" spans="1:12" hidden="1">
      <c r="A1115" s="19" t="s">
        <v>3619</v>
      </c>
      <c r="B1115" s="19" t="s">
        <v>3162</v>
      </c>
      <c r="C1115" s="19" t="s">
        <v>3741</v>
      </c>
      <c r="D1115" s="19" t="s">
        <v>3238</v>
      </c>
      <c r="E1115" s="19" t="s">
        <v>3239</v>
      </c>
      <c r="F1115" s="19" t="e">
        <f>MATCH(E1115,#REF!,0)</f>
        <v>#REF!</v>
      </c>
      <c r="G1115" s="19" t="s">
        <v>3240</v>
      </c>
      <c r="H1115" s="19" t="s">
        <v>24</v>
      </c>
      <c r="I1115" s="19" t="s">
        <v>18</v>
      </c>
      <c r="J1115" s="19" t="s">
        <v>3742</v>
      </c>
      <c r="K1115" s="19" t="s">
        <v>62</v>
      </c>
      <c r="L1115" s="3" t="str">
        <f>HYPERLINK(VLOOKUP(C1115,BAPs!$A$2:$C$1048576,3,FALSE),VLOOKUP(C1115,BAPs!$A$2:$C$1048576,2,FALSE))</f>
        <v>10 out of 10</v>
      </c>
    </row>
    <row r="1116" spans="1:12" hidden="1">
      <c r="A1116" s="19" t="s">
        <v>3619</v>
      </c>
      <c r="B1116" s="19" t="s">
        <v>3162</v>
      </c>
      <c r="C1116" s="19" t="s">
        <v>3741</v>
      </c>
      <c r="D1116" s="19" t="s">
        <v>3741</v>
      </c>
      <c r="E1116" s="19" t="s">
        <v>3743</v>
      </c>
      <c r="F1116" s="19" t="e">
        <f>MATCH(E1116,#REF!,0)</f>
        <v>#REF!</v>
      </c>
      <c r="G1116" s="19" t="s">
        <v>3744</v>
      </c>
      <c r="H1116" s="19" t="s">
        <v>17</v>
      </c>
      <c r="I1116" s="19" t="s">
        <v>18</v>
      </c>
      <c r="J1116" s="19" t="s">
        <v>3742</v>
      </c>
      <c r="K1116" s="19" t="s">
        <v>62</v>
      </c>
      <c r="L1116" s="3" t="str">
        <f>HYPERLINK(VLOOKUP(C1116,BAPs!$A$2:$C$1048576,3,FALSE),VLOOKUP(C1116,BAPs!$A$2:$C$1048576,2,FALSE))</f>
        <v>10 out of 10</v>
      </c>
    </row>
    <row r="1117" spans="1:12" hidden="1">
      <c r="A1117" s="19" t="s">
        <v>3619</v>
      </c>
      <c r="B1117" s="19" t="s">
        <v>3162</v>
      </c>
      <c r="C1117" s="19" t="s">
        <v>3745</v>
      </c>
      <c r="D1117" s="19" t="s">
        <v>3746</v>
      </c>
      <c r="E1117" s="19" t="s">
        <v>3747</v>
      </c>
      <c r="F1117" s="19" t="e">
        <f>MATCH(E1117,#REF!,0)</f>
        <v>#REF!</v>
      </c>
      <c r="G1117" s="19" t="s">
        <v>3748</v>
      </c>
      <c r="H1117" s="19" t="s">
        <v>17</v>
      </c>
      <c r="I1117" s="19" t="s">
        <v>18</v>
      </c>
      <c r="J1117" s="19" t="s">
        <v>3749</v>
      </c>
      <c r="K1117" s="19" t="s">
        <v>62</v>
      </c>
      <c r="L1117" s="3" t="str">
        <f>HYPERLINK(VLOOKUP(C1117,BAPs!$A$2:$C$1048576,3,FALSE),VLOOKUP(C1117,BAPs!$A$2:$C$1048576,2,FALSE))</f>
        <v>10 out of 10</v>
      </c>
    </row>
    <row r="1118" spans="1:12" hidden="1">
      <c r="A1118" s="19" t="s">
        <v>3619</v>
      </c>
      <c r="B1118" s="19" t="s">
        <v>3162</v>
      </c>
      <c r="C1118" s="19" t="s">
        <v>3750</v>
      </c>
      <c r="D1118" s="19" t="s">
        <v>3750</v>
      </c>
      <c r="E1118" s="19" t="s">
        <v>3751</v>
      </c>
      <c r="F1118" s="19" t="e">
        <f>MATCH(E1118,#REF!,0)</f>
        <v>#REF!</v>
      </c>
      <c r="G1118" s="19" t="s">
        <v>3752</v>
      </c>
      <c r="H1118" s="19" t="s">
        <v>17</v>
      </c>
      <c r="I1118" s="19" t="s">
        <v>18</v>
      </c>
      <c r="J1118" s="19" t="s">
        <v>3753</v>
      </c>
      <c r="K1118" s="19" t="s">
        <v>62</v>
      </c>
      <c r="L1118" s="3" t="str">
        <f>HYPERLINK(VLOOKUP(C1118,BAPs!$A$2:$C$1048576,3,FALSE),VLOOKUP(C1118,BAPs!$A$2:$C$1048576,2,FALSE))</f>
        <v>10 out of 10</v>
      </c>
    </row>
    <row r="1119" spans="1:12" hidden="1">
      <c r="A1119" s="19" t="s">
        <v>3619</v>
      </c>
      <c r="B1119" s="19" t="s">
        <v>3162</v>
      </c>
      <c r="C1119" s="19" t="s">
        <v>3754</v>
      </c>
      <c r="D1119" s="19" t="s">
        <v>3754</v>
      </c>
      <c r="E1119" s="19" t="s">
        <v>3755</v>
      </c>
      <c r="F1119" s="19" t="e">
        <f>MATCH(E1119,#REF!,0)</f>
        <v>#REF!</v>
      </c>
      <c r="G1119" s="19" t="s">
        <v>3756</v>
      </c>
      <c r="H1119" s="19" t="s">
        <v>17</v>
      </c>
      <c r="I1119" s="19" t="s">
        <v>18</v>
      </c>
      <c r="J1119" s="19" t="s">
        <v>3757</v>
      </c>
      <c r="K1119" s="19" t="s">
        <v>62</v>
      </c>
      <c r="L1119" s="3" t="str">
        <f>HYPERLINK(VLOOKUP(C1119,BAPs!$A$2:$C$1048576,3,FALSE),VLOOKUP(C1119,BAPs!$A$2:$C$1048576,2,FALSE))</f>
        <v>10 out of 10</v>
      </c>
    </row>
    <row r="1120" spans="1:12" hidden="1">
      <c r="A1120" s="19" t="s">
        <v>3619</v>
      </c>
      <c r="B1120" s="19" t="s">
        <v>3162</v>
      </c>
      <c r="C1120" s="19" t="s">
        <v>3758</v>
      </c>
      <c r="D1120" s="19" t="s">
        <v>3416</v>
      </c>
      <c r="E1120" s="19" t="s">
        <v>3417</v>
      </c>
      <c r="F1120" s="19" t="e">
        <f>MATCH(E1120,#REF!,0)</f>
        <v>#REF!</v>
      </c>
      <c r="G1120" s="19" t="s">
        <v>3418</v>
      </c>
      <c r="H1120" s="19" t="s">
        <v>43</v>
      </c>
      <c r="I1120" s="19"/>
      <c r="J1120" s="19" t="s">
        <v>3759</v>
      </c>
      <c r="K1120" s="19" t="s">
        <v>62</v>
      </c>
      <c r="L1120" s="3" t="str">
        <f>HYPERLINK(VLOOKUP(C1120,BAPs!$A$2:$C$1048576,3,FALSE),VLOOKUP(C1120,BAPs!$A$2:$C$1048576,2,FALSE))</f>
        <v>10 out of 10</v>
      </c>
    </row>
    <row r="1121" spans="1:12" hidden="1">
      <c r="A1121" s="19" t="s">
        <v>3619</v>
      </c>
      <c r="B1121" s="19" t="s">
        <v>3162</v>
      </c>
      <c r="C1121" s="19" t="s">
        <v>3758</v>
      </c>
      <c r="D1121" s="19" t="s">
        <v>3760</v>
      </c>
      <c r="E1121" s="19" t="s">
        <v>3761</v>
      </c>
      <c r="F1121" s="19" t="e">
        <f>MATCH(E1121,#REF!,0)</f>
        <v>#REF!</v>
      </c>
      <c r="G1121" s="19" t="s">
        <v>3762</v>
      </c>
      <c r="H1121" s="19" t="s">
        <v>17</v>
      </c>
      <c r="I1121" s="19" t="s">
        <v>18</v>
      </c>
      <c r="J1121" s="19" t="s">
        <v>3759</v>
      </c>
      <c r="K1121" s="19" t="s">
        <v>62</v>
      </c>
      <c r="L1121" s="3" t="str">
        <f>HYPERLINK(VLOOKUP(C1121,BAPs!$A$2:$C$1048576,3,FALSE),VLOOKUP(C1121,BAPs!$A$2:$C$1048576,2,FALSE))</f>
        <v>10 out of 10</v>
      </c>
    </row>
    <row r="1122" spans="1:12" hidden="1">
      <c r="A1122" s="19" t="s">
        <v>3619</v>
      </c>
      <c r="B1122" s="19" t="s">
        <v>3162</v>
      </c>
      <c r="C1122" s="19" t="s">
        <v>3763</v>
      </c>
      <c r="D1122" s="19" t="s">
        <v>3764</v>
      </c>
      <c r="E1122" s="19" t="s">
        <v>3765</v>
      </c>
      <c r="F1122" s="19" t="e">
        <f>MATCH(E1122,#REF!,0)</f>
        <v>#REF!</v>
      </c>
      <c r="G1122" s="19" t="s">
        <v>3766</v>
      </c>
      <c r="H1122" s="19" t="s">
        <v>56</v>
      </c>
      <c r="I1122" s="19"/>
      <c r="J1122" s="19" t="s">
        <v>3767</v>
      </c>
      <c r="K1122" s="19" t="s">
        <v>62</v>
      </c>
      <c r="L1122" s="3" t="str">
        <f>HYPERLINK(VLOOKUP(C1122,BAPs!$A$2:$C$1048576,3,FALSE),VLOOKUP(C1122,BAPs!$A$2:$C$1048576,2,FALSE))</f>
        <v>9 out of 10</v>
      </c>
    </row>
    <row r="1123" spans="1:12" hidden="1">
      <c r="A1123" s="19" t="s">
        <v>3619</v>
      </c>
      <c r="B1123" s="19" t="s">
        <v>3162</v>
      </c>
      <c r="C1123" s="19" t="s">
        <v>3763</v>
      </c>
      <c r="D1123" s="19" t="s">
        <v>3768</v>
      </c>
      <c r="E1123" s="19" t="s">
        <v>3769</v>
      </c>
      <c r="F1123" s="19" t="e">
        <f>MATCH(E1123,#REF!,0)</f>
        <v>#REF!</v>
      </c>
      <c r="G1123" s="19" t="s">
        <v>3770</v>
      </c>
      <c r="H1123" s="19" t="s">
        <v>56</v>
      </c>
      <c r="I1123" s="19"/>
      <c r="J1123" s="19" t="s">
        <v>3767</v>
      </c>
      <c r="K1123" s="19" t="s">
        <v>62</v>
      </c>
      <c r="L1123" s="3" t="str">
        <f>HYPERLINK(VLOOKUP(C1123,BAPs!$A$2:$C$1048576,3,FALSE),VLOOKUP(C1123,BAPs!$A$2:$C$1048576,2,FALSE))</f>
        <v>9 out of 10</v>
      </c>
    </row>
    <row r="1124" spans="1:12" hidden="1">
      <c r="A1124" s="19" t="s">
        <v>3619</v>
      </c>
      <c r="B1124" s="19" t="s">
        <v>3162</v>
      </c>
      <c r="C1124" s="19" t="s">
        <v>3763</v>
      </c>
      <c r="D1124" s="19" t="s">
        <v>3763</v>
      </c>
      <c r="E1124" s="19" t="s">
        <v>3771</v>
      </c>
      <c r="F1124" s="19" t="e">
        <f>MATCH(E1124,#REF!,0)</f>
        <v>#REF!</v>
      </c>
      <c r="G1124" s="19" t="s">
        <v>3772</v>
      </c>
      <c r="H1124" s="19" t="s">
        <v>56</v>
      </c>
      <c r="I1124" s="19"/>
      <c r="J1124" s="19" t="s">
        <v>3767</v>
      </c>
      <c r="K1124" s="19" t="s">
        <v>62</v>
      </c>
      <c r="L1124" s="3" t="str">
        <f>HYPERLINK(VLOOKUP(C1124,BAPs!$A$2:$C$1048576,3,FALSE),VLOOKUP(C1124,BAPs!$A$2:$C$1048576,2,FALSE))</f>
        <v>9 out of 10</v>
      </c>
    </row>
    <row r="1125" spans="1:12" hidden="1">
      <c r="A1125" s="19" t="s">
        <v>3619</v>
      </c>
      <c r="B1125" s="19" t="s">
        <v>3162</v>
      </c>
      <c r="C1125" s="19" t="s">
        <v>3763</v>
      </c>
      <c r="D1125" s="19" t="s">
        <v>3383</v>
      </c>
      <c r="E1125" s="19" t="s">
        <v>3384</v>
      </c>
      <c r="F1125" s="19" t="e">
        <f>MATCH(E1125,#REF!,0)</f>
        <v>#REF!</v>
      </c>
      <c r="G1125" s="19" t="s">
        <v>3385</v>
      </c>
      <c r="H1125" s="19" t="s">
        <v>56</v>
      </c>
      <c r="I1125" s="19"/>
      <c r="J1125" s="19" t="s">
        <v>3767</v>
      </c>
      <c r="K1125" s="19" t="s">
        <v>62</v>
      </c>
      <c r="L1125" s="3" t="str">
        <f>HYPERLINK(VLOOKUP(C1125,BAPs!$A$2:$C$1048576,3,FALSE),VLOOKUP(C1125,BAPs!$A$2:$C$1048576,2,FALSE))</f>
        <v>9 out of 10</v>
      </c>
    </row>
    <row r="1126" spans="1:12" hidden="1">
      <c r="A1126" s="19" t="s">
        <v>3619</v>
      </c>
      <c r="B1126" s="19" t="s">
        <v>3162</v>
      </c>
      <c r="C1126" s="19" t="s">
        <v>3773</v>
      </c>
      <c r="D1126" s="19" t="s">
        <v>3628</v>
      </c>
      <c r="E1126" s="19" t="s">
        <v>3629</v>
      </c>
      <c r="F1126" s="19" t="e">
        <f>MATCH(E1126,#REF!,0)</f>
        <v>#REF!</v>
      </c>
      <c r="G1126" s="19" t="s">
        <v>3630</v>
      </c>
      <c r="H1126" s="19" t="s">
        <v>43</v>
      </c>
      <c r="I1126" s="19" t="s">
        <v>18</v>
      </c>
      <c r="J1126" s="19" t="s">
        <v>3774</v>
      </c>
      <c r="K1126" s="19" t="s">
        <v>20</v>
      </c>
      <c r="L1126" s="3" t="str">
        <f>HYPERLINK(VLOOKUP(C1126,BAPs!$A$2:$C$1048576,3,FALSE),VLOOKUP(C1126,BAPs!$A$2:$C$1048576,2,FALSE))</f>
        <v>8 out of 10</v>
      </c>
    </row>
    <row r="1127" spans="1:12" hidden="1">
      <c r="A1127" s="19" t="s">
        <v>3619</v>
      </c>
      <c r="B1127" s="19" t="s">
        <v>3162</v>
      </c>
      <c r="C1127" s="19" t="s">
        <v>3773</v>
      </c>
      <c r="D1127" s="19" t="s">
        <v>3745</v>
      </c>
      <c r="E1127" s="19" t="s">
        <v>3775</v>
      </c>
      <c r="F1127" s="19" t="e">
        <f>MATCH(E1127,#REF!,0)</f>
        <v>#REF!</v>
      </c>
      <c r="G1127" s="19" t="s">
        <v>3776</v>
      </c>
      <c r="H1127" s="19" t="s">
        <v>84</v>
      </c>
      <c r="I1127" s="19"/>
      <c r="J1127" s="19" t="s">
        <v>3774</v>
      </c>
      <c r="K1127" s="19" t="s">
        <v>20</v>
      </c>
      <c r="L1127" s="3" t="str">
        <f>HYPERLINK(VLOOKUP(C1127,BAPs!$A$2:$C$1048576,3,FALSE),VLOOKUP(C1127,BAPs!$A$2:$C$1048576,2,FALSE))</f>
        <v>8 out of 10</v>
      </c>
    </row>
    <row r="1128" spans="1:12" hidden="1">
      <c r="A1128" s="19" t="s">
        <v>3619</v>
      </c>
      <c r="B1128" s="19" t="s">
        <v>3162</v>
      </c>
      <c r="C1128" s="19" t="s">
        <v>3773</v>
      </c>
      <c r="D1128" s="19" t="s">
        <v>3777</v>
      </c>
      <c r="E1128" s="19" t="s">
        <v>3778</v>
      </c>
      <c r="F1128" s="19" t="e">
        <f>MATCH(E1128,#REF!,0)</f>
        <v>#REF!</v>
      </c>
      <c r="G1128" s="19" t="s">
        <v>3779</v>
      </c>
      <c r="H1128" s="19" t="s">
        <v>56</v>
      </c>
      <c r="I1128" s="19"/>
      <c r="J1128" s="19" t="s">
        <v>3774</v>
      </c>
      <c r="K1128" s="19" t="s">
        <v>20</v>
      </c>
      <c r="L1128" s="3" t="str">
        <f>HYPERLINK(VLOOKUP(C1128,BAPs!$A$2:$C$1048576,3,FALSE),VLOOKUP(C1128,BAPs!$A$2:$C$1048576,2,FALSE))</f>
        <v>8 out of 10</v>
      </c>
    </row>
    <row r="1129" spans="1:12" hidden="1">
      <c r="A1129" s="19" t="s">
        <v>3619</v>
      </c>
      <c r="B1129" s="19" t="s">
        <v>3162</v>
      </c>
      <c r="C1129" s="19" t="s">
        <v>3773</v>
      </c>
      <c r="D1129" s="19" t="s">
        <v>3780</v>
      </c>
      <c r="E1129" s="19" t="s">
        <v>3781</v>
      </c>
      <c r="F1129" s="19" t="e">
        <f>MATCH(E1129,#REF!,0)</f>
        <v>#REF!</v>
      </c>
      <c r="G1129" s="19" t="s">
        <v>3782</v>
      </c>
      <c r="H1129" s="19" t="s">
        <v>56</v>
      </c>
      <c r="I1129" s="19"/>
      <c r="J1129" s="19" t="s">
        <v>3774</v>
      </c>
      <c r="K1129" s="19" t="s">
        <v>20</v>
      </c>
      <c r="L1129" s="3" t="str">
        <f>HYPERLINK(VLOOKUP(C1129,BAPs!$A$2:$C$1048576,3,FALSE),VLOOKUP(C1129,BAPs!$A$2:$C$1048576,2,FALSE))</f>
        <v>8 out of 10</v>
      </c>
    </row>
    <row r="1130" spans="1:12" hidden="1">
      <c r="A1130" s="19" t="s">
        <v>3619</v>
      </c>
      <c r="B1130" s="19" t="s">
        <v>3162</v>
      </c>
      <c r="C1130" s="19" t="s">
        <v>3773</v>
      </c>
      <c r="D1130" s="19" t="s">
        <v>3783</v>
      </c>
      <c r="E1130" s="19" t="s">
        <v>3784</v>
      </c>
      <c r="F1130" s="19" t="e">
        <f>MATCH(E1130,#REF!,0)</f>
        <v>#REF!</v>
      </c>
      <c r="G1130" s="19" t="s">
        <v>3785</v>
      </c>
      <c r="H1130" s="19" t="s">
        <v>56</v>
      </c>
      <c r="I1130" s="19"/>
      <c r="J1130" s="19" t="s">
        <v>3774</v>
      </c>
      <c r="K1130" s="19" t="s">
        <v>20</v>
      </c>
      <c r="L1130" s="3" t="str">
        <f>HYPERLINK(VLOOKUP(C1130,BAPs!$A$2:$C$1048576,3,FALSE),VLOOKUP(C1130,BAPs!$A$2:$C$1048576,2,FALSE))</f>
        <v>8 out of 10</v>
      </c>
    </row>
    <row r="1131" spans="1:12" hidden="1">
      <c r="A1131" s="19" t="s">
        <v>3619</v>
      </c>
      <c r="B1131" s="19" t="s">
        <v>3162</v>
      </c>
      <c r="C1131" s="19" t="s">
        <v>3786</v>
      </c>
      <c r="D1131" s="19" t="s">
        <v>3786</v>
      </c>
      <c r="E1131" s="19" t="s">
        <v>3787</v>
      </c>
      <c r="F1131" s="19" t="e">
        <f>MATCH(E1131,#REF!,0)</f>
        <v>#REF!</v>
      </c>
      <c r="G1131" s="19" t="s">
        <v>3788</v>
      </c>
      <c r="H1131" s="19" t="s">
        <v>56</v>
      </c>
      <c r="I1131" s="19"/>
      <c r="J1131" s="19" t="s">
        <v>3789</v>
      </c>
      <c r="K1131" s="19" t="s">
        <v>20</v>
      </c>
      <c r="L1131" s="3" t="str">
        <f>HYPERLINK(VLOOKUP(C1131,BAPs!$A$2:$C$1048576,3,FALSE),VLOOKUP(C1131,BAPs!$A$2:$C$1048576,2,FALSE))</f>
        <v>1 out of 10</v>
      </c>
    </row>
    <row r="1132" spans="1:12" hidden="1">
      <c r="A1132" s="19" t="s">
        <v>3619</v>
      </c>
      <c r="B1132" s="19" t="s">
        <v>3162</v>
      </c>
      <c r="C1132" s="19" t="s">
        <v>3790</v>
      </c>
      <c r="D1132" s="19" t="s">
        <v>3790</v>
      </c>
      <c r="E1132" s="19" t="s">
        <v>3791</v>
      </c>
      <c r="F1132" s="19" t="e">
        <f>MATCH(E1132,#REF!,0)</f>
        <v>#REF!</v>
      </c>
      <c r="G1132" s="19" t="s">
        <v>3792</v>
      </c>
      <c r="H1132" s="19" t="s">
        <v>56</v>
      </c>
      <c r="I1132" s="19"/>
      <c r="J1132" s="19" t="s">
        <v>3793</v>
      </c>
      <c r="K1132" s="19" t="s">
        <v>62</v>
      </c>
      <c r="L1132" s="3" t="str">
        <f>HYPERLINK(VLOOKUP(C1132,BAPs!$A$2:$C$1048576,3,FALSE),VLOOKUP(C1132,BAPs!$A$2:$C$1048576,2,FALSE))</f>
        <v>9 out of 10</v>
      </c>
    </row>
    <row r="1133" spans="1:12">
      <c r="A1133" s="19" t="s">
        <v>3619</v>
      </c>
      <c r="B1133" s="19" t="s">
        <v>3162</v>
      </c>
      <c r="C1133" s="19" t="s">
        <v>3794</v>
      </c>
      <c r="D1133" s="19" t="s">
        <v>3795</v>
      </c>
      <c r="E1133" s="19" t="s">
        <v>3796</v>
      </c>
      <c r="F1133" s="19" t="e">
        <f>MATCH(E1133,#REF!,0)</f>
        <v>#REF!</v>
      </c>
      <c r="G1133" s="19" t="s">
        <v>3797</v>
      </c>
      <c r="H1133" s="19" t="s">
        <v>24</v>
      </c>
      <c r="I1133" s="19" t="s">
        <v>18</v>
      </c>
      <c r="J1133" s="19" t="s">
        <v>3798</v>
      </c>
      <c r="K1133" s="19" t="s">
        <v>20</v>
      </c>
      <c r="L1133" s="3" t="str">
        <f>HYPERLINK(VLOOKUP(C1133,BAPs!$A$2:$C$1048576,3,FALSE),VLOOKUP(C1133,BAPs!$A$2:$C$1048576,2,FALSE))</f>
        <v>1 out of 10</v>
      </c>
    </row>
    <row r="1134" spans="1:12" hidden="1">
      <c r="A1134" s="19" t="s">
        <v>3619</v>
      </c>
      <c r="B1134" s="19" t="s">
        <v>3162</v>
      </c>
      <c r="C1134" s="19" t="s">
        <v>3799</v>
      </c>
      <c r="D1134" s="19" t="s">
        <v>3416</v>
      </c>
      <c r="E1134" s="19" t="s">
        <v>3417</v>
      </c>
      <c r="F1134" s="19" t="e">
        <f>MATCH(E1134,#REF!,0)</f>
        <v>#REF!</v>
      </c>
      <c r="G1134" s="19" t="s">
        <v>3418</v>
      </c>
      <c r="H1134" s="19" t="s">
        <v>43</v>
      </c>
      <c r="I1134" s="19"/>
      <c r="J1134" s="19" t="s">
        <v>3800</v>
      </c>
      <c r="K1134" s="19" t="s">
        <v>62</v>
      </c>
      <c r="L1134" s="3" t="str">
        <f>HYPERLINK(VLOOKUP(C1134,BAPs!$A$2:$C$1048576,3,FALSE),VLOOKUP(C1134,BAPs!$A$2:$C$1048576,2,FALSE))</f>
        <v>10 out of 10</v>
      </c>
    </row>
    <row r="1135" spans="1:12" hidden="1">
      <c r="A1135" s="19" t="s">
        <v>3619</v>
      </c>
      <c r="B1135" s="19" t="s">
        <v>3162</v>
      </c>
      <c r="C1135" s="19" t="s">
        <v>3799</v>
      </c>
      <c r="D1135" s="19" t="s">
        <v>3799</v>
      </c>
      <c r="E1135" s="19" t="s">
        <v>3801</v>
      </c>
      <c r="F1135" s="19" t="e">
        <f>MATCH(E1135,#REF!,0)</f>
        <v>#REF!</v>
      </c>
      <c r="G1135" s="19" t="s">
        <v>3802</v>
      </c>
      <c r="H1135" s="19" t="s">
        <v>56</v>
      </c>
      <c r="I1135" s="19"/>
      <c r="J1135" s="19" t="s">
        <v>3800</v>
      </c>
      <c r="K1135" s="19" t="s">
        <v>62</v>
      </c>
      <c r="L1135" s="3" t="str">
        <f>HYPERLINK(VLOOKUP(C1135,BAPs!$A$2:$C$1048576,3,FALSE),VLOOKUP(C1135,BAPs!$A$2:$C$1048576,2,FALSE))</f>
        <v>10 out of 10</v>
      </c>
    </row>
    <row r="1136" spans="1:12" hidden="1">
      <c r="A1136" s="19" t="s">
        <v>3619</v>
      </c>
      <c r="B1136" s="19" t="s">
        <v>3162</v>
      </c>
      <c r="C1136" s="19" t="s">
        <v>3803</v>
      </c>
      <c r="D1136" s="19" t="s">
        <v>3804</v>
      </c>
      <c r="E1136" s="19" t="s">
        <v>3805</v>
      </c>
      <c r="F1136" s="19" t="e">
        <f>MATCH(E1136,#REF!,0)</f>
        <v>#REF!</v>
      </c>
      <c r="G1136" s="19" t="s">
        <v>3806</v>
      </c>
      <c r="H1136" s="19" t="s">
        <v>17</v>
      </c>
      <c r="I1136" s="19" t="s">
        <v>18</v>
      </c>
      <c r="J1136" s="19" t="s">
        <v>3807</v>
      </c>
      <c r="K1136" s="19" t="s">
        <v>62</v>
      </c>
      <c r="L1136" s="3" t="str">
        <f>HYPERLINK(VLOOKUP(C1136,BAPs!$A$2:$C$1048576,3,FALSE),VLOOKUP(C1136,BAPs!$A$2:$C$1048576,2,FALSE))</f>
        <v>9 out of 10</v>
      </c>
    </row>
    <row r="1137" spans="1:12" hidden="1">
      <c r="A1137" s="19" t="s">
        <v>3808</v>
      </c>
      <c r="B1137" s="19" t="s">
        <v>3162</v>
      </c>
      <c r="C1137" s="19" t="s">
        <v>3809</v>
      </c>
      <c r="D1137" s="19" t="s">
        <v>3810</v>
      </c>
      <c r="E1137" s="19" t="s">
        <v>3811</v>
      </c>
      <c r="F1137" s="19" t="e">
        <f>MATCH(E1137,#REF!,0)</f>
        <v>#REF!</v>
      </c>
      <c r="G1137" s="19" t="s">
        <v>3812</v>
      </c>
      <c r="H1137" s="19" t="s">
        <v>17</v>
      </c>
      <c r="I1137" s="19" t="s">
        <v>18</v>
      </c>
      <c r="J1137" s="19" t="s">
        <v>3813</v>
      </c>
      <c r="K1137" s="19" t="s">
        <v>62</v>
      </c>
      <c r="L1137" s="3" t="str">
        <f>HYPERLINK(VLOOKUP(C1137,BAPs!$A$2:$C$1048576,3,FALSE),VLOOKUP(C1137,BAPs!$A$2:$C$1048576,2,FALSE))</f>
        <v>10 out of 10</v>
      </c>
    </row>
    <row r="1138" spans="1:12" hidden="1">
      <c r="A1138" s="19" t="s">
        <v>3808</v>
      </c>
      <c r="B1138" s="19" t="s">
        <v>3162</v>
      </c>
      <c r="C1138" s="19" t="s">
        <v>3814</v>
      </c>
      <c r="D1138" s="19" t="s">
        <v>3814</v>
      </c>
      <c r="E1138" s="19" t="s">
        <v>3815</v>
      </c>
      <c r="F1138" s="19" t="e">
        <f>MATCH(E1138,#REF!,0)</f>
        <v>#REF!</v>
      </c>
      <c r="G1138" s="19" t="s">
        <v>3816</v>
      </c>
      <c r="H1138" s="19" t="s">
        <v>52</v>
      </c>
      <c r="I1138" s="19"/>
      <c r="J1138" s="19" t="s">
        <v>3817</v>
      </c>
      <c r="K1138" s="19" t="s">
        <v>20</v>
      </c>
      <c r="L1138" s="3" t="str">
        <f>HYPERLINK(VLOOKUP(C1138,BAPs!$A$2:$C$1048576,3,FALSE),VLOOKUP(C1138,BAPs!$A$2:$C$1048576,2,FALSE))</f>
        <v>3 out of 10</v>
      </c>
    </row>
    <row r="1139" spans="1:12" hidden="1">
      <c r="A1139" s="19" t="s">
        <v>3808</v>
      </c>
      <c r="B1139" s="19" t="s">
        <v>3162</v>
      </c>
      <c r="C1139" s="19" t="s">
        <v>3814</v>
      </c>
      <c r="D1139" s="19" t="s">
        <v>3818</v>
      </c>
      <c r="E1139" s="19" t="s">
        <v>3819</v>
      </c>
      <c r="F1139" s="19" t="e">
        <f>MATCH(E1139,#REF!,0)</f>
        <v>#REF!</v>
      </c>
      <c r="G1139" s="19" t="s">
        <v>3820</v>
      </c>
      <c r="H1139" s="19" t="s">
        <v>84</v>
      </c>
      <c r="I1139" s="19"/>
      <c r="J1139" s="19" t="s">
        <v>3817</v>
      </c>
      <c r="K1139" s="19" t="s">
        <v>20</v>
      </c>
      <c r="L1139" s="3" t="str">
        <f>HYPERLINK(VLOOKUP(C1139,BAPs!$A$2:$C$1048576,3,FALSE),VLOOKUP(C1139,BAPs!$A$2:$C$1048576,2,FALSE))</f>
        <v>3 out of 10</v>
      </c>
    </row>
    <row r="1140" spans="1:12" hidden="1">
      <c r="A1140" s="19" t="s">
        <v>3808</v>
      </c>
      <c r="B1140" s="19" t="s">
        <v>3162</v>
      </c>
      <c r="C1140" s="19" t="s">
        <v>3814</v>
      </c>
      <c r="D1140" s="19" t="s">
        <v>3295</v>
      </c>
      <c r="E1140" s="19" t="s">
        <v>3821</v>
      </c>
      <c r="F1140" s="19" t="e">
        <f>MATCH(E1140,#REF!,0)</f>
        <v>#REF!</v>
      </c>
      <c r="G1140" s="19" t="s">
        <v>3822</v>
      </c>
      <c r="H1140" s="19" t="s">
        <v>52</v>
      </c>
      <c r="I1140" s="19"/>
      <c r="J1140" s="19" t="s">
        <v>3817</v>
      </c>
      <c r="K1140" s="19" t="s">
        <v>20</v>
      </c>
      <c r="L1140" s="3" t="str">
        <f>HYPERLINK(VLOOKUP(C1140,BAPs!$A$2:$C$1048576,3,FALSE),VLOOKUP(C1140,BAPs!$A$2:$C$1048576,2,FALSE))</f>
        <v>3 out of 10</v>
      </c>
    </row>
    <row r="1141" spans="1:12" hidden="1">
      <c r="A1141" s="19" t="s">
        <v>3808</v>
      </c>
      <c r="B1141" s="19" t="s">
        <v>3162</v>
      </c>
      <c r="C1141" s="19" t="s">
        <v>3823</v>
      </c>
      <c r="D1141" s="19" t="s">
        <v>3823</v>
      </c>
      <c r="E1141" s="19" t="s">
        <v>3824</v>
      </c>
      <c r="F1141" s="19" t="e">
        <f>MATCH(E1141,#REF!,0)</f>
        <v>#REF!</v>
      </c>
      <c r="G1141" s="19" t="s">
        <v>3825</v>
      </c>
      <c r="H1141" s="19" t="s">
        <v>17</v>
      </c>
      <c r="I1141" s="19" t="s">
        <v>18</v>
      </c>
      <c r="J1141" s="19" t="s">
        <v>3826</v>
      </c>
      <c r="K1141" s="19" t="s">
        <v>20</v>
      </c>
      <c r="L1141" s="3" t="str">
        <f>HYPERLINK(VLOOKUP(C1141,BAPs!$A$2:$C$1048576,3,FALSE),VLOOKUP(C1141,BAPs!$A$2:$C$1048576,2,FALSE))</f>
        <v>4 out of 10</v>
      </c>
    </row>
    <row r="1142" spans="1:12" hidden="1">
      <c r="A1142" s="19" t="s">
        <v>3808</v>
      </c>
      <c r="B1142" s="19" t="s">
        <v>3162</v>
      </c>
      <c r="C1142" s="19" t="s">
        <v>3823</v>
      </c>
      <c r="D1142" s="19" t="s">
        <v>3827</v>
      </c>
      <c r="E1142" s="19" t="s">
        <v>3828</v>
      </c>
      <c r="F1142" s="19" t="e">
        <f>MATCH(E1142,#REF!,0)</f>
        <v>#REF!</v>
      </c>
      <c r="G1142" s="19" t="s">
        <v>3829</v>
      </c>
      <c r="H1142" s="19" t="s">
        <v>17</v>
      </c>
      <c r="I1142" s="19"/>
      <c r="J1142" s="19" t="s">
        <v>3826</v>
      </c>
      <c r="K1142" s="19" t="s">
        <v>20</v>
      </c>
      <c r="L1142" s="3" t="str">
        <f>HYPERLINK(VLOOKUP(C1142,BAPs!$A$2:$C$1048576,3,FALSE),VLOOKUP(C1142,BAPs!$A$2:$C$1048576,2,FALSE))</f>
        <v>4 out of 10</v>
      </c>
    </row>
    <row r="1143" spans="1:12" hidden="1">
      <c r="A1143" s="19" t="s">
        <v>3808</v>
      </c>
      <c r="B1143" s="19" t="s">
        <v>3162</v>
      </c>
      <c r="C1143" s="19" t="s">
        <v>3830</v>
      </c>
      <c r="D1143" s="19" t="s">
        <v>3830</v>
      </c>
      <c r="E1143" s="19" t="s">
        <v>3831</v>
      </c>
      <c r="F1143" s="19" t="e">
        <f>MATCH(E1143,#REF!,0)</f>
        <v>#REF!</v>
      </c>
      <c r="G1143" s="19" t="s">
        <v>3832</v>
      </c>
      <c r="H1143" s="19" t="s">
        <v>17</v>
      </c>
      <c r="I1143" s="19" t="s">
        <v>18</v>
      </c>
      <c r="J1143" s="19" t="s">
        <v>3833</v>
      </c>
      <c r="K1143" s="19" t="s">
        <v>62</v>
      </c>
      <c r="L1143" s="3" t="str">
        <f>HYPERLINK(VLOOKUP(C1143,BAPs!$A$2:$C$1048576,3,FALSE),VLOOKUP(C1143,BAPs!$A$2:$C$1048576,2,FALSE))</f>
        <v>9 out of 10</v>
      </c>
    </row>
    <row r="1144" spans="1:12" hidden="1">
      <c r="A1144" s="19" t="s">
        <v>3808</v>
      </c>
      <c r="B1144" s="19" t="s">
        <v>3162</v>
      </c>
      <c r="C1144" s="19" t="s">
        <v>3834</v>
      </c>
      <c r="D1144" s="19" t="s">
        <v>3834</v>
      </c>
      <c r="E1144" s="19" t="s">
        <v>3835</v>
      </c>
      <c r="F1144" s="19" t="e">
        <f>MATCH(E1144,#REF!,0)</f>
        <v>#REF!</v>
      </c>
      <c r="G1144" s="19" t="s">
        <v>3836</v>
      </c>
      <c r="H1144" s="19" t="s">
        <v>17</v>
      </c>
      <c r="I1144" s="19" t="s">
        <v>18</v>
      </c>
      <c r="J1144" s="19" t="s">
        <v>3837</v>
      </c>
      <c r="K1144" s="19" t="s">
        <v>20</v>
      </c>
      <c r="L1144" s="3" t="str">
        <f>HYPERLINK(VLOOKUP(C1144,BAPs!$A$2:$C$1048576,3,FALSE),VLOOKUP(C1144,BAPs!$A$2:$C$1048576,2,FALSE))</f>
        <v>1 out of 10</v>
      </c>
    </row>
    <row r="1145" spans="1:12" hidden="1">
      <c r="A1145" s="19" t="s">
        <v>3808</v>
      </c>
      <c r="B1145" s="19" t="s">
        <v>3162</v>
      </c>
      <c r="C1145" s="19" t="s">
        <v>3838</v>
      </c>
      <c r="D1145" s="19" t="s">
        <v>3838</v>
      </c>
      <c r="E1145" s="19" t="s">
        <v>3839</v>
      </c>
      <c r="F1145" s="19" t="e">
        <f>MATCH(E1145,#REF!,0)</f>
        <v>#REF!</v>
      </c>
      <c r="G1145" s="19" t="s">
        <v>3840</v>
      </c>
      <c r="H1145" s="19" t="s">
        <v>52</v>
      </c>
      <c r="I1145" s="19"/>
      <c r="J1145" s="19" t="s">
        <v>3841</v>
      </c>
      <c r="K1145" s="19" t="s">
        <v>62</v>
      </c>
      <c r="L1145" s="3" t="str">
        <f>HYPERLINK(VLOOKUP(C1145,BAPs!$A$2:$C$1048576,3,FALSE),VLOOKUP(C1145,BAPs!$A$2:$C$1048576,2,FALSE))</f>
        <v>9 out of 10</v>
      </c>
    </row>
    <row r="1146" spans="1:12" hidden="1">
      <c r="A1146" s="19" t="s">
        <v>3808</v>
      </c>
      <c r="B1146" s="19" t="s">
        <v>3162</v>
      </c>
      <c r="C1146" s="19" t="s">
        <v>3838</v>
      </c>
      <c r="D1146" s="19" t="s">
        <v>3579</v>
      </c>
      <c r="E1146" s="19" t="s">
        <v>3842</v>
      </c>
      <c r="F1146" s="19" t="e">
        <f>MATCH(E1146,#REF!,0)</f>
        <v>#REF!</v>
      </c>
      <c r="G1146" s="19" t="s">
        <v>3843</v>
      </c>
      <c r="H1146" s="19" t="s">
        <v>52</v>
      </c>
      <c r="I1146" s="19"/>
      <c r="J1146" s="19" t="s">
        <v>3841</v>
      </c>
      <c r="K1146" s="19" t="s">
        <v>62</v>
      </c>
      <c r="L1146" s="3" t="str">
        <f>HYPERLINK(VLOOKUP(C1146,BAPs!$A$2:$C$1048576,3,FALSE),VLOOKUP(C1146,BAPs!$A$2:$C$1048576,2,FALSE))</f>
        <v>9 out of 10</v>
      </c>
    </row>
    <row r="1147" spans="1:12" hidden="1">
      <c r="A1147" s="19" t="s">
        <v>3808</v>
      </c>
      <c r="B1147" s="19" t="s">
        <v>3162</v>
      </c>
      <c r="C1147" s="19" t="s">
        <v>3838</v>
      </c>
      <c r="D1147" s="19" t="s">
        <v>3498</v>
      </c>
      <c r="E1147" s="19" t="s">
        <v>3499</v>
      </c>
      <c r="F1147" s="19" t="e">
        <f>MATCH(E1147,#REF!,0)</f>
        <v>#REF!</v>
      </c>
      <c r="G1147" s="19" t="s">
        <v>3500</v>
      </c>
      <c r="H1147" s="19" t="s">
        <v>43</v>
      </c>
      <c r="I1147" s="19"/>
      <c r="J1147" s="19" t="s">
        <v>3841</v>
      </c>
      <c r="K1147" s="19" t="s">
        <v>62</v>
      </c>
      <c r="L1147" s="3" t="str">
        <f>HYPERLINK(VLOOKUP(C1147,BAPs!$A$2:$C$1048576,3,FALSE),VLOOKUP(C1147,BAPs!$A$2:$C$1048576,2,FALSE))</f>
        <v>9 out of 10</v>
      </c>
    </row>
    <row r="1148" spans="1:12" hidden="1">
      <c r="A1148" s="19" t="s">
        <v>3808</v>
      </c>
      <c r="B1148" s="19" t="s">
        <v>3162</v>
      </c>
      <c r="C1148" s="19" t="s">
        <v>3844</v>
      </c>
      <c r="D1148" s="19" t="s">
        <v>3844</v>
      </c>
      <c r="E1148" s="19" t="s">
        <v>3845</v>
      </c>
      <c r="F1148" s="19" t="e">
        <f>MATCH(E1148,#REF!,0)</f>
        <v>#REF!</v>
      </c>
      <c r="G1148" s="19" t="s">
        <v>3846</v>
      </c>
      <c r="H1148" s="19" t="s">
        <v>17</v>
      </c>
      <c r="I1148" s="19" t="s">
        <v>18</v>
      </c>
      <c r="J1148" s="19" t="s">
        <v>3847</v>
      </c>
      <c r="K1148" s="19" t="s">
        <v>20</v>
      </c>
      <c r="L1148" s="3" t="str">
        <f>HYPERLINK(VLOOKUP(C1148,BAPs!$A$2:$C$1048576,3,FALSE),VLOOKUP(C1148,BAPs!$A$2:$C$1048576,2,FALSE))</f>
        <v>2 out of 10</v>
      </c>
    </row>
    <row r="1149" spans="1:12" hidden="1">
      <c r="A1149" s="19" t="s">
        <v>3808</v>
      </c>
      <c r="B1149" s="19" t="s">
        <v>3162</v>
      </c>
      <c r="C1149" s="19" t="s">
        <v>3848</v>
      </c>
      <c r="D1149" s="19" t="s">
        <v>3848</v>
      </c>
      <c r="E1149" s="19" t="s">
        <v>3849</v>
      </c>
      <c r="F1149" s="19" t="e">
        <f>MATCH(E1149,#REF!,0)</f>
        <v>#REF!</v>
      </c>
      <c r="G1149" s="19" t="s">
        <v>3850</v>
      </c>
      <c r="H1149" s="19" t="s">
        <v>17</v>
      </c>
      <c r="I1149" s="19"/>
      <c r="J1149" s="19" t="s">
        <v>3851</v>
      </c>
      <c r="K1149" s="19" t="s">
        <v>62</v>
      </c>
      <c r="L1149" s="3" t="str">
        <f>HYPERLINK(VLOOKUP(C1149,BAPs!$A$2:$C$1048576,3,FALSE),VLOOKUP(C1149,BAPs!$A$2:$C$1048576,2,FALSE))</f>
        <v>9 out of 10</v>
      </c>
    </row>
    <row r="1150" spans="1:12" hidden="1">
      <c r="A1150" s="19" t="s">
        <v>3808</v>
      </c>
      <c r="B1150" s="19" t="s">
        <v>3162</v>
      </c>
      <c r="C1150" s="19" t="s">
        <v>3852</v>
      </c>
      <c r="D1150" s="19" t="s">
        <v>3852</v>
      </c>
      <c r="E1150" s="19" t="s">
        <v>3853</v>
      </c>
      <c r="F1150" s="19" t="e">
        <f>MATCH(E1150,#REF!,0)</f>
        <v>#REF!</v>
      </c>
      <c r="G1150" s="19" t="s">
        <v>3854</v>
      </c>
      <c r="H1150" s="19" t="s">
        <v>17</v>
      </c>
      <c r="I1150" s="19" t="s">
        <v>18</v>
      </c>
      <c r="J1150" s="19" t="s">
        <v>3855</v>
      </c>
      <c r="K1150" s="19" t="s">
        <v>62</v>
      </c>
      <c r="L1150" s="3" t="str">
        <f>HYPERLINK(VLOOKUP(C1150,BAPs!$A$2:$C$1048576,3,FALSE),VLOOKUP(C1150,BAPs!$A$2:$C$1048576,2,FALSE))</f>
        <v>9 out of 10</v>
      </c>
    </row>
    <row r="1151" spans="1:12" hidden="1">
      <c r="A1151" s="19" t="s">
        <v>3808</v>
      </c>
      <c r="B1151" s="19" t="s">
        <v>3162</v>
      </c>
      <c r="C1151" s="19" t="s">
        <v>3856</v>
      </c>
      <c r="D1151" s="19" t="s">
        <v>3856</v>
      </c>
      <c r="E1151" s="19" t="s">
        <v>3857</v>
      </c>
      <c r="F1151" s="19" t="e">
        <f>MATCH(E1151,#REF!,0)</f>
        <v>#REF!</v>
      </c>
      <c r="G1151" s="19" t="s">
        <v>3858</v>
      </c>
      <c r="H1151" s="19" t="s">
        <v>17</v>
      </c>
      <c r="I1151" s="19"/>
      <c r="J1151" s="19" t="s">
        <v>3859</v>
      </c>
      <c r="K1151" s="19" t="s">
        <v>20</v>
      </c>
      <c r="L1151" s="3" t="str">
        <f>HYPERLINK(VLOOKUP(C1151,BAPs!$A$2:$C$1048576,3,FALSE),VLOOKUP(C1151,BAPs!$A$2:$C$1048576,2,FALSE))</f>
        <v>7 out of 10</v>
      </c>
    </row>
    <row r="1152" spans="1:12" hidden="1">
      <c r="A1152" s="19" t="s">
        <v>3808</v>
      </c>
      <c r="B1152" s="19" t="s">
        <v>3162</v>
      </c>
      <c r="C1152" s="19" t="s">
        <v>3856</v>
      </c>
      <c r="D1152" s="19" t="s">
        <v>3539</v>
      </c>
      <c r="E1152" s="19" t="s">
        <v>3540</v>
      </c>
      <c r="F1152" s="19" t="e">
        <f>MATCH(E1152,#REF!,0)</f>
        <v>#REF!</v>
      </c>
      <c r="G1152" s="19" t="s">
        <v>3541</v>
      </c>
      <c r="H1152" s="19" t="s">
        <v>43</v>
      </c>
      <c r="I1152" s="19"/>
      <c r="J1152" s="19" t="s">
        <v>3859</v>
      </c>
      <c r="K1152" s="19" t="s">
        <v>20</v>
      </c>
      <c r="L1152" s="3" t="str">
        <f>HYPERLINK(VLOOKUP(C1152,BAPs!$A$2:$C$1048576,3,FALSE),VLOOKUP(C1152,BAPs!$A$2:$C$1048576,2,FALSE))</f>
        <v>7 out of 10</v>
      </c>
    </row>
    <row r="1153" spans="1:12" hidden="1">
      <c r="A1153" s="19" t="s">
        <v>3808</v>
      </c>
      <c r="B1153" s="19" t="s">
        <v>3162</v>
      </c>
      <c r="C1153" s="19" t="s">
        <v>3860</v>
      </c>
      <c r="D1153" s="19" t="s">
        <v>2917</v>
      </c>
      <c r="E1153" s="19" t="s">
        <v>2918</v>
      </c>
      <c r="F1153" s="19" t="e">
        <f>MATCH(E1153,#REF!,0)</f>
        <v>#REF!</v>
      </c>
      <c r="G1153" s="19" t="s">
        <v>2919</v>
      </c>
      <c r="H1153" s="19" t="s">
        <v>56</v>
      </c>
      <c r="I1153" s="19"/>
      <c r="J1153" s="19" t="s">
        <v>3861</v>
      </c>
      <c r="K1153" s="19" t="s">
        <v>20</v>
      </c>
      <c r="L1153" s="3" t="str">
        <f>HYPERLINK(VLOOKUP(C1153,BAPs!$A$2:$C$1048576,3,FALSE),VLOOKUP(C1153,BAPs!$A$2:$C$1048576,2,FALSE))</f>
        <v>7 out of 10</v>
      </c>
    </row>
    <row r="1154" spans="1:12" hidden="1">
      <c r="A1154" s="19" t="s">
        <v>3808</v>
      </c>
      <c r="B1154" s="19" t="s">
        <v>3162</v>
      </c>
      <c r="C1154" s="19" t="s">
        <v>3860</v>
      </c>
      <c r="D1154" s="19" t="s">
        <v>3383</v>
      </c>
      <c r="E1154" s="19" t="s">
        <v>3384</v>
      </c>
      <c r="F1154" s="19" t="e">
        <f>MATCH(E1154,#REF!,0)</f>
        <v>#REF!</v>
      </c>
      <c r="G1154" s="19" t="s">
        <v>3385</v>
      </c>
      <c r="H1154" s="19" t="s">
        <v>56</v>
      </c>
      <c r="I1154" s="19"/>
      <c r="J1154" s="19" t="s">
        <v>3861</v>
      </c>
      <c r="K1154" s="19" t="s">
        <v>20</v>
      </c>
      <c r="L1154" s="3" t="str">
        <f>HYPERLINK(VLOOKUP(C1154,BAPs!$A$2:$C$1048576,3,FALSE),VLOOKUP(C1154,BAPs!$A$2:$C$1048576,2,FALSE))</f>
        <v>7 out of 10</v>
      </c>
    </row>
    <row r="1155" spans="1:12" hidden="1">
      <c r="A1155" s="19" t="s">
        <v>3808</v>
      </c>
      <c r="B1155" s="19" t="s">
        <v>3162</v>
      </c>
      <c r="C1155" s="19" t="s">
        <v>3862</v>
      </c>
      <c r="D1155" s="19" t="s">
        <v>3862</v>
      </c>
      <c r="E1155" s="19" t="s">
        <v>3863</v>
      </c>
      <c r="F1155" s="19" t="e">
        <f>MATCH(E1155,#REF!,0)</f>
        <v>#REF!</v>
      </c>
      <c r="G1155" s="19" t="s">
        <v>3864</v>
      </c>
      <c r="H1155" s="19" t="s">
        <v>17</v>
      </c>
      <c r="I1155" s="19" t="s">
        <v>18</v>
      </c>
      <c r="J1155" s="19" t="s">
        <v>3865</v>
      </c>
      <c r="K1155" s="19" t="s">
        <v>62</v>
      </c>
      <c r="L1155" s="3" t="str">
        <f>HYPERLINK(VLOOKUP(C1155,BAPs!$A$2:$C$1048576,3,FALSE),VLOOKUP(C1155,BAPs!$A$2:$C$1048576,2,FALSE))</f>
        <v>9 out of 10</v>
      </c>
    </row>
    <row r="1156" spans="1:12" hidden="1">
      <c r="A1156" s="19" t="s">
        <v>3808</v>
      </c>
      <c r="B1156" s="19" t="s">
        <v>3162</v>
      </c>
      <c r="C1156" s="19" t="s">
        <v>3866</v>
      </c>
      <c r="D1156" s="19" t="s">
        <v>3544</v>
      </c>
      <c r="E1156" s="19" t="s">
        <v>3545</v>
      </c>
      <c r="F1156" s="19" t="e">
        <f>MATCH(E1156,#REF!,0)</f>
        <v>#REF!</v>
      </c>
      <c r="G1156" s="19" t="s">
        <v>3546</v>
      </c>
      <c r="H1156" s="19" t="s">
        <v>24</v>
      </c>
      <c r="I1156" s="19" t="s">
        <v>18</v>
      </c>
      <c r="J1156" s="19" t="s">
        <v>3867</v>
      </c>
      <c r="K1156" s="19" t="s">
        <v>62</v>
      </c>
      <c r="L1156" s="3" t="str">
        <f>HYPERLINK(VLOOKUP(C1156,BAPs!$A$2:$C$1048576,3,FALSE),VLOOKUP(C1156,BAPs!$A$2:$C$1048576,2,FALSE))</f>
        <v>10 out of 10</v>
      </c>
    </row>
    <row r="1157" spans="1:12" hidden="1">
      <c r="A1157" s="19" t="s">
        <v>3808</v>
      </c>
      <c r="B1157" s="19" t="s">
        <v>3162</v>
      </c>
      <c r="C1157" s="19" t="s">
        <v>3866</v>
      </c>
      <c r="D1157" s="19" t="s">
        <v>3866</v>
      </c>
      <c r="E1157" s="19" t="s">
        <v>3868</v>
      </c>
      <c r="F1157" s="19" t="e">
        <f>MATCH(E1157,#REF!,0)</f>
        <v>#REF!</v>
      </c>
      <c r="G1157" s="19" t="s">
        <v>3869</v>
      </c>
      <c r="H1157" s="19" t="s">
        <v>17</v>
      </c>
      <c r="I1157" s="19" t="s">
        <v>18</v>
      </c>
      <c r="J1157" s="19" t="s">
        <v>3867</v>
      </c>
      <c r="K1157" s="19" t="s">
        <v>62</v>
      </c>
      <c r="L1157" s="3" t="str">
        <f>HYPERLINK(VLOOKUP(C1157,BAPs!$A$2:$C$1048576,3,FALSE),VLOOKUP(C1157,BAPs!$A$2:$C$1048576,2,FALSE))</f>
        <v>10 out of 10</v>
      </c>
    </row>
    <row r="1158" spans="1:12" hidden="1">
      <c r="A1158" s="19" t="s">
        <v>3808</v>
      </c>
      <c r="B1158" s="19" t="s">
        <v>3162</v>
      </c>
      <c r="C1158" s="19" t="s">
        <v>3870</v>
      </c>
      <c r="D1158" s="19" t="s">
        <v>3870</v>
      </c>
      <c r="E1158" s="19" t="s">
        <v>3871</v>
      </c>
      <c r="F1158" s="19" t="e">
        <f>MATCH(E1158,#REF!,0)</f>
        <v>#REF!</v>
      </c>
      <c r="G1158" s="19" t="s">
        <v>3872</v>
      </c>
      <c r="H1158" s="19" t="s">
        <v>17</v>
      </c>
      <c r="I1158" s="19" t="s">
        <v>18</v>
      </c>
      <c r="J1158" s="19" t="s">
        <v>3873</v>
      </c>
      <c r="K1158" s="19" t="s">
        <v>62</v>
      </c>
      <c r="L1158" s="3" t="str">
        <f>HYPERLINK(VLOOKUP(C1158,BAPs!$A$2:$C$1048576,3,FALSE),VLOOKUP(C1158,BAPs!$A$2:$C$1048576,2,FALSE))</f>
        <v>9 out of 10</v>
      </c>
    </row>
    <row r="1159" spans="1:12" hidden="1">
      <c r="A1159" s="19" t="s">
        <v>3808</v>
      </c>
      <c r="B1159" s="19" t="s">
        <v>3162</v>
      </c>
      <c r="C1159" s="19" t="s">
        <v>3874</v>
      </c>
      <c r="D1159" s="19" t="s">
        <v>3539</v>
      </c>
      <c r="E1159" s="19" t="s">
        <v>3540</v>
      </c>
      <c r="F1159" s="19" t="e">
        <f>MATCH(E1159,#REF!,0)</f>
        <v>#REF!</v>
      </c>
      <c r="G1159" s="19" t="s">
        <v>3541</v>
      </c>
      <c r="H1159" s="19" t="s">
        <v>43</v>
      </c>
      <c r="I1159" s="19"/>
      <c r="J1159" s="19" t="s">
        <v>3875</v>
      </c>
      <c r="K1159" s="19" t="s">
        <v>62</v>
      </c>
      <c r="L1159" s="3" t="str">
        <f>HYPERLINK(VLOOKUP(C1159,BAPs!$A$2:$C$1048576,3,FALSE),VLOOKUP(C1159,BAPs!$A$2:$C$1048576,2,FALSE))</f>
        <v>9 out of 10</v>
      </c>
    </row>
    <row r="1160" spans="1:12" hidden="1">
      <c r="A1160" s="19" t="s">
        <v>3808</v>
      </c>
      <c r="B1160" s="19" t="s">
        <v>3162</v>
      </c>
      <c r="C1160" s="19" t="s">
        <v>3874</v>
      </c>
      <c r="D1160" s="19" t="s">
        <v>3874</v>
      </c>
      <c r="E1160" s="19" t="s">
        <v>3876</v>
      </c>
      <c r="F1160" s="19" t="e">
        <f>MATCH(E1160,#REF!,0)</f>
        <v>#REF!</v>
      </c>
      <c r="G1160" s="19" t="s">
        <v>3877</v>
      </c>
      <c r="H1160" s="19" t="s">
        <v>52</v>
      </c>
      <c r="I1160" s="19"/>
      <c r="J1160" s="19" t="s">
        <v>3875</v>
      </c>
      <c r="K1160" s="19" t="s">
        <v>62</v>
      </c>
      <c r="L1160" s="3" t="str">
        <f>HYPERLINK(VLOOKUP(C1160,BAPs!$A$2:$C$1048576,3,FALSE),VLOOKUP(C1160,BAPs!$A$2:$C$1048576,2,FALSE))</f>
        <v>9 out of 10</v>
      </c>
    </row>
    <row r="1161" spans="1:12" hidden="1">
      <c r="A1161" s="19" t="s">
        <v>3808</v>
      </c>
      <c r="B1161" s="19" t="s">
        <v>3162</v>
      </c>
      <c r="C1161" s="19" t="s">
        <v>3878</v>
      </c>
      <c r="D1161" s="19" t="s">
        <v>3878</v>
      </c>
      <c r="E1161" s="19" t="s">
        <v>3879</v>
      </c>
      <c r="F1161" s="19" t="e">
        <f>MATCH(E1161,#REF!,0)</f>
        <v>#REF!</v>
      </c>
      <c r="G1161" s="19" t="s">
        <v>3880</v>
      </c>
      <c r="H1161" s="19" t="s">
        <v>17</v>
      </c>
      <c r="I1161" s="19" t="s">
        <v>18</v>
      </c>
      <c r="J1161" s="19" t="s">
        <v>3881</v>
      </c>
      <c r="K1161" s="19" t="s">
        <v>62</v>
      </c>
      <c r="L1161" s="3" t="str">
        <f>HYPERLINK(VLOOKUP(C1161,BAPs!$A$2:$C$1048576,3,FALSE),VLOOKUP(C1161,BAPs!$A$2:$C$1048576,2,FALSE))</f>
        <v>9 out of 10</v>
      </c>
    </row>
    <row r="1162" spans="1:12" hidden="1">
      <c r="A1162" s="19" t="s">
        <v>3808</v>
      </c>
      <c r="B1162" s="19" t="s">
        <v>3162</v>
      </c>
      <c r="C1162" s="19" t="s">
        <v>3882</v>
      </c>
      <c r="D1162" s="19" t="s">
        <v>3882</v>
      </c>
      <c r="E1162" s="19" t="s">
        <v>3883</v>
      </c>
      <c r="F1162" s="19" t="e">
        <f>MATCH(E1162,#REF!,0)</f>
        <v>#REF!</v>
      </c>
      <c r="G1162" s="19" t="s">
        <v>3884</v>
      </c>
      <c r="H1162" s="19" t="s">
        <v>52</v>
      </c>
      <c r="I1162" s="19"/>
      <c r="J1162" s="19" t="s">
        <v>3885</v>
      </c>
      <c r="K1162" s="19" t="s">
        <v>20</v>
      </c>
      <c r="L1162" s="3" t="str">
        <f>HYPERLINK(VLOOKUP(C1162,BAPs!$A$2:$C$1048576,3,FALSE),VLOOKUP(C1162,BAPs!$A$2:$C$1048576,2,FALSE))</f>
        <v>4 out of 10</v>
      </c>
    </row>
    <row r="1163" spans="1:12" hidden="1">
      <c r="A1163" s="19" t="s">
        <v>3808</v>
      </c>
      <c r="B1163" s="19" t="s">
        <v>3162</v>
      </c>
      <c r="C1163" s="19" t="s">
        <v>3886</v>
      </c>
      <c r="D1163" s="19" t="s">
        <v>3887</v>
      </c>
      <c r="E1163" s="19" t="s">
        <v>3888</v>
      </c>
      <c r="F1163" s="19" t="e">
        <f>MATCH(E1163,#REF!,0)</f>
        <v>#REF!</v>
      </c>
      <c r="G1163" s="19" t="s">
        <v>3889</v>
      </c>
      <c r="H1163" s="19" t="s">
        <v>17</v>
      </c>
      <c r="I1163" s="19" t="s">
        <v>18</v>
      </c>
      <c r="J1163" s="19" t="s">
        <v>3890</v>
      </c>
      <c r="K1163" s="19" t="s">
        <v>62</v>
      </c>
      <c r="L1163" s="3" t="str">
        <f>HYPERLINK(VLOOKUP(C1163,BAPs!$A$2:$C$1048576,3,FALSE),VLOOKUP(C1163,BAPs!$A$2:$C$1048576,2,FALSE))</f>
        <v>10 out of 10</v>
      </c>
    </row>
    <row r="1164" spans="1:12" hidden="1">
      <c r="A1164" s="19" t="s">
        <v>3808</v>
      </c>
      <c r="B1164" s="19" t="s">
        <v>3162</v>
      </c>
      <c r="C1164" s="19" t="s">
        <v>3886</v>
      </c>
      <c r="D1164" s="19" t="s">
        <v>3238</v>
      </c>
      <c r="E1164" s="19" t="s">
        <v>3239</v>
      </c>
      <c r="F1164" s="19" t="e">
        <f>MATCH(E1164,#REF!,0)</f>
        <v>#REF!</v>
      </c>
      <c r="G1164" s="19" t="s">
        <v>3240</v>
      </c>
      <c r="H1164" s="19" t="s">
        <v>24</v>
      </c>
      <c r="I1164" s="19" t="s">
        <v>18</v>
      </c>
      <c r="J1164" s="19" t="s">
        <v>3890</v>
      </c>
      <c r="K1164" s="19" t="s">
        <v>62</v>
      </c>
      <c r="L1164" s="3" t="str">
        <f>HYPERLINK(VLOOKUP(C1164,BAPs!$A$2:$C$1048576,3,FALSE),VLOOKUP(C1164,BAPs!$A$2:$C$1048576,2,FALSE))</f>
        <v>10 out of 10</v>
      </c>
    </row>
    <row r="1165" spans="1:12" hidden="1">
      <c r="A1165" s="19" t="s">
        <v>3808</v>
      </c>
      <c r="B1165" s="19" t="s">
        <v>3162</v>
      </c>
      <c r="C1165" s="19" t="s">
        <v>3301</v>
      </c>
      <c r="D1165" s="19" t="s">
        <v>3167</v>
      </c>
      <c r="E1165" s="19" t="s">
        <v>3168</v>
      </c>
      <c r="F1165" s="19" t="e">
        <f>MATCH(E1165,#REF!,0)</f>
        <v>#REF!</v>
      </c>
      <c r="G1165" s="19" t="s">
        <v>3169</v>
      </c>
      <c r="H1165" s="19" t="s">
        <v>24</v>
      </c>
      <c r="I1165" s="19"/>
      <c r="J1165" s="19" t="s">
        <v>3891</v>
      </c>
      <c r="K1165" s="19" t="s">
        <v>62</v>
      </c>
      <c r="L1165" s="3" t="str">
        <f>HYPERLINK(VLOOKUP(C1165,BAPs!$A$2:$C$1048576,3,FALSE),VLOOKUP(C1165,BAPs!$A$2:$C$1048576,2,FALSE))</f>
        <v>10 out of 10</v>
      </c>
    </row>
    <row r="1166" spans="1:12" hidden="1">
      <c r="A1166" s="19" t="s">
        <v>3808</v>
      </c>
      <c r="B1166" s="19" t="s">
        <v>3162</v>
      </c>
      <c r="C1166" s="19" t="s">
        <v>3301</v>
      </c>
      <c r="D1166" s="19" t="s">
        <v>3892</v>
      </c>
      <c r="E1166" s="19" t="s">
        <v>3893</v>
      </c>
      <c r="F1166" s="19" t="e">
        <f>MATCH(E1166,#REF!,0)</f>
        <v>#REF!</v>
      </c>
      <c r="G1166" s="19" t="s">
        <v>3894</v>
      </c>
      <c r="H1166" s="19" t="s">
        <v>17</v>
      </c>
      <c r="I1166" s="19" t="s">
        <v>18</v>
      </c>
      <c r="J1166" s="19" t="s">
        <v>3891</v>
      </c>
      <c r="K1166" s="19" t="s">
        <v>62</v>
      </c>
      <c r="L1166" s="3" t="str">
        <f>HYPERLINK(VLOOKUP(C1166,BAPs!$A$2:$C$1048576,3,FALSE),VLOOKUP(C1166,BAPs!$A$2:$C$1048576,2,FALSE))</f>
        <v>10 out of 10</v>
      </c>
    </row>
    <row r="1167" spans="1:12" hidden="1">
      <c r="A1167" s="19" t="s">
        <v>3808</v>
      </c>
      <c r="B1167" s="19" t="s">
        <v>3162</v>
      </c>
      <c r="C1167" s="19" t="s">
        <v>3730</v>
      </c>
      <c r="D1167" s="19" t="s">
        <v>3552</v>
      </c>
      <c r="E1167" s="19" t="s">
        <v>3553</v>
      </c>
      <c r="F1167" s="19" t="e">
        <f>MATCH(E1167,#REF!,0)</f>
        <v>#REF!</v>
      </c>
      <c r="G1167" s="19" t="s">
        <v>3554</v>
      </c>
      <c r="H1167" s="19" t="s">
        <v>24</v>
      </c>
      <c r="I1167" s="19" t="s">
        <v>18</v>
      </c>
      <c r="J1167" s="19" t="s">
        <v>3895</v>
      </c>
      <c r="K1167" s="19" t="s">
        <v>62</v>
      </c>
      <c r="L1167" s="3" t="str">
        <f>HYPERLINK(VLOOKUP(C1167,BAPs!$A$2:$C$1048576,3,FALSE),VLOOKUP(C1167,BAPs!$A$2:$C$1048576,2,FALSE))</f>
        <v>10 out of 10</v>
      </c>
    </row>
    <row r="1168" spans="1:12" hidden="1">
      <c r="A1168" s="19" t="s">
        <v>3808</v>
      </c>
      <c r="B1168" s="19" t="s">
        <v>3162</v>
      </c>
      <c r="C1168" s="19" t="s">
        <v>3730</v>
      </c>
      <c r="D1168" s="19" t="s">
        <v>3896</v>
      </c>
      <c r="E1168" s="19" t="s">
        <v>3897</v>
      </c>
      <c r="F1168" s="19" t="e">
        <f>MATCH(E1168,#REF!,0)</f>
        <v>#REF!</v>
      </c>
      <c r="G1168" s="19" t="s">
        <v>3898</v>
      </c>
      <c r="H1168" s="19" t="s">
        <v>17</v>
      </c>
      <c r="I1168" s="19" t="s">
        <v>18</v>
      </c>
      <c r="J1168" s="19" t="s">
        <v>3895</v>
      </c>
      <c r="K1168" s="19" t="s">
        <v>62</v>
      </c>
      <c r="L1168" s="3" t="str">
        <f>HYPERLINK(VLOOKUP(C1168,BAPs!$A$2:$C$1048576,3,FALSE),VLOOKUP(C1168,BAPs!$A$2:$C$1048576,2,FALSE))</f>
        <v>10 out of 10</v>
      </c>
    </row>
    <row r="1169" spans="1:12" hidden="1">
      <c r="A1169" s="19" t="s">
        <v>3808</v>
      </c>
      <c r="B1169" s="19" t="s">
        <v>3162</v>
      </c>
      <c r="C1169" s="19" t="s">
        <v>3730</v>
      </c>
      <c r="D1169" s="19" t="s">
        <v>3899</v>
      </c>
      <c r="E1169" s="19" t="s">
        <v>3900</v>
      </c>
      <c r="F1169" s="19" t="e">
        <f>MATCH(E1169,#REF!,0)</f>
        <v>#REF!</v>
      </c>
      <c r="G1169" s="19" t="s">
        <v>3901</v>
      </c>
      <c r="H1169" s="19" t="s">
        <v>52</v>
      </c>
      <c r="I1169" s="19"/>
      <c r="J1169" s="19" t="s">
        <v>3895</v>
      </c>
      <c r="K1169" s="19" t="s">
        <v>62</v>
      </c>
      <c r="L1169" s="3" t="str">
        <f>HYPERLINK(VLOOKUP(C1169,BAPs!$A$2:$C$1048576,3,FALSE),VLOOKUP(C1169,BAPs!$A$2:$C$1048576,2,FALSE))</f>
        <v>10 out of 10</v>
      </c>
    </row>
    <row r="1170" spans="1:12" hidden="1">
      <c r="A1170" s="19" t="s">
        <v>3808</v>
      </c>
      <c r="B1170" s="19" t="s">
        <v>3162</v>
      </c>
      <c r="C1170" s="19" t="s">
        <v>3902</v>
      </c>
      <c r="D1170" s="19" t="s">
        <v>3902</v>
      </c>
      <c r="E1170" s="19" t="s">
        <v>3903</v>
      </c>
      <c r="F1170" s="19" t="e">
        <f>MATCH(E1170,#REF!,0)</f>
        <v>#REF!</v>
      </c>
      <c r="G1170" s="19" t="s">
        <v>3904</v>
      </c>
      <c r="H1170" s="19" t="s">
        <v>56</v>
      </c>
      <c r="I1170" s="19"/>
      <c r="J1170" s="19" t="s">
        <v>3905</v>
      </c>
      <c r="K1170" s="19" t="s">
        <v>20</v>
      </c>
      <c r="L1170" s="3" t="str">
        <f>HYPERLINK(VLOOKUP(C1170,BAPs!$A$2:$C$1048576,3,FALSE),VLOOKUP(C1170,BAPs!$A$2:$C$1048576,2,FALSE))</f>
        <v>8 out of 10</v>
      </c>
    </row>
    <row r="1171" spans="1:12" hidden="1">
      <c r="A1171" s="19" t="s">
        <v>3808</v>
      </c>
      <c r="B1171" s="19" t="s">
        <v>3162</v>
      </c>
      <c r="C1171" s="19" t="s">
        <v>3906</v>
      </c>
      <c r="D1171" s="19" t="s">
        <v>3906</v>
      </c>
      <c r="E1171" s="19" t="s">
        <v>3907</v>
      </c>
      <c r="F1171" s="19" t="e">
        <f>MATCH(E1171,#REF!,0)</f>
        <v>#REF!</v>
      </c>
      <c r="G1171" s="19" t="s">
        <v>3908</v>
      </c>
      <c r="H1171" s="19" t="s">
        <v>56</v>
      </c>
      <c r="I1171" s="19"/>
      <c r="J1171" s="19" t="s">
        <v>3909</v>
      </c>
      <c r="K1171" s="19" t="s">
        <v>20</v>
      </c>
      <c r="L1171" s="3" t="str">
        <f>HYPERLINK(VLOOKUP(C1171,BAPs!$A$2:$C$1048576,3,FALSE),VLOOKUP(C1171,BAPs!$A$2:$C$1048576,2,FALSE))</f>
        <v>8 out of 10</v>
      </c>
    </row>
    <row r="1172" spans="1:12" hidden="1">
      <c r="A1172" s="19" t="s">
        <v>3808</v>
      </c>
      <c r="B1172" s="19" t="s">
        <v>3162</v>
      </c>
      <c r="C1172" s="19" t="s">
        <v>3910</v>
      </c>
      <c r="D1172" s="19" t="s">
        <v>3910</v>
      </c>
      <c r="E1172" s="19" t="s">
        <v>3911</v>
      </c>
      <c r="F1172" s="19" t="e">
        <f>MATCH(E1172,#REF!,0)</f>
        <v>#REF!</v>
      </c>
      <c r="G1172" s="19" t="s">
        <v>3912</v>
      </c>
      <c r="H1172" s="19" t="s">
        <v>56</v>
      </c>
      <c r="I1172" s="19"/>
      <c r="J1172" s="19" t="s">
        <v>3913</v>
      </c>
      <c r="K1172" s="19" t="s">
        <v>20</v>
      </c>
      <c r="L1172" s="3" t="str">
        <f>HYPERLINK(VLOOKUP(C1172,BAPs!$A$2:$C$1048576,3,FALSE),VLOOKUP(C1172,BAPs!$A$2:$C$1048576,2,FALSE))</f>
        <v>3 out of 10</v>
      </c>
    </row>
    <row r="1173" spans="1:12" hidden="1">
      <c r="A1173" s="19" t="s">
        <v>3808</v>
      </c>
      <c r="B1173" s="19" t="s">
        <v>3162</v>
      </c>
      <c r="C1173" s="19" t="s">
        <v>3910</v>
      </c>
      <c r="D1173" s="19" t="s">
        <v>3383</v>
      </c>
      <c r="E1173" s="19" t="s">
        <v>3384</v>
      </c>
      <c r="F1173" s="19" t="e">
        <f>MATCH(E1173,#REF!,0)</f>
        <v>#REF!</v>
      </c>
      <c r="G1173" s="19" t="s">
        <v>3385</v>
      </c>
      <c r="H1173" s="19" t="s">
        <v>56</v>
      </c>
      <c r="I1173" s="19"/>
      <c r="J1173" s="19" t="s">
        <v>3913</v>
      </c>
      <c r="K1173" s="19" t="s">
        <v>20</v>
      </c>
      <c r="L1173" s="3" t="str">
        <f>HYPERLINK(VLOOKUP(C1173,BAPs!$A$2:$C$1048576,3,FALSE),VLOOKUP(C1173,BAPs!$A$2:$C$1048576,2,FALSE))</f>
        <v>3 out of 10</v>
      </c>
    </row>
    <row r="1174" spans="1:12" hidden="1">
      <c r="A1174" s="19" t="s">
        <v>3808</v>
      </c>
      <c r="B1174" s="19" t="s">
        <v>3162</v>
      </c>
      <c r="C1174" s="19" t="s">
        <v>3914</v>
      </c>
      <c r="D1174" s="19" t="s">
        <v>3915</v>
      </c>
      <c r="E1174" s="19" t="s">
        <v>3916</v>
      </c>
      <c r="F1174" s="19" t="e">
        <f>MATCH(E1174,#REF!,0)</f>
        <v>#REF!</v>
      </c>
      <c r="G1174" s="19" t="s">
        <v>3917</v>
      </c>
      <c r="H1174" s="19" t="s">
        <v>84</v>
      </c>
      <c r="I1174" s="19"/>
      <c r="J1174" s="19" t="s">
        <v>3918</v>
      </c>
      <c r="K1174" s="19" t="s">
        <v>20</v>
      </c>
      <c r="L1174" s="3" t="str">
        <f>HYPERLINK(VLOOKUP(C1174,BAPs!$A$2:$C$1048576,3,FALSE),VLOOKUP(C1174,BAPs!$A$2:$C$1048576,2,FALSE))</f>
        <v>4 out of 10</v>
      </c>
    </row>
    <row r="1175" spans="1:12" hidden="1">
      <c r="A1175" s="19" t="s">
        <v>3808</v>
      </c>
      <c r="B1175" s="19" t="s">
        <v>3162</v>
      </c>
      <c r="C1175" s="19" t="s">
        <v>3919</v>
      </c>
      <c r="D1175" s="19" t="s">
        <v>3920</v>
      </c>
      <c r="E1175" s="19" t="s">
        <v>3921</v>
      </c>
      <c r="F1175" s="19" t="e">
        <f>MATCH(E1175,#REF!,0)</f>
        <v>#REF!</v>
      </c>
      <c r="G1175" s="19" t="s">
        <v>3922</v>
      </c>
      <c r="H1175" s="19" t="s">
        <v>84</v>
      </c>
      <c r="I1175" s="19"/>
      <c r="J1175" s="19" t="s">
        <v>3923</v>
      </c>
      <c r="K1175" s="19" t="s">
        <v>62</v>
      </c>
      <c r="L1175" s="3" t="str">
        <f>HYPERLINK(VLOOKUP(C1175,BAPs!$A$2:$C$1048576,3,FALSE),VLOOKUP(C1175,BAPs!$A$2:$C$1048576,2,FALSE))</f>
        <v>10 out of 10</v>
      </c>
    </row>
    <row r="1176" spans="1:12" hidden="1">
      <c r="A1176" s="19" t="s">
        <v>3808</v>
      </c>
      <c r="B1176" s="19" t="s">
        <v>3162</v>
      </c>
      <c r="C1176" s="19" t="s">
        <v>3919</v>
      </c>
      <c r="D1176" s="19" t="s">
        <v>3416</v>
      </c>
      <c r="E1176" s="19" t="s">
        <v>3417</v>
      </c>
      <c r="F1176" s="19" t="e">
        <f>MATCH(E1176,#REF!,0)</f>
        <v>#REF!</v>
      </c>
      <c r="G1176" s="19" t="s">
        <v>3418</v>
      </c>
      <c r="H1176" s="19" t="s">
        <v>43</v>
      </c>
      <c r="I1176" s="19"/>
      <c r="J1176" s="19" t="s">
        <v>3923</v>
      </c>
      <c r="K1176" s="19" t="s">
        <v>62</v>
      </c>
      <c r="L1176" s="3" t="str">
        <f>HYPERLINK(VLOOKUP(C1176,BAPs!$A$2:$C$1048576,3,FALSE),VLOOKUP(C1176,BAPs!$A$2:$C$1048576,2,FALSE))</f>
        <v>10 out of 10</v>
      </c>
    </row>
    <row r="1177" spans="1:12" hidden="1">
      <c r="A1177" s="19" t="s">
        <v>3808</v>
      </c>
      <c r="B1177" s="19" t="s">
        <v>3162</v>
      </c>
      <c r="C1177" s="19" t="s">
        <v>3919</v>
      </c>
      <c r="D1177" s="19" t="s">
        <v>3919</v>
      </c>
      <c r="E1177" s="19" t="s">
        <v>3924</v>
      </c>
      <c r="F1177" s="19" t="e">
        <f>MATCH(E1177,#REF!,0)</f>
        <v>#REF!</v>
      </c>
      <c r="G1177" s="19" t="s">
        <v>3925</v>
      </c>
      <c r="H1177" s="19" t="s">
        <v>56</v>
      </c>
      <c r="I1177" s="19"/>
      <c r="J1177" s="19" t="s">
        <v>3923</v>
      </c>
      <c r="K1177" s="19" t="s">
        <v>62</v>
      </c>
      <c r="L1177" s="3" t="str">
        <f>HYPERLINK(VLOOKUP(C1177,BAPs!$A$2:$C$1048576,3,FALSE),VLOOKUP(C1177,BAPs!$A$2:$C$1048576,2,FALSE))</f>
        <v>10 out of 10</v>
      </c>
    </row>
    <row r="1178" spans="1:12" hidden="1">
      <c r="A1178" s="19" t="s">
        <v>3808</v>
      </c>
      <c r="B1178" s="19" t="s">
        <v>3162</v>
      </c>
      <c r="C1178" s="19" t="s">
        <v>3926</v>
      </c>
      <c r="D1178" s="19" t="s">
        <v>3926</v>
      </c>
      <c r="E1178" s="19" t="s">
        <v>3927</v>
      </c>
      <c r="F1178" s="19" t="e">
        <f>MATCH(E1178,#REF!,0)</f>
        <v>#REF!</v>
      </c>
      <c r="G1178" s="19" t="s">
        <v>3928</v>
      </c>
      <c r="H1178" s="19" t="s">
        <v>56</v>
      </c>
      <c r="I1178" s="19"/>
      <c r="J1178" s="19" t="s">
        <v>3929</v>
      </c>
      <c r="K1178" s="19" t="s">
        <v>62</v>
      </c>
      <c r="L1178" s="3" t="str">
        <f>HYPERLINK(VLOOKUP(C1178,BAPs!$A$2:$C$1048576,3,FALSE),VLOOKUP(C1178,BAPs!$A$2:$C$1048576,2,FALSE))</f>
        <v>10 out of 10</v>
      </c>
    </row>
    <row r="1179" spans="1:12" hidden="1">
      <c r="A1179" s="19" t="s">
        <v>3808</v>
      </c>
      <c r="B1179" s="19" t="s">
        <v>3162</v>
      </c>
      <c r="C1179" s="19" t="s">
        <v>3926</v>
      </c>
      <c r="D1179" s="19" t="s">
        <v>3383</v>
      </c>
      <c r="E1179" s="19" t="s">
        <v>3384</v>
      </c>
      <c r="F1179" s="19" t="e">
        <f>MATCH(E1179,#REF!,0)</f>
        <v>#REF!</v>
      </c>
      <c r="G1179" s="19" t="s">
        <v>3385</v>
      </c>
      <c r="H1179" s="19" t="s">
        <v>56</v>
      </c>
      <c r="I1179" s="19"/>
      <c r="J1179" s="19" t="s">
        <v>3929</v>
      </c>
      <c r="K1179" s="19" t="s">
        <v>62</v>
      </c>
      <c r="L1179" s="3" t="str">
        <f>HYPERLINK(VLOOKUP(C1179,BAPs!$A$2:$C$1048576,3,FALSE),VLOOKUP(C1179,BAPs!$A$2:$C$1048576,2,FALSE))</f>
        <v>10 out of 10</v>
      </c>
    </row>
    <row r="1180" spans="1:12" hidden="1">
      <c r="A1180" s="19" t="s">
        <v>3808</v>
      </c>
      <c r="B1180" s="19" t="s">
        <v>3162</v>
      </c>
      <c r="C1180" s="19" t="s">
        <v>3930</v>
      </c>
      <c r="D1180" s="19" t="s">
        <v>3914</v>
      </c>
      <c r="E1180" s="19" t="s">
        <v>3931</v>
      </c>
      <c r="F1180" s="19" t="e">
        <f>MATCH(E1180,#REF!,0)</f>
        <v>#REF!</v>
      </c>
      <c r="G1180" s="19" t="s">
        <v>3932</v>
      </c>
      <c r="H1180" s="19" t="s">
        <v>84</v>
      </c>
      <c r="I1180" s="19"/>
      <c r="J1180" s="19" t="s">
        <v>3933</v>
      </c>
      <c r="K1180" s="19" t="s">
        <v>62</v>
      </c>
      <c r="L1180" s="3" t="str">
        <f>HYPERLINK(VLOOKUP(C1180,BAPs!$A$2:$C$1048576,3,FALSE),VLOOKUP(C1180,BAPs!$A$2:$C$1048576,2,FALSE))</f>
        <v>10 out of 10</v>
      </c>
    </row>
    <row r="1181" spans="1:12" hidden="1">
      <c r="A1181" s="19" t="s">
        <v>3808</v>
      </c>
      <c r="B1181" s="19" t="s">
        <v>3162</v>
      </c>
      <c r="C1181" s="19" t="s">
        <v>3930</v>
      </c>
      <c r="D1181" s="19" t="s">
        <v>3383</v>
      </c>
      <c r="E1181" s="19" t="s">
        <v>3384</v>
      </c>
      <c r="F1181" s="19" t="e">
        <f>MATCH(E1181,#REF!,0)</f>
        <v>#REF!</v>
      </c>
      <c r="G1181" s="19" t="s">
        <v>3385</v>
      </c>
      <c r="H1181" s="19" t="s">
        <v>56</v>
      </c>
      <c r="I1181" s="19"/>
      <c r="J1181" s="19" t="s">
        <v>3933</v>
      </c>
      <c r="K1181" s="19" t="s">
        <v>62</v>
      </c>
      <c r="L1181" s="3" t="str">
        <f>HYPERLINK(VLOOKUP(C1181,BAPs!$A$2:$C$1048576,3,FALSE),VLOOKUP(C1181,BAPs!$A$2:$C$1048576,2,FALSE))</f>
        <v>10 out of 10</v>
      </c>
    </row>
    <row r="1182" spans="1:12" hidden="1">
      <c r="A1182" s="19" t="s">
        <v>3808</v>
      </c>
      <c r="B1182" s="19" t="s">
        <v>3162</v>
      </c>
      <c r="C1182" s="19" t="s">
        <v>3934</v>
      </c>
      <c r="D1182" s="19" t="s">
        <v>3935</v>
      </c>
      <c r="E1182" s="19" t="s">
        <v>3936</v>
      </c>
      <c r="F1182" s="19" t="e">
        <f>MATCH(E1182,#REF!,0)</f>
        <v>#REF!</v>
      </c>
      <c r="G1182" s="19" t="s">
        <v>3937</v>
      </c>
      <c r="H1182" s="19" t="s">
        <v>56</v>
      </c>
      <c r="I1182" s="19"/>
      <c r="J1182" s="19" t="s">
        <v>3938</v>
      </c>
      <c r="K1182" s="19" t="s">
        <v>62</v>
      </c>
      <c r="L1182" s="3" t="str">
        <f>HYPERLINK(VLOOKUP(C1182,BAPs!$A$2:$C$1048576,3,FALSE),VLOOKUP(C1182,BAPs!$A$2:$C$1048576,2,FALSE))</f>
        <v>10 out of 10</v>
      </c>
    </row>
    <row r="1183" spans="1:12" hidden="1">
      <c r="A1183" s="19" t="s">
        <v>3939</v>
      </c>
      <c r="B1183" s="19" t="s">
        <v>3162</v>
      </c>
      <c r="C1183" s="19" t="s">
        <v>3940</v>
      </c>
      <c r="D1183" s="19" t="s">
        <v>3940</v>
      </c>
      <c r="E1183" s="19" t="s">
        <v>3941</v>
      </c>
      <c r="F1183" s="19" t="e">
        <f>MATCH(E1183,#REF!,0)</f>
        <v>#REF!</v>
      </c>
      <c r="G1183" s="19" t="s">
        <v>3942</v>
      </c>
      <c r="H1183" s="19" t="s">
        <v>17</v>
      </c>
      <c r="I1183" s="19" t="s">
        <v>18</v>
      </c>
      <c r="J1183" s="19" t="s">
        <v>3943</v>
      </c>
      <c r="K1183" s="19" t="s">
        <v>20</v>
      </c>
      <c r="L1183" s="3" t="str">
        <f>HYPERLINK(VLOOKUP(C1183,BAPs!$A$2:$C$1048576,3,FALSE),VLOOKUP(C1183,BAPs!$A$2:$C$1048576,2,FALSE))</f>
        <v>8 out of 10</v>
      </c>
    </row>
    <row r="1184" spans="1:12" hidden="1">
      <c r="A1184" s="19" t="s">
        <v>3939</v>
      </c>
      <c r="B1184" s="19" t="s">
        <v>3162</v>
      </c>
      <c r="C1184" s="19" t="s">
        <v>3944</v>
      </c>
      <c r="D1184" s="19" t="s">
        <v>3944</v>
      </c>
      <c r="E1184" s="19" t="s">
        <v>3945</v>
      </c>
      <c r="F1184" s="19" t="e">
        <f>MATCH(E1184,#REF!,0)</f>
        <v>#REF!</v>
      </c>
      <c r="G1184" s="19" t="s">
        <v>3946</v>
      </c>
      <c r="H1184" s="19" t="s">
        <v>17</v>
      </c>
      <c r="I1184" s="19" t="s">
        <v>18</v>
      </c>
      <c r="J1184" s="19" t="s">
        <v>3947</v>
      </c>
      <c r="K1184" s="19" t="s">
        <v>20</v>
      </c>
      <c r="L1184" s="3" t="str">
        <f>HYPERLINK(VLOOKUP(C1184,BAPs!$A$2:$C$1048576,3,FALSE),VLOOKUP(C1184,BAPs!$A$2:$C$1048576,2,FALSE))</f>
        <v>6 out of 10</v>
      </c>
    </row>
    <row r="1185" spans="1:12" hidden="1">
      <c r="A1185" s="19" t="s">
        <v>3939</v>
      </c>
      <c r="B1185" s="19" t="s">
        <v>3162</v>
      </c>
      <c r="C1185" s="19" t="s">
        <v>3948</v>
      </c>
      <c r="D1185" s="19" t="s">
        <v>3948</v>
      </c>
      <c r="E1185" s="19" t="s">
        <v>3949</v>
      </c>
      <c r="F1185" s="19" t="e">
        <f>MATCH(E1185,#REF!,0)</f>
        <v>#REF!</v>
      </c>
      <c r="G1185" s="19" t="s">
        <v>3950</v>
      </c>
      <c r="H1185" s="19" t="s">
        <v>17</v>
      </c>
      <c r="I1185" s="19" t="s">
        <v>18</v>
      </c>
      <c r="J1185" s="19" t="s">
        <v>3951</v>
      </c>
      <c r="K1185" s="19" t="s">
        <v>62</v>
      </c>
      <c r="L1185" s="3" t="str">
        <f>HYPERLINK(VLOOKUP(C1185,BAPs!$A$2:$C$1048576,3,FALSE),VLOOKUP(C1185,BAPs!$A$2:$C$1048576,2,FALSE))</f>
        <v>10 out of 10</v>
      </c>
    </row>
    <row r="1186" spans="1:12" hidden="1">
      <c r="A1186" s="19" t="s">
        <v>3939</v>
      </c>
      <c r="B1186" s="19" t="s">
        <v>3162</v>
      </c>
      <c r="C1186" s="19" t="s">
        <v>3948</v>
      </c>
      <c r="D1186" s="19" t="s">
        <v>3952</v>
      </c>
      <c r="E1186" s="19" t="s">
        <v>3953</v>
      </c>
      <c r="F1186" s="19" t="e">
        <f>MATCH(E1186,#REF!,0)</f>
        <v>#REF!</v>
      </c>
      <c r="G1186" s="19" t="s">
        <v>3954</v>
      </c>
      <c r="H1186" s="19" t="s">
        <v>17</v>
      </c>
      <c r="I1186" s="19"/>
      <c r="J1186" s="19" t="s">
        <v>3951</v>
      </c>
      <c r="K1186" s="19" t="s">
        <v>62</v>
      </c>
      <c r="L1186" s="3" t="str">
        <f>HYPERLINK(VLOOKUP(C1186,BAPs!$A$2:$C$1048576,3,FALSE),VLOOKUP(C1186,BAPs!$A$2:$C$1048576,2,FALSE))</f>
        <v>10 out of 10</v>
      </c>
    </row>
    <row r="1187" spans="1:12" hidden="1">
      <c r="A1187" s="19" t="s">
        <v>3939</v>
      </c>
      <c r="B1187" s="19" t="s">
        <v>3162</v>
      </c>
      <c r="C1187" s="19" t="s">
        <v>3955</v>
      </c>
      <c r="D1187" s="19" t="s">
        <v>3955</v>
      </c>
      <c r="E1187" s="19" t="s">
        <v>3956</v>
      </c>
      <c r="F1187" s="19" t="e">
        <f>MATCH(E1187,#REF!,0)</f>
        <v>#REF!</v>
      </c>
      <c r="G1187" s="19" t="s">
        <v>3957</v>
      </c>
      <c r="H1187" s="19" t="s">
        <v>17</v>
      </c>
      <c r="I1187" s="19" t="s">
        <v>18</v>
      </c>
      <c r="J1187" s="19" t="s">
        <v>3958</v>
      </c>
      <c r="K1187" s="19" t="s">
        <v>20</v>
      </c>
      <c r="L1187" s="3" t="str">
        <f>HYPERLINK(VLOOKUP(C1187,BAPs!$A$2:$C$1048576,3,FALSE),VLOOKUP(C1187,BAPs!$A$2:$C$1048576,2,FALSE))</f>
        <v>1 out of 10</v>
      </c>
    </row>
    <row r="1188" spans="1:12" hidden="1">
      <c r="A1188" s="19" t="s">
        <v>3939</v>
      </c>
      <c r="B1188" s="19" t="s">
        <v>3162</v>
      </c>
      <c r="C1188" s="19" t="s">
        <v>3955</v>
      </c>
      <c r="D1188" s="19" t="s">
        <v>3597</v>
      </c>
      <c r="E1188" s="19" t="s">
        <v>3598</v>
      </c>
      <c r="F1188" s="19" t="e">
        <f>MATCH(E1188,#REF!,0)</f>
        <v>#REF!</v>
      </c>
      <c r="G1188" s="19" t="s">
        <v>3599</v>
      </c>
      <c r="H1188" s="19" t="s">
        <v>43</v>
      </c>
      <c r="I1188" s="19"/>
      <c r="J1188" s="19" t="s">
        <v>3958</v>
      </c>
      <c r="K1188" s="19" t="s">
        <v>20</v>
      </c>
      <c r="L1188" s="3" t="str">
        <f>HYPERLINK(VLOOKUP(C1188,BAPs!$A$2:$C$1048576,3,FALSE),VLOOKUP(C1188,BAPs!$A$2:$C$1048576,2,FALSE))</f>
        <v>1 out of 10</v>
      </c>
    </row>
    <row r="1189" spans="1:12" hidden="1">
      <c r="A1189" s="19" t="s">
        <v>3939</v>
      </c>
      <c r="B1189" s="19" t="s">
        <v>3162</v>
      </c>
      <c r="C1189" s="19" t="s">
        <v>3959</v>
      </c>
      <c r="D1189" s="19" t="s">
        <v>3959</v>
      </c>
      <c r="E1189" s="19" t="s">
        <v>3960</v>
      </c>
      <c r="F1189" s="19" t="e">
        <f>MATCH(E1189,#REF!,0)</f>
        <v>#REF!</v>
      </c>
      <c r="G1189" s="19" t="s">
        <v>3961</v>
      </c>
      <c r="H1189" s="19" t="s">
        <v>52</v>
      </c>
      <c r="I1189" s="19"/>
      <c r="J1189" s="19" t="s">
        <v>3962</v>
      </c>
      <c r="K1189" s="19" t="s">
        <v>62</v>
      </c>
      <c r="L1189" s="3" t="str">
        <f>HYPERLINK(VLOOKUP(C1189,BAPs!$A$2:$C$1048576,3,FALSE),VLOOKUP(C1189,BAPs!$A$2:$C$1048576,2,FALSE))</f>
        <v>9 out of 10</v>
      </c>
    </row>
    <row r="1190" spans="1:12" hidden="1">
      <c r="A1190" s="19" t="s">
        <v>3939</v>
      </c>
      <c r="B1190" s="19" t="s">
        <v>3162</v>
      </c>
      <c r="C1190" s="19" t="s">
        <v>3959</v>
      </c>
      <c r="D1190" s="19" t="s">
        <v>3963</v>
      </c>
      <c r="E1190" s="19" t="s">
        <v>3964</v>
      </c>
      <c r="F1190" s="19" t="e">
        <f>MATCH(E1190,#REF!,0)</f>
        <v>#REF!</v>
      </c>
      <c r="G1190" s="19" t="s">
        <v>3965</v>
      </c>
      <c r="H1190" s="19" t="s">
        <v>24</v>
      </c>
      <c r="I1190" s="19"/>
      <c r="J1190" s="19" t="s">
        <v>3962</v>
      </c>
      <c r="K1190" s="19" t="s">
        <v>62</v>
      </c>
      <c r="L1190" s="3" t="str">
        <f>HYPERLINK(VLOOKUP(C1190,BAPs!$A$2:$C$1048576,3,FALSE),VLOOKUP(C1190,BAPs!$A$2:$C$1048576,2,FALSE))</f>
        <v>9 out of 10</v>
      </c>
    </row>
    <row r="1191" spans="1:12" hidden="1">
      <c r="A1191" s="19" t="s">
        <v>3939</v>
      </c>
      <c r="B1191" s="19" t="s">
        <v>3162</v>
      </c>
      <c r="C1191" s="19" t="s">
        <v>3966</v>
      </c>
      <c r="D1191" s="19" t="s">
        <v>3966</v>
      </c>
      <c r="E1191" s="19" t="s">
        <v>3967</v>
      </c>
      <c r="F1191" s="19" t="e">
        <f>MATCH(E1191,#REF!,0)</f>
        <v>#REF!</v>
      </c>
      <c r="G1191" s="19" t="s">
        <v>3968</v>
      </c>
      <c r="H1191" s="19" t="s">
        <v>17</v>
      </c>
      <c r="I1191" s="19" t="s">
        <v>18</v>
      </c>
      <c r="J1191" s="19" t="s">
        <v>3969</v>
      </c>
      <c r="K1191" s="19" t="s">
        <v>20</v>
      </c>
      <c r="L1191" s="3" t="str">
        <f>HYPERLINK(VLOOKUP(C1191,BAPs!$A$2:$C$1048576,3,FALSE),VLOOKUP(C1191,BAPs!$A$2:$C$1048576,2,FALSE))</f>
        <v>4 out of 10</v>
      </c>
    </row>
    <row r="1192" spans="1:12" hidden="1">
      <c r="A1192" s="19" t="s">
        <v>3939</v>
      </c>
      <c r="B1192" s="19" t="s">
        <v>3162</v>
      </c>
      <c r="C1192" s="19" t="s">
        <v>3970</v>
      </c>
      <c r="D1192" s="19" t="s">
        <v>3970</v>
      </c>
      <c r="E1192" s="19" t="s">
        <v>3971</v>
      </c>
      <c r="F1192" s="19" t="e">
        <f>MATCH(E1192,#REF!,0)</f>
        <v>#REF!</v>
      </c>
      <c r="G1192" s="19" t="s">
        <v>3972</v>
      </c>
      <c r="H1192" s="19" t="s">
        <v>17</v>
      </c>
      <c r="I1192" s="19" t="s">
        <v>18</v>
      </c>
      <c r="J1192" s="19" t="s">
        <v>3973</v>
      </c>
      <c r="K1192" s="19" t="s">
        <v>62</v>
      </c>
      <c r="L1192" s="3" t="str">
        <f>HYPERLINK(VLOOKUP(C1192,BAPs!$A$2:$C$1048576,3,FALSE),VLOOKUP(C1192,BAPs!$A$2:$C$1048576,2,FALSE))</f>
        <v>9 out of 10</v>
      </c>
    </row>
    <row r="1193" spans="1:12" hidden="1">
      <c r="A1193" s="19" t="s">
        <v>3939</v>
      </c>
      <c r="B1193" s="19" t="s">
        <v>3162</v>
      </c>
      <c r="C1193" s="19" t="s">
        <v>3974</v>
      </c>
      <c r="D1193" s="19" t="s">
        <v>3974</v>
      </c>
      <c r="E1193" s="19" t="s">
        <v>3975</v>
      </c>
      <c r="F1193" s="19" t="e">
        <f>MATCH(E1193,#REF!,0)</f>
        <v>#REF!</v>
      </c>
      <c r="G1193" s="19" t="s">
        <v>3976</v>
      </c>
      <c r="H1193" s="19" t="s">
        <v>17</v>
      </c>
      <c r="I1193" s="19" t="s">
        <v>18</v>
      </c>
      <c r="J1193" s="19" t="s">
        <v>3977</v>
      </c>
      <c r="K1193" s="19" t="s">
        <v>20</v>
      </c>
      <c r="L1193" s="3" t="str">
        <f>HYPERLINK(VLOOKUP(C1193,BAPs!$A$2:$C$1048576,3,FALSE),VLOOKUP(C1193,BAPs!$A$2:$C$1048576,2,FALSE))</f>
        <v>3 out of 10</v>
      </c>
    </row>
    <row r="1194" spans="1:12" hidden="1">
      <c r="A1194" s="19" t="s">
        <v>3939</v>
      </c>
      <c r="B1194" s="19" t="s">
        <v>3162</v>
      </c>
      <c r="C1194" s="19" t="s">
        <v>3974</v>
      </c>
      <c r="D1194" s="19" t="s">
        <v>3416</v>
      </c>
      <c r="E1194" s="19" t="s">
        <v>3417</v>
      </c>
      <c r="F1194" s="19" t="e">
        <f>MATCH(E1194,#REF!,0)</f>
        <v>#REF!</v>
      </c>
      <c r="G1194" s="19" t="s">
        <v>3418</v>
      </c>
      <c r="H1194" s="19" t="s">
        <v>43</v>
      </c>
      <c r="I1194" s="19"/>
      <c r="J1194" s="19" t="s">
        <v>3977</v>
      </c>
      <c r="K1194" s="19" t="s">
        <v>20</v>
      </c>
      <c r="L1194" s="3" t="str">
        <f>HYPERLINK(VLOOKUP(C1194,BAPs!$A$2:$C$1048576,3,FALSE),VLOOKUP(C1194,BAPs!$A$2:$C$1048576,2,FALSE))</f>
        <v>3 out of 10</v>
      </c>
    </row>
    <row r="1195" spans="1:12" hidden="1">
      <c r="A1195" s="19" t="s">
        <v>3939</v>
      </c>
      <c r="B1195" s="19" t="s">
        <v>3162</v>
      </c>
      <c r="C1195" s="19" t="s">
        <v>3978</v>
      </c>
      <c r="D1195" s="19" t="s">
        <v>3978</v>
      </c>
      <c r="E1195" s="19" t="s">
        <v>3979</v>
      </c>
      <c r="F1195" s="19" t="e">
        <f>MATCH(E1195,#REF!,0)</f>
        <v>#REF!</v>
      </c>
      <c r="G1195" s="19" t="s">
        <v>3980</v>
      </c>
      <c r="H1195" s="19" t="s">
        <v>17</v>
      </c>
      <c r="I1195" s="19" t="s">
        <v>18</v>
      </c>
      <c r="J1195" s="19" t="s">
        <v>3981</v>
      </c>
      <c r="K1195" s="19" t="s">
        <v>20</v>
      </c>
      <c r="L1195" s="3" t="str">
        <f>HYPERLINK(VLOOKUP(C1195,BAPs!$A$2:$C$1048576,3,FALSE),VLOOKUP(C1195,BAPs!$A$2:$C$1048576,2,FALSE))</f>
        <v>8 out of 10</v>
      </c>
    </row>
    <row r="1196" spans="1:12" hidden="1">
      <c r="A1196" s="19" t="s">
        <v>3939</v>
      </c>
      <c r="B1196" s="19" t="s">
        <v>3162</v>
      </c>
      <c r="C1196" s="19" t="s">
        <v>3982</v>
      </c>
      <c r="D1196" s="19" t="s">
        <v>3544</v>
      </c>
      <c r="E1196" s="19" t="s">
        <v>3545</v>
      </c>
      <c r="F1196" s="19" t="e">
        <f>MATCH(E1196,#REF!,0)</f>
        <v>#REF!</v>
      </c>
      <c r="G1196" s="19" t="s">
        <v>3546</v>
      </c>
      <c r="H1196" s="19" t="s">
        <v>24</v>
      </c>
      <c r="I1196" s="19" t="s">
        <v>18</v>
      </c>
      <c r="J1196" s="19" t="s">
        <v>3983</v>
      </c>
      <c r="K1196" s="19" t="s">
        <v>20</v>
      </c>
      <c r="L1196" s="3" t="str">
        <f>HYPERLINK(VLOOKUP(C1196,BAPs!$A$2:$C$1048576,3,FALSE),VLOOKUP(C1196,BAPs!$A$2:$C$1048576,2,FALSE))</f>
        <v>7 out of 10</v>
      </c>
    </row>
    <row r="1197" spans="1:12" hidden="1">
      <c r="A1197" s="19" t="s">
        <v>3939</v>
      </c>
      <c r="B1197" s="19" t="s">
        <v>3162</v>
      </c>
      <c r="C1197" s="19" t="s">
        <v>3982</v>
      </c>
      <c r="D1197" s="19" t="s">
        <v>3982</v>
      </c>
      <c r="E1197" s="19" t="s">
        <v>3984</v>
      </c>
      <c r="F1197" s="19" t="e">
        <f>MATCH(E1197,#REF!,0)</f>
        <v>#REF!</v>
      </c>
      <c r="G1197" s="19" t="s">
        <v>3985</v>
      </c>
      <c r="H1197" s="19" t="s">
        <v>24</v>
      </c>
      <c r="I1197" s="19" t="s">
        <v>18</v>
      </c>
      <c r="J1197" s="19" t="s">
        <v>3983</v>
      </c>
      <c r="K1197" s="19" t="s">
        <v>20</v>
      </c>
      <c r="L1197" s="3" t="str">
        <f>HYPERLINK(VLOOKUP(C1197,BAPs!$A$2:$C$1048576,3,FALSE),VLOOKUP(C1197,BAPs!$A$2:$C$1048576,2,FALSE))</f>
        <v>7 out of 10</v>
      </c>
    </row>
    <row r="1198" spans="1:12" hidden="1">
      <c r="A1198" s="19" t="s">
        <v>3939</v>
      </c>
      <c r="B1198" s="19" t="s">
        <v>3162</v>
      </c>
      <c r="C1198" s="19" t="s">
        <v>3986</v>
      </c>
      <c r="D1198" s="19" t="s">
        <v>3986</v>
      </c>
      <c r="E1198" s="19" t="s">
        <v>3987</v>
      </c>
      <c r="F1198" s="19" t="e">
        <f>MATCH(E1198,#REF!,0)</f>
        <v>#REF!</v>
      </c>
      <c r="G1198" s="19" t="s">
        <v>3988</v>
      </c>
      <c r="H1198" s="19" t="s">
        <v>17</v>
      </c>
      <c r="I1198" s="19" t="s">
        <v>18</v>
      </c>
      <c r="J1198" s="19" t="s">
        <v>3989</v>
      </c>
      <c r="K1198" s="19" t="s">
        <v>62</v>
      </c>
      <c r="L1198" s="3" t="str">
        <f>HYPERLINK(VLOOKUP(C1198,BAPs!$A$2:$C$1048576,3,FALSE),VLOOKUP(C1198,BAPs!$A$2:$C$1048576,2,FALSE))</f>
        <v>9 out of 10</v>
      </c>
    </row>
    <row r="1199" spans="1:12" hidden="1">
      <c r="A1199" s="19" t="s">
        <v>3939</v>
      </c>
      <c r="B1199" s="19" t="s">
        <v>3162</v>
      </c>
      <c r="C1199" s="19" t="s">
        <v>3990</v>
      </c>
      <c r="D1199" s="19" t="s">
        <v>3990</v>
      </c>
      <c r="E1199" s="19" t="s">
        <v>3991</v>
      </c>
      <c r="F1199" s="19" t="e">
        <f>MATCH(E1199,#REF!,0)</f>
        <v>#REF!</v>
      </c>
      <c r="G1199" s="19" t="s">
        <v>3992</v>
      </c>
      <c r="H1199" s="19" t="s">
        <v>17</v>
      </c>
      <c r="I1199" s="19" t="s">
        <v>18</v>
      </c>
      <c r="J1199" s="19" t="s">
        <v>3993</v>
      </c>
      <c r="K1199" s="19" t="s">
        <v>20</v>
      </c>
      <c r="L1199" s="3" t="str">
        <f>HYPERLINK(VLOOKUP(C1199,BAPs!$A$2:$C$1048576,3,FALSE),VLOOKUP(C1199,BAPs!$A$2:$C$1048576,2,FALSE))</f>
        <v>6 out of 10</v>
      </c>
    </row>
    <row r="1200" spans="1:12" hidden="1">
      <c r="A1200" s="19" t="s">
        <v>3939</v>
      </c>
      <c r="B1200" s="19" t="s">
        <v>3162</v>
      </c>
      <c r="C1200" s="19" t="s">
        <v>3994</v>
      </c>
      <c r="D1200" s="19" t="s">
        <v>3994</v>
      </c>
      <c r="E1200" s="19" t="s">
        <v>3995</v>
      </c>
      <c r="F1200" s="19" t="e">
        <f>MATCH(E1200,#REF!,0)</f>
        <v>#REF!</v>
      </c>
      <c r="G1200" s="19" t="s">
        <v>3996</v>
      </c>
      <c r="H1200" s="19" t="s">
        <v>17</v>
      </c>
      <c r="I1200" s="19" t="s">
        <v>18</v>
      </c>
      <c r="J1200" s="19" t="s">
        <v>3997</v>
      </c>
      <c r="K1200" s="19" t="s">
        <v>20</v>
      </c>
      <c r="L1200" s="3" t="str">
        <f>HYPERLINK(VLOOKUP(C1200,BAPs!$A$2:$C$1048576,3,FALSE),VLOOKUP(C1200,BAPs!$A$2:$C$1048576,2,FALSE))</f>
        <v>8 out of 10</v>
      </c>
    </row>
    <row r="1201" spans="1:12" hidden="1">
      <c r="A1201" s="19" t="s">
        <v>3939</v>
      </c>
      <c r="B1201" s="19" t="s">
        <v>3162</v>
      </c>
      <c r="C1201" s="19" t="s">
        <v>3998</v>
      </c>
      <c r="D1201" s="19" t="s">
        <v>3167</v>
      </c>
      <c r="E1201" s="19" t="s">
        <v>3168</v>
      </c>
      <c r="F1201" s="19" t="e">
        <f>MATCH(E1201,#REF!,0)</f>
        <v>#REF!</v>
      </c>
      <c r="G1201" s="19" t="s">
        <v>3169</v>
      </c>
      <c r="H1201" s="19" t="s">
        <v>24</v>
      </c>
      <c r="I1201" s="19"/>
      <c r="J1201" s="19" t="s">
        <v>3999</v>
      </c>
      <c r="K1201" s="19" t="s">
        <v>62</v>
      </c>
      <c r="L1201" s="3" t="str">
        <f>HYPERLINK(VLOOKUP(C1201,BAPs!$A$2:$C$1048576,3,FALSE),VLOOKUP(C1201,BAPs!$A$2:$C$1048576,2,FALSE))</f>
        <v>9 out of 10</v>
      </c>
    </row>
    <row r="1202" spans="1:12" hidden="1">
      <c r="A1202" s="19" t="s">
        <v>3939</v>
      </c>
      <c r="B1202" s="19" t="s">
        <v>3162</v>
      </c>
      <c r="C1202" s="19" t="s">
        <v>3998</v>
      </c>
      <c r="D1202" s="19" t="s">
        <v>3998</v>
      </c>
      <c r="E1202" s="19" t="s">
        <v>4000</v>
      </c>
      <c r="F1202" s="19" t="e">
        <f>MATCH(E1202,#REF!,0)</f>
        <v>#REF!</v>
      </c>
      <c r="G1202" s="19" t="s">
        <v>4001</v>
      </c>
      <c r="H1202" s="19" t="s">
        <v>52</v>
      </c>
      <c r="I1202" s="19"/>
      <c r="J1202" s="19" t="s">
        <v>3999</v>
      </c>
      <c r="K1202" s="19" t="s">
        <v>62</v>
      </c>
      <c r="L1202" s="3" t="str">
        <f>HYPERLINK(VLOOKUP(C1202,BAPs!$A$2:$C$1048576,3,FALSE),VLOOKUP(C1202,BAPs!$A$2:$C$1048576,2,FALSE))</f>
        <v>9 out of 10</v>
      </c>
    </row>
    <row r="1203" spans="1:12" hidden="1">
      <c r="A1203" s="19" t="s">
        <v>3939</v>
      </c>
      <c r="B1203" s="19" t="s">
        <v>3162</v>
      </c>
      <c r="C1203" s="19" t="s">
        <v>4002</v>
      </c>
      <c r="D1203" s="19" t="s">
        <v>4002</v>
      </c>
      <c r="E1203" s="19" t="s">
        <v>4003</v>
      </c>
      <c r="F1203" s="19" t="e">
        <f>MATCH(E1203,#REF!,0)</f>
        <v>#REF!</v>
      </c>
      <c r="G1203" s="19" t="s">
        <v>4004</v>
      </c>
      <c r="H1203" s="19" t="s">
        <v>17</v>
      </c>
      <c r="I1203" s="19" t="s">
        <v>18</v>
      </c>
      <c r="J1203" s="19" t="s">
        <v>4005</v>
      </c>
      <c r="K1203" s="19" t="s">
        <v>20</v>
      </c>
      <c r="L1203" s="3" t="str">
        <f>HYPERLINK(VLOOKUP(C1203,BAPs!$A$2:$C$1048576,3,FALSE),VLOOKUP(C1203,BAPs!$A$2:$C$1048576,2,FALSE))</f>
        <v>1 out of 10</v>
      </c>
    </row>
    <row r="1204" spans="1:12" hidden="1">
      <c r="A1204" s="19" t="s">
        <v>3939</v>
      </c>
      <c r="B1204" s="19" t="s">
        <v>3162</v>
      </c>
      <c r="C1204" s="19" t="s">
        <v>4006</v>
      </c>
      <c r="D1204" s="19" t="s">
        <v>3539</v>
      </c>
      <c r="E1204" s="19" t="s">
        <v>3540</v>
      </c>
      <c r="F1204" s="19" t="e">
        <f>MATCH(E1204,#REF!,0)</f>
        <v>#REF!</v>
      </c>
      <c r="G1204" s="19" t="s">
        <v>3541</v>
      </c>
      <c r="H1204" s="19" t="s">
        <v>43</v>
      </c>
      <c r="I1204" s="19"/>
      <c r="J1204" s="19" t="s">
        <v>4007</v>
      </c>
      <c r="K1204" s="19" t="s">
        <v>62</v>
      </c>
      <c r="L1204" s="3" t="str">
        <f>HYPERLINK(VLOOKUP(C1204,BAPs!$A$2:$C$1048576,3,FALSE),VLOOKUP(C1204,BAPs!$A$2:$C$1048576,2,FALSE))</f>
        <v>10 out of 10</v>
      </c>
    </row>
    <row r="1205" spans="1:12" hidden="1">
      <c r="A1205" s="19" t="s">
        <v>3939</v>
      </c>
      <c r="B1205" s="19" t="s">
        <v>3162</v>
      </c>
      <c r="C1205" s="19" t="s">
        <v>4006</v>
      </c>
      <c r="D1205" s="19" t="s">
        <v>4008</v>
      </c>
      <c r="E1205" s="19" t="s">
        <v>4009</v>
      </c>
      <c r="F1205" s="19" t="e">
        <f>MATCH(E1205,#REF!,0)</f>
        <v>#REF!</v>
      </c>
      <c r="G1205" s="19" t="s">
        <v>4010</v>
      </c>
      <c r="H1205" s="19" t="s">
        <v>24</v>
      </c>
      <c r="I1205" s="19" t="s">
        <v>18</v>
      </c>
      <c r="J1205" s="19" t="s">
        <v>4007</v>
      </c>
      <c r="K1205" s="19" t="s">
        <v>62</v>
      </c>
      <c r="L1205" s="3" t="str">
        <f>HYPERLINK(VLOOKUP(C1205,BAPs!$A$2:$C$1048576,3,FALSE),VLOOKUP(C1205,BAPs!$A$2:$C$1048576,2,FALSE))</f>
        <v>10 out of 10</v>
      </c>
    </row>
    <row r="1206" spans="1:12" hidden="1">
      <c r="A1206" s="19" t="s">
        <v>3939</v>
      </c>
      <c r="B1206" s="19" t="s">
        <v>3162</v>
      </c>
      <c r="C1206" s="19" t="s">
        <v>4011</v>
      </c>
      <c r="D1206" s="19" t="s">
        <v>3167</v>
      </c>
      <c r="E1206" s="19" t="s">
        <v>3168</v>
      </c>
      <c r="F1206" s="19" t="e">
        <f>MATCH(E1206,#REF!,0)</f>
        <v>#REF!</v>
      </c>
      <c r="G1206" s="19" t="s">
        <v>3169</v>
      </c>
      <c r="H1206" s="19" t="s">
        <v>24</v>
      </c>
      <c r="I1206" s="19"/>
      <c r="J1206" s="19" t="s">
        <v>4012</v>
      </c>
      <c r="K1206" s="19" t="s">
        <v>62</v>
      </c>
      <c r="L1206" s="3" t="str">
        <f>HYPERLINK(VLOOKUP(C1206,BAPs!$A$2:$C$1048576,3,FALSE),VLOOKUP(C1206,BAPs!$A$2:$C$1048576,2,FALSE))</f>
        <v>10 out of 10</v>
      </c>
    </row>
    <row r="1207" spans="1:12" hidden="1">
      <c r="A1207" s="19" t="s">
        <v>3939</v>
      </c>
      <c r="B1207" s="19" t="s">
        <v>3162</v>
      </c>
      <c r="C1207" s="19" t="s">
        <v>4011</v>
      </c>
      <c r="D1207" s="19" t="s">
        <v>4011</v>
      </c>
      <c r="E1207" s="19" t="s">
        <v>4013</v>
      </c>
      <c r="F1207" s="19" t="e">
        <f>MATCH(E1207,#REF!,0)</f>
        <v>#REF!</v>
      </c>
      <c r="G1207" s="19" t="s">
        <v>4014</v>
      </c>
      <c r="H1207" s="19" t="s">
        <v>24</v>
      </c>
      <c r="I1207" s="19"/>
      <c r="J1207" s="19" t="s">
        <v>4012</v>
      </c>
      <c r="K1207" s="19" t="s">
        <v>62</v>
      </c>
      <c r="L1207" s="3" t="str">
        <f>HYPERLINK(VLOOKUP(C1207,BAPs!$A$2:$C$1048576,3,FALSE),VLOOKUP(C1207,BAPs!$A$2:$C$1048576,2,FALSE))</f>
        <v>10 out of 10</v>
      </c>
    </row>
    <row r="1208" spans="1:12" hidden="1">
      <c r="A1208" s="19" t="s">
        <v>3939</v>
      </c>
      <c r="B1208" s="19" t="s">
        <v>3162</v>
      </c>
      <c r="C1208" s="19" t="s">
        <v>4015</v>
      </c>
      <c r="D1208" s="19" t="s">
        <v>3544</v>
      </c>
      <c r="E1208" s="19" t="s">
        <v>3545</v>
      </c>
      <c r="F1208" s="19" t="e">
        <f>MATCH(E1208,#REF!,0)</f>
        <v>#REF!</v>
      </c>
      <c r="G1208" s="19" t="s">
        <v>3546</v>
      </c>
      <c r="H1208" s="19" t="s">
        <v>24</v>
      </c>
      <c r="I1208" s="19" t="s">
        <v>18</v>
      </c>
      <c r="J1208" s="19" t="s">
        <v>4016</v>
      </c>
      <c r="K1208" s="19" t="s">
        <v>62</v>
      </c>
      <c r="L1208" s="3" t="str">
        <f>HYPERLINK(VLOOKUP(C1208,BAPs!$A$2:$C$1048576,3,FALSE),VLOOKUP(C1208,BAPs!$A$2:$C$1048576,2,FALSE))</f>
        <v>10 out of 10</v>
      </c>
    </row>
    <row r="1209" spans="1:12" hidden="1">
      <c r="A1209" s="19" t="s">
        <v>3939</v>
      </c>
      <c r="B1209" s="19" t="s">
        <v>3162</v>
      </c>
      <c r="C1209" s="19" t="s">
        <v>4015</v>
      </c>
      <c r="D1209" s="19" t="s">
        <v>4015</v>
      </c>
      <c r="E1209" s="19" t="s">
        <v>4017</v>
      </c>
      <c r="F1209" s="19" t="e">
        <f>MATCH(E1209,#REF!,0)</f>
        <v>#REF!</v>
      </c>
      <c r="G1209" s="19" t="s">
        <v>4018</v>
      </c>
      <c r="H1209" s="19" t="s">
        <v>24</v>
      </c>
      <c r="I1209" s="19" t="s">
        <v>18</v>
      </c>
      <c r="J1209" s="19" t="s">
        <v>4016</v>
      </c>
      <c r="K1209" s="19" t="s">
        <v>62</v>
      </c>
      <c r="L1209" s="3" t="str">
        <f>HYPERLINK(VLOOKUP(C1209,BAPs!$A$2:$C$1048576,3,FALSE),VLOOKUP(C1209,BAPs!$A$2:$C$1048576,2,FALSE))</f>
        <v>10 out of 10</v>
      </c>
    </row>
    <row r="1210" spans="1:12" hidden="1">
      <c r="A1210" s="19" t="s">
        <v>3939</v>
      </c>
      <c r="B1210" s="19" t="s">
        <v>3162</v>
      </c>
      <c r="C1210" s="19" t="s">
        <v>4019</v>
      </c>
      <c r="D1210" s="19" t="s">
        <v>4020</v>
      </c>
      <c r="E1210" s="19" t="s">
        <v>4021</v>
      </c>
      <c r="F1210" s="19" t="e">
        <f>MATCH(E1210,#REF!,0)</f>
        <v>#REF!</v>
      </c>
      <c r="G1210" s="19" t="s">
        <v>4022</v>
      </c>
      <c r="H1210" s="19" t="s">
        <v>56</v>
      </c>
      <c r="I1210" s="19"/>
      <c r="J1210" s="19" t="s">
        <v>4023</v>
      </c>
      <c r="K1210" s="19" t="s">
        <v>20</v>
      </c>
      <c r="L1210" s="3" t="str">
        <f>HYPERLINK(VLOOKUP(C1210,BAPs!$A$2:$C$1048576,3,FALSE),VLOOKUP(C1210,BAPs!$A$2:$C$1048576,2,FALSE))</f>
        <v>8 out of 10</v>
      </c>
    </row>
    <row r="1211" spans="1:12" hidden="1">
      <c r="A1211" s="19" t="s">
        <v>3939</v>
      </c>
      <c r="B1211" s="19" t="s">
        <v>3162</v>
      </c>
      <c r="C1211" s="19" t="s">
        <v>4019</v>
      </c>
      <c r="D1211" s="19" t="s">
        <v>4024</v>
      </c>
      <c r="E1211" s="19" t="s">
        <v>4025</v>
      </c>
      <c r="F1211" s="19" t="e">
        <f>MATCH(E1211,#REF!,0)</f>
        <v>#REF!</v>
      </c>
      <c r="G1211" s="19" t="s">
        <v>4026</v>
      </c>
      <c r="H1211" s="19" t="s">
        <v>56</v>
      </c>
      <c r="I1211" s="19"/>
      <c r="J1211" s="19" t="s">
        <v>4023</v>
      </c>
      <c r="K1211" s="19" t="s">
        <v>20</v>
      </c>
      <c r="L1211" s="3" t="str">
        <f>HYPERLINK(VLOOKUP(C1211,BAPs!$A$2:$C$1048576,3,FALSE),VLOOKUP(C1211,BAPs!$A$2:$C$1048576,2,FALSE))</f>
        <v>8 out of 10</v>
      </c>
    </row>
    <row r="1212" spans="1:12" hidden="1">
      <c r="A1212" s="19" t="s">
        <v>3939</v>
      </c>
      <c r="B1212" s="19" t="s">
        <v>3162</v>
      </c>
      <c r="C1212" s="19" t="s">
        <v>4019</v>
      </c>
      <c r="D1212" s="19" t="s">
        <v>4027</v>
      </c>
      <c r="E1212" s="19" t="s">
        <v>4028</v>
      </c>
      <c r="F1212" s="19" t="e">
        <f>MATCH(E1212,#REF!,0)</f>
        <v>#REF!</v>
      </c>
      <c r="G1212" s="19" t="s">
        <v>4029</v>
      </c>
      <c r="H1212" s="19" t="s">
        <v>56</v>
      </c>
      <c r="I1212" s="19"/>
      <c r="J1212" s="19" t="s">
        <v>4023</v>
      </c>
      <c r="K1212" s="19" t="s">
        <v>20</v>
      </c>
      <c r="L1212" s="3" t="str">
        <f>HYPERLINK(VLOOKUP(C1212,BAPs!$A$2:$C$1048576,3,FALSE),VLOOKUP(C1212,BAPs!$A$2:$C$1048576,2,FALSE))</f>
        <v>8 out of 10</v>
      </c>
    </row>
    <row r="1213" spans="1:12" hidden="1">
      <c r="A1213" s="19" t="s">
        <v>3939</v>
      </c>
      <c r="B1213" s="19" t="s">
        <v>3162</v>
      </c>
      <c r="C1213" s="19" t="s">
        <v>4019</v>
      </c>
      <c r="D1213" s="19" t="s">
        <v>4030</v>
      </c>
      <c r="E1213" s="19" t="s">
        <v>4031</v>
      </c>
      <c r="F1213" s="19" t="e">
        <f>MATCH(E1213,#REF!,0)</f>
        <v>#REF!</v>
      </c>
      <c r="G1213" s="19" t="s">
        <v>4032</v>
      </c>
      <c r="H1213" s="19" t="s">
        <v>84</v>
      </c>
      <c r="I1213" s="19"/>
      <c r="J1213" s="19" t="s">
        <v>4023</v>
      </c>
      <c r="K1213" s="19" t="s">
        <v>20</v>
      </c>
      <c r="L1213" s="3" t="str">
        <f>HYPERLINK(VLOOKUP(C1213,BAPs!$A$2:$C$1048576,3,FALSE),VLOOKUP(C1213,BAPs!$A$2:$C$1048576,2,FALSE))</f>
        <v>8 out of 10</v>
      </c>
    </row>
    <row r="1214" spans="1:12" hidden="1">
      <c r="A1214" s="19" t="s">
        <v>3939</v>
      </c>
      <c r="B1214" s="19" t="s">
        <v>3162</v>
      </c>
      <c r="C1214" s="19" t="s">
        <v>4033</v>
      </c>
      <c r="D1214" s="19" t="s">
        <v>4034</v>
      </c>
      <c r="E1214" s="19" t="s">
        <v>4035</v>
      </c>
      <c r="F1214" s="19" t="e">
        <f>MATCH(E1214,#REF!,0)</f>
        <v>#REF!</v>
      </c>
      <c r="G1214" s="19" t="s">
        <v>4036</v>
      </c>
      <c r="H1214" s="19" t="s">
        <v>56</v>
      </c>
      <c r="I1214" s="19"/>
      <c r="J1214" s="19" t="s">
        <v>4037</v>
      </c>
      <c r="K1214" s="19" t="s">
        <v>62</v>
      </c>
      <c r="L1214" s="3" t="str">
        <f>HYPERLINK(VLOOKUP(C1214,BAPs!$A$2:$C$1048576,3,FALSE),VLOOKUP(C1214,BAPs!$A$2:$C$1048576,2,FALSE))</f>
        <v>9 out of 10</v>
      </c>
    </row>
    <row r="1215" spans="1:12" hidden="1">
      <c r="A1215" s="19" t="s">
        <v>3939</v>
      </c>
      <c r="B1215" s="19" t="s">
        <v>3162</v>
      </c>
      <c r="C1215" s="19" t="s">
        <v>4033</v>
      </c>
      <c r="D1215" s="19" t="s">
        <v>3316</v>
      </c>
      <c r="E1215" s="19" t="s">
        <v>4038</v>
      </c>
      <c r="F1215" s="19" t="e">
        <f>MATCH(E1215,#REF!,0)</f>
        <v>#REF!</v>
      </c>
      <c r="G1215" s="19" t="s">
        <v>4039</v>
      </c>
      <c r="H1215" s="19" t="s">
        <v>56</v>
      </c>
      <c r="I1215" s="19"/>
      <c r="J1215" s="19" t="s">
        <v>4037</v>
      </c>
      <c r="K1215" s="19" t="s">
        <v>62</v>
      </c>
      <c r="L1215" s="3" t="str">
        <f>HYPERLINK(VLOOKUP(C1215,BAPs!$A$2:$C$1048576,3,FALSE),VLOOKUP(C1215,BAPs!$A$2:$C$1048576,2,FALSE))</f>
        <v>9 out of 10</v>
      </c>
    </row>
    <row r="1216" spans="1:12" hidden="1">
      <c r="A1216" s="19" t="s">
        <v>3939</v>
      </c>
      <c r="B1216" s="19" t="s">
        <v>3162</v>
      </c>
      <c r="C1216" s="19" t="s">
        <v>4033</v>
      </c>
      <c r="D1216" s="19" t="s">
        <v>4040</v>
      </c>
      <c r="E1216" s="19" t="s">
        <v>4041</v>
      </c>
      <c r="F1216" s="19" t="e">
        <f>MATCH(E1216,#REF!,0)</f>
        <v>#REF!</v>
      </c>
      <c r="G1216" s="19" t="s">
        <v>4042</v>
      </c>
      <c r="H1216" s="19" t="s">
        <v>56</v>
      </c>
      <c r="I1216" s="19"/>
      <c r="J1216" s="19" t="s">
        <v>4037</v>
      </c>
      <c r="K1216" s="19" t="s">
        <v>62</v>
      </c>
      <c r="L1216" s="3" t="str">
        <f>HYPERLINK(VLOOKUP(C1216,BAPs!$A$2:$C$1048576,3,FALSE),VLOOKUP(C1216,BAPs!$A$2:$C$1048576,2,FALSE))</f>
        <v>9 out of 10</v>
      </c>
    </row>
    <row r="1217" spans="1:12" hidden="1">
      <c r="A1217" s="19" t="s">
        <v>3939</v>
      </c>
      <c r="B1217" s="19" t="s">
        <v>3162</v>
      </c>
      <c r="C1217" s="19" t="s">
        <v>4033</v>
      </c>
      <c r="D1217" s="19" t="s">
        <v>4043</v>
      </c>
      <c r="E1217" s="19" t="s">
        <v>4044</v>
      </c>
      <c r="F1217" s="19" t="e">
        <f>MATCH(E1217,#REF!,0)</f>
        <v>#REF!</v>
      </c>
      <c r="G1217" s="19" t="s">
        <v>4045</v>
      </c>
      <c r="H1217" s="19" t="s">
        <v>56</v>
      </c>
      <c r="I1217" s="19"/>
      <c r="J1217" s="19" t="s">
        <v>4037</v>
      </c>
      <c r="K1217" s="19" t="s">
        <v>62</v>
      </c>
      <c r="L1217" s="3" t="str">
        <f>HYPERLINK(VLOOKUP(C1217,BAPs!$A$2:$C$1048576,3,FALSE),VLOOKUP(C1217,BAPs!$A$2:$C$1048576,2,FALSE))</f>
        <v>9 out of 10</v>
      </c>
    </row>
    <row r="1218" spans="1:12" hidden="1">
      <c r="A1218" s="19" t="s">
        <v>3939</v>
      </c>
      <c r="B1218" s="19" t="s">
        <v>3162</v>
      </c>
      <c r="C1218" s="19" t="s">
        <v>4046</v>
      </c>
      <c r="D1218" s="19" t="s">
        <v>4047</v>
      </c>
      <c r="E1218" s="19" t="s">
        <v>4048</v>
      </c>
      <c r="F1218" s="19" t="e">
        <f>MATCH(E1218,#REF!,0)</f>
        <v>#REF!</v>
      </c>
      <c r="G1218" s="19" t="s">
        <v>4049</v>
      </c>
      <c r="H1218" s="19" t="s">
        <v>84</v>
      </c>
      <c r="I1218" s="19"/>
      <c r="J1218" s="19" t="s">
        <v>4050</v>
      </c>
      <c r="K1218" s="19" t="s">
        <v>20</v>
      </c>
      <c r="L1218" s="3" t="str">
        <f>HYPERLINK(VLOOKUP(C1218,BAPs!$A$2:$C$1048576,3,FALSE),VLOOKUP(C1218,BAPs!$A$2:$C$1048576,2,FALSE))</f>
        <v>1 out of 10</v>
      </c>
    </row>
    <row r="1219" spans="1:12" hidden="1">
      <c r="A1219" s="19" t="s">
        <v>4051</v>
      </c>
      <c r="B1219" s="19" t="s">
        <v>3162</v>
      </c>
      <c r="C1219" s="19" t="s">
        <v>4052</v>
      </c>
      <c r="D1219" s="19" t="s">
        <v>4052</v>
      </c>
      <c r="E1219" s="19" t="s">
        <v>4053</v>
      </c>
      <c r="F1219" s="19" t="e">
        <f>MATCH(E1219,#REF!,0)</f>
        <v>#REF!</v>
      </c>
      <c r="G1219" s="19" t="s">
        <v>4054</v>
      </c>
      <c r="H1219" s="19" t="s">
        <v>17</v>
      </c>
      <c r="I1219" s="19" t="s">
        <v>18</v>
      </c>
      <c r="J1219" s="19" t="s">
        <v>4055</v>
      </c>
      <c r="K1219" s="19" t="s">
        <v>62</v>
      </c>
      <c r="L1219" s="3" t="str">
        <f>HYPERLINK(VLOOKUP(C1219,BAPs!$A$2:$C$1048576,3,FALSE),VLOOKUP(C1219,BAPs!$A$2:$C$1048576,2,FALSE))</f>
        <v>9 out of 10</v>
      </c>
    </row>
    <row r="1220" spans="1:12" hidden="1">
      <c r="A1220" s="19" t="s">
        <v>4051</v>
      </c>
      <c r="B1220" s="19" t="s">
        <v>3162</v>
      </c>
      <c r="C1220" s="19" t="s">
        <v>4056</v>
      </c>
      <c r="D1220" s="19" t="s">
        <v>4056</v>
      </c>
      <c r="E1220" s="19" t="s">
        <v>4057</v>
      </c>
      <c r="F1220" s="19" t="e">
        <f>MATCH(E1220,#REF!,0)</f>
        <v>#REF!</v>
      </c>
      <c r="G1220" s="19" t="s">
        <v>4058</v>
      </c>
      <c r="H1220" s="19" t="s">
        <v>52</v>
      </c>
      <c r="I1220" s="19"/>
      <c r="J1220" s="19" t="s">
        <v>4059</v>
      </c>
      <c r="K1220" s="19" t="s">
        <v>20</v>
      </c>
      <c r="L1220" s="3" t="str">
        <f>HYPERLINK(VLOOKUP(C1220,BAPs!$A$2:$C$1048576,3,FALSE),VLOOKUP(C1220,BAPs!$A$2:$C$1048576,2,FALSE))</f>
        <v>3 out of 10</v>
      </c>
    </row>
    <row r="1221" spans="1:12" hidden="1">
      <c r="A1221" s="19" t="s">
        <v>4051</v>
      </c>
      <c r="B1221" s="19" t="s">
        <v>3162</v>
      </c>
      <c r="C1221" s="19" t="s">
        <v>4060</v>
      </c>
      <c r="D1221" s="19" t="s">
        <v>4060</v>
      </c>
      <c r="E1221" s="19" t="s">
        <v>4061</v>
      </c>
      <c r="F1221" s="19" t="e">
        <f>MATCH(E1221,#REF!,0)</f>
        <v>#REF!</v>
      </c>
      <c r="G1221" s="19" t="s">
        <v>4062</v>
      </c>
      <c r="H1221" s="19" t="s">
        <v>17</v>
      </c>
      <c r="I1221" s="19" t="s">
        <v>18</v>
      </c>
      <c r="J1221" s="19" t="s">
        <v>4063</v>
      </c>
      <c r="K1221" s="19" t="s">
        <v>62</v>
      </c>
      <c r="L1221" s="3" t="str">
        <f>HYPERLINK(VLOOKUP(C1221,BAPs!$A$2:$C$1048576,3,FALSE),VLOOKUP(C1221,BAPs!$A$2:$C$1048576,2,FALSE))</f>
        <v>10 out of 10</v>
      </c>
    </row>
    <row r="1222" spans="1:12" hidden="1">
      <c r="A1222" s="19" t="s">
        <v>4051</v>
      </c>
      <c r="B1222" s="19" t="s">
        <v>3162</v>
      </c>
      <c r="C1222" s="19" t="s">
        <v>4060</v>
      </c>
      <c r="D1222" s="19" t="s">
        <v>3174</v>
      </c>
      <c r="E1222" s="19" t="s">
        <v>3175</v>
      </c>
      <c r="F1222" s="19" t="e">
        <f>MATCH(E1222,#REF!,0)</f>
        <v>#REF!</v>
      </c>
      <c r="G1222" s="19" t="s">
        <v>3176</v>
      </c>
      <c r="H1222" s="19" t="s">
        <v>43</v>
      </c>
      <c r="I1222" s="19"/>
      <c r="J1222" s="19" t="s">
        <v>4063</v>
      </c>
      <c r="K1222" s="19" t="s">
        <v>62</v>
      </c>
      <c r="L1222" s="3" t="str">
        <f>HYPERLINK(VLOOKUP(C1222,BAPs!$A$2:$C$1048576,3,FALSE),VLOOKUP(C1222,BAPs!$A$2:$C$1048576,2,FALSE))</f>
        <v>10 out of 10</v>
      </c>
    </row>
    <row r="1223" spans="1:12" hidden="1">
      <c r="A1223" s="19" t="s">
        <v>4051</v>
      </c>
      <c r="B1223" s="19" t="s">
        <v>3162</v>
      </c>
      <c r="C1223" s="19" t="s">
        <v>4064</v>
      </c>
      <c r="D1223" s="19" t="s">
        <v>4064</v>
      </c>
      <c r="E1223" s="19" t="s">
        <v>4065</v>
      </c>
      <c r="F1223" s="19" t="e">
        <f>MATCH(E1223,#REF!,0)</f>
        <v>#REF!</v>
      </c>
      <c r="G1223" s="19" t="s">
        <v>4066</v>
      </c>
      <c r="H1223" s="19" t="s">
        <v>17</v>
      </c>
      <c r="I1223" s="19" t="s">
        <v>18</v>
      </c>
      <c r="J1223" s="19" t="s">
        <v>4067</v>
      </c>
      <c r="K1223" s="19" t="s">
        <v>20</v>
      </c>
      <c r="L1223" s="3" t="str">
        <f>HYPERLINK(VLOOKUP(C1223,BAPs!$A$2:$C$1048576,3,FALSE),VLOOKUP(C1223,BAPs!$A$2:$C$1048576,2,FALSE))</f>
        <v>1 out of 10</v>
      </c>
    </row>
    <row r="1224" spans="1:12" hidden="1">
      <c r="A1224" s="19" t="s">
        <v>4051</v>
      </c>
      <c r="B1224" s="19" t="s">
        <v>3162</v>
      </c>
      <c r="C1224" s="19" t="s">
        <v>4064</v>
      </c>
      <c r="D1224" s="19" t="s">
        <v>4068</v>
      </c>
      <c r="E1224" s="19" t="s">
        <v>4069</v>
      </c>
      <c r="F1224" s="19" t="e">
        <f>MATCH(E1224,#REF!,0)</f>
        <v>#REF!</v>
      </c>
      <c r="G1224" s="19" t="s">
        <v>4070</v>
      </c>
      <c r="H1224" s="19" t="s">
        <v>24</v>
      </c>
      <c r="I1224" s="19"/>
      <c r="J1224" s="19" t="s">
        <v>4067</v>
      </c>
      <c r="K1224" s="19" t="s">
        <v>20</v>
      </c>
      <c r="L1224" s="3" t="str">
        <f>HYPERLINK(VLOOKUP(C1224,BAPs!$A$2:$C$1048576,3,FALSE),VLOOKUP(C1224,BAPs!$A$2:$C$1048576,2,FALSE))</f>
        <v>1 out of 10</v>
      </c>
    </row>
    <row r="1225" spans="1:12" hidden="1">
      <c r="A1225" s="19" t="s">
        <v>4051</v>
      </c>
      <c r="B1225" s="19" t="s">
        <v>3162</v>
      </c>
      <c r="C1225" s="19" t="s">
        <v>4071</v>
      </c>
      <c r="D1225" s="19" t="s">
        <v>4071</v>
      </c>
      <c r="E1225" s="19" t="s">
        <v>4072</v>
      </c>
      <c r="F1225" s="19" t="e">
        <f>MATCH(E1225,#REF!,0)</f>
        <v>#REF!</v>
      </c>
      <c r="G1225" s="19" t="s">
        <v>4073</v>
      </c>
      <c r="H1225" s="19" t="s">
        <v>17</v>
      </c>
      <c r="I1225" s="19" t="s">
        <v>18</v>
      </c>
      <c r="J1225" s="19" t="s">
        <v>4074</v>
      </c>
      <c r="K1225" s="19" t="s">
        <v>62</v>
      </c>
      <c r="L1225" s="3" t="str">
        <f>HYPERLINK(VLOOKUP(C1225,BAPs!$A$2:$C$1048576,3,FALSE),VLOOKUP(C1225,BAPs!$A$2:$C$1048576,2,FALSE))</f>
        <v>9 out of 10</v>
      </c>
    </row>
    <row r="1226" spans="1:12" hidden="1">
      <c r="A1226" s="19" t="s">
        <v>4051</v>
      </c>
      <c r="B1226" s="19" t="s">
        <v>3162</v>
      </c>
      <c r="C1226" s="19" t="s">
        <v>4075</v>
      </c>
      <c r="D1226" s="19" t="s">
        <v>3544</v>
      </c>
      <c r="E1226" s="19" t="s">
        <v>3545</v>
      </c>
      <c r="F1226" s="19" t="e">
        <f>MATCH(E1226,#REF!,0)</f>
        <v>#REF!</v>
      </c>
      <c r="G1226" s="19" t="s">
        <v>3546</v>
      </c>
      <c r="H1226" s="19" t="s">
        <v>24</v>
      </c>
      <c r="I1226" s="19" t="s">
        <v>18</v>
      </c>
      <c r="J1226" s="19" t="s">
        <v>4076</v>
      </c>
      <c r="K1226" s="19" t="s">
        <v>62</v>
      </c>
      <c r="L1226" s="3" t="str">
        <f>HYPERLINK(VLOOKUP(C1226,BAPs!$A$2:$C$1048576,3,FALSE),VLOOKUP(C1226,BAPs!$A$2:$C$1048576,2,FALSE))</f>
        <v>9 out of 10</v>
      </c>
    </row>
    <row r="1227" spans="1:12" hidden="1">
      <c r="A1227" s="19" t="s">
        <v>4051</v>
      </c>
      <c r="B1227" s="19" t="s">
        <v>3162</v>
      </c>
      <c r="C1227" s="19" t="s">
        <v>4075</v>
      </c>
      <c r="D1227" s="19" t="s">
        <v>4075</v>
      </c>
      <c r="E1227" s="19" t="s">
        <v>4077</v>
      </c>
      <c r="F1227" s="19" t="e">
        <f>MATCH(E1227,#REF!,0)</f>
        <v>#REF!</v>
      </c>
      <c r="G1227" s="19" t="s">
        <v>4078</v>
      </c>
      <c r="H1227" s="19" t="s">
        <v>17</v>
      </c>
      <c r="I1227" s="19" t="s">
        <v>18</v>
      </c>
      <c r="J1227" s="19" t="s">
        <v>4076</v>
      </c>
      <c r="K1227" s="19" t="s">
        <v>62</v>
      </c>
      <c r="L1227" s="3" t="str">
        <f>HYPERLINK(VLOOKUP(C1227,BAPs!$A$2:$C$1048576,3,FALSE),VLOOKUP(C1227,BAPs!$A$2:$C$1048576,2,FALSE))</f>
        <v>9 out of 10</v>
      </c>
    </row>
    <row r="1228" spans="1:12" hidden="1">
      <c r="A1228" s="19" t="s">
        <v>4051</v>
      </c>
      <c r="B1228" s="19" t="s">
        <v>3162</v>
      </c>
      <c r="C1228" s="19" t="s">
        <v>4079</v>
      </c>
      <c r="D1228" s="19" t="s">
        <v>4079</v>
      </c>
      <c r="E1228" s="19" t="s">
        <v>4080</v>
      </c>
      <c r="F1228" s="19" t="e">
        <f>MATCH(E1228,#REF!,0)</f>
        <v>#REF!</v>
      </c>
      <c r="G1228" s="19" t="s">
        <v>4081</v>
      </c>
      <c r="H1228" s="19" t="s">
        <v>17</v>
      </c>
      <c r="I1228" s="19" t="s">
        <v>18</v>
      </c>
      <c r="J1228" s="19" t="s">
        <v>4082</v>
      </c>
      <c r="K1228" s="19" t="s">
        <v>20</v>
      </c>
      <c r="L1228" s="3" t="str">
        <f>HYPERLINK(VLOOKUP(C1228,BAPs!$A$2:$C$1048576,3,FALSE),VLOOKUP(C1228,BAPs!$A$2:$C$1048576,2,FALSE))</f>
        <v>4 out of 10</v>
      </c>
    </row>
    <row r="1229" spans="1:12" hidden="1">
      <c r="A1229" s="19" t="s">
        <v>4051</v>
      </c>
      <c r="B1229" s="19" t="s">
        <v>3162</v>
      </c>
      <c r="C1229" s="19" t="s">
        <v>4079</v>
      </c>
      <c r="D1229" s="19" t="s">
        <v>3301</v>
      </c>
      <c r="E1229" s="19" t="s">
        <v>3302</v>
      </c>
      <c r="F1229" s="19" t="e">
        <f>MATCH(E1229,#REF!,0)</f>
        <v>#REF!</v>
      </c>
      <c r="G1229" s="19" t="s">
        <v>3303</v>
      </c>
      <c r="H1229" s="19" t="s">
        <v>43</v>
      </c>
      <c r="I1229" s="19"/>
      <c r="J1229" s="19" t="s">
        <v>4082</v>
      </c>
      <c r="K1229" s="19" t="s">
        <v>20</v>
      </c>
      <c r="L1229" s="3" t="str">
        <f>HYPERLINK(VLOOKUP(C1229,BAPs!$A$2:$C$1048576,3,FALSE),VLOOKUP(C1229,BAPs!$A$2:$C$1048576,2,FALSE))</f>
        <v>4 out of 10</v>
      </c>
    </row>
    <row r="1230" spans="1:12" hidden="1">
      <c r="A1230" s="19" t="s">
        <v>4051</v>
      </c>
      <c r="B1230" s="19" t="s">
        <v>3162</v>
      </c>
      <c r="C1230" s="19" t="s">
        <v>4083</v>
      </c>
      <c r="D1230" s="19" t="s">
        <v>4083</v>
      </c>
      <c r="E1230" s="19" t="s">
        <v>4084</v>
      </c>
      <c r="F1230" s="19" t="e">
        <f>MATCH(E1230,#REF!,0)</f>
        <v>#REF!</v>
      </c>
      <c r="G1230" s="19" t="s">
        <v>4085</v>
      </c>
      <c r="H1230" s="19" t="s">
        <v>17</v>
      </c>
      <c r="I1230" s="19" t="s">
        <v>18</v>
      </c>
      <c r="J1230" s="19" t="s">
        <v>4086</v>
      </c>
      <c r="K1230" s="19" t="s">
        <v>20</v>
      </c>
      <c r="L1230" s="3" t="str">
        <f>HYPERLINK(VLOOKUP(C1230,BAPs!$A$2:$C$1048576,3,FALSE),VLOOKUP(C1230,BAPs!$A$2:$C$1048576,2,FALSE))</f>
        <v>8 out of 10</v>
      </c>
    </row>
    <row r="1231" spans="1:12" hidden="1">
      <c r="A1231" s="19" t="s">
        <v>4051</v>
      </c>
      <c r="B1231" s="19" t="s">
        <v>3162</v>
      </c>
      <c r="C1231" s="19" t="s">
        <v>4087</v>
      </c>
      <c r="D1231" s="19" t="s">
        <v>4087</v>
      </c>
      <c r="E1231" s="19" t="s">
        <v>4088</v>
      </c>
      <c r="F1231" s="19" t="e">
        <f>MATCH(E1231,#REF!,0)</f>
        <v>#REF!</v>
      </c>
      <c r="G1231" s="19" t="s">
        <v>4089</v>
      </c>
      <c r="H1231" s="19" t="s">
        <v>52</v>
      </c>
      <c r="I1231" s="19"/>
      <c r="J1231" s="19" t="s">
        <v>4090</v>
      </c>
      <c r="K1231" s="19" t="s">
        <v>62</v>
      </c>
      <c r="L1231" s="3" t="str">
        <f>HYPERLINK(VLOOKUP(C1231,BAPs!$A$2:$C$1048576,3,FALSE),VLOOKUP(C1231,BAPs!$A$2:$C$1048576,2,FALSE))</f>
        <v>9 out of 10</v>
      </c>
    </row>
    <row r="1232" spans="1:12" hidden="1">
      <c r="A1232" s="19" t="s">
        <v>4051</v>
      </c>
      <c r="B1232" s="19" t="s">
        <v>3162</v>
      </c>
      <c r="C1232" s="19" t="s">
        <v>4091</v>
      </c>
      <c r="D1232" s="19" t="s">
        <v>4091</v>
      </c>
      <c r="E1232" s="19" t="s">
        <v>4092</v>
      </c>
      <c r="F1232" s="19" t="e">
        <f>MATCH(E1232,#REF!,0)</f>
        <v>#REF!</v>
      </c>
      <c r="G1232" s="19" t="s">
        <v>4093</v>
      </c>
      <c r="H1232" s="19" t="s">
        <v>17</v>
      </c>
      <c r="I1232" s="19" t="s">
        <v>18</v>
      </c>
      <c r="J1232" s="19" t="s">
        <v>4094</v>
      </c>
      <c r="K1232" s="19" t="s">
        <v>20</v>
      </c>
      <c r="L1232" s="3" t="str">
        <f>HYPERLINK(VLOOKUP(C1232,BAPs!$A$2:$C$1048576,3,FALSE),VLOOKUP(C1232,BAPs!$A$2:$C$1048576,2,FALSE))</f>
        <v>6 out of 10</v>
      </c>
    </row>
    <row r="1233" spans="1:12" hidden="1">
      <c r="A1233" s="19" t="s">
        <v>4051</v>
      </c>
      <c r="B1233" s="19" t="s">
        <v>3162</v>
      </c>
      <c r="C1233" s="19" t="s">
        <v>4095</v>
      </c>
      <c r="D1233" s="19" t="s">
        <v>4095</v>
      </c>
      <c r="E1233" s="19" t="s">
        <v>4096</v>
      </c>
      <c r="F1233" s="19" t="e">
        <f>MATCH(E1233,#REF!,0)</f>
        <v>#REF!</v>
      </c>
      <c r="G1233" s="19" t="s">
        <v>4097</v>
      </c>
      <c r="H1233" s="19" t="s">
        <v>17</v>
      </c>
      <c r="I1233" s="19" t="s">
        <v>18</v>
      </c>
      <c r="J1233" s="19" t="s">
        <v>4098</v>
      </c>
      <c r="K1233" s="19" t="s">
        <v>20</v>
      </c>
      <c r="L1233" s="3" t="str">
        <f>HYPERLINK(VLOOKUP(C1233,BAPs!$A$2:$C$1048576,3,FALSE),VLOOKUP(C1233,BAPs!$A$2:$C$1048576,2,FALSE))</f>
        <v>7 out of 10</v>
      </c>
    </row>
    <row r="1234" spans="1:12" hidden="1">
      <c r="A1234" s="19" t="s">
        <v>4051</v>
      </c>
      <c r="B1234" s="19" t="s">
        <v>3162</v>
      </c>
      <c r="C1234" s="19" t="s">
        <v>4099</v>
      </c>
      <c r="D1234" s="19" t="s">
        <v>4099</v>
      </c>
      <c r="E1234" s="19" t="s">
        <v>4100</v>
      </c>
      <c r="F1234" s="19" t="e">
        <f>MATCH(E1234,#REF!,0)</f>
        <v>#REF!</v>
      </c>
      <c r="G1234" s="19" t="s">
        <v>4101</v>
      </c>
      <c r="H1234" s="19" t="s">
        <v>17</v>
      </c>
      <c r="I1234" s="19" t="s">
        <v>18</v>
      </c>
      <c r="J1234" s="19" t="s">
        <v>4102</v>
      </c>
      <c r="K1234" s="19" t="s">
        <v>20</v>
      </c>
      <c r="L1234" s="3" t="str">
        <f>HYPERLINK(VLOOKUP(C1234,BAPs!$A$2:$C$1048576,3,FALSE),VLOOKUP(C1234,BAPs!$A$2:$C$1048576,2,FALSE))</f>
        <v>8 out of 10</v>
      </c>
    </row>
    <row r="1235" spans="1:12" hidden="1">
      <c r="A1235" s="19" t="s">
        <v>4051</v>
      </c>
      <c r="B1235" s="19" t="s">
        <v>3162</v>
      </c>
      <c r="C1235" s="19" t="s">
        <v>4103</v>
      </c>
      <c r="D1235" s="19" t="s">
        <v>4103</v>
      </c>
      <c r="E1235" s="19" t="s">
        <v>4104</v>
      </c>
      <c r="F1235" s="19" t="e">
        <f>MATCH(E1235,#REF!,0)</f>
        <v>#REF!</v>
      </c>
      <c r="G1235" s="19" t="s">
        <v>4105</v>
      </c>
      <c r="H1235" s="19" t="s">
        <v>17</v>
      </c>
      <c r="I1235" s="19" t="s">
        <v>18</v>
      </c>
      <c r="J1235" s="19" t="s">
        <v>4106</v>
      </c>
      <c r="K1235" s="19" t="s">
        <v>20</v>
      </c>
      <c r="L1235" s="3" t="str">
        <f>HYPERLINK(VLOOKUP(C1235,BAPs!$A$2:$C$1048576,3,FALSE),VLOOKUP(C1235,BAPs!$A$2:$C$1048576,2,FALSE))</f>
        <v>8 out of 10</v>
      </c>
    </row>
    <row r="1236" spans="1:12" hidden="1">
      <c r="A1236" s="19" t="s">
        <v>4051</v>
      </c>
      <c r="B1236" s="19" t="s">
        <v>3162</v>
      </c>
      <c r="C1236" s="19" t="s">
        <v>4107</v>
      </c>
      <c r="D1236" s="19" t="s">
        <v>4107</v>
      </c>
      <c r="E1236" s="19" t="s">
        <v>4108</v>
      </c>
      <c r="F1236" s="19" t="e">
        <f>MATCH(E1236,#REF!,0)</f>
        <v>#REF!</v>
      </c>
      <c r="G1236" s="19" t="s">
        <v>4109</v>
      </c>
      <c r="H1236" s="19" t="s">
        <v>17</v>
      </c>
      <c r="I1236" s="19" t="s">
        <v>18</v>
      </c>
      <c r="J1236" s="19" t="s">
        <v>4110</v>
      </c>
      <c r="K1236" s="19" t="s">
        <v>20</v>
      </c>
      <c r="L1236" s="3" t="str">
        <f>HYPERLINK(VLOOKUP(C1236,BAPs!$A$2:$C$1048576,3,FALSE),VLOOKUP(C1236,BAPs!$A$2:$C$1048576,2,FALSE))</f>
        <v>7 out of 10</v>
      </c>
    </row>
    <row r="1237" spans="1:12" hidden="1">
      <c r="A1237" s="19" t="s">
        <v>4051</v>
      </c>
      <c r="B1237" s="19" t="s">
        <v>3162</v>
      </c>
      <c r="C1237" s="19" t="s">
        <v>4111</v>
      </c>
      <c r="D1237" s="19" t="s">
        <v>4111</v>
      </c>
      <c r="E1237" s="19" t="s">
        <v>4112</v>
      </c>
      <c r="F1237" s="19" t="e">
        <f>MATCH(E1237,#REF!,0)</f>
        <v>#REF!</v>
      </c>
      <c r="G1237" s="19" t="s">
        <v>4113</v>
      </c>
      <c r="H1237" s="19" t="s">
        <v>17</v>
      </c>
      <c r="I1237" s="19" t="s">
        <v>18</v>
      </c>
      <c r="J1237" s="19" t="s">
        <v>4114</v>
      </c>
      <c r="K1237" s="19" t="s">
        <v>62</v>
      </c>
      <c r="L1237" s="3" t="str">
        <f>HYPERLINK(VLOOKUP(C1237,BAPs!$A$2:$C$1048576,3,FALSE),VLOOKUP(C1237,BAPs!$A$2:$C$1048576,2,FALSE))</f>
        <v>10 out of 10</v>
      </c>
    </row>
    <row r="1238" spans="1:12" hidden="1">
      <c r="A1238" s="19" t="s">
        <v>4051</v>
      </c>
      <c r="B1238" s="19" t="s">
        <v>3162</v>
      </c>
      <c r="C1238" s="19" t="s">
        <v>4115</v>
      </c>
      <c r="D1238" s="19" t="s">
        <v>4115</v>
      </c>
      <c r="E1238" s="19" t="s">
        <v>4116</v>
      </c>
      <c r="F1238" s="19" t="e">
        <f>MATCH(E1238,#REF!,0)</f>
        <v>#REF!</v>
      </c>
      <c r="G1238" s="19" t="s">
        <v>4117</v>
      </c>
      <c r="H1238" s="19" t="s">
        <v>553</v>
      </c>
      <c r="I1238" s="19" t="s">
        <v>18</v>
      </c>
      <c r="J1238" s="19" t="s">
        <v>4118</v>
      </c>
      <c r="K1238" s="19" t="s">
        <v>62</v>
      </c>
      <c r="L1238" s="3" t="str">
        <f>HYPERLINK(VLOOKUP(C1238,BAPs!$A$2:$C$1048576,3,FALSE),VLOOKUP(C1238,BAPs!$A$2:$C$1048576,2,FALSE))</f>
        <v>10 out of 10</v>
      </c>
    </row>
    <row r="1239" spans="1:12" hidden="1">
      <c r="A1239" s="19" t="s">
        <v>4051</v>
      </c>
      <c r="B1239" s="19" t="s">
        <v>3162</v>
      </c>
      <c r="C1239" s="19" t="s">
        <v>4119</v>
      </c>
      <c r="D1239" s="19" t="s">
        <v>4119</v>
      </c>
      <c r="E1239" s="19" t="s">
        <v>4120</v>
      </c>
      <c r="F1239" s="19" t="e">
        <f>MATCH(E1239,#REF!,0)</f>
        <v>#REF!</v>
      </c>
      <c r="G1239" s="19" t="s">
        <v>4121</v>
      </c>
      <c r="H1239" s="19" t="s">
        <v>52</v>
      </c>
      <c r="I1239" s="19"/>
      <c r="J1239" s="19" t="s">
        <v>4122</v>
      </c>
      <c r="K1239" s="19" t="s">
        <v>62</v>
      </c>
      <c r="L1239" s="3" t="str">
        <f>HYPERLINK(VLOOKUP(C1239,BAPs!$A$2:$C$1048576,3,FALSE),VLOOKUP(C1239,BAPs!$A$2:$C$1048576,2,FALSE))</f>
        <v>9 out of 10</v>
      </c>
    </row>
    <row r="1240" spans="1:12" hidden="1">
      <c r="A1240" s="19" t="s">
        <v>4051</v>
      </c>
      <c r="B1240" s="19" t="s">
        <v>3162</v>
      </c>
      <c r="C1240" s="19" t="s">
        <v>4119</v>
      </c>
      <c r="D1240" s="19" t="s">
        <v>3597</v>
      </c>
      <c r="E1240" s="19" t="s">
        <v>3598</v>
      </c>
      <c r="F1240" s="19" t="e">
        <f>MATCH(E1240,#REF!,0)</f>
        <v>#REF!</v>
      </c>
      <c r="G1240" s="19" t="s">
        <v>3599</v>
      </c>
      <c r="H1240" s="19" t="s">
        <v>43</v>
      </c>
      <c r="I1240" s="19"/>
      <c r="J1240" s="19" t="s">
        <v>4122</v>
      </c>
      <c r="K1240" s="19" t="s">
        <v>62</v>
      </c>
      <c r="L1240" s="3" t="str">
        <f>HYPERLINK(VLOOKUP(C1240,BAPs!$A$2:$C$1048576,3,FALSE),VLOOKUP(C1240,BAPs!$A$2:$C$1048576,2,FALSE))</f>
        <v>9 out of 10</v>
      </c>
    </row>
    <row r="1241" spans="1:12" hidden="1">
      <c r="A1241" s="19" t="s">
        <v>4051</v>
      </c>
      <c r="B1241" s="19" t="s">
        <v>3162</v>
      </c>
      <c r="C1241" s="19" t="s">
        <v>4123</v>
      </c>
      <c r="D1241" s="19" t="s">
        <v>4123</v>
      </c>
      <c r="E1241" s="19" t="s">
        <v>4124</v>
      </c>
      <c r="F1241" s="19" t="e">
        <f>MATCH(E1241,#REF!,0)</f>
        <v>#REF!</v>
      </c>
      <c r="G1241" s="19" t="s">
        <v>4125</v>
      </c>
      <c r="H1241" s="19" t="s">
        <v>553</v>
      </c>
      <c r="I1241" s="19" t="s">
        <v>18</v>
      </c>
      <c r="J1241" s="19" t="s">
        <v>4126</v>
      </c>
      <c r="K1241" s="19" t="s">
        <v>62</v>
      </c>
      <c r="L1241" s="3" t="str">
        <f>HYPERLINK(VLOOKUP(C1241,BAPs!$A$2:$C$1048576,3,FALSE),VLOOKUP(C1241,BAPs!$A$2:$C$1048576,2,FALSE))</f>
        <v>10 out of 10</v>
      </c>
    </row>
    <row r="1242" spans="1:12" hidden="1">
      <c r="A1242" s="19" t="s">
        <v>4051</v>
      </c>
      <c r="B1242" s="19" t="s">
        <v>3162</v>
      </c>
      <c r="C1242" s="19" t="s">
        <v>4127</v>
      </c>
      <c r="D1242" s="19" t="s">
        <v>4127</v>
      </c>
      <c r="E1242" s="19" t="s">
        <v>4128</v>
      </c>
      <c r="F1242" s="19" t="e">
        <f>MATCH(E1242,#REF!,0)</f>
        <v>#REF!</v>
      </c>
      <c r="G1242" s="19" t="s">
        <v>4129</v>
      </c>
      <c r="H1242" s="19" t="s">
        <v>52</v>
      </c>
      <c r="I1242" s="19"/>
      <c r="J1242" s="19" t="s">
        <v>4130</v>
      </c>
      <c r="K1242" s="19" t="s">
        <v>62</v>
      </c>
      <c r="L1242" s="3" t="str">
        <f>HYPERLINK(VLOOKUP(C1242,BAPs!$A$2:$C$1048576,3,FALSE),VLOOKUP(C1242,BAPs!$A$2:$C$1048576,2,FALSE))</f>
        <v>10 out of 10</v>
      </c>
    </row>
    <row r="1243" spans="1:12" hidden="1">
      <c r="A1243" s="19" t="s">
        <v>4051</v>
      </c>
      <c r="B1243" s="19" t="s">
        <v>3162</v>
      </c>
      <c r="C1243" s="19" t="s">
        <v>4131</v>
      </c>
      <c r="D1243" s="19" t="s">
        <v>4131</v>
      </c>
      <c r="E1243" s="19" t="s">
        <v>4132</v>
      </c>
      <c r="F1243" s="19" t="e">
        <f>MATCH(E1243,#REF!,0)</f>
        <v>#REF!</v>
      </c>
      <c r="G1243" s="19" t="s">
        <v>4133</v>
      </c>
      <c r="H1243" s="19" t="s">
        <v>17</v>
      </c>
      <c r="I1243" s="19" t="s">
        <v>18</v>
      </c>
      <c r="J1243" s="19" t="s">
        <v>4134</v>
      </c>
      <c r="K1243" s="19" t="s">
        <v>62</v>
      </c>
      <c r="L1243" s="3" t="str">
        <f>HYPERLINK(VLOOKUP(C1243,BAPs!$A$2:$C$1048576,3,FALSE),VLOOKUP(C1243,BAPs!$A$2:$C$1048576,2,FALSE))</f>
        <v>10 out of 10</v>
      </c>
    </row>
    <row r="1244" spans="1:12" hidden="1">
      <c r="A1244" s="19" t="s">
        <v>4051</v>
      </c>
      <c r="B1244" s="19" t="s">
        <v>3162</v>
      </c>
      <c r="C1244" s="19" t="s">
        <v>4131</v>
      </c>
      <c r="D1244" s="19" t="s">
        <v>4135</v>
      </c>
      <c r="E1244" s="19" t="s">
        <v>4136</v>
      </c>
      <c r="F1244" s="19" t="e">
        <f>MATCH(E1244,#REF!,0)</f>
        <v>#REF!</v>
      </c>
      <c r="G1244" s="19" t="s">
        <v>4137</v>
      </c>
      <c r="H1244" s="19" t="s">
        <v>52</v>
      </c>
      <c r="I1244" s="19"/>
      <c r="J1244" s="19" t="s">
        <v>4134</v>
      </c>
      <c r="K1244" s="19" t="s">
        <v>62</v>
      </c>
      <c r="L1244" s="3" t="str">
        <f>HYPERLINK(VLOOKUP(C1244,BAPs!$A$2:$C$1048576,3,FALSE),VLOOKUP(C1244,BAPs!$A$2:$C$1048576,2,FALSE))</f>
        <v>10 out of 10</v>
      </c>
    </row>
    <row r="1245" spans="1:12" hidden="1">
      <c r="A1245" s="19" t="s">
        <v>4051</v>
      </c>
      <c r="B1245" s="19" t="s">
        <v>3162</v>
      </c>
      <c r="C1245" s="19" t="s">
        <v>4138</v>
      </c>
      <c r="D1245" s="19" t="s">
        <v>4139</v>
      </c>
      <c r="E1245" s="19" t="s">
        <v>4140</v>
      </c>
      <c r="F1245" s="19" t="e">
        <f>MATCH(E1245,#REF!,0)</f>
        <v>#REF!</v>
      </c>
      <c r="G1245" s="19" t="s">
        <v>4141</v>
      </c>
      <c r="H1245" s="19" t="s">
        <v>17</v>
      </c>
      <c r="I1245" s="19" t="s">
        <v>18</v>
      </c>
      <c r="J1245" s="19" t="s">
        <v>4142</v>
      </c>
      <c r="K1245" s="19" t="s">
        <v>62</v>
      </c>
      <c r="L1245" s="3" t="str">
        <f>HYPERLINK(VLOOKUP(C1245,BAPs!$A$2:$C$1048576,3,FALSE),VLOOKUP(C1245,BAPs!$A$2:$C$1048576,2,FALSE))</f>
        <v>9 out of 10</v>
      </c>
    </row>
    <row r="1246" spans="1:12" hidden="1">
      <c r="A1246" s="19" t="s">
        <v>4051</v>
      </c>
      <c r="B1246" s="19" t="s">
        <v>3162</v>
      </c>
      <c r="C1246" s="19" t="s">
        <v>3963</v>
      </c>
      <c r="D1246" s="19" t="s">
        <v>3584</v>
      </c>
      <c r="E1246" s="19" t="s">
        <v>4143</v>
      </c>
      <c r="F1246" s="19" t="e">
        <f>MATCH(E1246,#REF!,0)</f>
        <v>#REF!</v>
      </c>
      <c r="G1246" s="19" t="s">
        <v>4144</v>
      </c>
      <c r="H1246" s="19" t="s">
        <v>17</v>
      </c>
      <c r="I1246" s="19" t="s">
        <v>18</v>
      </c>
      <c r="J1246" s="19" t="s">
        <v>4145</v>
      </c>
      <c r="K1246" s="19" t="s">
        <v>62</v>
      </c>
      <c r="L1246" s="3" t="str">
        <f>HYPERLINK(VLOOKUP(C1246,BAPs!$A$2:$C$1048576,3,FALSE),VLOOKUP(C1246,BAPs!$A$2:$C$1048576,2,FALSE))</f>
        <v>10 out of 10</v>
      </c>
    </row>
    <row r="1247" spans="1:12" hidden="1">
      <c r="A1247" s="19" t="s">
        <v>4051</v>
      </c>
      <c r="B1247" s="19" t="s">
        <v>3162</v>
      </c>
      <c r="C1247" s="19" t="s">
        <v>3642</v>
      </c>
      <c r="D1247" s="19" t="s">
        <v>4146</v>
      </c>
      <c r="E1247" s="19" t="s">
        <v>4147</v>
      </c>
      <c r="F1247" s="19" t="e">
        <f>MATCH(E1247,#REF!,0)</f>
        <v>#REF!</v>
      </c>
      <c r="G1247" s="19" t="s">
        <v>4148</v>
      </c>
      <c r="H1247" s="19" t="s">
        <v>17</v>
      </c>
      <c r="I1247" s="19" t="s">
        <v>18</v>
      </c>
      <c r="J1247" s="19" t="s">
        <v>4149</v>
      </c>
      <c r="K1247" s="19" t="s">
        <v>62</v>
      </c>
      <c r="L1247" s="3" t="str">
        <f>HYPERLINK(VLOOKUP(C1247,BAPs!$A$2:$C$1048576,3,FALSE),VLOOKUP(C1247,BAPs!$A$2:$C$1048576,2,FALSE))</f>
        <v>10 out of 10</v>
      </c>
    </row>
    <row r="1248" spans="1:12" hidden="1">
      <c r="A1248" s="19" t="s">
        <v>4051</v>
      </c>
      <c r="B1248" s="19" t="s">
        <v>3162</v>
      </c>
      <c r="C1248" s="19" t="s">
        <v>4150</v>
      </c>
      <c r="D1248" s="19" t="s">
        <v>4150</v>
      </c>
      <c r="E1248" s="19" t="s">
        <v>4151</v>
      </c>
      <c r="F1248" s="19" t="e">
        <f>MATCH(E1248,#REF!,0)</f>
        <v>#REF!</v>
      </c>
      <c r="G1248" s="19" t="s">
        <v>4152</v>
      </c>
      <c r="H1248" s="19" t="s">
        <v>17</v>
      </c>
      <c r="I1248" s="19" t="s">
        <v>18</v>
      </c>
      <c r="J1248" s="19" t="s">
        <v>4153</v>
      </c>
      <c r="K1248" s="19" t="s">
        <v>62</v>
      </c>
      <c r="L1248" s="3" t="str">
        <f>HYPERLINK(VLOOKUP(C1248,BAPs!$A$2:$C$1048576,3,FALSE),VLOOKUP(C1248,BAPs!$A$2:$C$1048576,2,FALSE))</f>
        <v>10 out of 10</v>
      </c>
    </row>
    <row r="1249" spans="1:12" hidden="1">
      <c r="A1249" s="19" t="s">
        <v>4051</v>
      </c>
      <c r="B1249" s="19" t="s">
        <v>3162</v>
      </c>
      <c r="C1249" s="19" t="s">
        <v>4154</v>
      </c>
      <c r="D1249" s="19" t="s">
        <v>3301</v>
      </c>
      <c r="E1249" s="19" t="s">
        <v>3302</v>
      </c>
      <c r="F1249" s="19" t="e">
        <f>MATCH(E1249,#REF!,0)</f>
        <v>#REF!</v>
      </c>
      <c r="G1249" s="19" t="s">
        <v>3303</v>
      </c>
      <c r="H1249" s="19" t="s">
        <v>43</v>
      </c>
      <c r="I1249" s="19"/>
      <c r="J1249" s="19" t="s">
        <v>4155</v>
      </c>
      <c r="K1249" s="19" t="s">
        <v>62</v>
      </c>
      <c r="L1249" s="3" t="str">
        <f>HYPERLINK(VLOOKUP(C1249,BAPs!$A$2:$C$1048576,3,FALSE),VLOOKUP(C1249,BAPs!$A$2:$C$1048576,2,FALSE))</f>
        <v>10 out of 10</v>
      </c>
    </row>
    <row r="1250" spans="1:12" hidden="1">
      <c r="A1250" s="19" t="s">
        <v>4051</v>
      </c>
      <c r="B1250" s="19" t="s">
        <v>3162</v>
      </c>
      <c r="C1250" s="19" t="s">
        <v>4154</v>
      </c>
      <c r="D1250" s="19" t="s">
        <v>4156</v>
      </c>
      <c r="E1250" s="19" t="s">
        <v>4157</v>
      </c>
      <c r="F1250" s="19" t="e">
        <f>MATCH(E1250,#REF!,0)</f>
        <v>#REF!</v>
      </c>
      <c r="G1250" s="19" t="s">
        <v>4158</v>
      </c>
      <c r="H1250" s="19" t="s">
        <v>52</v>
      </c>
      <c r="I1250" s="19"/>
      <c r="J1250" s="19" t="s">
        <v>4155</v>
      </c>
      <c r="K1250" s="19" t="s">
        <v>62</v>
      </c>
      <c r="L1250" s="3" t="str">
        <f>HYPERLINK(VLOOKUP(C1250,BAPs!$A$2:$C$1048576,3,FALSE),VLOOKUP(C1250,BAPs!$A$2:$C$1048576,2,FALSE))</f>
        <v>10 out of 10</v>
      </c>
    </row>
    <row r="1251" spans="1:12" hidden="1">
      <c r="A1251" s="19" t="s">
        <v>4051</v>
      </c>
      <c r="B1251" s="19" t="s">
        <v>3162</v>
      </c>
      <c r="C1251" s="19" t="s">
        <v>4154</v>
      </c>
      <c r="D1251" s="19" t="s">
        <v>4159</v>
      </c>
      <c r="E1251" s="19" t="s">
        <v>4160</v>
      </c>
      <c r="F1251" s="19" t="e">
        <f>MATCH(E1251,#REF!,0)</f>
        <v>#REF!</v>
      </c>
      <c r="G1251" s="19" t="s">
        <v>4161</v>
      </c>
      <c r="H1251" s="19" t="s">
        <v>56</v>
      </c>
      <c r="I1251" s="19"/>
      <c r="J1251" s="19" t="s">
        <v>4155</v>
      </c>
      <c r="K1251" s="19" t="s">
        <v>62</v>
      </c>
      <c r="L1251" s="3" t="str">
        <f>HYPERLINK(VLOOKUP(C1251,BAPs!$A$2:$C$1048576,3,FALSE),VLOOKUP(C1251,BAPs!$A$2:$C$1048576,2,FALSE))</f>
        <v>10 out of 10</v>
      </c>
    </row>
    <row r="1252" spans="1:12" hidden="1">
      <c r="A1252" s="19" t="s">
        <v>4051</v>
      </c>
      <c r="B1252" s="19" t="s">
        <v>3162</v>
      </c>
      <c r="C1252" s="19" t="s">
        <v>4162</v>
      </c>
      <c r="D1252" s="19" t="s">
        <v>4163</v>
      </c>
      <c r="E1252" s="19" t="s">
        <v>4164</v>
      </c>
      <c r="F1252" s="19" t="e">
        <f>MATCH(E1252,#REF!,0)</f>
        <v>#REF!</v>
      </c>
      <c r="G1252" s="19" t="s">
        <v>4165</v>
      </c>
      <c r="H1252" s="19" t="s">
        <v>56</v>
      </c>
      <c r="I1252" s="19"/>
      <c r="J1252" s="19" t="s">
        <v>4166</v>
      </c>
      <c r="K1252" s="19" t="s">
        <v>62</v>
      </c>
      <c r="L1252" s="3" t="str">
        <f>HYPERLINK(VLOOKUP(C1252,BAPs!$A$2:$C$1048576,3,FALSE),VLOOKUP(C1252,BAPs!$A$2:$C$1048576,2,FALSE))</f>
        <v>10 out of 10</v>
      </c>
    </row>
    <row r="1253" spans="1:12" hidden="1">
      <c r="A1253" s="19" t="s">
        <v>4051</v>
      </c>
      <c r="B1253" s="19" t="s">
        <v>3162</v>
      </c>
      <c r="C1253" s="19" t="s">
        <v>4162</v>
      </c>
      <c r="D1253" s="19" t="s">
        <v>3498</v>
      </c>
      <c r="E1253" s="19" t="s">
        <v>3499</v>
      </c>
      <c r="F1253" s="19" t="e">
        <f>MATCH(E1253,#REF!,0)</f>
        <v>#REF!</v>
      </c>
      <c r="G1253" s="19" t="s">
        <v>3500</v>
      </c>
      <c r="H1253" s="19" t="s">
        <v>43</v>
      </c>
      <c r="I1253" s="19"/>
      <c r="J1253" s="19" t="s">
        <v>4166</v>
      </c>
      <c r="K1253" s="19" t="s">
        <v>62</v>
      </c>
      <c r="L1253" s="3" t="str">
        <f>HYPERLINK(VLOOKUP(C1253,BAPs!$A$2:$C$1048576,3,FALSE),VLOOKUP(C1253,BAPs!$A$2:$C$1048576,2,FALSE))</f>
        <v>10 out of 10</v>
      </c>
    </row>
    <row r="1254" spans="1:12" hidden="1">
      <c r="A1254" s="19" t="s">
        <v>4051</v>
      </c>
      <c r="B1254" s="19" t="s">
        <v>3162</v>
      </c>
      <c r="C1254" s="19" t="s">
        <v>4167</v>
      </c>
      <c r="D1254" s="19" t="s">
        <v>4168</v>
      </c>
      <c r="E1254" s="19" t="s">
        <v>4169</v>
      </c>
      <c r="F1254" s="19" t="e">
        <f>MATCH(E1254,#REF!,0)</f>
        <v>#REF!</v>
      </c>
      <c r="G1254" s="19" t="s">
        <v>4170</v>
      </c>
      <c r="H1254" s="19" t="s">
        <v>56</v>
      </c>
      <c r="I1254" s="19"/>
      <c r="J1254" s="19" t="s">
        <v>4171</v>
      </c>
      <c r="K1254" s="19" t="s">
        <v>62</v>
      </c>
      <c r="L1254" s="3" t="str">
        <f>HYPERLINK(VLOOKUP(C1254,BAPs!$A$2:$C$1048576,3,FALSE),VLOOKUP(C1254,BAPs!$A$2:$C$1048576,2,FALSE))</f>
        <v>10 out of 10</v>
      </c>
    </row>
    <row r="1255" spans="1:12" hidden="1">
      <c r="A1255" s="19" t="s">
        <v>4051</v>
      </c>
      <c r="B1255" s="19" t="s">
        <v>3162</v>
      </c>
      <c r="C1255" s="19" t="s">
        <v>4167</v>
      </c>
      <c r="D1255" s="19" t="s">
        <v>3498</v>
      </c>
      <c r="E1255" s="19" t="s">
        <v>3499</v>
      </c>
      <c r="F1255" s="19" t="e">
        <f>MATCH(E1255,#REF!,0)</f>
        <v>#REF!</v>
      </c>
      <c r="G1255" s="19" t="s">
        <v>3500</v>
      </c>
      <c r="H1255" s="19" t="s">
        <v>43</v>
      </c>
      <c r="I1255" s="19"/>
      <c r="J1255" s="19" t="s">
        <v>4171</v>
      </c>
      <c r="K1255" s="19" t="s">
        <v>62</v>
      </c>
      <c r="L1255" s="3" t="str">
        <f>HYPERLINK(VLOOKUP(C1255,BAPs!$A$2:$C$1048576,3,FALSE),VLOOKUP(C1255,BAPs!$A$2:$C$1048576,2,FALSE))</f>
        <v>10 out of 10</v>
      </c>
    </row>
    <row r="1256" spans="1:12" hidden="1">
      <c r="A1256" s="19" t="s">
        <v>4051</v>
      </c>
      <c r="B1256" s="19" t="s">
        <v>3162</v>
      </c>
      <c r="C1256" s="19" t="s">
        <v>4172</v>
      </c>
      <c r="D1256" s="19" t="s">
        <v>4172</v>
      </c>
      <c r="E1256" s="19" t="s">
        <v>4173</v>
      </c>
      <c r="F1256" s="19" t="e">
        <f>MATCH(E1256,#REF!,0)</f>
        <v>#REF!</v>
      </c>
      <c r="G1256" s="19" t="s">
        <v>4174</v>
      </c>
      <c r="H1256" s="19" t="s">
        <v>56</v>
      </c>
      <c r="I1256" s="19"/>
      <c r="J1256" s="19" t="s">
        <v>4175</v>
      </c>
      <c r="K1256" s="19" t="s">
        <v>62</v>
      </c>
      <c r="L1256" s="3" t="str">
        <f>HYPERLINK(VLOOKUP(C1256,BAPs!$A$2:$C$1048576,3,FALSE),VLOOKUP(C1256,BAPs!$A$2:$C$1048576,2,FALSE))</f>
        <v>10 out of 10</v>
      </c>
    </row>
    <row r="1257" spans="1:12" hidden="1">
      <c r="A1257" s="19" t="s">
        <v>4051</v>
      </c>
      <c r="B1257" s="19" t="s">
        <v>3162</v>
      </c>
      <c r="C1257" s="19" t="s">
        <v>4176</v>
      </c>
      <c r="D1257" s="19" t="s">
        <v>4177</v>
      </c>
      <c r="E1257" s="19" t="s">
        <v>4178</v>
      </c>
      <c r="F1257" s="19" t="e">
        <f>MATCH(E1257,#REF!,0)</f>
        <v>#REF!</v>
      </c>
      <c r="G1257" s="19" t="s">
        <v>4179</v>
      </c>
      <c r="H1257" s="19" t="s">
        <v>56</v>
      </c>
      <c r="I1257" s="19"/>
      <c r="J1257" s="19" t="s">
        <v>4180</v>
      </c>
      <c r="K1257" s="19" t="s">
        <v>62</v>
      </c>
      <c r="L1257" s="3" t="str">
        <f>HYPERLINK(VLOOKUP(C1257,BAPs!$A$2:$C$1048576,3,FALSE),VLOOKUP(C1257,BAPs!$A$2:$C$1048576,2,FALSE))</f>
        <v>10 out of 10</v>
      </c>
    </row>
    <row r="1258" spans="1:12" hidden="1">
      <c r="A1258" s="19" t="s">
        <v>4051</v>
      </c>
      <c r="B1258" s="19" t="s">
        <v>3162</v>
      </c>
      <c r="C1258" s="19" t="s">
        <v>4176</v>
      </c>
      <c r="D1258" s="19" t="s">
        <v>3345</v>
      </c>
      <c r="E1258" s="19" t="s">
        <v>3346</v>
      </c>
      <c r="F1258" s="19" t="e">
        <f>MATCH(E1258,#REF!,0)</f>
        <v>#REF!</v>
      </c>
      <c r="G1258" s="19" t="s">
        <v>3347</v>
      </c>
      <c r="H1258" s="19" t="s">
        <v>56</v>
      </c>
      <c r="I1258" s="19"/>
      <c r="J1258" s="19" t="s">
        <v>4180</v>
      </c>
      <c r="K1258" s="19" t="s">
        <v>62</v>
      </c>
      <c r="L1258" s="3" t="str">
        <f>HYPERLINK(VLOOKUP(C1258,BAPs!$A$2:$C$1048576,3,FALSE),VLOOKUP(C1258,BAPs!$A$2:$C$1048576,2,FALSE))</f>
        <v>10 out of 10</v>
      </c>
    </row>
    <row r="1259" spans="1:12" hidden="1">
      <c r="A1259" s="19" t="s">
        <v>4051</v>
      </c>
      <c r="B1259" s="19" t="s">
        <v>3162</v>
      </c>
      <c r="C1259" s="19" t="s">
        <v>4181</v>
      </c>
      <c r="D1259" s="19" t="s">
        <v>4182</v>
      </c>
      <c r="E1259" s="19" t="s">
        <v>4183</v>
      </c>
      <c r="F1259" s="19" t="e">
        <f>MATCH(E1259,#REF!,0)</f>
        <v>#REF!</v>
      </c>
      <c r="G1259" s="19" t="s">
        <v>4184</v>
      </c>
      <c r="H1259" s="19" t="s">
        <v>84</v>
      </c>
      <c r="I1259" s="19"/>
      <c r="J1259" s="19" t="s">
        <v>4185</v>
      </c>
      <c r="K1259" s="19" t="s">
        <v>20</v>
      </c>
      <c r="L1259" s="3" t="str">
        <f>HYPERLINK(VLOOKUP(C1259,BAPs!$A$2:$C$1048576,3,FALSE),VLOOKUP(C1259,BAPs!$A$2:$C$1048576,2,FALSE))</f>
        <v>8 out of 10</v>
      </c>
    </row>
    <row r="1260" spans="1:12" hidden="1">
      <c r="A1260" s="19" t="s">
        <v>4051</v>
      </c>
      <c r="B1260" s="19" t="s">
        <v>3162</v>
      </c>
      <c r="C1260" s="19" t="s">
        <v>4186</v>
      </c>
      <c r="D1260" s="19" t="s">
        <v>4187</v>
      </c>
      <c r="E1260" s="19" t="s">
        <v>4188</v>
      </c>
      <c r="F1260" s="19" t="e">
        <f>MATCH(E1260,#REF!,0)</f>
        <v>#REF!</v>
      </c>
      <c r="G1260" s="19" t="s">
        <v>4189</v>
      </c>
      <c r="H1260" s="19" t="s">
        <v>84</v>
      </c>
      <c r="I1260" s="19"/>
      <c r="J1260" s="19" t="s">
        <v>4190</v>
      </c>
      <c r="K1260" s="19" t="s">
        <v>62</v>
      </c>
      <c r="L1260" s="3" t="str">
        <f>HYPERLINK(VLOOKUP(C1260,BAPs!$A$2:$C$1048576,3,FALSE),VLOOKUP(C1260,BAPs!$A$2:$C$1048576,2,FALSE))</f>
        <v>10 out of 10</v>
      </c>
    </row>
    <row r="1261" spans="1:12" hidden="1">
      <c r="A1261" s="19" t="s">
        <v>4051</v>
      </c>
      <c r="B1261" s="19" t="s">
        <v>3162</v>
      </c>
      <c r="C1261" s="19" t="s">
        <v>4191</v>
      </c>
      <c r="D1261" s="19" t="s">
        <v>4192</v>
      </c>
      <c r="E1261" s="19" t="s">
        <v>4193</v>
      </c>
      <c r="F1261" s="19" t="e">
        <f>MATCH(E1261,#REF!,0)</f>
        <v>#REF!</v>
      </c>
      <c r="G1261" s="19" t="s">
        <v>4194</v>
      </c>
      <c r="H1261" s="19" t="s">
        <v>24</v>
      </c>
      <c r="I1261" s="19" t="s">
        <v>18</v>
      </c>
      <c r="J1261" s="19" t="s">
        <v>4195</v>
      </c>
      <c r="K1261" s="19" t="s">
        <v>62</v>
      </c>
      <c r="L1261" s="3" t="str">
        <f>HYPERLINK(VLOOKUP(C1261,BAPs!$A$2:$C$1048576,3,FALSE),VLOOKUP(C1261,BAPs!$A$2:$C$1048576,2,FALSE))</f>
        <v>10 out of 10</v>
      </c>
    </row>
    <row r="1262" spans="1:12" hidden="1">
      <c r="A1262" s="19" t="s">
        <v>4051</v>
      </c>
      <c r="B1262" s="19" t="s">
        <v>3162</v>
      </c>
      <c r="C1262" s="19" t="s">
        <v>4196</v>
      </c>
      <c r="D1262" s="19" t="s">
        <v>3174</v>
      </c>
      <c r="E1262" s="19" t="s">
        <v>3175</v>
      </c>
      <c r="F1262" s="19" t="e">
        <f>MATCH(E1262,#REF!,0)</f>
        <v>#REF!</v>
      </c>
      <c r="G1262" s="19" t="s">
        <v>3176</v>
      </c>
      <c r="H1262" s="19" t="s">
        <v>43</v>
      </c>
      <c r="I1262" s="19"/>
      <c r="J1262" s="19" t="s">
        <v>4197</v>
      </c>
      <c r="K1262" s="19" t="s">
        <v>62</v>
      </c>
      <c r="L1262" s="3" t="str">
        <f>HYPERLINK(VLOOKUP(C1262,BAPs!$A$2:$C$1048576,3,FALSE),VLOOKUP(C1262,BAPs!$A$2:$C$1048576,2,FALSE))</f>
        <v>9 out of 10</v>
      </c>
    </row>
    <row r="1263" spans="1:12" hidden="1">
      <c r="A1263" s="19" t="s">
        <v>4051</v>
      </c>
      <c r="B1263" s="19" t="s">
        <v>3162</v>
      </c>
      <c r="C1263" s="19" t="s">
        <v>4196</v>
      </c>
      <c r="D1263" s="19" t="s">
        <v>4198</v>
      </c>
      <c r="E1263" s="19" t="s">
        <v>4199</v>
      </c>
      <c r="F1263" s="19" t="e">
        <f>MATCH(E1263,#REF!,0)</f>
        <v>#REF!</v>
      </c>
      <c r="G1263" s="19" t="s">
        <v>4200</v>
      </c>
      <c r="H1263" s="19" t="s">
        <v>43</v>
      </c>
      <c r="I1263" s="19" t="s">
        <v>18</v>
      </c>
      <c r="J1263" s="19" t="s">
        <v>4197</v>
      </c>
      <c r="K1263" s="19" t="s">
        <v>62</v>
      </c>
      <c r="L1263" s="3" t="str">
        <f>HYPERLINK(VLOOKUP(C1263,BAPs!$A$2:$C$1048576,3,FALSE),VLOOKUP(C1263,BAPs!$A$2:$C$1048576,2,FALSE))</f>
        <v>9 out of 10</v>
      </c>
    </row>
    <row r="1264" spans="1:12" hidden="1">
      <c r="A1264" s="19" t="s">
        <v>4201</v>
      </c>
      <c r="B1264" s="19" t="s">
        <v>4202</v>
      </c>
      <c r="C1264" s="19" t="s">
        <v>4203</v>
      </c>
      <c r="D1264" s="19" t="s">
        <v>4203</v>
      </c>
      <c r="E1264" s="19" t="s">
        <v>4204</v>
      </c>
      <c r="F1264" s="19" t="e">
        <f>MATCH(E1264,#REF!,0)</f>
        <v>#REF!</v>
      </c>
      <c r="G1264" s="19" t="s">
        <v>4205</v>
      </c>
      <c r="H1264" s="19" t="s">
        <v>52</v>
      </c>
      <c r="I1264" s="19"/>
      <c r="J1264" s="19" t="s">
        <v>4206</v>
      </c>
      <c r="K1264" s="19" t="s">
        <v>20</v>
      </c>
      <c r="L1264" s="3" t="str">
        <f>HYPERLINK(VLOOKUP(C1264,BAPs!$A$2:$C$1048576,3,FALSE),VLOOKUP(C1264,BAPs!$A$2:$C$1048576,2,FALSE))</f>
        <v>1 out of 10</v>
      </c>
    </row>
    <row r="1265" spans="1:12" hidden="1">
      <c r="A1265" s="19" t="s">
        <v>4201</v>
      </c>
      <c r="B1265" s="19" t="s">
        <v>4202</v>
      </c>
      <c r="C1265" s="19" t="s">
        <v>4203</v>
      </c>
      <c r="D1265" s="19" t="s">
        <v>4207</v>
      </c>
      <c r="E1265" s="19" t="s">
        <v>4208</v>
      </c>
      <c r="F1265" s="19" t="e">
        <f>MATCH(E1265,#REF!,0)</f>
        <v>#REF!</v>
      </c>
      <c r="G1265" s="19" t="s">
        <v>4209</v>
      </c>
      <c r="H1265" s="19" t="s">
        <v>43</v>
      </c>
      <c r="I1265" s="19" t="s">
        <v>18</v>
      </c>
      <c r="J1265" s="19" t="s">
        <v>4206</v>
      </c>
      <c r="K1265" s="19" t="s">
        <v>20</v>
      </c>
      <c r="L1265" s="3" t="str">
        <f>HYPERLINK(VLOOKUP(C1265,BAPs!$A$2:$C$1048576,3,FALSE),VLOOKUP(C1265,BAPs!$A$2:$C$1048576,2,FALSE))</f>
        <v>1 out of 10</v>
      </c>
    </row>
    <row r="1266" spans="1:12" hidden="1">
      <c r="A1266" s="19" t="s">
        <v>4201</v>
      </c>
      <c r="B1266" s="19" t="s">
        <v>4202</v>
      </c>
      <c r="C1266" s="19" t="s">
        <v>4210</v>
      </c>
      <c r="D1266" s="19" t="s">
        <v>4210</v>
      </c>
      <c r="E1266" s="19" t="s">
        <v>4211</v>
      </c>
      <c r="F1266" s="19" t="e">
        <f>MATCH(E1266,#REF!,0)</f>
        <v>#REF!</v>
      </c>
      <c r="G1266" s="19" t="s">
        <v>4212</v>
      </c>
      <c r="H1266" s="19" t="s">
        <v>17</v>
      </c>
      <c r="I1266" s="19" t="s">
        <v>18</v>
      </c>
      <c r="J1266" s="19" t="s">
        <v>4213</v>
      </c>
      <c r="K1266" s="19" t="s">
        <v>20</v>
      </c>
      <c r="L1266" s="3" t="str">
        <f>HYPERLINK(VLOOKUP(C1266,BAPs!$A$2:$C$1048576,3,FALSE),VLOOKUP(C1266,BAPs!$A$2:$C$1048576,2,FALSE))</f>
        <v>6 out of 10</v>
      </c>
    </row>
    <row r="1267" spans="1:12" hidden="1">
      <c r="A1267" s="19" t="s">
        <v>4201</v>
      </c>
      <c r="B1267" s="19" t="s">
        <v>4202</v>
      </c>
      <c r="C1267" s="19" t="s">
        <v>4214</v>
      </c>
      <c r="D1267" s="19" t="s">
        <v>4214</v>
      </c>
      <c r="E1267" s="19" t="s">
        <v>4215</v>
      </c>
      <c r="F1267" s="19" t="e">
        <f>MATCH(E1267,#REF!,0)</f>
        <v>#REF!</v>
      </c>
      <c r="G1267" s="19" t="s">
        <v>4216</v>
      </c>
      <c r="H1267" s="19" t="s">
        <v>17</v>
      </c>
      <c r="I1267" s="19" t="s">
        <v>18</v>
      </c>
      <c r="J1267" s="19" t="s">
        <v>4217</v>
      </c>
      <c r="K1267" s="19" t="s">
        <v>20</v>
      </c>
      <c r="L1267" s="3" t="str">
        <f>HYPERLINK(VLOOKUP(C1267,BAPs!$A$2:$C$1048576,3,FALSE),VLOOKUP(C1267,BAPs!$A$2:$C$1048576,2,FALSE))</f>
        <v>4 out of 10</v>
      </c>
    </row>
    <row r="1268" spans="1:12" hidden="1">
      <c r="A1268" s="19" t="s">
        <v>4201</v>
      </c>
      <c r="B1268" s="19" t="s">
        <v>4202</v>
      </c>
      <c r="C1268" s="19" t="s">
        <v>4214</v>
      </c>
      <c r="D1268" s="19" t="s">
        <v>4207</v>
      </c>
      <c r="E1268" s="19" t="s">
        <v>4208</v>
      </c>
      <c r="F1268" s="19" t="e">
        <f>MATCH(E1268,#REF!,0)</f>
        <v>#REF!</v>
      </c>
      <c r="G1268" s="19" t="s">
        <v>4209</v>
      </c>
      <c r="H1268" s="19" t="s">
        <v>43</v>
      </c>
      <c r="I1268" s="19" t="s">
        <v>18</v>
      </c>
      <c r="J1268" s="19" t="s">
        <v>4217</v>
      </c>
      <c r="K1268" s="19" t="s">
        <v>20</v>
      </c>
      <c r="L1268" s="3" t="str">
        <f>HYPERLINK(VLOOKUP(C1268,BAPs!$A$2:$C$1048576,3,FALSE),VLOOKUP(C1268,BAPs!$A$2:$C$1048576,2,FALSE))</f>
        <v>4 out of 10</v>
      </c>
    </row>
    <row r="1269" spans="1:12" hidden="1">
      <c r="A1269" s="19" t="s">
        <v>4201</v>
      </c>
      <c r="B1269" s="19" t="s">
        <v>4202</v>
      </c>
      <c r="C1269" s="19" t="s">
        <v>4218</v>
      </c>
      <c r="D1269" s="19" t="s">
        <v>4218</v>
      </c>
      <c r="E1269" s="19" t="s">
        <v>4219</v>
      </c>
      <c r="F1269" s="19" t="e">
        <f>MATCH(E1269,#REF!,0)</f>
        <v>#REF!</v>
      </c>
      <c r="G1269" s="19" t="s">
        <v>4220</v>
      </c>
      <c r="H1269" s="19" t="s">
        <v>17</v>
      </c>
      <c r="I1269" s="19"/>
      <c r="J1269" s="19" t="s">
        <v>4221</v>
      </c>
      <c r="K1269" s="19" t="s">
        <v>20</v>
      </c>
      <c r="L1269" s="3" t="str">
        <f>HYPERLINK(VLOOKUP(C1269,BAPs!$A$2:$C$1048576,3,FALSE),VLOOKUP(C1269,BAPs!$A$2:$C$1048576,2,FALSE))</f>
        <v>4 out of 10</v>
      </c>
    </row>
    <row r="1270" spans="1:12" hidden="1">
      <c r="A1270" s="19" t="s">
        <v>4201</v>
      </c>
      <c r="B1270" s="19" t="s">
        <v>4202</v>
      </c>
      <c r="C1270" s="19" t="s">
        <v>4222</v>
      </c>
      <c r="D1270" s="19" t="s">
        <v>4222</v>
      </c>
      <c r="E1270" s="19" t="s">
        <v>4223</v>
      </c>
      <c r="F1270" s="19" t="e">
        <f>MATCH(E1270,#REF!,0)</f>
        <v>#REF!</v>
      </c>
      <c r="G1270" s="19" t="s">
        <v>4224</v>
      </c>
      <c r="H1270" s="19" t="s">
        <v>17</v>
      </c>
      <c r="I1270" s="19" t="s">
        <v>18</v>
      </c>
      <c r="J1270" s="19" t="s">
        <v>4225</v>
      </c>
      <c r="K1270" s="19" t="s">
        <v>62</v>
      </c>
      <c r="L1270" s="3" t="str">
        <f>HYPERLINK(VLOOKUP(C1270,BAPs!$A$2:$C$1048576,3,FALSE),VLOOKUP(C1270,BAPs!$A$2:$C$1048576,2,FALSE))</f>
        <v>10 out of 10</v>
      </c>
    </row>
    <row r="1271" spans="1:12" hidden="1">
      <c r="A1271" s="19" t="s">
        <v>4201</v>
      </c>
      <c r="B1271" s="19" t="s">
        <v>4202</v>
      </c>
      <c r="C1271" s="19" t="s">
        <v>4222</v>
      </c>
      <c r="D1271" s="19" t="s">
        <v>4226</v>
      </c>
      <c r="E1271" s="19" t="s">
        <v>4227</v>
      </c>
      <c r="F1271" s="19" t="e">
        <f>MATCH(E1271,#REF!,0)</f>
        <v>#REF!</v>
      </c>
      <c r="G1271" s="19" t="s">
        <v>4228</v>
      </c>
      <c r="H1271" s="19" t="s">
        <v>24</v>
      </c>
      <c r="I1271" s="19" t="s">
        <v>18</v>
      </c>
      <c r="J1271" s="19" t="s">
        <v>4225</v>
      </c>
      <c r="K1271" s="19" t="s">
        <v>62</v>
      </c>
      <c r="L1271" s="3" t="str">
        <f>HYPERLINK(VLOOKUP(C1271,BAPs!$A$2:$C$1048576,3,FALSE),VLOOKUP(C1271,BAPs!$A$2:$C$1048576,2,FALSE))</f>
        <v>10 out of 10</v>
      </c>
    </row>
    <row r="1272" spans="1:12" hidden="1">
      <c r="A1272" s="19" t="s">
        <v>4201</v>
      </c>
      <c r="B1272" s="19" t="s">
        <v>4202</v>
      </c>
      <c r="C1272" s="19" t="s">
        <v>4229</v>
      </c>
      <c r="D1272" s="19" t="s">
        <v>4229</v>
      </c>
      <c r="E1272" s="19" t="s">
        <v>4230</v>
      </c>
      <c r="F1272" s="19" t="e">
        <f>MATCH(E1272,#REF!,0)</f>
        <v>#REF!</v>
      </c>
      <c r="G1272" s="19" t="s">
        <v>4231</v>
      </c>
      <c r="H1272" s="19" t="s">
        <v>52</v>
      </c>
      <c r="I1272" s="19"/>
      <c r="J1272" s="19" t="s">
        <v>4232</v>
      </c>
      <c r="K1272" s="19" t="s">
        <v>20</v>
      </c>
      <c r="L1272" s="3" t="str">
        <f>HYPERLINK(VLOOKUP(C1272,BAPs!$A$2:$C$1048576,3,FALSE),VLOOKUP(C1272,BAPs!$A$2:$C$1048576,2,FALSE))</f>
        <v>1 out of 10</v>
      </c>
    </row>
    <row r="1273" spans="1:12" hidden="1">
      <c r="A1273" s="19" t="s">
        <v>4201</v>
      </c>
      <c r="B1273" s="19" t="s">
        <v>4202</v>
      </c>
      <c r="C1273" s="19" t="s">
        <v>4229</v>
      </c>
      <c r="D1273" s="19" t="s">
        <v>4233</v>
      </c>
      <c r="E1273" s="19" t="s">
        <v>4234</v>
      </c>
      <c r="F1273" s="19" t="e">
        <f>MATCH(E1273,#REF!,0)</f>
        <v>#REF!</v>
      </c>
      <c r="G1273" s="19" t="s">
        <v>4235</v>
      </c>
      <c r="H1273" s="19" t="s">
        <v>43</v>
      </c>
      <c r="I1273" s="19" t="s">
        <v>18</v>
      </c>
      <c r="J1273" s="19" t="s">
        <v>4232</v>
      </c>
      <c r="K1273" s="19" t="s">
        <v>20</v>
      </c>
      <c r="L1273" s="3" t="str">
        <f>HYPERLINK(VLOOKUP(C1273,BAPs!$A$2:$C$1048576,3,FALSE),VLOOKUP(C1273,BAPs!$A$2:$C$1048576,2,FALSE))</f>
        <v>1 out of 10</v>
      </c>
    </row>
    <row r="1274" spans="1:12" hidden="1">
      <c r="A1274" s="19" t="s">
        <v>4201</v>
      </c>
      <c r="B1274" s="19" t="s">
        <v>4202</v>
      </c>
      <c r="C1274" s="19" t="s">
        <v>4236</v>
      </c>
      <c r="D1274" s="19" t="s">
        <v>4236</v>
      </c>
      <c r="E1274" s="19" t="s">
        <v>4237</v>
      </c>
      <c r="F1274" s="19" t="e">
        <f>MATCH(E1274,#REF!,0)</f>
        <v>#REF!</v>
      </c>
      <c r="G1274" s="19" t="s">
        <v>4238</v>
      </c>
      <c r="H1274" s="19" t="s">
        <v>17</v>
      </c>
      <c r="I1274" s="19" t="s">
        <v>18</v>
      </c>
      <c r="J1274" s="19" t="s">
        <v>4239</v>
      </c>
      <c r="K1274" s="19" t="s">
        <v>20</v>
      </c>
      <c r="L1274" s="3" t="str">
        <f>HYPERLINK(VLOOKUP(C1274,BAPs!$A$2:$C$1048576,3,FALSE),VLOOKUP(C1274,BAPs!$A$2:$C$1048576,2,FALSE))</f>
        <v>3 out of 10</v>
      </c>
    </row>
    <row r="1275" spans="1:12" hidden="1">
      <c r="A1275" s="19" t="s">
        <v>4201</v>
      </c>
      <c r="B1275" s="19" t="s">
        <v>4202</v>
      </c>
      <c r="C1275" s="19" t="s">
        <v>4240</v>
      </c>
      <c r="D1275" s="19" t="s">
        <v>4240</v>
      </c>
      <c r="E1275" s="19" t="s">
        <v>4241</v>
      </c>
      <c r="F1275" s="19" t="e">
        <f>MATCH(E1275,#REF!,0)</f>
        <v>#REF!</v>
      </c>
      <c r="G1275" s="19" t="s">
        <v>4242</v>
      </c>
      <c r="H1275" s="19" t="s">
        <v>17</v>
      </c>
      <c r="I1275" s="19" t="s">
        <v>18</v>
      </c>
      <c r="J1275" s="19" t="s">
        <v>4243</v>
      </c>
      <c r="K1275" s="19" t="s">
        <v>62</v>
      </c>
      <c r="L1275" s="3" t="str">
        <f>HYPERLINK(VLOOKUP(C1275,BAPs!$A$2:$C$1048576,3,FALSE),VLOOKUP(C1275,BAPs!$A$2:$C$1048576,2,FALSE))</f>
        <v>9 out of 10</v>
      </c>
    </row>
    <row r="1276" spans="1:12" hidden="1">
      <c r="A1276" s="19" t="s">
        <v>4201</v>
      </c>
      <c r="B1276" s="19" t="s">
        <v>4202</v>
      </c>
      <c r="C1276" s="19" t="s">
        <v>4244</v>
      </c>
      <c r="D1276" s="19" t="s">
        <v>4245</v>
      </c>
      <c r="E1276" s="19" t="s">
        <v>4246</v>
      </c>
      <c r="F1276" s="19" t="e">
        <f>MATCH(E1276,#REF!,0)</f>
        <v>#REF!</v>
      </c>
      <c r="G1276" s="19" t="s">
        <v>4247</v>
      </c>
      <c r="H1276" s="19" t="s">
        <v>17</v>
      </c>
      <c r="I1276" s="19" t="s">
        <v>18</v>
      </c>
      <c r="J1276" s="19" t="s">
        <v>4248</v>
      </c>
      <c r="K1276" s="19" t="s">
        <v>20</v>
      </c>
      <c r="L1276" s="3" t="str">
        <f>HYPERLINK(VLOOKUP(C1276,BAPs!$A$2:$C$1048576,3,FALSE),VLOOKUP(C1276,BAPs!$A$2:$C$1048576,2,FALSE))</f>
        <v>6 out of 10</v>
      </c>
    </row>
    <row r="1277" spans="1:12" hidden="1">
      <c r="A1277" s="19" t="s">
        <v>4201</v>
      </c>
      <c r="B1277" s="19" t="s">
        <v>4202</v>
      </c>
      <c r="C1277" s="19" t="s">
        <v>4249</v>
      </c>
      <c r="D1277" s="19" t="s">
        <v>4249</v>
      </c>
      <c r="E1277" s="19" t="s">
        <v>4250</v>
      </c>
      <c r="F1277" s="19" t="e">
        <f>MATCH(E1277,#REF!,0)</f>
        <v>#REF!</v>
      </c>
      <c r="G1277" s="19" t="s">
        <v>4251</v>
      </c>
      <c r="H1277" s="19" t="s">
        <v>17</v>
      </c>
      <c r="I1277" s="19" t="s">
        <v>18</v>
      </c>
      <c r="J1277" s="19" t="s">
        <v>4252</v>
      </c>
      <c r="K1277" s="19" t="s">
        <v>20</v>
      </c>
      <c r="L1277" s="3" t="str">
        <f>HYPERLINK(VLOOKUP(C1277,BAPs!$A$2:$C$1048576,3,FALSE),VLOOKUP(C1277,BAPs!$A$2:$C$1048576,2,FALSE))</f>
        <v>3 out of 10</v>
      </c>
    </row>
    <row r="1278" spans="1:12" hidden="1">
      <c r="A1278" s="19" t="s">
        <v>4201</v>
      </c>
      <c r="B1278" s="19" t="s">
        <v>4202</v>
      </c>
      <c r="C1278" s="19" t="s">
        <v>4253</v>
      </c>
      <c r="D1278" s="19" t="s">
        <v>4253</v>
      </c>
      <c r="E1278" s="19" t="s">
        <v>4254</v>
      </c>
      <c r="F1278" s="19" t="e">
        <f>MATCH(E1278,#REF!,0)</f>
        <v>#REF!</v>
      </c>
      <c r="G1278" s="19" t="s">
        <v>4255</v>
      </c>
      <c r="H1278" s="19" t="s">
        <v>17</v>
      </c>
      <c r="I1278" s="19" t="s">
        <v>18</v>
      </c>
      <c r="J1278" s="19" t="s">
        <v>4256</v>
      </c>
      <c r="K1278" s="19" t="s">
        <v>20</v>
      </c>
      <c r="L1278" s="3" t="str">
        <f>HYPERLINK(VLOOKUP(C1278,BAPs!$A$2:$C$1048576,3,FALSE),VLOOKUP(C1278,BAPs!$A$2:$C$1048576,2,FALSE))</f>
        <v>1 out of 10</v>
      </c>
    </row>
    <row r="1279" spans="1:12" hidden="1">
      <c r="A1279" s="19" t="s">
        <v>4201</v>
      </c>
      <c r="B1279" s="19" t="s">
        <v>4202</v>
      </c>
      <c r="C1279" s="19" t="s">
        <v>4257</v>
      </c>
      <c r="D1279" s="19" t="s">
        <v>4257</v>
      </c>
      <c r="E1279" s="19" t="s">
        <v>4258</v>
      </c>
      <c r="F1279" s="19" t="e">
        <f>MATCH(E1279,#REF!,0)</f>
        <v>#REF!</v>
      </c>
      <c r="G1279" s="19" t="s">
        <v>4259</v>
      </c>
      <c r="H1279" s="19" t="s">
        <v>17</v>
      </c>
      <c r="I1279" s="19"/>
      <c r="J1279" s="19" t="s">
        <v>4260</v>
      </c>
      <c r="K1279" s="19" t="s">
        <v>20</v>
      </c>
      <c r="L1279" s="3" t="str">
        <f>HYPERLINK(VLOOKUP(C1279,BAPs!$A$2:$C$1048576,3,FALSE),VLOOKUP(C1279,BAPs!$A$2:$C$1048576,2,FALSE))</f>
        <v>4 out of 10</v>
      </c>
    </row>
    <row r="1280" spans="1:12" hidden="1">
      <c r="A1280" s="19" t="s">
        <v>4201</v>
      </c>
      <c r="B1280" s="19" t="s">
        <v>4202</v>
      </c>
      <c r="C1280" s="19" t="s">
        <v>4261</v>
      </c>
      <c r="D1280" s="19" t="s">
        <v>4261</v>
      </c>
      <c r="E1280" s="19" t="s">
        <v>4262</v>
      </c>
      <c r="F1280" s="19" t="e">
        <f>MATCH(E1280,#REF!,0)</f>
        <v>#REF!</v>
      </c>
      <c r="G1280" s="19" t="s">
        <v>4263</v>
      </c>
      <c r="H1280" s="19" t="s">
        <v>17</v>
      </c>
      <c r="I1280" s="19" t="s">
        <v>18</v>
      </c>
      <c r="J1280" s="19" t="s">
        <v>4264</v>
      </c>
      <c r="K1280" s="19" t="s">
        <v>20</v>
      </c>
      <c r="L1280" s="3" t="str">
        <f>HYPERLINK(VLOOKUP(C1280,BAPs!$A$2:$C$1048576,3,FALSE),VLOOKUP(C1280,BAPs!$A$2:$C$1048576,2,FALSE))</f>
        <v>3 out of 10</v>
      </c>
    </row>
    <row r="1281" spans="1:12" hidden="1">
      <c r="A1281" s="19" t="s">
        <v>4201</v>
      </c>
      <c r="B1281" s="19" t="s">
        <v>4202</v>
      </c>
      <c r="C1281" s="19" t="s">
        <v>4265</v>
      </c>
      <c r="D1281" s="19" t="s">
        <v>4265</v>
      </c>
      <c r="E1281" s="19" t="s">
        <v>4266</v>
      </c>
      <c r="F1281" s="19" t="e">
        <f>MATCH(E1281,#REF!,0)</f>
        <v>#REF!</v>
      </c>
      <c r="G1281" s="19" t="s">
        <v>4267</v>
      </c>
      <c r="H1281" s="19" t="s">
        <v>17</v>
      </c>
      <c r="I1281" s="19" t="s">
        <v>18</v>
      </c>
      <c r="J1281" s="19" t="s">
        <v>4268</v>
      </c>
      <c r="K1281" s="19" t="s">
        <v>20</v>
      </c>
      <c r="L1281" s="3" t="str">
        <f>HYPERLINK(VLOOKUP(C1281,BAPs!$A$2:$C$1048576,3,FALSE),VLOOKUP(C1281,BAPs!$A$2:$C$1048576,2,FALSE))</f>
        <v>5 out of 10</v>
      </c>
    </row>
    <row r="1282" spans="1:12" hidden="1">
      <c r="A1282" s="19" t="s">
        <v>4201</v>
      </c>
      <c r="B1282" s="19" t="s">
        <v>4202</v>
      </c>
      <c r="C1282" s="19" t="s">
        <v>4269</v>
      </c>
      <c r="D1282" s="19" t="s">
        <v>4269</v>
      </c>
      <c r="E1282" s="19" t="s">
        <v>4270</v>
      </c>
      <c r="F1282" s="19" t="e">
        <f>MATCH(E1282,#REF!,0)</f>
        <v>#REF!</v>
      </c>
      <c r="G1282" s="19" t="s">
        <v>4271</v>
      </c>
      <c r="H1282" s="19" t="s">
        <v>52</v>
      </c>
      <c r="I1282" s="19"/>
      <c r="J1282" s="19" t="s">
        <v>4272</v>
      </c>
      <c r="K1282" s="19" t="s">
        <v>20</v>
      </c>
      <c r="L1282" s="3" t="str">
        <f>HYPERLINK(VLOOKUP(C1282,BAPs!$A$2:$C$1048576,3,FALSE),VLOOKUP(C1282,BAPs!$A$2:$C$1048576,2,FALSE))</f>
        <v>8 out of 10</v>
      </c>
    </row>
    <row r="1283" spans="1:12" hidden="1">
      <c r="A1283" s="19" t="s">
        <v>4201</v>
      </c>
      <c r="B1283" s="19" t="s">
        <v>4202</v>
      </c>
      <c r="C1283" s="19" t="s">
        <v>4269</v>
      </c>
      <c r="D1283" s="19" t="s">
        <v>4273</v>
      </c>
      <c r="E1283" s="19" t="s">
        <v>4274</v>
      </c>
      <c r="F1283" s="19" t="e">
        <f>MATCH(E1283,#REF!,0)</f>
        <v>#REF!</v>
      </c>
      <c r="G1283" s="19" t="s">
        <v>4275</v>
      </c>
      <c r="H1283" s="19" t="s">
        <v>84</v>
      </c>
      <c r="I1283" s="19"/>
      <c r="J1283" s="19" t="s">
        <v>4272</v>
      </c>
      <c r="K1283" s="19" t="s">
        <v>20</v>
      </c>
      <c r="L1283" s="3" t="str">
        <f>HYPERLINK(VLOOKUP(C1283,BAPs!$A$2:$C$1048576,3,FALSE),VLOOKUP(C1283,BAPs!$A$2:$C$1048576,2,FALSE))</f>
        <v>8 out of 10</v>
      </c>
    </row>
    <row r="1284" spans="1:12" hidden="1">
      <c r="A1284" s="19" t="s">
        <v>4201</v>
      </c>
      <c r="B1284" s="19" t="s">
        <v>4202</v>
      </c>
      <c r="C1284" s="19" t="s">
        <v>4276</v>
      </c>
      <c r="D1284" s="19" t="s">
        <v>4276</v>
      </c>
      <c r="E1284" s="19" t="s">
        <v>4277</v>
      </c>
      <c r="F1284" s="19" t="e">
        <f>MATCH(E1284,#REF!,0)</f>
        <v>#REF!</v>
      </c>
      <c r="G1284" s="19" t="s">
        <v>4278</v>
      </c>
      <c r="H1284" s="19" t="s">
        <v>17</v>
      </c>
      <c r="I1284" s="19" t="s">
        <v>18</v>
      </c>
      <c r="J1284" s="19" t="s">
        <v>4279</v>
      </c>
      <c r="K1284" s="19" t="s">
        <v>20</v>
      </c>
      <c r="L1284" s="3" t="str">
        <f>HYPERLINK(VLOOKUP(C1284,BAPs!$A$2:$C$1048576,3,FALSE),VLOOKUP(C1284,BAPs!$A$2:$C$1048576,2,FALSE))</f>
        <v>3 out of 10</v>
      </c>
    </row>
    <row r="1285" spans="1:12" hidden="1">
      <c r="A1285" s="19" t="s">
        <v>4201</v>
      </c>
      <c r="B1285" s="19" t="s">
        <v>4202</v>
      </c>
      <c r="C1285" s="19" t="s">
        <v>4276</v>
      </c>
      <c r="D1285" s="19" t="s">
        <v>4207</v>
      </c>
      <c r="E1285" s="19" t="s">
        <v>4208</v>
      </c>
      <c r="F1285" s="19" t="e">
        <f>MATCH(E1285,#REF!,0)</f>
        <v>#REF!</v>
      </c>
      <c r="G1285" s="19" t="s">
        <v>4209</v>
      </c>
      <c r="H1285" s="19" t="s">
        <v>43</v>
      </c>
      <c r="I1285" s="19" t="s">
        <v>18</v>
      </c>
      <c r="J1285" s="19" t="s">
        <v>4279</v>
      </c>
      <c r="K1285" s="19" t="s">
        <v>20</v>
      </c>
      <c r="L1285" s="3" t="str">
        <f>HYPERLINK(VLOOKUP(C1285,BAPs!$A$2:$C$1048576,3,FALSE),VLOOKUP(C1285,BAPs!$A$2:$C$1048576,2,FALSE))</f>
        <v>3 out of 10</v>
      </c>
    </row>
    <row r="1286" spans="1:12" hidden="1">
      <c r="A1286" s="19" t="s">
        <v>4201</v>
      </c>
      <c r="B1286" s="19" t="s">
        <v>4202</v>
      </c>
      <c r="C1286" s="19" t="s">
        <v>4280</v>
      </c>
      <c r="D1286" s="19" t="s">
        <v>4280</v>
      </c>
      <c r="E1286" s="19" t="s">
        <v>4281</v>
      </c>
      <c r="F1286" s="19" t="e">
        <f>MATCH(E1286,#REF!,0)</f>
        <v>#REF!</v>
      </c>
      <c r="G1286" s="19" t="s">
        <v>4282</v>
      </c>
      <c r="H1286" s="19" t="s">
        <v>17</v>
      </c>
      <c r="I1286" s="19" t="s">
        <v>18</v>
      </c>
      <c r="J1286" s="19" t="s">
        <v>4283</v>
      </c>
      <c r="K1286" s="19" t="s">
        <v>20</v>
      </c>
      <c r="L1286" s="3" t="str">
        <f>HYPERLINK(VLOOKUP(C1286,BAPs!$A$2:$C$1048576,3,FALSE),VLOOKUP(C1286,BAPs!$A$2:$C$1048576,2,FALSE))</f>
        <v>1 out of 10</v>
      </c>
    </row>
    <row r="1287" spans="1:12" hidden="1">
      <c r="A1287" s="19" t="s">
        <v>4201</v>
      </c>
      <c r="B1287" s="19" t="s">
        <v>4202</v>
      </c>
      <c r="C1287" s="19" t="s">
        <v>4280</v>
      </c>
      <c r="D1287" s="19" t="s">
        <v>4207</v>
      </c>
      <c r="E1287" s="19" t="s">
        <v>4208</v>
      </c>
      <c r="F1287" s="19" t="e">
        <f>MATCH(E1287,#REF!,0)</f>
        <v>#REF!</v>
      </c>
      <c r="G1287" s="19" t="s">
        <v>4209</v>
      </c>
      <c r="H1287" s="19" t="s">
        <v>43</v>
      </c>
      <c r="I1287" s="19" t="s">
        <v>18</v>
      </c>
      <c r="J1287" s="19" t="s">
        <v>4283</v>
      </c>
      <c r="K1287" s="19" t="s">
        <v>20</v>
      </c>
      <c r="L1287" s="3" t="str">
        <f>HYPERLINK(VLOOKUP(C1287,BAPs!$A$2:$C$1048576,3,FALSE),VLOOKUP(C1287,BAPs!$A$2:$C$1048576,2,FALSE))</f>
        <v>1 out of 10</v>
      </c>
    </row>
    <row r="1288" spans="1:12" hidden="1">
      <c r="A1288" s="19" t="s">
        <v>4201</v>
      </c>
      <c r="B1288" s="19" t="s">
        <v>4202</v>
      </c>
      <c r="C1288" s="19" t="s">
        <v>4284</v>
      </c>
      <c r="D1288" s="19" t="s">
        <v>4233</v>
      </c>
      <c r="E1288" s="19" t="s">
        <v>4234</v>
      </c>
      <c r="F1288" s="19" t="e">
        <f>MATCH(E1288,#REF!,0)</f>
        <v>#REF!</v>
      </c>
      <c r="G1288" s="19" t="s">
        <v>4235</v>
      </c>
      <c r="H1288" s="19" t="s">
        <v>43</v>
      </c>
      <c r="I1288" s="19" t="s">
        <v>18</v>
      </c>
      <c r="J1288" s="19" t="s">
        <v>4285</v>
      </c>
      <c r="K1288" s="19" t="s">
        <v>62</v>
      </c>
      <c r="L1288" s="3" t="str">
        <f>HYPERLINK(VLOOKUP(C1288,BAPs!$A$2:$C$1048576,3,FALSE),VLOOKUP(C1288,BAPs!$A$2:$C$1048576,2,FALSE))</f>
        <v>9 out of 10</v>
      </c>
    </row>
    <row r="1289" spans="1:12" hidden="1">
      <c r="A1289" s="19" t="s">
        <v>4201</v>
      </c>
      <c r="B1289" s="19" t="s">
        <v>4202</v>
      </c>
      <c r="C1289" s="19" t="s">
        <v>4284</v>
      </c>
      <c r="D1289" s="19" t="s">
        <v>4284</v>
      </c>
      <c r="E1289" s="19" t="s">
        <v>4286</v>
      </c>
      <c r="F1289" s="19" t="e">
        <f>MATCH(E1289,#REF!,0)</f>
        <v>#REF!</v>
      </c>
      <c r="G1289" s="19" t="s">
        <v>4287</v>
      </c>
      <c r="H1289" s="19" t="s">
        <v>52</v>
      </c>
      <c r="I1289" s="19"/>
      <c r="J1289" s="19" t="s">
        <v>4285</v>
      </c>
      <c r="K1289" s="19" t="s">
        <v>62</v>
      </c>
      <c r="L1289" s="3" t="str">
        <f>HYPERLINK(VLOOKUP(C1289,BAPs!$A$2:$C$1048576,3,FALSE),VLOOKUP(C1289,BAPs!$A$2:$C$1048576,2,FALSE))</f>
        <v>9 out of 10</v>
      </c>
    </row>
    <row r="1290" spans="1:12" hidden="1">
      <c r="A1290" s="19" t="s">
        <v>4201</v>
      </c>
      <c r="B1290" s="19" t="s">
        <v>4202</v>
      </c>
      <c r="C1290" s="19" t="s">
        <v>4288</v>
      </c>
      <c r="D1290" s="19" t="s">
        <v>4288</v>
      </c>
      <c r="E1290" s="19" t="s">
        <v>4289</v>
      </c>
      <c r="F1290" s="19" t="e">
        <f>MATCH(E1290,#REF!,0)</f>
        <v>#REF!</v>
      </c>
      <c r="G1290" s="19" t="s">
        <v>4290</v>
      </c>
      <c r="H1290" s="19" t="s">
        <v>17</v>
      </c>
      <c r="I1290" s="19" t="s">
        <v>18</v>
      </c>
      <c r="J1290" s="19" t="s">
        <v>4291</v>
      </c>
      <c r="K1290" s="19" t="s">
        <v>20</v>
      </c>
      <c r="L1290" s="3" t="str">
        <f>HYPERLINK(VLOOKUP(C1290,BAPs!$A$2:$C$1048576,3,FALSE),VLOOKUP(C1290,BAPs!$A$2:$C$1048576,2,FALSE))</f>
        <v>3 out of 10</v>
      </c>
    </row>
    <row r="1291" spans="1:12" hidden="1">
      <c r="A1291" s="19" t="s">
        <v>4201</v>
      </c>
      <c r="B1291" s="19" t="s">
        <v>4202</v>
      </c>
      <c r="C1291" s="19" t="s">
        <v>4288</v>
      </c>
      <c r="D1291" s="19" t="s">
        <v>4207</v>
      </c>
      <c r="E1291" s="19" t="s">
        <v>4208</v>
      </c>
      <c r="F1291" s="19" t="e">
        <f>MATCH(E1291,#REF!,0)</f>
        <v>#REF!</v>
      </c>
      <c r="G1291" s="19" t="s">
        <v>4209</v>
      </c>
      <c r="H1291" s="19" t="s">
        <v>43</v>
      </c>
      <c r="I1291" s="19" t="s">
        <v>18</v>
      </c>
      <c r="J1291" s="19" t="s">
        <v>4291</v>
      </c>
      <c r="K1291" s="19" t="s">
        <v>20</v>
      </c>
      <c r="L1291" s="3" t="str">
        <f>HYPERLINK(VLOOKUP(C1291,BAPs!$A$2:$C$1048576,3,FALSE),VLOOKUP(C1291,BAPs!$A$2:$C$1048576,2,FALSE))</f>
        <v>3 out of 10</v>
      </c>
    </row>
    <row r="1292" spans="1:12" hidden="1">
      <c r="A1292" s="19" t="s">
        <v>4201</v>
      </c>
      <c r="B1292" s="19" t="s">
        <v>4202</v>
      </c>
      <c r="C1292" s="19" t="s">
        <v>4292</v>
      </c>
      <c r="D1292" s="19" t="s">
        <v>4292</v>
      </c>
      <c r="E1292" s="19" t="s">
        <v>4293</v>
      </c>
      <c r="F1292" s="19" t="e">
        <f>MATCH(E1292,#REF!,0)</f>
        <v>#REF!</v>
      </c>
      <c r="G1292" s="19" t="s">
        <v>4294</v>
      </c>
      <c r="H1292" s="19" t="s">
        <v>17</v>
      </c>
      <c r="I1292" s="19"/>
      <c r="J1292" s="19" t="s">
        <v>4295</v>
      </c>
      <c r="K1292" s="19" t="s">
        <v>20</v>
      </c>
      <c r="L1292" s="3" t="str">
        <f>HYPERLINK(VLOOKUP(C1292,BAPs!$A$2:$C$1048576,3,FALSE),VLOOKUP(C1292,BAPs!$A$2:$C$1048576,2,FALSE))</f>
        <v>3 out of 10</v>
      </c>
    </row>
    <row r="1293" spans="1:12" hidden="1">
      <c r="A1293" s="19" t="s">
        <v>4201</v>
      </c>
      <c r="B1293" s="19" t="s">
        <v>4202</v>
      </c>
      <c r="C1293" s="19" t="s">
        <v>4296</v>
      </c>
      <c r="D1293" s="19" t="s">
        <v>4226</v>
      </c>
      <c r="E1293" s="19" t="s">
        <v>4227</v>
      </c>
      <c r="F1293" s="19" t="e">
        <f>MATCH(E1293,#REF!,0)</f>
        <v>#REF!</v>
      </c>
      <c r="G1293" s="19" t="s">
        <v>4228</v>
      </c>
      <c r="H1293" s="19" t="s">
        <v>24</v>
      </c>
      <c r="I1293" s="19" t="s">
        <v>18</v>
      </c>
      <c r="J1293" s="19" t="s">
        <v>4297</v>
      </c>
      <c r="K1293" s="19" t="s">
        <v>20</v>
      </c>
      <c r="L1293" s="3" t="str">
        <f>HYPERLINK(VLOOKUP(C1293,BAPs!$A$2:$C$1048576,3,FALSE),VLOOKUP(C1293,BAPs!$A$2:$C$1048576,2,FALSE))</f>
        <v>3 out of 10</v>
      </c>
    </row>
    <row r="1294" spans="1:12" hidden="1">
      <c r="A1294" s="19" t="s">
        <v>4201</v>
      </c>
      <c r="B1294" s="19" t="s">
        <v>4202</v>
      </c>
      <c r="C1294" s="19" t="s">
        <v>4298</v>
      </c>
      <c r="D1294" s="19" t="s">
        <v>4298</v>
      </c>
      <c r="E1294" s="19" t="s">
        <v>4299</v>
      </c>
      <c r="F1294" s="19" t="e">
        <f>MATCH(E1294,#REF!,0)</f>
        <v>#REF!</v>
      </c>
      <c r="G1294" s="19" t="s">
        <v>4300</v>
      </c>
      <c r="H1294" s="19" t="s">
        <v>17</v>
      </c>
      <c r="I1294" s="19" t="s">
        <v>18</v>
      </c>
      <c r="J1294" s="19" t="s">
        <v>4301</v>
      </c>
      <c r="K1294" s="19" t="s">
        <v>20</v>
      </c>
      <c r="L1294" s="3" t="str">
        <f>HYPERLINK(VLOOKUP(C1294,BAPs!$A$2:$C$1048576,3,FALSE),VLOOKUP(C1294,BAPs!$A$2:$C$1048576,2,FALSE))</f>
        <v>1 out of 10</v>
      </c>
    </row>
    <row r="1295" spans="1:12" hidden="1">
      <c r="A1295" s="19" t="s">
        <v>4201</v>
      </c>
      <c r="B1295" s="19" t="s">
        <v>4202</v>
      </c>
      <c r="C1295" s="19" t="s">
        <v>4302</v>
      </c>
      <c r="D1295" s="19" t="s">
        <v>4303</v>
      </c>
      <c r="E1295" s="19" t="s">
        <v>4304</v>
      </c>
      <c r="F1295" s="19" t="e">
        <f>MATCH(E1295,#REF!,0)</f>
        <v>#REF!</v>
      </c>
      <c r="G1295" s="19" t="s">
        <v>4305</v>
      </c>
      <c r="H1295" s="19" t="s">
        <v>56</v>
      </c>
      <c r="I1295" s="19"/>
      <c r="J1295" s="19" t="s">
        <v>4306</v>
      </c>
      <c r="K1295" s="19" t="s">
        <v>62</v>
      </c>
      <c r="L1295" s="3" t="str">
        <f>HYPERLINK(VLOOKUP(C1295,BAPs!$A$2:$C$1048576,3,FALSE),VLOOKUP(C1295,BAPs!$A$2:$C$1048576,2,FALSE))</f>
        <v>10 out of 10</v>
      </c>
    </row>
    <row r="1296" spans="1:12" hidden="1">
      <c r="A1296" s="19" t="s">
        <v>4201</v>
      </c>
      <c r="B1296" s="19" t="s">
        <v>4202</v>
      </c>
      <c r="C1296" s="19" t="s">
        <v>4302</v>
      </c>
      <c r="D1296" s="19" t="s">
        <v>4307</v>
      </c>
      <c r="E1296" s="19" t="s">
        <v>4308</v>
      </c>
      <c r="F1296" s="19" t="e">
        <f>MATCH(E1296,#REF!,0)</f>
        <v>#REF!</v>
      </c>
      <c r="G1296" s="19" t="s">
        <v>4309</v>
      </c>
      <c r="H1296" s="19" t="s">
        <v>52</v>
      </c>
      <c r="I1296" s="19"/>
      <c r="J1296" s="19" t="s">
        <v>4306</v>
      </c>
      <c r="K1296" s="19" t="s">
        <v>62</v>
      </c>
      <c r="L1296" s="3" t="str">
        <f>HYPERLINK(VLOOKUP(C1296,BAPs!$A$2:$C$1048576,3,FALSE),VLOOKUP(C1296,BAPs!$A$2:$C$1048576,2,FALSE))</f>
        <v>10 out of 10</v>
      </c>
    </row>
    <row r="1297" spans="1:12" hidden="1">
      <c r="A1297" s="19" t="s">
        <v>4201</v>
      </c>
      <c r="B1297" s="19" t="s">
        <v>4202</v>
      </c>
      <c r="C1297" s="19" t="s">
        <v>4302</v>
      </c>
      <c r="D1297" s="19" t="s">
        <v>4310</v>
      </c>
      <c r="E1297" s="19" t="s">
        <v>4311</v>
      </c>
      <c r="F1297" s="19" t="e">
        <f>MATCH(E1297,#REF!,0)</f>
        <v>#REF!</v>
      </c>
      <c r="G1297" s="19" t="s">
        <v>4312</v>
      </c>
      <c r="H1297" s="19" t="s">
        <v>56</v>
      </c>
      <c r="I1297" s="19"/>
      <c r="J1297" s="19" t="s">
        <v>4306</v>
      </c>
      <c r="K1297" s="19" t="s">
        <v>62</v>
      </c>
      <c r="L1297" s="3" t="str">
        <f>HYPERLINK(VLOOKUP(C1297,BAPs!$A$2:$C$1048576,3,FALSE),VLOOKUP(C1297,BAPs!$A$2:$C$1048576,2,FALSE))</f>
        <v>10 out of 10</v>
      </c>
    </row>
    <row r="1298" spans="1:12" hidden="1">
      <c r="A1298" s="19" t="s">
        <v>4201</v>
      </c>
      <c r="B1298" s="19" t="s">
        <v>4202</v>
      </c>
      <c r="C1298" s="19" t="s">
        <v>4302</v>
      </c>
      <c r="D1298" s="19" t="s">
        <v>4273</v>
      </c>
      <c r="E1298" s="19" t="s">
        <v>4274</v>
      </c>
      <c r="F1298" s="19" t="e">
        <f>MATCH(E1298,#REF!,0)</f>
        <v>#REF!</v>
      </c>
      <c r="G1298" s="19" t="s">
        <v>4275</v>
      </c>
      <c r="H1298" s="19" t="s">
        <v>84</v>
      </c>
      <c r="I1298" s="19"/>
      <c r="J1298" s="19" t="s">
        <v>4306</v>
      </c>
      <c r="K1298" s="19" t="s">
        <v>62</v>
      </c>
      <c r="L1298" s="3" t="str">
        <f>HYPERLINK(VLOOKUP(C1298,BAPs!$A$2:$C$1048576,3,FALSE),VLOOKUP(C1298,BAPs!$A$2:$C$1048576,2,FALSE))</f>
        <v>10 out of 10</v>
      </c>
    </row>
    <row r="1299" spans="1:12" hidden="1">
      <c r="A1299" s="19" t="s">
        <v>4201</v>
      </c>
      <c r="B1299" s="19" t="s">
        <v>4202</v>
      </c>
      <c r="C1299" s="19" t="s">
        <v>4313</v>
      </c>
      <c r="D1299" s="19" t="s">
        <v>4313</v>
      </c>
      <c r="E1299" s="19" t="s">
        <v>4314</v>
      </c>
      <c r="F1299" s="19" t="e">
        <f>MATCH(E1299,#REF!,0)</f>
        <v>#REF!</v>
      </c>
      <c r="G1299" s="19" t="s">
        <v>4315</v>
      </c>
      <c r="H1299" s="19" t="s">
        <v>17</v>
      </c>
      <c r="I1299" s="19" t="s">
        <v>18</v>
      </c>
      <c r="J1299" s="19" t="s">
        <v>4316</v>
      </c>
      <c r="K1299" s="19" t="s">
        <v>20</v>
      </c>
      <c r="L1299" s="3" t="str">
        <f>HYPERLINK(VLOOKUP(C1299,BAPs!$A$2:$C$1048576,3,FALSE),VLOOKUP(C1299,BAPs!$A$2:$C$1048576,2,FALSE))</f>
        <v>4 out of 10</v>
      </c>
    </row>
    <row r="1300" spans="1:12" hidden="1">
      <c r="A1300" s="19" t="s">
        <v>4201</v>
      </c>
      <c r="B1300" s="19" t="s">
        <v>4202</v>
      </c>
      <c r="C1300" s="19" t="s">
        <v>4317</v>
      </c>
      <c r="D1300" s="19" t="s">
        <v>4317</v>
      </c>
      <c r="E1300" s="19" t="s">
        <v>4318</v>
      </c>
      <c r="F1300" s="19" t="e">
        <f>MATCH(E1300,#REF!,0)</f>
        <v>#REF!</v>
      </c>
      <c r="G1300" s="19" t="s">
        <v>4319</v>
      </c>
      <c r="H1300" s="19" t="s">
        <v>17</v>
      </c>
      <c r="I1300" s="19" t="s">
        <v>18</v>
      </c>
      <c r="J1300" s="19" t="s">
        <v>4320</v>
      </c>
      <c r="K1300" s="19" t="s">
        <v>20</v>
      </c>
      <c r="L1300" s="3" t="str">
        <f>HYPERLINK(VLOOKUP(C1300,BAPs!$A$2:$C$1048576,3,FALSE),VLOOKUP(C1300,BAPs!$A$2:$C$1048576,2,FALSE))</f>
        <v>5 out of 10</v>
      </c>
    </row>
    <row r="1301" spans="1:12" hidden="1">
      <c r="A1301" s="19" t="s">
        <v>4201</v>
      </c>
      <c r="B1301" s="19" t="s">
        <v>4202</v>
      </c>
      <c r="C1301" s="19" t="s">
        <v>4321</v>
      </c>
      <c r="D1301" s="19" t="s">
        <v>4322</v>
      </c>
      <c r="E1301" s="19" t="s">
        <v>4323</v>
      </c>
      <c r="F1301" s="19" t="e">
        <f>MATCH(E1301,#REF!,0)</f>
        <v>#REF!</v>
      </c>
      <c r="G1301" s="19" t="s">
        <v>4324</v>
      </c>
      <c r="H1301" s="19" t="s">
        <v>17</v>
      </c>
      <c r="I1301" s="19" t="s">
        <v>18</v>
      </c>
      <c r="J1301" s="19" t="s">
        <v>4325</v>
      </c>
      <c r="K1301" s="19" t="s">
        <v>20</v>
      </c>
      <c r="L1301" s="3" t="str">
        <f>HYPERLINK(VLOOKUP(C1301,BAPs!$A$2:$C$1048576,3,FALSE),VLOOKUP(C1301,BAPs!$A$2:$C$1048576,2,FALSE))</f>
        <v>4 out of 10</v>
      </c>
    </row>
    <row r="1302" spans="1:12" hidden="1">
      <c r="A1302" s="19" t="s">
        <v>4201</v>
      </c>
      <c r="B1302" s="19" t="s">
        <v>4202</v>
      </c>
      <c r="C1302" s="19" t="s">
        <v>4326</v>
      </c>
      <c r="D1302" s="19" t="s">
        <v>4326</v>
      </c>
      <c r="E1302" s="19" t="s">
        <v>4327</v>
      </c>
      <c r="F1302" s="19" t="e">
        <f>MATCH(E1302,#REF!,0)</f>
        <v>#REF!</v>
      </c>
      <c r="G1302" s="19" t="s">
        <v>4328</v>
      </c>
      <c r="H1302" s="19" t="s">
        <v>52</v>
      </c>
      <c r="I1302" s="19"/>
      <c r="J1302" s="19" t="s">
        <v>4329</v>
      </c>
      <c r="K1302" s="19" t="s">
        <v>62</v>
      </c>
      <c r="L1302" s="3" t="str">
        <f>HYPERLINK(VLOOKUP(C1302,BAPs!$A$2:$C$1048576,3,FALSE),VLOOKUP(C1302,BAPs!$A$2:$C$1048576,2,FALSE))</f>
        <v>9 out of 10</v>
      </c>
    </row>
    <row r="1303" spans="1:12" hidden="1">
      <c r="A1303" s="19" t="s">
        <v>4201</v>
      </c>
      <c r="B1303" s="19" t="s">
        <v>4202</v>
      </c>
      <c r="C1303" s="19" t="s">
        <v>4330</v>
      </c>
      <c r="D1303" s="19" t="s">
        <v>4330</v>
      </c>
      <c r="E1303" s="19" t="s">
        <v>4331</v>
      </c>
      <c r="F1303" s="19" t="e">
        <f>MATCH(E1303,#REF!,0)</f>
        <v>#REF!</v>
      </c>
      <c r="G1303" s="19" t="s">
        <v>4332</v>
      </c>
      <c r="H1303" s="19" t="s">
        <v>17</v>
      </c>
      <c r="I1303" s="19" t="s">
        <v>18</v>
      </c>
      <c r="J1303" s="19" t="s">
        <v>4333</v>
      </c>
      <c r="K1303" s="19" t="s">
        <v>62</v>
      </c>
      <c r="L1303" s="3" t="str">
        <f>HYPERLINK(VLOOKUP(C1303,BAPs!$A$2:$C$1048576,3,FALSE),VLOOKUP(C1303,BAPs!$A$2:$C$1048576,2,FALSE))</f>
        <v>9 out of 10</v>
      </c>
    </row>
    <row r="1304" spans="1:12" hidden="1">
      <c r="A1304" s="19" t="s">
        <v>4201</v>
      </c>
      <c r="B1304" s="19" t="s">
        <v>4202</v>
      </c>
      <c r="C1304" s="19" t="s">
        <v>4334</v>
      </c>
      <c r="D1304" s="19" t="s">
        <v>4334</v>
      </c>
      <c r="E1304" s="19" t="s">
        <v>4335</v>
      </c>
      <c r="F1304" s="19" t="e">
        <f>MATCH(E1304,#REF!,0)</f>
        <v>#REF!</v>
      </c>
      <c r="G1304" s="19" t="s">
        <v>4336</v>
      </c>
      <c r="H1304" s="19" t="s">
        <v>17</v>
      </c>
      <c r="I1304" s="19" t="s">
        <v>18</v>
      </c>
      <c r="J1304" s="19" t="s">
        <v>4337</v>
      </c>
      <c r="K1304" s="19" t="s">
        <v>20</v>
      </c>
      <c r="L1304" s="3" t="str">
        <f>HYPERLINK(VLOOKUP(C1304,BAPs!$A$2:$C$1048576,3,FALSE),VLOOKUP(C1304,BAPs!$A$2:$C$1048576,2,FALSE))</f>
        <v>3 out of 10</v>
      </c>
    </row>
    <row r="1305" spans="1:12" hidden="1">
      <c r="A1305" s="19" t="s">
        <v>4201</v>
      </c>
      <c r="B1305" s="19" t="s">
        <v>4202</v>
      </c>
      <c r="C1305" s="19" t="s">
        <v>4338</v>
      </c>
      <c r="D1305" s="19" t="s">
        <v>4338</v>
      </c>
      <c r="E1305" s="19" t="s">
        <v>4339</v>
      </c>
      <c r="F1305" s="19" t="e">
        <f>MATCH(E1305,#REF!,0)</f>
        <v>#REF!</v>
      </c>
      <c r="G1305" s="19" t="s">
        <v>4340</v>
      </c>
      <c r="H1305" s="19" t="s">
        <v>17</v>
      </c>
      <c r="I1305" s="19" t="s">
        <v>18</v>
      </c>
      <c r="J1305" s="19" t="s">
        <v>4341</v>
      </c>
      <c r="K1305" s="19" t="s">
        <v>62</v>
      </c>
      <c r="L1305" s="3" t="str">
        <f>HYPERLINK(VLOOKUP(C1305,BAPs!$A$2:$C$1048576,3,FALSE),VLOOKUP(C1305,BAPs!$A$2:$C$1048576,2,FALSE))</f>
        <v>10 out of 10</v>
      </c>
    </row>
    <row r="1306" spans="1:12" hidden="1">
      <c r="A1306" s="19" t="s">
        <v>4201</v>
      </c>
      <c r="B1306" s="19" t="s">
        <v>4202</v>
      </c>
      <c r="C1306" s="19" t="s">
        <v>4342</v>
      </c>
      <c r="D1306" s="19" t="s">
        <v>4342</v>
      </c>
      <c r="E1306" s="19" t="s">
        <v>4343</v>
      </c>
      <c r="F1306" s="19" t="e">
        <f>MATCH(E1306,#REF!,0)</f>
        <v>#REF!</v>
      </c>
      <c r="G1306" s="19" t="s">
        <v>4344</v>
      </c>
      <c r="H1306" s="19" t="s">
        <v>17</v>
      </c>
      <c r="I1306" s="19" t="s">
        <v>18</v>
      </c>
      <c r="J1306" s="19" t="s">
        <v>4345</v>
      </c>
      <c r="K1306" s="19" t="s">
        <v>20</v>
      </c>
      <c r="L1306" s="3" t="str">
        <f>HYPERLINK(VLOOKUP(C1306,BAPs!$A$2:$C$1048576,3,FALSE),VLOOKUP(C1306,BAPs!$A$2:$C$1048576,2,FALSE))</f>
        <v>1 out of 10</v>
      </c>
    </row>
    <row r="1307" spans="1:12" hidden="1">
      <c r="A1307" s="19" t="s">
        <v>4201</v>
      </c>
      <c r="B1307" s="19" t="s">
        <v>4202</v>
      </c>
      <c r="C1307" s="19" t="s">
        <v>4346</v>
      </c>
      <c r="D1307" s="19" t="s">
        <v>4346</v>
      </c>
      <c r="E1307" s="19" t="s">
        <v>4347</v>
      </c>
      <c r="F1307" s="19" t="e">
        <f>MATCH(E1307,#REF!,0)</f>
        <v>#REF!</v>
      </c>
      <c r="G1307" s="19" t="s">
        <v>4348</v>
      </c>
      <c r="H1307" s="19" t="s">
        <v>17</v>
      </c>
      <c r="I1307" s="19" t="s">
        <v>18</v>
      </c>
      <c r="J1307" s="19" t="s">
        <v>4349</v>
      </c>
      <c r="K1307" s="19" t="s">
        <v>62</v>
      </c>
      <c r="L1307" s="3" t="str">
        <f>HYPERLINK(VLOOKUP(C1307,BAPs!$A$2:$C$1048576,3,FALSE),VLOOKUP(C1307,BAPs!$A$2:$C$1048576,2,FALSE))</f>
        <v>10 out of 10</v>
      </c>
    </row>
    <row r="1308" spans="1:12" hidden="1">
      <c r="A1308" s="19" t="s">
        <v>4201</v>
      </c>
      <c r="B1308" s="19" t="s">
        <v>4202</v>
      </c>
      <c r="C1308" s="19" t="s">
        <v>4346</v>
      </c>
      <c r="D1308" s="19" t="s">
        <v>4226</v>
      </c>
      <c r="E1308" s="19" t="s">
        <v>4227</v>
      </c>
      <c r="F1308" s="19" t="e">
        <f>MATCH(E1308,#REF!,0)</f>
        <v>#REF!</v>
      </c>
      <c r="G1308" s="19" t="s">
        <v>4228</v>
      </c>
      <c r="H1308" s="19" t="s">
        <v>24</v>
      </c>
      <c r="I1308" s="19" t="s">
        <v>18</v>
      </c>
      <c r="J1308" s="19" t="s">
        <v>4349</v>
      </c>
      <c r="K1308" s="19" t="s">
        <v>62</v>
      </c>
      <c r="L1308" s="3" t="str">
        <f>HYPERLINK(VLOOKUP(C1308,BAPs!$A$2:$C$1048576,3,FALSE),VLOOKUP(C1308,BAPs!$A$2:$C$1048576,2,FALSE))</f>
        <v>10 out of 10</v>
      </c>
    </row>
    <row r="1309" spans="1:12" hidden="1">
      <c r="A1309" s="19" t="s">
        <v>4201</v>
      </c>
      <c r="B1309" s="19" t="s">
        <v>4202</v>
      </c>
      <c r="C1309" s="19" t="s">
        <v>4350</v>
      </c>
      <c r="D1309" s="19" t="s">
        <v>4350</v>
      </c>
      <c r="E1309" s="19" t="s">
        <v>4351</v>
      </c>
      <c r="F1309" s="19" t="e">
        <f>MATCH(E1309,#REF!,0)</f>
        <v>#REF!</v>
      </c>
      <c r="G1309" s="19" t="s">
        <v>4352</v>
      </c>
      <c r="H1309" s="19" t="s">
        <v>17</v>
      </c>
      <c r="I1309" s="19" t="s">
        <v>18</v>
      </c>
      <c r="J1309" s="19" t="s">
        <v>4353</v>
      </c>
      <c r="K1309" s="19" t="s">
        <v>20</v>
      </c>
      <c r="L1309" s="3" t="str">
        <f>HYPERLINK(VLOOKUP(C1309,BAPs!$A$2:$C$1048576,3,FALSE),VLOOKUP(C1309,BAPs!$A$2:$C$1048576,2,FALSE))</f>
        <v>4 out of 10</v>
      </c>
    </row>
    <row r="1310" spans="1:12" hidden="1">
      <c r="A1310" s="19" t="s">
        <v>4201</v>
      </c>
      <c r="B1310" s="19" t="s">
        <v>4202</v>
      </c>
      <c r="C1310" s="19" t="s">
        <v>4354</v>
      </c>
      <c r="D1310" s="19" t="s">
        <v>4354</v>
      </c>
      <c r="E1310" s="19" t="s">
        <v>4355</v>
      </c>
      <c r="F1310" s="19" t="e">
        <f>MATCH(E1310,#REF!,0)</f>
        <v>#REF!</v>
      </c>
      <c r="G1310" s="19" t="s">
        <v>4356</v>
      </c>
      <c r="H1310" s="19" t="s">
        <v>17</v>
      </c>
      <c r="I1310" s="19" t="s">
        <v>18</v>
      </c>
      <c r="J1310" s="19" t="s">
        <v>4357</v>
      </c>
      <c r="K1310" s="19" t="s">
        <v>20</v>
      </c>
      <c r="L1310" s="3" t="str">
        <f>HYPERLINK(VLOOKUP(C1310,BAPs!$A$2:$C$1048576,3,FALSE),VLOOKUP(C1310,BAPs!$A$2:$C$1048576,2,FALSE))</f>
        <v>1 out of 10</v>
      </c>
    </row>
    <row r="1311" spans="1:12" hidden="1">
      <c r="A1311" s="19" t="s">
        <v>4201</v>
      </c>
      <c r="B1311" s="19" t="s">
        <v>4202</v>
      </c>
      <c r="C1311" s="19" t="s">
        <v>4358</v>
      </c>
      <c r="D1311" s="19" t="s">
        <v>4233</v>
      </c>
      <c r="E1311" s="19" t="s">
        <v>4234</v>
      </c>
      <c r="F1311" s="19" t="e">
        <f>MATCH(E1311,#REF!,0)</f>
        <v>#REF!</v>
      </c>
      <c r="G1311" s="19" t="s">
        <v>4235</v>
      </c>
      <c r="H1311" s="19" t="s">
        <v>43</v>
      </c>
      <c r="I1311" s="19" t="s">
        <v>18</v>
      </c>
      <c r="J1311" s="19" t="s">
        <v>4359</v>
      </c>
      <c r="K1311" s="19" t="s">
        <v>62</v>
      </c>
      <c r="L1311" s="3" t="str">
        <f>HYPERLINK(VLOOKUP(C1311,BAPs!$A$2:$C$1048576,3,FALSE),VLOOKUP(C1311,BAPs!$A$2:$C$1048576,2,FALSE))</f>
        <v>9 out of 10</v>
      </c>
    </row>
    <row r="1312" spans="1:12" hidden="1">
      <c r="A1312" s="19" t="s">
        <v>4201</v>
      </c>
      <c r="B1312" s="19" t="s">
        <v>4202</v>
      </c>
      <c r="C1312" s="19" t="s">
        <v>4358</v>
      </c>
      <c r="D1312" s="19" t="s">
        <v>4358</v>
      </c>
      <c r="E1312" s="19" t="s">
        <v>4360</v>
      </c>
      <c r="F1312" s="19" t="e">
        <f>MATCH(E1312,#REF!,0)</f>
        <v>#REF!</v>
      </c>
      <c r="G1312" s="19" t="s">
        <v>4361</v>
      </c>
      <c r="H1312" s="19" t="s">
        <v>52</v>
      </c>
      <c r="I1312" s="19"/>
      <c r="J1312" s="19" t="s">
        <v>4359</v>
      </c>
      <c r="K1312" s="19" t="s">
        <v>62</v>
      </c>
      <c r="L1312" s="3" t="str">
        <f>HYPERLINK(VLOOKUP(C1312,BAPs!$A$2:$C$1048576,3,FALSE),VLOOKUP(C1312,BAPs!$A$2:$C$1048576,2,FALSE))</f>
        <v>9 out of 10</v>
      </c>
    </row>
    <row r="1313" spans="1:12" hidden="1">
      <c r="A1313" s="19" t="s">
        <v>4201</v>
      </c>
      <c r="B1313" s="19" t="s">
        <v>4202</v>
      </c>
      <c r="C1313" s="19" t="s">
        <v>4358</v>
      </c>
      <c r="D1313" s="19" t="s">
        <v>4226</v>
      </c>
      <c r="E1313" s="19" t="s">
        <v>4227</v>
      </c>
      <c r="F1313" s="19" t="e">
        <f>MATCH(E1313,#REF!,0)</f>
        <v>#REF!</v>
      </c>
      <c r="G1313" s="19" t="s">
        <v>4228</v>
      </c>
      <c r="H1313" s="19" t="s">
        <v>24</v>
      </c>
      <c r="I1313" s="19" t="s">
        <v>18</v>
      </c>
      <c r="J1313" s="19" t="s">
        <v>4359</v>
      </c>
      <c r="K1313" s="19" t="s">
        <v>62</v>
      </c>
      <c r="L1313" s="3" t="str">
        <f>HYPERLINK(VLOOKUP(C1313,BAPs!$A$2:$C$1048576,3,FALSE),VLOOKUP(C1313,BAPs!$A$2:$C$1048576,2,FALSE))</f>
        <v>9 out of 10</v>
      </c>
    </row>
    <row r="1314" spans="1:12" hidden="1">
      <c r="A1314" s="19" t="s">
        <v>4201</v>
      </c>
      <c r="B1314" s="19" t="s">
        <v>4202</v>
      </c>
      <c r="C1314" s="19" t="s">
        <v>4362</v>
      </c>
      <c r="D1314" s="19" t="s">
        <v>4362</v>
      </c>
      <c r="E1314" s="19" t="s">
        <v>4363</v>
      </c>
      <c r="F1314" s="19" t="e">
        <f>MATCH(E1314,#REF!,0)</f>
        <v>#REF!</v>
      </c>
      <c r="G1314" s="19" t="s">
        <v>4364</v>
      </c>
      <c r="H1314" s="19" t="s">
        <v>17</v>
      </c>
      <c r="I1314" s="19" t="s">
        <v>18</v>
      </c>
      <c r="J1314" s="19" t="s">
        <v>4365</v>
      </c>
      <c r="K1314" s="19" t="s">
        <v>62</v>
      </c>
      <c r="L1314" s="3" t="str">
        <f>HYPERLINK(VLOOKUP(C1314,BAPs!$A$2:$C$1048576,3,FALSE),VLOOKUP(C1314,BAPs!$A$2:$C$1048576,2,FALSE))</f>
        <v>10 out of 10</v>
      </c>
    </row>
    <row r="1315" spans="1:12" hidden="1">
      <c r="A1315" s="19" t="s">
        <v>4201</v>
      </c>
      <c r="B1315" s="19" t="s">
        <v>4202</v>
      </c>
      <c r="C1315" s="19" t="s">
        <v>4366</v>
      </c>
      <c r="D1315" s="19" t="s">
        <v>4367</v>
      </c>
      <c r="E1315" s="19" t="s">
        <v>4368</v>
      </c>
      <c r="F1315" s="19" t="e">
        <f>MATCH(E1315,#REF!,0)</f>
        <v>#REF!</v>
      </c>
      <c r="G1315" s="19" t="s">
        <v>4369</v>
      </c>
      <c r="H1315" s="19" t="s">
        <v>17</v>
      </c>
      <c r="I1315" s="19" t="s">
        <v>18</v>
      </c>
      <c r="J1315" s="19" t="s">
        <v>4370</v>
      </c>
      <c r="K1315" s="19" t="s">
        <v>62</v>
      </c>
      <c r="L1315" s="3" t="str">
        <f>HYPERLINK(VLOOKUP(C1315,BAPs!$A$2:$C$1048576,3,FALSE),VLOOKUP(C1315,BAPs!$A$2:$C$1048576,2,FALSE))</f>
        <v>10 out of 10</v>
      </c>
    </row>
    <row r="1316" spans="1:12" hidden="1">
      <c r="A1316" s="19" t="s">
        <v>4201</v>
      </c>
      <c r="B1316" s="19" t="s">
        <v>4202</v>
      </c>
      <c r="C1316" s="19" t="s">
        <v>4371</v>
      </c>
      <c r="D1316" s="19" t="s">
        <v>4371</v>
      </c>
      <c r="E1316" s="19" t="s">
        <v>4372</v>
      </c>
      <c r="F1316" s="19" t="e">
        <f>MATCH(E1316,#REF!,0)</f>
        <v>#REF!</v>
      </c>
      <c r="G1316" s="19" t="s">
        <v>4373</v>
      </c>
      <c r="H1316" s="19" t="s">
        <v>17</v>
      </c>
      <c r="I1316" s="19" t="s">
        <v>18</v>
      </c>
      <c r="J1316" s="19" t="s">
        <v>4374</v>
      </c>
      <c r="K1316" s="19" t="s">
        <v>62</v>
      </c>
      <c r="L1316" s="3" t="str">
        <f>HYPERLINK(VLOOKUP(C1316,BAPs!$A$2:$C$1048576,3,FALSE),VLOOKUP(C1316,BAPs!$A$2:$C$1048576,2,FALSE))</f>
        <v>9 out of 10</v>
      </c>
    </row>
    <row r="1317" spans="1:12" hidden="1">
      <c r="A1317" s="19" t="s">
        <v>4201</v>
      </c>
      <c r="B1317" s="19" t="s">
        <v>4202</v>
      </c>
      <c r="C1317" s="19" t="s">
        <v>4375</v>
      </c>
      <c r="D1317" s="19" t="s">
        <v>4321</v>
      </c>
      <c r="E1317" s="19" t="s">
        <v>4376</v>
      </c>
      <c r="F1317" s="19" t="e">
        <f>MATCH(E1317,#REF!,0)</f>
        <v>#REF!</v>
      </c>
      <c r="G1317" s="19" t="s">
        <v>4377</v>
      </c>
      <c r="H1317" s="19" t="s">
        <v>24</v>
      </c>
      <c r="I1317" s="19" t="s">
        <v>18</v>
      </c>
      <c r="J1317" s="19" t="s">
        <v>4378</v>
      </c>
      <c r="K1317" s="19" t="s">
        <v>62</v>
      </c>
      <c r="L1317" s="3" t="str">
        <f>HYPERLINK(VLOOKUP(C1317,BAPs!$A$2:$C$1048576,3,FALSE),VLOOKUP(C1317,BAPs!$A$2:$C$1048576,2,FALSE))</f>
        <v>10 out of 10</v>
      </c>
    </row>
    <row r="1318" spans="1:12" hidden="1">
      <c r="A1318" s="19" t="s">
        <v>4201</v>
      </c>
      <c r="B1318" s="19" t="s">
        <v>4202</v>
      </c>
      <c r="C1318" s="19" t="s">
        <v>4375</v>
      </c>
      <c r="D1318" s="19" t="s">
        <v>4226</v>
      </c>
      <c r="E1318" s="19" t="s">
        <v>4227</v>
      </c>
      <c r="F1318" s="19" t="e">
        <f>MATCH(E1318,#REF!,0)</f>
        <v>#REF!</v>
      </c>
      <c r="G1318" s="19" t="s">
        <v>4228</v>
      </c>
      <c r="H1318" s="19" t="s">
        <v>24</v>
      </c>
      <c r="I1318" s="19" t="s">
        <v>18</v>
      </c>
      <c r="J1318" s="19" t="s">
        <v>4378</v>
      </c>
      <c r="K1318" s="19" t="s">
        <v>62</v>
      </c>
      <c r="L1318" s="3" t="str">
        <f>HYPERLINK(VLOOKUP(C1318,BAPs!$A$2:$C$1048576,3,FALSE),VLOOKUP(C1318,BAPs!$A$2:$C$1048576,2,FALSE))</f>
        <v>10 out of 10</v>
      </c>
    </row>
    <row r="1319" spans="1:12" hidden="1">
      <c r="A1319" s="19" t="s">
        <v>4201</v>
      </c>
      <c r="B1319" s="19" t="s">
        <v>4202</v>
      </c>
      <c r="C1319" s="19" t="s">
        <v>4379</v>
      </c>
      <c r="D1319" s="19" t="s">
        <v>4379</v>
      </c>
      <c r="E1319" s="19" t="s">
        <v>4380</v>
      </c>
      <c r="F1319" s="19" t="e">
        <f>MATCH(E1319,#REF!,0)</f>
        <v>#REF!</v>
      </c>
      <c r="G1319" s="19" t="s">
        <v>4381</v>
      </c>
      <c r="H1319" s="19" t="s">
        <v>52</v>
      </c>
      <c r="I1319" s="19"/>
      <c r="J1319" s="19" t="s">
        <v>4382</v>
      </c>
      <c r="K1319" s="19" t="s">
        <v>20</v>
      </c>
      <c r="L1319" s="3" t="str">
        <f>HYPERLINK(VLOOKUP(C1319,BAPs!$A$2:$C$1048576,3,FALSE),VLOOKUP(C1319,BAPs!$A$2:$C$1048576,2,FALSE))</f>
        <v>8 out of 10</v>
      </c>
    </row>
    <row r="1320" spans="1:12" hidden="1">
      <c r="A1320" s="19" t="s">
        <v>4201</v>
      </c>
      <c r="B1320" s="19" t="s">
        <v>4202</v>
      </c>
      <c r="C1320" s="19" t="s">
        <v>4383</v>
      </c>
      <c r="D1320" s="19" t="s">
        <v>4233</v>
      </c>
      <c r="E1320" s="19" t="s">
        <v>4234</v>
      </c>
      <c r="F1320" s="19" t="e">
        <f>MATCH(E1320,#REF!,0)</f>
        <v>#REF!</v>
      </c>
      <c r="G1320" s="19" t="s">
        <v>4235</v>
      </c>
      <c r="H1320" s="19" t="s">
        <v>43</v>
      </c>
      <c r="I1320" s="19" t="s">
        <v>18</v>
      </c>
      <c r="J1320" s="19" t="s">
        <v>4384</v>
      </c>
      <c r="K1320" s="19" t="s">
        <v>20</v>
      </c>
      <c r="L1320" s="3" t="str">
        <f>HYPERLINK(VLOOKUP(C1320,BAPs!$A$2:$C$1048576,3,FALSE),VLOOKUP(C1320,BAPs!$A$2:$C$1048576,2,FALSE))</f>
        <v>6 out of 10</v>
      </c>
    </row>
    <row r="1321" spans="1:12" hidden="1">
      <c r="A1321" s="19" t="s">
        <v>4201</v>
      </c>
      <c r="B1321" s="19" t="s">
        <v>4202</v>
      </c>
      <c r="C1321" s="19" t="s">
        <v>4383</v>
      </c>
      <c r="D1321" s="19" t="s">
        <v>4383</v>
      </c>
      <c r="E1321" s="19" t="s">
        <v>4385</v>
      </c>
      <c r="F1321" s="19" t="e">
        <f>MATCH(E1321,#REF!,0)</f>
        <v>#REF!</v>
      </c>
      <c r="G1321" s="19" t="s">
        <v>4386</v>
      </c>
      <c r="H1321" s="19" t="s">
        <v>52</v>
      </c>
      <c r="I1321" s="19"/>
      <c r="J1321" s="19" t="s">
        <v>4384</v>
      </c>
      <c r="K1321" s="19" t="s">
        <v>20</v>
      </c>
      <c r="L1321" s="3" t="str">
        <f>HYPERLINK(VLOOKUP(C1321,BAPs!$A$2:$C$1048576,3,FALSE),VLOOKUP(C1321,BAPs!$A$2:$C$1048576,2,FALSE))</f>
        <v>6 out of 10</v>
      </c>
    </row>
    <row r="1322" spans="1:12" hidden="1">
      <c r="A1322" s="19" t="s">
        <v>4201</v>
      </c>
      <c r="B1322" s="19" t="s">
        <v>4202</v>
      </c>
      <c r="C1322" s="19" t="s">
        <v>4387</v>
      </c>
      <c r="D1322" s="19" t="s">
        <v>4273</v>
      </c>
      <c r="E1322" s="19" t="s">
        <v>4274</v>
      </c>
      <c r="F1322" s="19" t="e">
        <f>MATCH(E1322,#REF!,0)</f>
        <v>#REF!</v>
      </c>
      <c r="G1322" s="19" t="s">
        <v>4275</v>
      </c>
      <c r="H1322" s="19" t="s">
        <v>84</v>
      </c>
      <c r="I1322" s="19"/>
      <c r="J1322" s="19" t="s">
        <v>4388</v>
      </c>
      <c r="K1322" s="19" t="s">
        <v>62</v>
      </c>
      <c r="L1322" s="3" t="str">
        <f>HYPERLINK(VLOOKUP(C1322,BAPs!$A$2:$C$1048576,3,FALSE),VLOOKUP(C1322,BAPs!$A$2:$C$1048576,2,FALSE))</f>
        <v>10 out of 10</v>
      </c>
    </row>
    <row r="1323" spans="1:12" hidden="1">
      <c r="A1323" s="19" t="s">
        <v>4201</v>
      </c>
      <c r="B1323" s="19" t="s">
        <v>4202</v>
      </c>
      <c r="C1323" s="19" t="s">
        <v>4389</v>
      </c>
      <c r="D1323" s="19" t="s">
        <v>4233</v>
      </c>
      <c r="E1323" s="19" t="s">
        <v>4234</v>
      </c>
      <c r="F1323" s="19" t="e">
        <f>MATCH(E1323,#REF!,0)</f>
        <v>#REF!</v>
      </c>
      <c r="G1323" s="19" t="s">
        <v>4235</v>
      </c>
      <c r="H1323" s="19" t="s">
        <v>43</v>
      </c>
      <c r="I1323" s="19" t="s">
        <v>18</v>
      </c>
      <c r="J1323" s="19" t="s">
        <v>4390</v>
      </c>
      <c r="K1323" s="19" t="s">
        <v>20</v>
      </c>
      <c r="L1323" s="3" t="str">
        <f>HYPERLINK(VLOOKUP(C1323,BAPs!$A$2:$C$1048576,3,FALSE),VLOOKUP(C1323,BAPs!$A$2:$C$1048576,2,FALSE))</f>
        <v>6 out of 10</v>
      </c>
    </row>
    <row r="1324" spans="1:12" hidden="1">
      <c r="A1324" s="19" t="s">
        <v>4201</v>
      </c>
      <c r="B1324" s="19" t="s">
        <v>4202</v>
      </c>
      <c r="C1324" s="19" t="s">
        <v>4389</v>
      </c>
      <c r="D1324" s="19" t="s">
        <v>4391</v>
      </c>
      <c r="E1324" s="19" t="s">
        <v>4392</v>
      </c>
      <c r="F1324" s="19" t="e">
        <f>MATCH(E1324,#REF!,0)</f>
        <v>#REF!</v>
      </c>
      <c r="G1324" s="19" t="s">
        <v>4393</v>
      </c>
      <c r="H1324" s="19" t="s">
        <v>56</v>
      </c>
      <c r="I1324" s="19"/>
      <c r="J1324" s="19" t="s">
        <v>4390</v>
      </c>
      <c r="K1324" s="19" t="s">
        <v>20</v>
      </c>
      <c r="L1324" s="3" t="str">
        <f>HYPERLINK(VLOOKUP(C1324,BAPs!$A$2:$C$1048576,3,FALSE),VLOOKUP(C1324,BAPs!$A$2:$C$1048576,2,FALSE))</f>
        <v>6 out of 10</v>
      </c>
    </row>
    <row r="1325" spans="1:12" hidden="1">
      <c r="A1325" s="19" t="s">
        <v>4201</v>
      </c>
      <c r="B1325" s="19" t="s">
        <v>4202</v>
      </c>
      <c r="C1325" s="19" t="s">
        <v>4389</v>
      </c>
      <c r="D1325" s="19" t="s">
        <v>4273</v>
      </c>
      <c r="E1325" s="19" t="s">
        <v>4274</v>
      </c>
      <c r="F1325" s="19" t="e">
        <f>MATCH(E1325,#REF!,0)</f>
        <v>#REF!</v>
      </c>
      <c r="G1325" s="19" t="s">
        <v>4275</v>
      </c>
      <c r="H1325" s="19" t="s">
        <v>84</v>
      </c>
      <c r="I1325" s="19"/>
      <c r="J1325" s="19" t="s">
        <v>4390</v>
      </c>
      <c r="K1325" s="19" t="s">
        <v>20</v>
      </c>
      <c r="L1325" s="3" t="str">
        <f>HYPERLINK(VLOOKUP(C1325,BAPs!$A$2:$C$1048576,3,FALSE),VLOOKUP(C1325,BAPs!$A$2:$C$1048576,2,FALSE))</f>
        <v>6 out of 10</v>
      </c>
    </row>
    <row r="1326" spans="1:12" hidden="1">
      <c r="A1326" s="19" t="s">
        <v>4201</v>
      </c>
      <c r="B1326" s="19" t="s">
        <v>4202</v>
      </c>
      <c r="C1326" s="19" t="s">
        <v>4391</v>
      </c>
      <c r="D1326" s="19" t="s">
        <v>4394</v>
      </c>
      <c r="E1326" s="19" t="s">
        <v>4395</v>
      </c>
      <c r="F1326" s="19" t="e">
        <f>MATCH(E1326,#REF!,0)</f>
        <v>#REF!</v>
      </c>
      <c r="G1326" s="19" t="s">
        <v>4396</v>
      </c>
      <c r="H1326" s="19" t="s">
        <v>56</v>
      </c>
      <c r="I1326" s="19"/>
      <c r="J1326" s="19" t="s">
        <v>4397</v>
      </c>
      <c r="K1326" s="19" t="s">
        <v>20</v>
      </c>
      <c r="L1326" s="3" t="str">
        <f>HYPERLINK(VLOOKUP(C1326,BAPs!$A$2:$C$1048576,3,FALSE),VLOOKUP(C1326,BAPs!$A$2:$C$1048576,2,FALSE))</f>
        <v>8 out of 10</v>
      </c>
    </row>
    <row r="1327" spans="1:12" hidden="1">
      <c r="A1327" s="19" t="s">
        <v>4201</v>
      </c>
      <c r="B1327" s="19" t="s">
        <v>4202</v>
      </c>
      <c r="C1327" s="19" t="s">
        <v>4398</v>
      </c>
      <c r="D1327" s="19" t="s">
        <v>4233</v>
      </c>
      <c r="E1327" s="19" t="s">
        <v>4234</v>
      </c>
      <c r="F1327" s="19" t="e">
        <f>MATCH(E1327,#REF!,0)</f>
        <v>#REF!</v>
      </c>
      <c r="G1327" s="19" t="s">
        <v>4235</v>
      </c>
      <c r="H1327" s="19" t="s">
        <v>43</v>
      </c>
      <c r="I1327" s="19" t="s">
        <v>18</v>
      </c>
      <c r="J1327" s="19" t="s">
        <v>4399</v>
      </c>
      <c r="K1327" s="19" t="s">
        <v>20</v>
      </c>
      <c r="L1327" s="3" t="str">
        <f>HYPERLINK(VLOOKUP(C1327,BAPs!$A$2:$C$1048576,3,FALSE),VLOOKUP(C1327,BAPs!$A$2:$C$1048576,2,FALSE))</f>
        <v>3 out of 10</v>
      </c>
    </row>
    <row r="1328" spans="1:12" hidden="1">
      <c r="A1328" s="19" t="s">
        <v>4201</v>
      </c>
      <c r="B1328" s="19" t="s">
        <v>4202</v>
      </c>
      <c r="C1328" s="19" t="s">
        <v>4398</v>
      </c>
      <c r="D1328" s="19" t="s">
        <v>4398</v>
      </c>
      <c r="E1328" s="19" t="s">
        <v>4400</v>
      </c>
      <c r="F1328" s="19" t="e">
        <f>MATCH(E1328,#REF!,0)</f>
        <v>#REF!</v>
      </c>
      <c r="G1328" s="19" t="s">
        <v>4401</v>
      </c>
      <c r="H1328" s="19" t="s">
        <v>56</v>
      </c>
      <c r="I1328" s="19"/>
      <c r="J1328" s="19" t="s">
        <v>4399</v>
      </c>
      <c r="K1328" s="19" t="s">
        <v>20</v>
      </c>
      <c r="L1328" s="3" t="str">
        <f>HYPERLINK(VLOOKUP(C1328,BAPs!$A$2:$C$1048576,3,FALSE),VLOOKUP(C1328,BAPs!$A$2:$C$1048576,2,FALSE))</f>
        <v>3 out of 10</v>
      </c>
    </row>
    <row r="1329" spans="1:12" hidden="1">
      <c r="A1329" s="19" t="s">
        <v>4201</v>
      </c>
      <c r="B1329" s="19" t="s">
        <v>4202</v>
      </c>
      <c r="C1329" s="19" t="s">
        <v>4402</v>
      </c>
      <c r="D1329" s="19" t="s">
        <v>4233</v>
      </c>
      <c r="E1329" s="19" t="s">
        <v>4234</v>
      </c>
      <c r="F1329" s="19" t="e">
        <f>MATCH(E1329,#REF!,0)</f>
        <v>#REF!</v>
      </c>
      <c r="G1329" s="19" t="s">
        <v>4235</v>
      </c>
      <c r="H1329" s="19" t="s">
        <v>43</v>
      </c>
      <c r="I1329" s="19" t="s">
        <v>18</v>
      </c>
      <c r="J1329" s="19" t="s">
        <v>4403</v>
      </c>
      <c r="K1329" s="19" t="s">
        <v>20</v>
      </c>
      <c r="L1329" s="3" t="str">
        <f>HYPERLINK(VLOOKUP(C1329,BAPs!$A$2:$C$1048576,3,FALSE),VLOOKUP(C1329,BAPs!$A$2:$C$1048576,2,FALSE))</f>
        <v>7 out of 10</v>
      </c>
    </row>
    <row r="1330" spans="1:12" hidden="1">
      <c r="A1330" s="19" t="s">
        <v>4201</v>
      </c>
      <c r="B1330" s="19" t="s">
        <v>4202</v>
      </c>
      <c r="C1330" s="19" t="s">
        <v>4402</v>
      </c>
      <c r="D1330" s="19" t="s">
        <v>4402</v>
      </c>
      <c r="E1330" s="19" t="s">
        <v>4404</v>
      </c>
      <c r="F1330" s="19" t="e">
        <f>MATCH(E1330,#REF!,0)</f>
        <v>#REF!</v>
      </c>
      <c r="G1330" s="19" t="s">
        <v>4405</v>
      </c>
      <c r="H1330" s="19" t="s">
        <v>56</v>
      </c>
      <c r="I1330" s="19"/>
      <c r="J1330" s="19" t="s">
        <v>4403</v>
      </c>
      <c r="K1330" s="19" t="s">
        <v>20</v>
      </c>
      <c r="L1330" s="3" t="str">
        <f>HYPERLINK(VLOOKUP(C1330,BAPs!$A$2:$C$1048576,3,FALSE),VLOOKUP(C1330,BAPs!$A$2:$C$1048576,2,FALSE))</f>
        <v>7 out of 10</v>
      </c>
    </row>
    <row r="1331" spans="1:12" hidden="1">
      <c r="A1331" s="19" t="s">
        <v>4201</v>
      </c>
      <c r="B1331" s="19" t="s">
        <v>4202</v>
      </c>
      <c r="C1331" s="19" t="s">
        <v>4406</v>
      </c>
      <c r="D1331" s="19" t="s">
        <v>4233</v>
      </c>
      <c r="E1331" s="19" t="s">
        <v>4234</v>
      </c>
      <c r="F1331" s="19" t="e">
        <f>MATCH(E1331,#REF!,0)</f>
        <v>#REF!</v>
      </c>
      <c r="G1331" s="19" t="s">
        <v>4235</v>
      </c>
      <c r="H1331" s="19" t="s">
        <v>43</v>
      </c>
      <c r="I1331" s="19" t="s">
        <v>18</v>
      </c>
      <c r="J1331" s="19" t="s">
        <v>4407</v>
      </c>
      <c r="K1331" s="19" t="s">
        <v>20</v>
      </c>
      <c r="L1331" s="3" t="str">
        <f>HYPERLINK(VLOOKUP(C1331,BAPs!$A$2:$C$1048576,3,FALSE),VLOOKUP(C1331,BAPs!$A$2:$C$1048576,2,FALSE))</f>
        <v>7 out of 10</v>
      </c>
    </row>
    <row r="1332" spans="1:12" hidden="1">
      <c r="A1332" s="19" t="s">
        <v>4201</v>
      </c>
      <c r="B1332" s="19" t="s">
        <v>4202</v>
      </c>
      <c r="C1332" s="19" t="s">
        <v>4406</v>
      </c>
      <c r="D1332" s="19" t="s">
        <v>4406</v>
      </c>
      <c r="E1332" s="19" t="s">
        <v>4408</v>
      </c>
      <c r="F1332" s="19" t="e">
        <f>MATCH(E1332,#REF!,0)</f>
        <v>#REF!</v>
      </c>
      <c r="G1332" s="19" t="s">
        <v>4409</v>
      </c>
      <c r="H1332" s="19" t="s">
        <v>56</v>
      </c>
      <c r="I1332" s="19"/>
      <c r="J1332" s="19" t="s">
        <v>4407</v>
      </c>
      <c r="K1332" s="19" t="s">
        <v>20</v>
      </c>
      <c r="L1332" s="3" t="str">
        <f>HYPERLINK(VLOOKUP(C1332,BAPs!$A$2:$C$1048576,3,FALSE),VLOOKUP(C1332,BAPs!$A$2:$C$1048576,2,FALSE))</f>
        <v>7 out of 10</v>
      </c>
    </row>
    <row r="1333" spans="1:12" hidden="1">
      <c r="A1333" s="19" t="s">
        <v>4201</v>
      </c>
      <c r="B1333" s="19" t="s">
        <v>4202</v>
      </c>
      <c r="C1333" s="19" t="s">
        <v>4406</v>
      </c>
      <c r="D1333" s="19" t="s">
        <v>4273</v>
      </c>
      <c r="E1333" s="19" t="s">
        <v>4274</v>
      </c>
      <c r="F1333" s="19" t="e">
        <f>MATCH(E1333,#REF!,0)</f>
        <v>#REF!</v>
      </c>
      <c r="G1333" s="19" t="s">
        <v>4275</v>
      </c>
      <c r="H1333" s="19" t="s">
        <v>84</v>
      </c>
      <c r="I1333" s="19"/>
      <c r="J1333" s="19" t="s">
        <v>4407</v>
      </c>
      <c r="K1333" s="19" t="s">
        <v>20</v>
      </c>
      <c r="L1333" s="3" t="str">
        <f>HYPERLINK(VLOOKUP(C1333,BAPs!$A$2:$C$1048576,3,FALSE),VLOOKUP(C1333,BAPs!$A$2:$C$1048576,2,FALSE))</f>
        <v>7 out of 10</v>
      </c>
    </row>
    <row r="1334" spans="1:12" hidden="1">
      <c r="A1334" s="19" t="s">
        <v>4201</v>
      </c>
      <c r="B1334" s="19" t="s">
        <v>4202</v>
      </c>
      <c r="C1334" s="19" t="s">
        <v>4410</v>
      </c>
      <c r="D1334" s="19" t="s">
        <v>4410</v>
      </c>
      <c r="E1334" s="19" t="s">
        <v>4411</v>
      </c>
      <c r="F1334" s="19" t="e">
        <f>MATCH(E1334,#REF!,0)</f>
        <v>#REF!</v>
      </c>
      <c r="G1334" s="19" t="s">
        <v>4412</v>
      </c>
      <c r="H1334" s="19" t="s">
        <v>56</v>
      </c>
      <c r="I1334" s="19"/>
      <c r="J1334" s="19" t="s">
        <v>4413</v>
      </c>
      <c r="K1334" s="19" t="s">
        <v>62</v>
      </c>
      <c r="L1334" s="3" t="str">
        <f>HYPERLINK(VLOOKUP(C1334,BAPs!$A$2:$C$1048576,3,FALSE),VLOOKUP(C1334,BAPs!$A$2:$C$1048576,2,FALSE))</f>
        <v>9 out of 10</v>
      </c>
    </row>
    <row r="1335" spans="1:12" hidden="1">
      <c r="A1335" s="19" t="s">
        <v>4201</v>
      </c>
      <c r="B1335" s="19" t="s">
        <v>4202</v>
      </c>
      <c r="C1335" s="19" t="s">
        <v>4414</v>
      </c>
      <c r="D1335" s="19" t="s">
        <v>4414</v>
      </c>
      <c r="E1335" s="19" t="s">
        <v>4415</v>
      </c>
      <c r="F1335" s="19" t="e">
        <f>MATCH(E1335,#REF!,0)</f>
        <v>#REF!</v>
      </c>
      <c r="G1335" s="19" t="s">
        <v>4416</v>
      </c>
      <c r="H1335" s="19" t="s">
        <v>56</v>
      </c>
      <c r="I1335" s="19"/>
      <c r="J1335" s="19" t="s">
        <v>4417</v>
      </c>
      <c r="K1335" s="19" t="s">
        <v>20</v>
      </c>
      <c r="L1335" s="3" t="str">
        <f>HYPERLINK(VLOOKUP(C1335,BAPs!$A$2:$C$1048576,3,FALSE),VLOOKUP(C1335,BAPs!$A$2:$C$1048576,2,FALSE))</f>
        <v>8 out of 10</v>
      </c>
    </row>
    <row r="1336" spans="1:12" hidden="1">
      <c r="A1336" s="19" t="s">
        <v>4201</v>
      </c>
      <c r="B1336" s="19" t="s">
        <v>4202</v>
      </c>
      <c r="C1336" s="19" t="s">
        <v>4414</v>
      </c>
      <c r="D1336" s="19" t="s">
        <v>4273</v>
      </c>
      <c r="E1336" s="19" t="s">
        <v>4274</v>
      </c>
      <c r="F1336" s="19" t="e">
        <f>MATCH(E1336,#REF!,0)</f>
        <v>#REF!</v>
      </c>
      <c r="G1336" s="19" t="s">
        <v>4275</v>
      </c>
      <c r="H1336" s="19" t="s">
        <v>84</v>
      </c>
      <c r="I1336" s="19"/>
      <c r="J1336" s="19" t="s">
        <v>4417</v>
      </c>
      <c r="K1336" s="19" t="s">
        <v>20</v>
      </c>
      <c r="L1336" s="3" t="str">
        <f>HYPERLINK(VLOOKUP(C1336,BAPs!$A$2:$C$1048576,3,FALSE),VLOOKUP(C1336,BAPs!$A$2:$C$1048576,2,FALSE))</f>
        <v>8 out of 10</v>
      </c>
    </row>
    <row r="1337" spans="1:12" hidden="1">
      <c r="A1337" s="19" t="s">
        <v>4201</v>
      </c>
      <c r="B1337" s="19" t="s">
        <v>4202</v>
      </c>
      <c r="C1337" s="19" t="s">
        <v>4418</v>
      </c>
      <c r="D1337" s="19" t="s">
        <v>4419</v>
      </c>
      <c r="E1337" s="19" t="s">
        <v>4420</v>
      </c>
      <c r="F1337" s="19" t="e">
        <f>MATCH(E1337,#REF!,0)</f>
        <v>#REF!</v>
      </c>
      <c r="G1337" s="19" t="s">
        <v>4421</v>
      </c>
      <c r="H1337" s="19" t="s">
        <v>17</v>
      </c>
      <c r="I1337" s="19" t="s">
        <v>18</v>
      </c>
      <c r="J1337" s="19" t="s">
        <v>4422</v>
      </c>
      <c r="K1337" s="19" t="s">
        <v>62</v>
      </c>
      <c r="L1337" s="3" t="str">
        <f>HYPERLINK(VLOOKUP(C1337,BAPs!$A$2:$C$1048576,3,FALSE),VLOOKUP(C1337,BAPs!$A$2:$C$1048576,2,FALSE))</f>
        <v>9 out of 10</v>
      </c>
    </row>
    <row r="1338" spans="1:12" hidden="1">
      <c r="A1338" s="19" t="s">
        <v>4201</v>
      </c>
      <c r="B1338" s="19" t="s">
        <v>4202</v>
      </c>
      <c r="C1338" s="19" t="s">
        <v>4423</v>
      </c>
      <c r="D1338" s="19" t="s">
        <v>4207</v>
      </c>
      <c r="E1338" s="19" t="s">
        <v>4208</v>
      </c>
      <c r="F1338" s="19" t="e">
        <f>MATCH(E1338,#REF!,0)</f>
        <v>#REF!</v>
      </c>
      <c r="G1338" s="19" t="s">
        <v>4209</v>
      </c>
      <c r="H1338" s="19" t="s">
        <v>43</v>
      </c>
      <c r="I1338" s="19" t="s">
        <v>18</v>
      </c>
      <c r="J1338" s="19" t="s">
        <v>4424</v>
      </c>
      <c r="K1338" s="19" t="s">
        <v>20</v>
      </c>
      <c r="L1338" s="3" t="str">
        <f>HYPERLINK(VLOOKUP(C1338,BAPs!$A$2:$C$1048576,3,FALSE),VLOOKUP(C1338,BAPs!$A$2:$C$1048576,2,FALSE))</f>
        <v>7 out of 10</v>
      </c>
    </row>
    <row r="1339" spans="1:12" hidden="1">
      <c r="A1339" s="19" t="s">
        <v>4201</v>
      </c>
      <c r="B1339" s="19" t="s">
        <v>4202</v>
      </c>
      <c r="C1339" s="19" t="s">
        <v>4425</v>
      </c>
      <c r="D1339" s="19" t="s">
        <v>4226</v>
      </c>
      <c r="E1339" s="19" t="s">
        <v>4227</v>
      </c>
      <c r="F1339" s="19" t="e">
        <f>MATCH(E1339,#REF!,0)</f>
        <v>#REF!</v>
      </c>
      <c r="G1339" s="19" t="s">
        <v>4228</v>
      </c>
      <c r="H1339" s="19" t="s">
        <v>24</v>
      </c>
      <c r="I1339" s="19" t="s">
        <v>18</v>
      </c>
      <c r="J1339" s="19" t="s">
        <v>4426</v>
      </c>
      <c r="K1339" s="19" t="s">
        <v>62</v>
      </c>
      <c r="L1339" s="3" t="str">
        <f>HYPERLINK(VLOOKUP(C1339,BAPs!$A$2:$C$1048576,3,FALSE),VLOOKUP(C1339,BAPs!$A$2:$C$1048576,2,FALSE))</f>
        <v>10 out of 10</v>
      </c>
    </row>
    <row r="1340" spans="1:12" hidden="1">
      <c r="A1340" s="19" t="s">
        <v>4201</v>
      </c>
      <c r="B1340" s="19" t="s">
        <v>4202</v>
      </c>
      <c r="C1340" s="19" t="s">
        <v>4425</v>
      </c>
      <c r="D1340" s="19" t="s">
        <v>4425</v>
      </c>
      <c r="E1340" s="19" t="s">
        <v>4427</v>
      </c>
      <c r="F1340" s="19" t="e">
        <f>MATCH(E1340,#REF!,0)</f>
        <v>#REF!</v>
      </c>
      <c r="G1340" s="19" t="s">
        <v>4428</v>
      </c>
      <c r="H1340" s="19" t="s">
        <v>24</v>
      </c>
      <c r="I1340" s="19" t="s">
        <v>18</v>
      </c>
      <c r="J1340" s="19" t="s">
        <v>4426</v>
      </c>
      <c r="K1340" s="19" t="s">
        <v>62</v>
      </c>
      <c r="L1340" s="3" t="str">
        <f>HYPERLINK(VLOOKUP(C1340,BAPs!$A$2:$C$1048576,3,FALSE),VLOOKUP(C1340,BAPs!$A$2:$C$1048576,2,FALSE))</f>
        <v>10 out of 10</v>
      </c>
    </row>
    <row r="1341" spans="1:12" hidden="1">
      <c r="A1341" s="19" t="s">
        <v>4201</v>
      </c>
      <c r="B1341" s="19" t="s">
        <v>4202</v>
      </c>
      <c r="C1341" s="19" t="s">
        <v>4429</v>
      </c>
      <c r="D1341" s="19" t="s">
        <v>4207</v>
      </c>
      <c r="E1341" s="19" t="s">
        <v>4208</v>
      </c>
      <c r="F1341" s="19" t="e">
        <f>MATCH(E1341,#REF!,0)</f>
        <v>#REF!</v>
      </c>
      <c r="G1341" s="19" t="s">
        <v>4209</v>
      </c>
      <c r="H1341" s="19" t="s">
        <v>43</v>
      </c>
      <c r="I1341" s="19" t="s">
        <v>18</v>
      </c>
      <c r="J1341" s="19" t="s">
        <v>4430</v>
      </c>
      <c r="K1341" s="19" t="s">
        <v>20</v>
      </c>
      <c r="L1341" s="3" t="str">
        <f>HYPERLINK(VLOOKUP(C1341,BAPs!$A$2:$C$1048576,3,FALSE),VLOOKUP(C1341,BAPs!$A$2:$C$1048576,2,FALSE))</f>
        <v>4 out of 10</v>
      </c>
    </row>
    <row r="1342" spans="1:12" hidden="1">
      <c r="A1342" s="19" t="s">
        <v>4201</v>
      </c>
      <c r="B1342" s="19" t="s">
        <v>4202</v>
      </c>
      <c r="C1342" s="19" t="s">
        <v>4429</v>
      </c>
      <c r="D1342" s="19" t="s">
        <v>4431</v>
      </c>
      <c r="E1342" s="19" t="s">
        <v>4432</v>
      </c>
      <c r="F1342" s="19" t="e">
        <f>MATCH(E1342,#REF!,0)</f>
        <v>#REF!</v>
      </c>
      <c r="G1342" s="19" t="s">
        <v>4433</v>
      </c>
      <c r="H1342" s="19" t="s">
        <v>17</v>
      </c>
      <c r="I1342" s="19"/>
      <c r="J1342" s="19" t="s">
        <v>4430</v>
      </c>
      <c r="K1342" s="19" t="s">
        <v>20</v>
      </c>
      <c r="L1342" s="3" t="str">
        <f>HYPERLINK(VLOOKUP(C1342,BAPs!$A$2:$C$1048576,3,FALSE),VLOOKUP(C1342,BAPs!$A$2:$C$1048576,2,FALSE))</f>
        <v>4 out of 10</v>
      </c>
    </row>
    <row r="1343" spans="1:12" hidden="1">
      <c r="A1343" s="19" t="s">
        <v>4201</v>
      </c>
      <c r="B1343" s="19" t="s">
        <v>4202</v>
      </c>
      <c r="C1343" s="19" t="s">
        <v>4429</v>
      </c>
      <c r="D1343" s="19" t="s">
        <v>4434</v>
      </c>
      <c r="E1343" s="19" t="s">
        <v>4435</v>
      </c>
      <c r="F1343" s="19" t="e">
        <f>MATCH(E1343,#REF!,0)</f>
        <v>#REF!</v>
      </c>
      <c r="G1343" s="19" t="s">
        <v>4436</v>
      </c>
      <c r="H1343" s="19" t="s">
        <v>43</v>
      </c>
      <c r="I1343" s="19" t="s">
        <v>18</v>
      </c>
      <c r="J1343" s="19" t="s">
        <v>4430</v>
      </c>
      <c r="K1343" s="19" t="s">
        <v>20</v>
      </c>
      <c r="L1343" s="3" t="str">
        <f>HYPERLINK(VLOOKUP(C1343,BAPs!$A$2:$C$1048576,3,FALSE),VLOOKUP(C1343,BAPs!$A$2:$C$1048576,2,FALSE))</f>
        <v>4 out of 10</v>
      </c>
    </row>
  </sheetData>
  <autoFilter ref="A1:L1343" xr:uid="{D4817308-F636-4C17-A8C1-7E9C68D8F634}">
    <filterColumn colId="5">
      <filters>
        <filter val="#N/A"/>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2EA62-BBDF-4B63-B96E-A2921BAB0231}">
  <sheetPr codeName="Sheet2"/>
  <dimension ref="A1:C7"/>
  <sheetViews>
    <sheetView workbookViewId="0">
      <selection activeCell="F10" sqref="F10"/>
    </sheetView>
  </sheetViews>
  <sheetFormatPr defaultColWidth="8.85546875" defaultRowHeight="15"/>
  <cols>
    <col min="1" max="1" width="17.42578125" bestFit="1" customWidth="1"/>
    <col min="2" max="2" width="16.42578125" bestFit="1" customWidth="1"/>
    <col min="3" max="3" width="28.42578125" bestFit="1" customWidth="1"/>
    <col min="4" max="4" width="27.42578125" bestFit="1" customWidth="1"/>
    <col min="5" max="5" width="31" bestFit="1" customWidth="1"/>
    <col min="6" max="6" width="81.140625" customWidth="1"/>
    <col min="7" max="8" width="12.42578125" bestFit="1" customWidth="1"/>
    <col min="9" max="9" width="2.7109375" bestFit="1" customWidth="1"/>
    <col min="10" max="10" width="27.42578125" bestFit="1" customWidth="1"/>
    <col min="11" max="11" width="27.42578125" customWidth="1"/>
    <col min="12" max="12" width="33.140625" bestFit="1" customWidth="1"/>
    <col min="13" max="13" width="22.85546875" bestFit="1" customWidth="1"/>
    <col min="14" max="14" width="28.7109375" bestFit="1" customWidth="1"/>
    <col min="15" max="15" width="22.85546875" bestFit="1" customWidth="1"/>
    <col min="16" max="16" width="17.28515625" bestFit="1" customWidth="1"/>
    <col min="17" max="17" width="6" bestFit="1" customWidth="1"/>
    <col min="18" max="18" width="28.42578125" bestFit="1" customWidth="1"/>
    <col min="19" max="19" width="21.28515625" bestFit="1" customWidth="1"/>
    <col min="20" max="20" width="46" bestFit="1" customWidth="1"/>
    <col min="21" max="21" width="26.42578125" bestFit="1" customWidth="1"/>
    <col min="22" max="22" width="81.140625" bestFit="1" customWidth="1"/>
    <col min="23" max="23" width="31.42578125" bestFit="1" customWidth="1"/>
    <col min="24" max="24" width="45.140625" bestFit="1" customWidth="1"/>
    <col min="25" max="25" width="31.42578125" bestFit="1" customWidth="1"/>
    <col min="26" max="26" width="17.28515625" bestFit="1" customWidth="1"/>
    <col min="27" max="27" width="16.28515625" bestFit="1" customWidth="1"/>
    <col min="28" max="28" width="16.85546875" bestFit="1" customWidth="1"/>
    <col min="29" max="29" width="10.42578125" bestFit="1" customWidth="1"/>
    <col min="30" max="30" width="16.42578125" bestFit="1" customWidth="1"/>
    <col min="31" max="31" width="14.42578125" bestFit="1" customWidth="1"/>
    <col min="32" max="32" width="15.140625" bestFit="1" customWidth="1"/>
    <col min="33" max="33" width="12.140625" bestFit="1" customWidth="1"/>
    <col min="34" max="34" width="7" bestFit="1" customWidth="1"/>
    <col min="35" max="36" width="40.42578125" bestFit="1" customWidth="1"/>
    <col min="37" max="37" width="17" bestFit="1" customWidth="1"/>
    <col min="38" max="38" width="19.28515625" bestFit="1" customWidth="1"/>
    <col min="39" max="39" width="13.42578125" bestFit="1" customWidth="1"/>
    <col min="40" max="40" width="40.42578125" bestFit="1" customWidth="1"/>
    <col min="41" max="41" width="36.140625" bestFit="1" customWidth="1"/>
    <col min="42" max="42" width="37.7109375" bestFit="1" customWidth="1"/>
    <col min="43" max="43" width="29" bestFit="1" customWidth="1"/>
    <col min="44" max="44" width="31.28515625" bestFit="1" customWidth="1"/>
    <col min="45" max="45" width="17.42578125" bestFit="1" customWidth="1"/>
    <col min="46" max="46" width="14.28515625" bestFit="1" customWidth="1"/>
    <col min="47" max="47" width="27.42578125" bestFit="1" customWidth="1"/>
    <col min="48" max="48" width="14.85546875" bestFit="1" customWidth="1"/>
    <col min="49" max="49" width="31.140625" bestFit="1" customWidth="1"/>
    <col min="50" max="50" width="18" bestFit="1" customWidth="1"/>
    <col min="51" max="51" width="44.7109375" bestFit="1" customWidth="1"/>
    <col min="52" max="52" width="62.28515625" bestFit="1" customWidth="1"/>
    <col min="53" max="53" width="21.140625" bestFit="1" customWidth="1"/>
    <col min="54" max="54" width="33.85546875" bestFit="1" customWidth="1"/>
    <col min="55" max="55" width="33.42578125" bestFit="1" customWidth="1"/>
    <col min="56" max="56" width="24.85546875" bestFit="1" customWidth="1"/>
    <col min="57" max="57" width="27.7109375" bestFit="1" customWidth="1"/>
    <col min="58" max="58" width="31.140625" bestFit="1" customWidth="1"/>
    <col min="59" max="60" width="43.7109375" bestFit="1" customWidth="1"/>
  </cols>
  <sheetData>
    <row r="1" spans="1:3">
      <c r="B1" t="s">
        <v>4437</v>
      </c>
      <c r="C1" t="s">
        <v>4438</v>
      </c>
    </row>
    <row r="2" spans="1:3">
      <c r="A2" s="48" t="e" cm="1">
        <f t="array" ref="A2">_xlfn.UNIQUE(#REF!)</f>
        <v>#REF!</v>
      </c>
      <c r="B2" t="s">
        <v>4439</v>
      </c>
      <c r="C2" t="s">
        <v>1044</v>
      </c>
    </row>
    <row r="3" spans="1:3">
      <c r="B3" t="s">
        <v>4440</v>
      </c>
      <c r="C3" t="s">
        <v>2233</v>
      </c>
    </row>
    <row r="4" spans="1:3">
      <c r="B4" t="s">
        <v>4441</v>
      </c>
      <c r="C4" t="s">
        <v>4202</v>
      </c>
    </row>
    <row r="5" spans="1:3">
      <c r="B5" t="s">
        <v>4442</v>
      </c>
      <c r="C5" t="s">
        <v>12</v>
      </c>
    </row>
    <row r="6" spans="1:3">
      <c r="B6" t="s">
        <v>4443</v>
      </c>
      <c r="C6" t="s">
        <v>3162</v>
      </c>
    </row>
    <row r="7" spans="1:3">
      <c r="B7" t="s">
        <v>4444</v>
      </c>
      <c r="C7" t="s">
        <v>4445</v>
      </c>
    </row>
  </sheetData>
  <phoneticPr fontId="1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EC01A-1734-4BF7-B9F5-C106AE51C0B7}">
  <sheetPr codeName="Sheet3"/>
  <dimension ref="A1:N1733"/>
  <sheetViews>
    <sheetView showGridLines="0" tabSelected="1" zoomScale="90" zoomScaleNormal="90" workbookViewId="0">
      <pane xSplit="6" ySplit="3" topLeftCell="G4" activePane="bottomRight" state="frozen"/>
      <selection pane="bottomRight" activeCell="L1" sqref="L1"/>
      <selection pane="bottomLeft" activeCell="L9" sqref="L9"/>
      <selection pane="topRight" activeCell="L9" sqref="L9"/>
    </sheetView>
  </sheetViews>
  <sheetFormatPr defaultColWidth="0" defaultRowHeight="15"/>
  <cols>
    <col min="1" max="1" width="1.7109375" customWidth="1"/>
    <col min="2" max="2" width="27.140625" bestFit="1" customWidth="1"/>
    <col min="3" max="3" width="20.5703125" bestFit="1" customWidth="1"/>
    <col min="4" max="4" width="15.7109375" bestFit="1" customWidth="1"/>
    <col min="5" max="5" width="15.85546875" bestFit="1" customWidth="1"/>
    <col min="6" max="6" width="13.42578125" bestFit="1" customWidth="1"/>
    <col min="7" max="7" width="86.7109375" bestFit="1" customWidth="1"/>
    <col min="8" max="8" width="31" bestFit="1" customWidth="1"/>
    <col min="9" max="9" width="8.42578125" bestFit="1" customWidth="1"/>
    <col min="10" max="10" width="37.7109375" bestFit="1" customWidth="1"/>
    <col min="11" max="11" width="25.28515625" bestFit="1" customWidth="1"/>
    <col min="12" max="12" width="11.5703125" style="56" bestFit="1" customWidth="1"/>
    <col min="13" max="13" width="58.42578125" style="56" hidden="1" customWidth="1"/>
    <col min="14" max="14" width="0" hidden="1" customWidth="1"/>
    <col min="15" max="16384" width="17.42578125" hidden="1"/>
  </cols>
  <sheetData>
    <row r="1" spans="1:13">
      <c r="B1" s="61" t="s">
        <v>4446</v>
      </c>
      <c r="C1" t="str" cm="1">
        <f t="array" ref="C1">Last_Refresh[Last Refresh]</f>
        <v>10/17/2025 10:07 AM</v>
      </c>
    </row>
    <row r="2" spans="1:13">
      <c r="A2" s="62"/>
    </row>
    <row r="3" spans="1:13" s="59" customFormat="1">
      <c r="B3" s="65" t="s">
        <v>0</v>
      </c>
      <c r="C3" s="63" t="s">
        <v>1</v>
      </c>
      <c r="D3" s="63" t="s">
        <v>2</v>
      </c>
      <c r="E3" s="63" t="s">
        <v>3</v>
      </c>
      <c r="F3" s="63" t="s">
        <v>4</v>
      </c>
      <c r="G3" s="63" t="s">
        <v>5</v>
      </c>
      <c r="H3" s="63" t="s">
        <v>6</v>
      </c>
      <c r="I3" s="63" t="s">
        <v>7</v>
      </c>
      <c r="J3" s="63" t="s">
        <v>8</v>
      </c>
      <c r="K3" s="64" t="s">
        <v>9</v>
      </c>
      <c r="L3" s="63" t="s">
        <v>4447</v>
      </c>
      <c r="M3" s="66" t="s">
        <v>4448</v>
      </c>
    </row>
    <row r="4" spans="1:13">
      <c r="B4" s="55" t="s">
        <v>11</v>
      </c>
      <c r="C4" s="55" t="s">
        <v>12</v>
      </c>
      <c r="D4" s="55" t="s">
        <v>13</v>
      </c>
      <c r="E4" s="55" t="s">
        <v>14</v>
      </c>
      <c r="F4" s="55" t="s">
        <v>4449</v>
      </c>
      <c r="G4" s="55" t="s">
        <v>4450</v>
      </c>
      <c r="H4" s="55" t="s">
        <v>17</v>
      </c>
      <c r="I4" s="55" t="s">
        <v>18</v>
      </c>
      <c r="J4" s="55" t="s">
        <v>4451</v>
      </c>
      <c r="K4" s="55" t="s">
        <v>20</v>
      </c>
      <c r="L4" s="60" t="str">
        <f>HYPERLINK("https://nycdoe.sharepoint.com/:w:/s/BAP/ETJ6jCi8yj5Fsmp8lsK6EOsBiRlCjpFrswFUYQfWjWEiiQ", "1 out of 10")</f>
        <v>1 out of 10</v>
      </c>
      <c r="M4" t="s">
        <v>4452</v>
      </c>
    </row>
    <row r="5" spans="1:13">
      <c r="B5" s="55" t="s">
        <v>11</v>
      </c>
      <c r="C5" s="55" t="s">
        <v>12</v>
      </c>
      <c r="D5" s="55" t="s">
        <v>13</v>
      </c>
      <c r="E5" s="55" t="s">
        <v>21</v>
      </c>
      <c r="F5" s="55" t="s">
        <v>4453</v>
      </c>
      <c r="G5" s="55" t="s">
        <v>4454</v>
      </c>
      <c r="H5" s="55" t="s">
        <v>24</v>
      </c>
      <c r="I5" s="55" t="s">
        <v>18</v>
      </c>
      <c r="J5" s="55" t="s">
        <v>4451</v>
      </c>
      <c r="K5" s="55" t="s">
        <v>20</v>
      </c>
      <c r="L5" s="57" t="str">
        <f>HYPERLINK("https://nycdoe.sharepoint.com/:w:/s/BAP/ETJ6jCi8yj5Fsmp8lsK6EOsBiRlCjpFrswFUYQfWjWEiiQ", "1 out of 10")</f>
        <v>1 out of 10</v>
      </c>
      <c r="M5" t="s">
        <v>4452</v>
      </c>
    </row>
    <row r="6" spans="1:13">
      <c r="B6" s="55" t="s">
        <v>11</v>
      </c>
      <c r="C6" s="55" t="s">
        <v>12</v>
      </c>
      <c r="D6" s="55" t="s">
        <v>13</v>
      </c>
      <c r="E6" s="55" t="s">
        <v>25</v>
      </c>
      <c r="F6" s="55" t="s">
        <v>4455</v>
      </c>
      <c r="G6" s="55" t="s">
        <v>4456</v>
      </c>
      <c r="H6" s="55" t="s">
        <v>17</v>
      </c>
      <c r="I6" s="55" t="s">
        <v>18</v>
      </c>
      <c r="J6" s="55" t="s">
        <v>4451</v>
      </c>
      <c r="K6" s="55" t="s">
        <v>20</v>
      </c>
      <c r="L6" s="57" t="str">
        <f>HYPERLINK("https://nycdoe.sharepoint.com/:w:/s/BAP/ETJ6jCi8yj5Fsmp8lsK6EOsBiRlCjpFrswFUYQfWjWEiiQ", "1 out of 10")</f>
        <v>1 out of 10</v>
      </c>
      <c r="M6" t="s">
        <v>4452</v>
      </c>
    </row>
    <row r="7" spans="1:13">
      <c r="B7" s="55" t="s">
        <v>11</v>
      </c>
      <c r="C7" s="55" t="s">
        <v>12</v>
      </c>
      <c r="D7" s="55" t="s">
        <v>28</v>
      </c>
      <c r="E7" s="55" t="s">
        <v>28</v>
      </c>
      <c r="F7" s="55" t="s">
        <v>4457</v>
      </c>
      <c r="G7" s="55" t="s">
        <v>4458</v>
      </c>
      <c r="H7" s="55" t="s">
        <v>17</v>
      </c>
      <c r="I7" s="55" t="s">
        <v>18</v>
      </c>
      <c r="J7" s="55" t="s">
        <v>4459</v>
      </c>
      <c r="K7" s="55" t="s">
        <v>20</v>
      </c>
      <c r="L7" s="57" t="str">
        <f>HYPERLINK("https://nycdoe.sharepoint.com/:w:/s/BAP/ETqUxfLwMLJPhKska00Np-AB4ZRQeOFodJQXirCDBGXoog", "6 out of 10")</f>
        <v>6 out of 10</v>
      </c>
      <c r="M7" t="s">
        <v>4460</v>
      </c>
    </row>
    <row r="8" spans="1:13">
      <c r="B8" s="55" t="s">
        <v>11</v>
      </c>
      <c r="C8" s="55" t="s">
        <v>12</v>
      </c>
      <c r="D8" s="55" t="s">
        <v>28</v>
      </c>
      <c r="E8" s="55" t="s">
        <v>32</v>
      </c>
      <c r="F8" s="55" t="s">
        <v>4461</v>
      </c>
      <c r="G8" s="55" t="s">
        <v>4462</v>
      </c>
      <c r="H8" s="55" t="s">
        <v>24</v>
      </c>
      <c r="I8" s="55"/>
      <c r="J8" s="55" t="s">
        <v>4459</v>
      </c>
      <c r="K8" s="55" t="s">
        <v>20</v>
      </c>
      <c r="L8" s="57" t="str">
        <f>HYPERLINK("https://nycdoe.sharepoint.com/:w:/s/BAP/ETqUxfLwMLJPhKska00Np-AB4ZRQeOFodJQXirCDBGXoog", "6 out of 10")</f>
        <v>6 out of 10</v>
      </c>
      <c r="M8" t="s">
        <v>4460</v>
      </c>
    </row>
    <row r="9" spans="1:13">
      <c r="B9" s="55" t="s">
        <v>11</v>
      </c>
      <c r="C9" s="55" t="s">
        <v>12</v>
      </c>
      <c r="D9" s="55" t="s">
        <v>4463</v>
      </c>
      <c r="E9" s="55" t="s">
        <v>4464</v>
      </c>
      <c r="F9" s="55" t="s">
        <v>4465</v>
      </c>
      <c r="G9" s="55" t="s">
        <v>4466</v>
      </c>
      <c r="H9" s="55" t="s">
        <v>52</v>
      </c>
      <c r="I9" s="55"/>
      <c r="J9" s="55" t="s">
        <v>4467</v>
      </c>
      <c r="K9" s="55" t="s">
        <v>20</v>
      </c>
      <c r="L9" s="57" t="str">
        <f>HYPERLINK("https://nycdoe.sharepoint.com/:w:/s/BAP/ETyKqF29li1NlBmovM0m3D0BoGFdJTTBdO4pPXEYM8AJXw", "4 out of 10")</f>
        <v>4 out of 10</v>
      </c>
      <c r="M9" t="s">
        <v>4468</v>
      </c>
    </row>
    <row r="10" spans="1:13">
      <c r="B10" s="55" t="s">
        <v>11</v>
      </c>
      <c r="C10" s="55" t="s">
        <v>12</v>
      </c>
      <c r="D10" s="55" t="s">
        <v>4463</v>
      </c>
      <c r="E10" s="55" t="s">
        <v>4469</v>
      </c>
      <c r="F10" s="55" t="s">
        <v>4470</v>
      </c>
      <c r="G10" s="55" t="s">
        <v>4471</v>
      </c>
      <c r="H10" s="55" t="s">
        <v>56</v>
      </c>
      <c r="I10" s="55"/>
      <c r="J10" s="55" t="s">
        <v>4467</v>
      </c>
      <c r="K10" s="55" t="s">
        <v>20</v>
      </c>
      <c r="L10" s="57" t="str">
        <f>HYPERLINK("https://nycdoe.sharepoint.com/:w:/s/BAP/ETyKqF29li1NlBmovM0m3D0BoGFdJTTBdO4pPXEYM8AJXw", "4 out of 10")</f>
        <v>4 out of 10</v>
      </c>
      <c r="M10" t="s">
        <v>4468</v>
      </c>
    </row>
    <row r="11" spans="1:13">
      <c r="B11" s="55" t="s">
        <v>11</v>
      </c>
      <c r="C11" s="55" t="s">
        <v>12</v>
      </c>
      <c r="D11" s="55" t="s">
        <v>4463</v>
      </c>
      <c r="E11" s="55" t="s">
        <v>4472</v>
      </c>
      <c r="F11" s="55" t="s">
        <v>4473</v>
      </c>
      <c r="G11" s="55" t="s">
        <v>4474</v>
      </c>
      <c r="H11" s="55" t="s">
        <v>52</v>
      </c>
      <c r="I11" s="55"/>
      <c r="J11" s="55" t="s">
        <v>4467</v>
      </c>
      <c r="K11" s="55" t="s">
        <v>20</v>
      </c>
      <c r="L11" s="57" t="str">
        <f>HYPERLINK("https://nycdoe.sharepoint.com/:w:/s/BAP/ETyKqF29li1NlBmovM0m3D0BoGFdJTTBdO4pPXEYM8AJXw", "4 out of 10")</f>
        <v>4 out of 10</v>
      </c>
      <c r="M11" t="s">
        <v>4468</v>
      </c>
    </row>
    <row r="12" spans="1:13">
      <c r="B12" s="55" t="s">
        <v>11</v>
      </c>
      <c r="C12" s="55" t="s">
        <v>12</v>
      </c>
      <c r="D12" s="55" t="s">
        <v>35</v>
      </c>
      <c r="E12" s="55" t="s">
        <v>36</v>
      </c>
      <c r="F12" s="55" t="s">
        <v>4475</v>
      </c>
      <c r="G12" s="55" t="s">
        <v>4476</v>
      </c>
      <c r="H12" s="55" t="s">
        <v>24</v>
      </c>
      <c r="I12" s="55" t="s">
        <v>18</v>
      </c>
      <c r="J12" s="55" t="s">
        <v>4477</v>
      </c>
      <c r="K12" s="55" t="s">
        <v>20</v>
      </c>
      <c r="L12" s="57" t="str">
        <f>HYPERLINK("https://nycdoe.sharepoint.com/:w:/s/BAP/ESKAyjKkrohBrpnHG4ra0wsBjb4dRj4frAWKrFTxvLY97Q", "6 out of 10")</f>
        <v>6 out of 10</v>
      </c>
      <c r="M12" t="s">
        <v>4478</v>
      </c>
    </row>
    <row r="13" spans="1:13">
      <c r="B13" s="55" t="s">
        <v>11</v>
      </c>
      <c r="C13" s="55" t="s">
        <v>12</v>
      </c>
      <c r="D13" s="55" t="s">
        <v>35</v>
      </c>
      <c r="E13" s="55" t="s">
        <v>40</v>
      </c>
      <c r="F13" s="55" t="s">
        <v>4479</v>
      </c>
      <c r="G13" s="55" t="s">
        <v>42</v>
      </c>
      <c r="H13" s="55" t="s">
        <v>43</v>
      </c>
      <c r="I13" s="55" t="s">
        <v>18</v>
      </c>
      <c r="J13" s="55" t="s">
        <v>4477</v>
      </c>
      <c r="K13" s="55" t="s">
        <v>20</v>
      </c>
      <c r="L13" s="57" t="str">
        <f>HYPERLINK("https://nycdoe.sharepoint.com/:w:/s/BAP/ESKAyjKkrohBrpnHG4ra0wsBjb4dRj4frAWKrFTxvLY97Q", "6 out of 10")</f>
        <v>6 out of 10</v>
      </c>
      <c r="M13" t="s">
        <v>4478</v>
      </c>
    </row>
    <row r="14" spans="1:13">
      <c r="B14" s="55" t="s">
        <v>11</v>
      </c>
      <c r="C14" s="55" t="s">
        <v>12</v>
      </c>
      <c r="D14" s="55" t="s">
        <v>35</v>
      </c>
      <c r="E14" s="55" t="s">
        <v>44</v>
      </c>
      <c r="F14" s="55" t="s">
        <v>4480</v>
      </c>
      <c r="G14" s="55" t="s">
        <v>4481</v>
      </c>
      <c r="H14" s="55" t="s">
        <v>43</v>
      </c>
      <c r="I14" s="55"/>
      <c r="J14" s="55" t="s">
        <v>4477</v>
      </c>
      <c r="K14" s="55" t="s">
        <v>20</v>
      </c>
      <c r="L14" s="57" t="str">
        <f>HYPERLINK("https://nycdoe.sharepoint.com/:w:/s/BAP/ESKAyjKkrohBrpnHG4ra0wsBjb4dRj4frAWKrFTxvLY97Q", "6 out of 10")</f>
        <v>6 out of 10</v>
      </c>
      <c r="M14" t="s">
        <v>4478</v>
      </c>
    </row>
    <row r="15" spans="1:13">
      <c r="B15" s="55" t="s">
        <v>11</v>
      </c>
      <c r="C15" s="55" t="s">
        <v>12</v>
      </c>
      <c r="D15" s="55" t="s">
        <v>4482</v>
      </c>
      <c r="E15" s="55" t="s">
        <v>4482</v>
      </c>
      <c r="F15" s="55" t="s">
        <v>4483</v>
      </c>
      <c r="G15" s="55" t="s">
        <v>4484</v>
      </c>
      <c r="H15" s="55" t="s">
        <v>17</v>
      </c>
      <c r="I15" s="55" t="s">
        <v>18</v>
      </c>
      <c r="J15" s="55" t="s">
        <v>4485</v>
      </c>
      <c r="K15" s="55" t="s">
        <v>20</v>
      </c>
      <c r="L15" s="57" t="str">
        <f>HYPERLINK("https://nycdoe.sharepoint.com/:w:/s/BAP/ETEQCsXpH7RLp6yCo5Lh6tkBPT_7bub4E6KyZkmVhhKJSw", "3 out of 10")</f>
        <v>3 out of 10</v>
      </c>
      <c r="M15" t="s">
        <v>4486</v>
      </c>
    </row>
    <row r="16" spans="1:13">
      <c r="B16" s="55" t="s">
        <v>11</v>
      </c>
      <c r="C16" s="55" t="s">
        <v>12</v>
      </c>
      <c r="D16" s="55" t="s">
        <v>4482</v>
      </c>
      <c r="E16" s="55" t="s">
        <v>4487</v>
      </c>
      <c r="F16" s="55" t="s">
        <v>4488</v>
      </c>
      <c r="G16" s="55" t="s">
        <v>4489</v>
      </c>
      <c r="H16" s="55" t="s">
        <v>24</v>
      </c>
      <c r="I16" s="55"/>
      <c r="J16" s="55" t="s">
        <v>4485</v>
      </c>
      <c r="K16" s="55" t="s">
        <v>20</v>
      </c>
      <c r="L16" s="57" t="str">
        <f>HYPERLINK("https://nycdoe.sharepoint.com/:w:/s/BAP/ETEQCsXpH7RLp6yCo5Lh6tkBPT_7bub4E6KyZkmVhhKJSw", "3 out of 10")</f>
        <v>3 out of 10</v>
      </c>
      <c r="M16" t="s">
        <v>4486</v>
      </c>
    </row>
    <row r="17" spans="2:13">
      <c r="B17" s="55" t="s">
        <v>11</v>
      </c>
      <c r="C17" s="55" t="s">
        <v>12</v>
      </c>
      <c r="D17" s="55" t="s">
        <v>47</v>
      </c>
      <c r="E17" s="55" t="s">
        <v>4490</v>
      </c>
      <c r="F17" s="55" t="s">
        <v>4491</v>
      </c>
      <c r="G17" s="55" t="s">
        <v>4492</v>
      </c>
      <c r="H17" s="55" t="s">
        <v>56</v>
      </c>
      <c r="I17" s="55"/>
      <c r="J17" s="55" t="s">
        <v>4493</v>
      </c>
      <c r="K17" s="55" t="s">
        <v>20</v>
      </c>
      <c r="L17" s="57" t="str">
        <f>HYPERLINK("https://nycdoe.sharepoint.com/:w:/s/BAP/EV4uZBykX7FKklYC02Pz6PcBK7KixLH8x9WZzt_DZqhhsA", "4 out of 10")</f>
        <v>4 out of 10</v>
      </c>
      <c r="M17" t="s">
        <v>4494</v>
      </c>
    </row>
    <row r="18" spans="2:13">
      <c r="B18" s="55" t="s">
        <v>11</v>
      </c>
      <c r="C18" s="55" t="s">
        <v>12</v>
      </c>
      <c r="D18" s="55" t="s">
        <v>47</v>
      </c>
      <c r="E18" s="55" t="s">
        <v>49</v>
      </c>
      <c r="F18" s="55" t="s">
        <v>4495</v>
      </c>
      <c r="G18" s="55" t="s">
        <v>4496</v>
      </c>
      <c r="H18" s="55" t="s">
        <v>52</v>
      </c>
      <c r="I18" s="55"/>
      <c r="J18" s="55" t="s">
        <v>4493</v>
      </c>
      <c r="K18" s="55" t="s">
        <v>20</v>
      </c>
      <c r="L18" s="57" t="str">
        <f>HYPERLINK("https://nycdoe.sharepoint.com/:w:/s/BAP/EV4uZBykX7FKklYC02Pz6PcBK7KixLH8x9WZzt_DZqhhsA", "4 out of 10")</f>
        <v>4 out of 10</v>
      </c>
      <c r="M18" t="s">
        <v>4494</v>
      </c>
    </row>
    <row r="19" spans="2:13">
      <c r="B19" s="55" t="s">
        <v>11</v>
      </c>
      <c r="C19" s="55" t="s">
        <v>12</v>
      </c>
      <c r="D19" s="55" t="s">
        <v>47</v>
      </c>
      <c r="E19" s="55" t="s">
        <v>53</v>
      </c>
      <c r="F19" s="55" t="s">
        <v>4497</v>
      </c>
      <c r="G19" s="55" t="s">
        <v>4498</v>
      </c>
      <c r="H19" s="55" t="s">
        <v>56</v>
      </c>
      <c r="I19" s="55"/>
      <c r="J19" s="55" t="s">
        <v>4493</v>
      </c>
      <c r="K19" s="55" t="s">
        <v>20</v>
      </c>
      <c r="L19" s="57" t="str">
        <f>HYPERLINK("https://nycdoe.sharepoint.com/:w:/s/BAP/EV4uZBykX7FKklYC02Pz6PcBK7KixLH8x9WZzt_DZqhhsA", "4 out of 10")</f>
        <v>4 out of 10</v>
      </c>
      <c r="M19" t="s">
        <v>4494</v>
      </c>
    </row>
    <row r="20" spans="2:13">
      <c r="B20" s="55" t="s">
        <v>11</v>
      </c>
      <c r="C20" s="55" t="s">
        <v>12</v>
      </c>
      <c r="D20" s="55" t="s">
        <v>57</v>
      </c>
      <c r="E20" s="55" t="s">
        <v>58</v>
      </c>
      <c r="F20" s="55" t="s">
        <v>4499</v>
      </c>
      <c r="G20" s="55" t="s">
        <v>60</v>
      </c>
      <c r="H20" s="55" t="s">
        <v>43</v>
      </c>
      <c r="I20" s="55"/>
      <c r="J20" s="55" t="s">
        <v>4500</v>
      </c>
      <c r="K20" s="55" t="s">
        <v>62</v>
      </c>
      <c r="L20" s="57" t="str">
        <f>HYPERLINK("https://nycdoe.sharepoint.com/:w:/s/BAP/EdUiihksNBRLq00zSsALy34BWhshrcAeY6VhYFOpXJsdoQ", "9 out of 10")</f>
        <v>9 out of 10</v>
      </c>
      <c r="M20" t="s">
        <v>4501</v>
      </c>
    </row>
    <row r="21" spans="2:13">
      <c r="B21" s="55" t="s">
        <v>11</v>
      </c>
      <c r="C21" s="55" t="s">
        <v>12</v>
      </c>
      <c r="D21" s="55" t="s">
        <v>57</v>
      </c>
      <c r="E21" s="55" t="s">
        <v>66</v>
      </c>
      <c r="F21" s="55" t="s">
        <v>4502</v>
      </c>
      <c r="G21" s="55" t="s">
        <v>4503</v>
      </c>
      <c r="H21" s="55" t="s">
        <v>24</v>
      </c>
      <c r="I21" s="55"/>
      <c r="J21" s="55" t="s">
        <v>4500</v>
      </c>
      <c r="K21" s="55" t="s">
        <v>62</v>
      </c>
      <c r="L21" s="57" t="str">
        <f>HYPERLINK("https://nycdoe.sharepoint.com/:w:/s/BAP/EdUiihksNBRLq00zSsALy34BWhshrcAeY6VhYFOpXJsdoQ", "9 out of 10")</f>
        <v>9 out of 10</v>
      </c>
      <c r="M21" t="s">
        <v>4501</v>
      </c>
    </row>
    <row r="22" spans="2:13">
      <c r="B22" s="55" t="s">
        <v>11</v>
      </c>
      <c r="C22" s="55" t="s">
        <v>12</v>
      </c>
      <c r="D22" s="55" t="s">
        <v>57</v>
      </c>
      <c r="E22" s="55" t="s">
        <v>4504</v>
      </c>
      <c r="F22" s="55" t="s">
        <v>4505</v>
      </c>
      <c r="G22" s="55" t="s">
        <v>4506</v>
      </c>
      <c r="H22" s="55" t="s">
        <v>17</v>
      </c>
      <c r="I22" s="55"/>
      <c r="J22" s="55" t="s">
        <v>4500</v>
      </c>
      <c r="K22" s="55" t="s">
        <v>62</v>
      </c>
      <c r="L22" s="57" t="str">
        <f>HYPERLINK("https://nycdoe.sharepoint.com/:w:/s/BAP/EdUiihksNBRLq00zSsALy34BWhshrcAeY6VhYFOpXJsdoQ", "9 out of 10")</f>
        <v>9 out of 10</v>
      </c>
      <c r="M22" t="s">
        <v>4501</v>
      </c>
    </row>
    <row r="23" spans="2:13">
      <c r="B23" s="55" t="s">
        <v>11</v>
      </c>
      <c r="C23" s="55" t="s">
        <v>12</v>
      </c>
      <c r="D23" s="55" t="s">
        <v>4507</v>
      </c>
      <c r="E23" s="55" t="s">
        <v>4507</v>
      </c>
      <c r="F23" s="55" t="s">
        <v>4508</v>
      </c>
      <c r="G23" s="55" t="s">
        <v>4509</v>
      </c>
      <c r="H23" s="55" t="s">
        <v>17</v>
      </c>
      <c r="I23" s="55" t="s">
        <v>18</v>
      </c>
      <c r="J23" s="55" t="s">
        <v>4510</v>
      </c>
      <c r="K23" s="55" t="s">
        <v>20</v>
      </c>
      <c r="L23" s="57" t="str">
        <f>HYPERLINK("https://nycdoe.sharepoint.com/:w:/s/BAP/EYvVLLVEEjVJn21Dw_7qY1IBNjgdlcmJ1eskW4Cdz6c23g", "1 out of 10")</f>
        <v>1 out of 10</v>
      </c>
      <c r="M23" t="s">
        <v>4511</v>
      </c>
    </row>
    <row r="24" spans="2:13">
      <c r="B24" s="55" t="s">
        <v>11</v>
      </c>
      <c r="C24" s="55" t="s">
        <v>12</v>
      </c>
      <c r="D24" s="55" t="s">
        <v>69</v>
      </c>
      <c r="E24" s="55" t="s">
        <v>69</v>
      </c>
      <c r="F24" s="55" t="s">
        <v>4512</v>
      </c>
      <c r="G24" s="55" t="s">
        <v>4513</v>
      </c>
      <c r="H24" s="55" t="s">
        <v>17</v>
      </c>
      <c r="I24" s="55" t="s">
        <v>18</v>
      </c>
      <c r="J24" s="55" t="s">
        <v>4514</v>
      </c>
      <c r="K24" s="55" t="s">
        <v>62</v>
      </c>
      <c r="L24" s="57" t="str">
        <f>HYPERLINK("https://nycdoe.sharepoint.com/:w:/s/BAP/EXPhd8cz6vZOgUhRl2Xx7k4B33coucX5SguhJE4gCsYGag", "9 out of 10")</f>
        <v>9 out of 10</v>
      </c>
      <c r="M24" t="s">
        <v>4515</v>
      </c>
    </row>
    <row r="25" spans="2:13">
      <c r="B25" s="55" t="s">
        <v>11</v>
      </c>
      <c r="C25" s="55" t="s">
        <v>12</v>
      </c>
      <c r="D25" s="55" t="s">
        <v>69</v>
      </c>
      <c r="E25" s="55" t="s">
        <v>4516</v>
      </c>
      <c r="F25" s="55" t="s">
        <v>4517</v>
      </c>
      <c r="G25" s="55" t="s">
        <v>4518</v>
      </c>
      <c r="H25" s="55" t="s">
        <v>24</v>
      </c>
      <c r="I25" s="55"/>
      <c r="J25" s="55" t="s">
        <v>4514</v>
      </c>
      <c r="K25" s="55" t="s">
        <v>62</v>
      </c>
      <c r="L25" s="57" t="str">
        <f>HYPERLINK("https://nycdoe.sharepoint.com/:w:/s/BAP/EXPhd8cz6vZOgUhRl2Xx7k4B33coucX5SguhJE4gCsYGag", "9 out of 10")</f>
        <v>9 out of 10</v>
      </c>
      <c r="M25" t="s">
        <v>4515</v>
      </c>
    </row>
    <row r="26" spans="2:13">
      <c r="B26" s="55" t="s">
        <v>11</v>
      </c>
      <c r="C26" s="55" t="s">
        <v>12</v>
      </c>
      <c r="D26" s="55" t="s">
        <v>73</v>
      </c>
      <c r="E26" s="55" t="s">
        <v>78</v>
      </c>
      <c r="F26" s="55" t="s">
        <v>4519</v>
      </c>
      <c r="G26" s="55" t="s">
        <v>4520</v>
      </c>
      <c r="H26" s="55" t="s">
        <v>56</v>
      </c>
      <c r="I26" s="55"/>
      <c r="J26" s="55" t="s">
        <v>4521</v>
      </c>
      <c r="K26" s="55" t="s">
        <v>20</v>
      </c>
      <c r="L26" s="57" t="str">
        <f>HYPERLINK("https://nycdoe.sharepoint.com/:w:/s/BAP/ETcsVfGfUVlCs-WZKQyMmzcBSvwvAjkFl9O9XT_Wy5umsg", "7 out of 10")</f>
        <v>7 out of 10</v>
      </c>
      <c r="M26" t="s">
        <v>4522</v>
      </c>
    </row>
    <row r="27" spans="2:13">
      <c r="B27" s="55" t="s">
        <v>11</v>
      </c>
      <c r="C27" s="55" t="s">
        <v>12</v>
      </c>
      <c r="D27" s="55" t="s">
        <v>73</v>
      </c>
      <c r="E27" s="55" t="s">
        <v>81</v>
      </c>
      <c r="F27" s="55" t="s">
        <v>4523</v>
      </c>
      <c r="G27" s="55" t="s">
        <v>4524</v>
      </c>
      <c r="H27" s="55" t="s">
        <v>84</v>
      </c>
      <c r="I27" s="55"/>
      <c r="J27" s="55" t="s">
        <v>4521</v>
      </c>
      <c r="K27" s="55" t="s">
        <v>20</v>
      </c>
      <c r="L27" s="57" t="str">
        <f>HYPERLINK("https://nycdoe.sharepoint.com/:w:/s/BAP/ETcsVfGfUVlCs-WZKQyMmzcBSvwvAjkFl9O9XT_Wy5umsg", "7 out of 10")</f>
        <v>7 out of 10</v>
      </c>
      <c r="M27" t="s">
        <v>4522</v>
      </c>
    </row>
    <row r="28" spans="2:13">
      <c r="B28" s="55" t="s">
        <v>11</v>
      </c>
      <c r="C28" s="55" t="s">
        <v>12</v>
      </c>
      <c r="D28" s="55" t="s">
        <v>73</v>
      </c>
      <c r="E28" s="55" t="s">
        <v>85</v>
      </c>
      <c r="F28" s="55" t="s">
        <v>4525</v>
      </c>
      <c r="G28" s="55" t="s">
        <v>87</v>
      </c>
      <c r="H28" s="55" t="s">
        <v>52</v>
      </c>
      <c r="I28" s="55"/>
      <c r="J28" s="55" t="s">
        <v>4521</v>
      </c>
      <c r="K28" s="55" t="s">
        <v>20</v>
      </c>
      <c r="L28" s="57" t="str">
        <f>HYPERLINK("https://nycdoe.sharepoint.com/:w:/s/BAP/ETcsVfGfUVlCs-WZKQyMmzcBSvwvAjkFl9O9XT_Wy5umsg", "7 out of 10")</f>
        <v>7 out of 10</v>
      </c>
      <c r="M28" t="s">
        <v>4522</v>
      </c>
    </row>
    <row r="29" spans="2:13">
      <c r="B29" s="55" t="s">
        <v>11</v>
      </c>
      <c r="C29" s="55" t="s">
        <v>12</v>
      </c>
      <c r="D29" s="55" t="s">
        <v>73</v>
      </c>
      <c r="E29" s="55" t="s">
        <v>911</v>
      </c>
      <c r="F29" s="55" t="s">
        <v>4526</v>
      </c>
      <c r="G29" s="55" t="s">
        <v>913</v>
      </c>
      <c r="H29" s="55" t="s">
        <v>84</v>
      </c>
      <c r="I29" s="55"/>
      <c r="J29" s="55" t="s">
        <v>4521</v>
      </c>
      <c r="K29" s="55" t="s">
        <v>20</v>
      </c>
      <c r="L29" s="57" t="str">
        <f>HYPERLINK("https://nycdoe.sharepoint.com/:w:/s/BAP/ETcsVfGfUVlCs-WZKQyMmzcBSvwvAjkFl9O9XT_Wy5umsg", "7 out of 10")</f>
        <v>7 out of 10</v>
      </c>
      <c r="M29" t="s">
        <v>4522</v>
      </c>
    </row>
    <row r="30" spans="2:13">
      <c r="B30" s="55" t="s">
        <v>11</v>
      </c>
      <c r="C30" s="55" t="s">
        <v>12</v>
      </c>
      <c r="D30" s="55" t="s">
        <v>88</v>
      </c>
      <c r="E30" s="55" t="s">
        <v>40</v>
      </c>
      <c r="F30" s="55" t="s">
        <v>4479</v>
      </c>
      <c r="G30" s="55" t="s">
        <v>42</v>
      </c>
      <c r="H30" s="55" t="s">
        <v>43</v>
      </c>
      <c r="I30" s="55" t="s">
        <v>18</v>
      </c>
      <c r="J30" s="55" t="s">
        <v>4527</v>
      </c>
      <c r="K30" s="55" t="s">
        <v>20</v>
      </c>
      <c r="L30" s="57" t="str">
        <f>HYPERLINK("https://nycdoe.sharepoint.com/:w:/s/BAP/ERhSUMbs0p9DvU5uQFjyFTYB_5OlilkJVlz2roXqR8ROtA", "7 out of 10")</f>
        <v>7 out of 10</v>
      </c>
      <c r="M30" t="s">
        <v>4528</v>
      </c>
    </row>
    <row r="31" spans="2:13">
      <c r="B31" s="55" t="s">
        <v>11</v>
      </c>
      <c r="C31" s="55" t="s">
        <v>12</v>
      </c>
      <c r="D31" s="55" t="s">
        <v>88</v>
      </c>
      <c r="E31" s="55" t="s">
        <v>90</v>
      </c>
      <c r="F31" s="55" t="s">
        <v>4529</v>
      </c>
      <c r="G31" s="55" t="s">
        <v>4530</v>
      </c>
      <c r="H31" s="55" t="s">
        <v>17</v>
      </c>
      <c r="I31" s="55"/>
      <c r="J31" s="55" t="s">
        <v>4527</v>
      </c>
      <c r="K31" s="55" t="s">
        <v>20</v>
      </c>
      <c r="L31" s="57" t="str">
        <f>HYPERLINK("https://nycdoe.sharepoint.com/:w:/s/BAP/ERhSUMbs0p9DvU5uQFjyFTYB_5OlilkJVlz2roXqR8ROtA", "7 out of 10")</f>
        <v>7 out of 10</v>
      </c>
      <c r="M31" t="s">
        <v>4528</v>
      </c>
    </row>
    <row r="32" spans="2:13">
      <c r="B32" s="55" t="s">
        <v>11</v>
      </c>
      <c r="C32" s="55" t="s">
        <v>12</v>
      </c>
      <c r="D32" s="55" t="s">
        <v>88</v>
      </c>
      <c r="E32" s="55" t="s">
        <v>93</v>
      </c>
      <c r="F32" s="55" t="s">
        <v>4531</v>
      </c>
      <c r="G32" s="55" t="s">
        <v>4532</v>
      </c>
      <c r="H32" s="55" t="s">
        <v>84</v>
      </c>
      <c r="I32" s="55"/>
      <c r="J32" s="55" t="s">
        <v>4527</v>
      </c>
      <c r="K32" s="55" t="s">
        <v>20</v>
      </c>
      <c r="L32" s="57" t="str">
        <f>HYPERLINK("https://nycdoe.sharepoint.com/:w:/s/BAP/ERhSUMbs0p9DvU5uQFjyFTYB_5OlilkJVlz2roXqR8ROtA", "7 out of 10")</f>
        <v>7 out of 10</v>
      </c>
      <c r="M32" t="s">
        <v>4528</v>
      </c>
    </row>
    <row r="33" spans="2:13">
      <c r="B33" s="55" t="s">
        <v>11</v>
      </c>
      <c r="C33" s="55" t="s">
        <v>12</v>
      </c>
      <c r="D33" s="55" t="s">
        <v>96</v>
      </c>
      <c r="E33" s="55" t="s">
        <v>58</v>
      </c>
      <c r="F33" s="55" t="s">
        <v>4499</v>
      </c>
      <c r="G33" s="55" t="s">
        <v>60</v>
      </c>
      <c r="H33" s="55" t="s">
        <v>43</v>
      </c>
      <c r="I33" s="55"/>
      <c r="J33" s="55" t="s">
        <v>4533</v>
      </c>
      <c r="K33" s="55" t="s">
        <v>62</v>
      </c>
      <c r="L33" s="57" t="str">
        <f>HYPERLINK("https://nycdoe.sharepoint.com/:w:/s/BAP/ERhUZBs1yFRDqhUMJZN157oBM2qaKqIKjTArIBtfrTGb8A", "9 out of 10")</f>
        <v>9 out of 10</v>
      </c>
      <c r="M33" t="s">
        <v>4534</v>
      </c>
    </row>
    <row r="34" spans="2:13">
      <c r="B34" s="55" t="s">
        <v>11</v>
      </c>
      <c r="C34" s="55" t="s">
        <v>12</v>
      </c>
      <c r="D34" s="55" t="s">
        <v>96</v>
      </c>
      <c r="E34" s="55" t="s">
        <v>98</v>
      </c>
      <c r="F34" s="55" t="s">
        <v>4535</v>
      </c>
      <c r="G34" s="55" t="s">
        <v>4536</v>
      </c>
      <c r="H34" s="55" t="s">
        <v>52</v>
      </c>
      <c r="I34" s="55"/>
      <c r="J34" s="55" t="s">
        <v>4533</v>
      </c>
      <c r="K34" s="55" t="s">
        <v>62</v>
      </c>
      <c r="L34" s="57" t="str">
        <f>HYPERLINK("https://nycdoe.sharepoint.com/:w:/s/BAP/ERhUZBs1yFRDqhUMJZN157oBM2qaKqIKjTArIBtfrTGb8A", "9 out of 10")</f>
        <v>9 out of 10</v>
      </c>
      <c r="M34" t="s">
        <v>4534</v>
      </c>
    </row>
    <row r="35" spans="2:13">
      <c r="B35" s="55" t="s">
        <v>11</v>
      </c>
      <c r="C35" s="55" t="s">
        <v>12</v>
      </c>
      <c r="D35" s="55" t="s">
        <v>96</v>
      </c>
      <c r="E35" s="55" t="s">
        <v>101</v>
      </c>
      <c r="F35" s="55" t="s">
        <v>4537</v>
      </c>
      <c r="G35" s="55" t="s">
        <v>4538</v>
      </c>
      <c r="H35" s="55" t="s">
        <v>52</v>
      </c>
      <c r="I35" s="55"/>
      <c r="J35" s="55" t="s">
        <v>4533</v>
      </c>
      <c r="K35" s="55" t="s">
        <v>62</v>
      </c>
      <c r="L35" s="57" t="str">
        <f>HYPERLINK("https://nycdoe.sharepoint.com/:w:/s/BAP/ERhUZBs1yFRDqhUMJZN157oBM2qaKqIKjTArIBtfrTGb8A", "9 out of 10")</f>
        <v>9 out of 10</v>
      </c>
      <c r="M35" t="s">
        <v>4534</v>
      </c>
    </row>
    <row r="36" spans="2:13">
      <c r="B36" s="55" t="s">
        <v>11</v>
      </c>
      <c r="C36" s="55" t="s">
        <v>12</v>
      </c>
      <c r="D36" s="55" t="s">
        <v>96</v>
      </c>
      <c r="E36" s="55" t="s">
        <v>104</v>
      </c>
      <c r="F36" s="55" t="s">
        <v>4539</v>
      </c>
      <c r="G36" s="55" t="s">
        <v>4540</v>
      </c>
      <c r="H36" s="55" t="s">
        <v>56</v>
      </c>
      <c r="I36" s="55"/>
      <c r="J36" s="55" t="s">
        <v>4533</v>
      </c>
      <c r="K36" s="55" t="s">
        <v>62</v>
      </c>
      <c r="L36" s="57" t="str">
        <f>HYPERLINK("https://nycdoe.sharepoint.com/:w:/s/BAP/ERhUZBs1yFRDqhUMJZN157oBM2qaKqIKjTArIBtfrTGb8A", "9 out of 10")</f>
        <v>9 out of 10</v>
      </c>
      <c r="M36" t="s">
        <v>4534</v>
      </c>
    </row>
    <row r="37" spans="2:13">
      <c r="B37" s="55" t="s">
        <v>11</v>
      </c>
      <c r="C37" s="55" t="s">
        <v>12</v>
      </c>
      <c r="D37" s="55" t="s">
        <v>96</v>
      </c>
      <c r="E37" s="55" t="s">
        <v>53</v>
      </c>
      <c r="F37" s="55" t="s">
        <v>4497</v>
      </c>
      <c r="G37" s="55" t="s">
        <v>4498</v>
      </c>
      <c r="H37" s="55" t="s">
        <v>56</v>
      </c>
      <c r="I37" s="55"/>
      <c r="J37" s="55" t="s">
        <v>4533</v>
      </c>
      <c r="K37" s="55" t="s">
        <v>62</v>
      </c>
      <c r="L37" s="57" t="str">
        <f>HYPERLINK("https://nycdoe.sharepoint.com/:w:/s/BAP/ERhUZBs1yFRDqhUMJZN157oBM2qaKqIKjTArIBtfrTGb8A", "9 out of 10")</f>
        <v>9 out of 10</v>
      </c>
      <c r="M37" t="s">
        <v>4534</v>
      </c>
    </row>
    <row r="38" spans="2:13">
      <c r="B38" s="55" t="s">
        <v>11</v>
      </c>
      <c r="C38" s="55" t="s">
        <v>12</v>
      </c>
      <c r="D38" s="55" t="s">
        <v>4541</v>
      </c>
      <c r="E38" s="55" t="s">
        <v>4542</v>
      </c>
      <c r="F38" s="55" t="s">
        <v>4543</v>
      </c>
      <c r="G38" s="55" t="s">
        <v>4544</v>
      </c>
      <c r="H38" s="55" t="s">
        <v>56</v>
      </c>
      <c r="I38" s="55"/>
      <c r="J38" s="55" t="s">
        <v>4545</v>
      </c>
      <c r="K38" s="55" t="s">
        <v>20</v>
      </c>
      <c r="L38" s="57" t="str">
        <f>HYPERLINK("https://nycdoe.sharepoint.com/:w:/s/BAP/EYSFmlvw69VEm4Xf1Aiy83IBiYR1Ipa-pq9VAZkM5FUFhA", "1 out of 10")</f>
        <v>1 out of 10</v>
      </c>
      <c r="M38" t="s">
        <v>4546</v>
      </c>
    </row>
    <row r="39" spans="2:13">
      <c r="B39" s="55" t="s">
        <v>11</v>
      </c>
      <c r="C39" s="55" t="s">
        <v>12</v>
      </c>
      <c r="D39" s="55" t="s">
        <v>4541</v>
      </c>
      <c r="E39" s="55" t="s">
        <v>4547</v>
      </c>
      <c r="F39" s="55" t="s">
        <v>4548</v>
      </c>
      <c r="G39" s="55" t="s">
        <v>4549</v>
      </c>
      <c r="H39" s="55" t="s">
        <v>56</v>
      </c>
      <c r="I39" s="55"/>
      <c r="J39" s="55" t="s">
        <v>4545</v>
      </c>
      <c r="K39" s="55" t="s">
        <v>20</v>
      </c>
      <c r="L39" s="57" t="str">
        <f>HYPERLINK("https://nycdoe.sharepoint.com/:w:/s/BAP/EYSFmlvw69VEm4Xf1Aiy83IBiYR1Ipa-pq9VAZkM5FUFhA", "1 out of 10")</f>
        <v>1 out of 10</v>
      </c>
      <c r="M39" t="s">
        <v>4546</v>
      </c>
    </row>
    <row r="40" spans="2:13">
      <c r="B40" s="55" t="s">
        <v>11</v>
      </c>
      <c r="C40" s="55" t="s">
        <v>12</v>
      </c>
      <c r="D40" s="55" t="s">
        <v>107</v>
      </c>
      <c r="E40" s="55" t="s">
        <v>108</v>
      </c>
      <c r="F40" s="55" t="s">
        <v>4550</v>
      </c>
      <c r="G40" s="55" t="s">
        <v>4551</v>
      </c>
      <c r="H40" s="55" t="s">
        <v>56</v>
      </c>
      <c r="I40" s="55"/>
      <c r="J40" s="55" t="s">
        <v>4552</v>
      </c>
      <c r="K40" s="55" t="s">
        <v>20</v>
      </c>
      <c r="L40" s="57" t="str">
        <f>HYPERLINK("https://nycdoe.sharepoint.com/:w:/s/BAP/EXwnomyqQZNDuD-CBS1FuF8BEW1sG8jRqNasXCgjmKz1jw", "3 out of 10")</f>
        <v>3 out of 10</v>
      </c>
      <c r="M40" t="s">
        <v>4553</v>
      </c>
    </row>
    <row r="41" spans="2:13">
      <c r="B41" s="55" t="s">
        <v>11</v>
      </c>
      <c r="C41" s="55" t="s">
        <v>12</v>
      </c>
      <c r="D41" s="55" t="s">
        <v>107</v>
      </c>
      <c r="E41" s="55" t="s">
        <v>112</v>
      </c>
      <c r="F41" s="55" t="s">
        <v>4554</v>
      </c>
      <c r="G41" s="55" t="s">
        <v>4555</v>
      </c>
      <c r="H41" s="55" t="s">
        <v>56</v>
      </c>
      <c r="I41" s="55"/>
      <c r="J41" s="55" t="s">
        <v>4552</v>
      </c>
      <c r="K41" s="55" t="s">
        <v>20</v>
      </c>
      <c r="L41" s="57" t="str">
        <f>HYPERLINK("https://nycdoe.sharepoint.com/:w:/s/BAP/EXwnomyqQZNDuD-CBS1FuF8BEW1sG8jRqNasXCgjmKz1jw", "3 out of 10")</f>
        <v>3 out of 10</v>
      </c>
      <c r="M41" t="s">
        <v>4553</v>
      </c>
    </row>
    <row r="42" spans="2:13">
      <c r="B42" s="55" t="s">
        <v>11</v>
      </c>
      <c r="C42" s="55" t="s">
        <v>12</v>
      </c>
      <c r="D42" s="55" t="s">
        <v>107</v>
      </c>
      <c r="E42" s="55" t="s">
        <v>107</v>
      </c>
      <c r="F42" s="55" t="s">
        <v>4556</v>
      </c>
      <c r="G42" s="55" t="s">
        <v>4557</v>
      </c>
      <c r="H42" s="55" t="s">
        <v>56</v>
      </c>
      <c r="I42" s="55"/>
      <c r="J42" s="55" t="s">
        <v>4552</v>
      </c>
      <c r="K42" s="55" t="s">
        <v>20</v>
      </c>
      <c r="L42" s="57" t="str">
        <f>HYPERLINK("https://nycdoe.sharepoint.com/:w:/s/BAP/EXwnomyqQZNDuD-CBS1FuF8BEW1sG8jRqNasXCgjmKz1jw", "3 out of 10")</f>
        <v>3 out of 10</v>
      </c>
      <c r="M42" t="s">
        <v>4553</v>
      </c>
    </row>
    <row r="43" spans="2:13">
      <c r="B43" s="55" t="s">
        <v>11</v>
      </c>
      <c r="C43" s="55" t="s">
        <v>12</v>
      </c>
      <c r="D43" s="55" t="s">
        <v>117</v>
      </c>
      <c r="E43" s="55" t="s">
        <v>118</v>
      </c>
      <c r="F43" s="55" t="s">
        <v>4558</v>
      </c>
      <c r="G43" s="55" t="s">
        <v>4559</v>
      </c>
      <c r="H43" s="55" t="s">
        <v>56</v>
      </c>
      <c r="I43" s="55"/>
      <c r="J43" s="55" t="s">
        <v>4560</v>
      </c>
      <c r="K43" s="55" t="s">
        <v>20</v>
      </c>
      <c r="L43" s="57" t="str">
        <f>HYPERLINK("https://nycdoe.sharepoint.com/:w:/s/BAP/EUuBiVpIv3hBlgfUojG2mzcB5xpY83YNfum9jIPePeMfyA", "5 out of 10")</f>
        <v>5 out of 10</v>
      </c>
      <c r="M43" t="s">
        <v>4561</v>
      </c>
    </row>
    <row r="44" spans="2:13">
      <c r="B44" s="55" t="s">
        <v>11</v>
      </c>
      <c r="C44" s="55" t="s">
        <v>12</v>
      </c>
      <c r="D44" s="55" t="s">
        <v>117</v>
      </c>
      <c r="E44" s="55" t="s">
        <v>122</v>
      </c>
      <c r="F44" s="55" t="s">
        <v>4562</v>
      </c>
      <c r="G44" s="55" t="s">
        <v>4563</v>
      </c>
      <c r="H44" s="55" t="s">
        <v>56</v>
      </c>
      <c r="I44" s="55"/>
      <c r="J44" s="55" t="s">
        <v>4560</v>
      </c>
      <c r="K44" s="55" t="s">
        <v>20</v>
      </c>
      <c r="L44" s="57" t="str">
        <f>HYPERLINK("https://nycdoe.sharepoint.com/:w:/s/BAP/EUuBiVpIv3hBlgfUojG2mzcB5xpY83YNfum9jIPePeMfyA", "5 out of 10")</f>
        <v>5 out of 10</v>
      </c>
      <c r="M44" t="s">
        <v>4561</v>
      </c>
    </row>
    <row r="45" spans="2:13">
      <c r="B45" s="55" t="s">
        <v>11</v>
      </c>
      <c r="C45" s="55" t="s">
        <v>12</v>
      </c>
      <c r="D45" s="55" t="s">
        <v>125</v>
      </c>
      <c r="E45" s="55" t="s">
        <v>4564</v>
      </c>
      <c r="F45" s="55" t="s">
        <v>4565</v>
      </c>
      <c r="G45" s="55" t="s">
        <v>4566</v>
      </c>
      <c r="H45" s="55" t="s">
        <v>52</v>
      </c>
      <c r="I45" s="55"/>
      <c r="J45" s="55" t="s">
        <v>4567</v>
      </c>
      <c r="K45" s="55" t="s">
        <v>62</v>
      </c>
      <c r="L45" s="57" t="str">
        <f>HYPERLINK("https://nycdoe.sharepoint.com/:w:/s/BAP/EaRNIEgs60hPivIL38Op0WsBS8730-4FjoqvhlcB3F7vMA", "10 out of 10")</f>
        <v>10 out of 10</v>
      </c>
      <c r="M45" t="s">
        <v>4568</v>
      </c>
    </row>
    <row r="46" spans="2:13">
      <c r="B46" s="55" t="s">
        <v>11</v>
      </c>
      <c r="C46" s="55" t="s">
        <v>12</v>
      </c>
      <c r="D46" s="55" t="s">
        <v>125</v>
      </c>
      <c r="E46" s="55" t="s">
        <v>126</v>
      </c>
      <c r="F46" s="55" t="s">
        <v>4569</v>
      </c>
      <c r="G46" s="55" t="s">
        <v>128</v>
      </c>
      <c r="H46" s="55" t="s">
        <v>43</v>
      </c>
      <c r="I46" s="55" t="s">
        <v>18</v>
      </c>
      <c r="J46" s="55" t="s">
        <v>4567</v>
      </c>
      <c r="K46" s="55" t="s">
        <v>62</v>
      </c>
      <c r="L46" s="57" t="str">
        <f>HYPERLINK("https://nycdoe.sharepoint.com/:w:/s/BAP/EaRNIEgs60hPivIL38Op0WsBS8730-4FjoqvhlcB3F7vMA", "10 out of 10")</f>
        <v>10 out of 10</v>
      </c>
      <c r="M46" t="s">
        <v>4568</v>
      </c>
    </row>
    <row r="47" spans="2:13">
      <c r="B47" s="55" t="s">
        <v>11</v>
      </c>
      <c r="C47" s="55" t="s">
        <v>12</v>
      </c>
      <c r="D47" s="55" t="s">
        <v>125</v>
      </c>
      <c r="E47" s="55" t="s">
        <v>130</v>
      </c>
      <c r="F47" s="55" t="s">
        <v>4570</v>
      </c>
      <c r="G47" s="55" t="s">
        <v>4571</v>
      </c>
      <c r="H47" s="55" t="s">
        <v>56</v>
      </c>
      <c r="I47" s="55"/>
      <c r="J47" s="55" t="s">
        <v>4567</v>
      </c>
      <c r="K47" s="55" t="s">
        <v>62</v>
      </c>
      <c r="L47" s="57" t="str">
        <f>HYPERLINK("https://nycdoe.sharepoint.com/:w:/s/BAP/EaRNIEgs60hPivIL38Op0WsBS8730-4FjoqvhlcB3F7vMA", "10 out of 10")</f>
        <v>10 out of 10</v>
      </c>
      <c r="M47" t="s">
        <v>4568</v>
      </c>
    </row>
    <row r="48" spans="2:13">
      <c r="B48" s="55" t="s">
        <v>11</v>
      </c>
      <c r="C48" s="55" t="s">
        <v>12</v>
      </c>
      <c r="D48" s="55" t="s">
        <v>125</v>
      </c>
      <c r="E48" s="55" t="s">
        <v>133</v>
      </c>
      <c r="F48" s="55" t="s">
        <v>4572</v>
      </c>
      <c r="G48" s="55" t="s">
        <v>4573</v>
      </c>
      <c r="H48" s="55" t="s">
        <v>56</v>
      </c>
      <c r="I48" s="55"/>
      <c r="J48" s="55" t="s">
        <v>4567</v>
      </c>
      <c r="K48" s="55" t="s">
        <v>62</v>
      </c>
      <c r="L48" s="57" t="str">
        <f>HYPERLINK("https://nycdoe.sharepoint.com/:w:/s/BAP/EaRNIEgs60hPivIL38Op0WsBS8730-4FjoqvhlcB3F7vMA", "10 out of 10")</f>
        <v>10 out of 10</v>
      </c>
      <c r="M48" t="s">
        <v>4568</v>
      </c>
    </row>
    <row r="49" spans="2:13">
      <c r="B49" s="55" t="s">
        <v>11</v>
      </c>
      <c r="C49" s="55" t="s">
        <v>12</v>
      </c>
      <c r="D49" s="55" t="s">
        <v>125</v>
      </c>
      <c r="E49" s="55" t="s">
        <v>136</v>
      </c>
      <c r="F49" s="55" t="s">
        <v>4574</v>
      </c>
      <c r="G49" s="55" t="s">
        <v>4575</v>
      </c>
      <c r="H49" s="55" t="s">
        <v>56</v>
      </c>
      <c r="I49" s="55"/>
      <c r="J49" s="55" t="s">
        <v>4567</v>
      </c>
      <c r="K49" s="55" t="s">
        <v>62</v>
      </c>
      <c r="L49" s="57" t="str">
        <f>HYPERLINK("https://nycdoe.sharepoint.com/:w:/s/BAP/EaRNIEgs60hPivIL38Op0WsBS8730-4FjoqvhlcB3F7vMA", "10 out of 10")</f>
        <v>10 out of 10</v>
      </c>
      <c r="M49" t="s">
        <v>4568</v>
      </c>
    </row>
    <row r="50" spans="2:13">
      <c r="B50" s="55" t="s">
        <v>11</v>
      </c>
      <c r="C50" s="55" t="s">
        <v>12</v>
      </c>
      <c r="D50" s="55" t="s">
        <v>125</v>
      </c>
      <c r="E50" s="55" t="s">
        <v>44</v>
      </c>
      <c r="F50" s="55" t="s">
        <v>4480</v>
      </c>
      <c r="G50" s="55" t="s">
        <v>4481</v>
      </c>
      <c r="H50" s="55" t="s">
        <v>43</v>
      </c>
      <c r="I50" s="55"/>
      <c r="J50" s="55" t="s">
        <v>4567</v>
      </c>
      <c r="K50" s="55" t="s">
        <v>62</v>
      </c>
      <c r="L50" s="57" t="str">
        <f>HYPERLINK("https://nycdoe.sharepoint.com/:w:/s/BAP/EaRNIEgs60hPivIL38Op0WsBS8730-4FjoqvhlcB3F7vMA", "10 out of 10")</f>
        <v>10 out of 10</v>
      </c>
      <c r="M50" t="s">
        <v>4568</v>
      </c>
    </row>
    <row r="51" spans="2:13">
      <c r="B51" s="55" t="s">
        <v>11</v>
      </c>
      <c r="C51" s="55" t="s">
        <v>12</v>
      </c>
      <c r="D51" s="55" t="s">
        <v>139</v>
      </c>
      <c r="E51" s="55" t="s">
        <v>140</v>
      </c>
      <c r="F51" s="55" t="s">
        <v>4576</v>
      </c>
      <c r="G51" s="55" t="s">
        <v>4577</v>
      </c>
      <c r="H51" s="55" t="s">
        <v>56</v>
      </c>
      <c r="I51" s="55"/>
      <c r="J51" s="55" t="s">
        <v>4578</v>
      </c>
      <c r="K51" s="55" t="s">
        <v>62</v>
      </c>
      <c r="L51" s="57" t="str">
        <f>HYPERLINK("https://nycdoe.sharepoint.com/:w:/s/BAP/EUNQSRVlaLxAoMoj_kbrUykBoR7nltt02BPCMXj_HU4tnA", "10 out of 10")</f>
        <v>10 out of 10</v>
      </c>
      <c r="M51" t="s">
        <v>4579</v>
      </c>
    </row>
    <row r="52" spans="2:13">
      <c r="B52" s="55" t="s">
        <v>11</v>
      </c>
      <c r="C52" s="55" t="s">
        <v>12</v>
      </c>
      <c r="D52" s="55" t="s">
        <v>139</v>
      </c>
      <c r="E52" s="55" t="s">
        <v>144</v>
      </c>
      <c r="F52" s="55" t="s">
        <v>4580</v>
      </c>
      <c r="G52" s="55" t="s">
        <v>4581</v>
      </c>
      <c r="H52" s="55" t="s">
        <v>56</v>
      </c>
      <c r="I52" s="55"/>
      <c r="J52" s="55" t="s">
        <v>4578</v>
      </c>
      <c r="K52" s="55" t="s">
        <v>62</v>
      </c>
      <c r="L52" s="57" t="str">
        <f>HYPERLINK("https://nycdoe.sharepoint.com/:w:/s/BAP/EUNQSRVlaLxAoMoj_kbrUykBoR7nltt02BPCMXj_HU4tnA", "10 out of 10")</f>
        <v>10 out of 10</v>
      </c>
      <c r="M52" t="s">
        <v>4579</v>
      </c>
    </row>
    <row r="53" spans="2:13">
      <c r="B53" s="55" t="s">
        <v>11</v>
      </c>
      <c r="C53" s="55" t="s">
        <v>12</v>
      </c>
      <c r="D53" s="55" t="s">
        <v>139</v>
      </c>
      <c r="E53" s="55" t="s">
        <v>53</v>
      </c>
      <c r="F53" s="55" t="s">
        <v>4497</v>
      </c>
      <c r="G53" s="55" t="s">
        <v>4498</v>
      </c>
      <c r="H53" s="55" t="s">
        <v>56</v>
      </c>
      <c r="I53" s="55"/>
      <c r="J53" s="55" t="s">
        <v>4578</v>
      </c>
      <c r="K53" s="55" t="s">
        <v>62</v>
      </c>
      <c r="L53" s="57" t="str">
        <f>HYPERLINK("https://nycdoe.sharepoint.com/:w:/s/BAP/EUNQSRVlaLxAoMoj_kbrUykBoR7nltt02BPCMXj_HU4tnA", "10 out of 10")</f>
        <v>10 out of 10</v>
      </c>
      <c r="M53" t="s">
        <v>4579</v>
      </c>
    </row>
    <row r="54" spans="2:13">
      <c r="B54" s="55" t="s">
        <v>147</v>
      </c>
      <c r="C54" s="55" t="s">
        <v>12</v>
      </c>
      <c r="D54" s="55" t="s">
        <v>148</v>
      </c>
      <c r="E54" s="55" t="s">
        <v>148</v>
      </c>
      <c r="F54" s="55" t="s">
        <v>4582</v>
      </c>
      <c r="G54" s="55" t="s">
        <v>4583</v>
      </c>
      <c r="H54" s="55" t="s">
        <v>17</v>
      </c>
      <c r="I54" s="55" t="s">
        <v>18</v>
      </c>
      <c r="J54" s="55" t="s">
        <v>4584</v>
      </c>
      <c r="K54" s="55" t="s">
        <v>20</v>
      </c>
      <c r="L54" s="57" t="str">
        <f>HYPERLINK("https://nycdoe.sharepoint.com/:w:/s/BAP/ESCunIkgbE1Bijbc89ed8H8Bsyd_b0186lPP1dqcSOe2Og", "8 out of 10")</f>
        <v>8 out of 10</v>
      </c>
      <c r="M54" t="s">
        <v>4585</v>
      </c>
    </row>
    <row r="55" spans="2:13">
      <c r="B55" s="55" t="s">
        <v>147</v>
      </c>
      <c r="C55" s="55" t="s">
        <v>12</v>
      </c>
      <c r="D55" s="55" t="s">
        <v>152</v>
      </c>
      <c r="E55" s="55" t="s">
        <v>152</v>
      </c>
      <c r="F55" s="55" t="s">
        <v>4586</v>
      </c>
      <c r="G55" s="55" t="s">
        <v>4587</v>
      </c>
      <c r="H55" s="55" t="s">
        <v>17</v>
      </c>
      <c r="I55" s="55" t="s">
        <v>18</v>
      </c>
      <c r="J55" s="55" t="s">
        <v>4588</v>
      </c>
      <c r="K55" s="55" t="s">
        <v>62</v>
      </c>
      <c r="L55" s="57" t="str">
        <f>HYPERLINK("https://nycdoe.sharepoint.com/:w:/s/BAP/EWyyHU67zjBMozm5yo1Kd8gBbNLOeofIx3Uj5jTi1vBxIg", "9 out of 10")</f>
        <v>9 out of 10</v>
      </c>
      <c r="M55" t="s">
        <v>4589</v>
      </c>
    </row>
    <row r="56" spans="2:13">
      <c r="B56" s="55" t="s">
        <v>147</v>
      </c>
      <c r="C56" s="55" t="s">
        <v>12</v>
      </c>
      <c r="D56" s="55" t="s">
        <v>156</v>
      </c>
      <c r="E56" s="55" t="s">
        <v>156</v>
      </c>
      <c r="F56" s="55" t="s">
        <v>4590</v>
      </c>
      <c r="G56" s="55" t="s">
        <v>4591</v>
      </c>
      <c r="H56" s="55" t="s">
        <v>17</v>
      </c>
      <c r="I56" s="55" t="s">
        <v>18</v>
      </c>
      <c r="J56" s="55" t="s">
        <v>4592</v>
      </c>
      <c r="K56" s="55" t="s">
        <v>62</v>
      </c>
      <c r="L56" s="57" t="str">
        <f>HYPERLINK("https://nycdoe.sharepoint.com/:w:/s/BAP/EaBFQPZn-nFBjgcD-h7MIRwBuDSx1_3vi3aFm9TI0m58zA", "9 out of 10")</f>
        <v>9 out of 10</v>
      </c>
      <c r="M56" t="s">
        <v>4593</v>
      </c>
    </row>
    <row r="57" spans="2:13">
      <c r="B57" s="55" t="s">
        <v>147</v>
      </c>
      <c r="C57" s="55" t="s">
        <v>12</v>
      </c>
      <c r="D57" s="55" t="s">
        <v>156</v>
      </c>
      <c r="E57" s="55" t="s">
        <v>21</v>
      </c>
      <c r="F57" s="55" t="s">
        <v>4453</v>
      </c>
      <c r="G57" s="55" t="s">
        <v>4454</v>
      </c>
      <c r="H57" s="55" t="s">
        <v>24</v>
      </c>
      <c r="I57" s="55" t="s">
        <v>18</v>
      </c>
      <c r="J57" s="55" t="s">
        <v>4592</v>
      </c>
      <c r="K57" s="55" t="s">
        <v>62</v>
      </c>
      <c r="L57" s="57" t="str">
        <f>HYPERLINK("https://nycdoe.sharepoint.com/:w:/s/BAP/EaBFQPZn-nFBjgcD-h7MIRwBuDSx1_3vi3aFm9TI0m58zA", "9 out of 10")</f>
        <v>9 out of 10</v>
      </c>
      <c r="M57" t="s">
        <v>4593</v>
      </c>
    </row>
    <row r="58" spans="2:13">
      <c r="B58" s="55" t="s">
        <v>147</v>
      </c>
      <c r="C58" s="55" t="s">
        <v>12</v>
      </c>
      <c r="D58" s="55" t="s">
        <v>160</v>
      </c>
      <c r="E58" s="55" t="s">
        <v>161</v>
      </c>
      <c r="F58" s="55" t="s">
        <v>4594</v>
      </c>
      <c r="G58" s="55" t="s">
        <v>4595</v>
      </c>
      <c r="H58" s="55" t="s">
        <v>52</v>
      </c>
      <c r="I58" s="55"/>
      <c r="J58" s="55" t="s">
        <v>4596</v>
      </c>
      <c r="K58" s="55" t="s">
        <v>20</v>
      </c>
      <c r="L58" s="57" t="str">
        <f>HYPERLINK("https://nycdoe.sharepoint.com/:w:/s/BAP/EXz0ET2i38RJq7rACWCxDA0B0l_eNERxg6AD1ADZa_hMFw", "1 out of 10")</f>
        <v>1 out of 10</v>
      </c>
      <c r="M58" t="s">
        <v>4597</v>
      </c>
    </row>
    <row r="59" spans="2:13">
      <c r="B59" s="55" t="s">
        <v>147</v>
      </c>
      <c r="C59" s="55" t="s">
        <v>12</v>
      </c>
      <c r="D59" s="55" t="s">
        <v>160</v>
      </c>
      <c r="E59" s="55" t="s">
        <v>165</v>
      </c>
      <c r="F59" s="55" t="s">
        <v>4598</v>
      </c>
      <c r="G59" s="55" t="s">
        <v>4599</v>
      </c>
      <c r="H59" s="55" t="s">
        <v>24</v>
      </c>
      <c r="I59" s="55"/>
      <c r="J59" s="55" t="s">
        <v>4596</v>
      </c>
      <c r="K59" s="55" t="s">
        <v>20</v>
      </c>
      <c r="L59" s="57" t="str">
        <f>HYPERLINK("https://nycdoe.sharepoint.com/:w:/s/BAP/EXz0ET2i38RJq7rACWCxDA0B0l_eNERxg6AD1ADZa_hMFw", "1 out of 10")</f>
        <v>1 out of 10</v>
      </c>
      <c r="M59" t="s">
        <v>4597</v>
      </c>
    </row>
    <row r="60" spans="2:13">
      <c r="B60" s="55" t="s">
        <v>147</v>
      </c>
      <c r="C60" s="55" t="s">
        <v>12</v>
      </c>
      <c r="D60" s="55" t="s">
        <v>168</v>
      </c>
      <c r="E60" s="55" t="s">
        <v>74</v>
      </c>
      <c r="F60" s="55" t="s">
        <v>4600</v>
      </c>
      <c r="G60" s="55" t="s">
        <v>76</v>
      </c>
      <c r="H60" s="55" t="s">
        <v>43</v>
      </c>
      <c r="I60" s="55" t="s">
        <v>18</v>
      </c>
      <c r="J60" s="55" t="s">
        <v>4601</v>
      </c>
      <c r="K60" s="55" t="s">
        <v>20</v>
      </c>
      <c r="L60" s="57" t="str">
        <f>HYPERLINK("https://nycdoe.sharepoint.com/:w:/s/BAP/Eb5NFwYIBqVBpdolh0OAGdMBnAFCCY36znGnmg3y3bemyA", "1 out of 10")</f>
        <v>1 out of 10</v>
      </c>
      <c r="M60" t="s">
        <v>4602</v>
      </c>
    </row>
    <row r="61" spans="2:13">
      <c r="B61" s="55" t="s">
        <v>147</v>
      </c>
      <c r="C61" s="55" t="s">
        <v>12</v>
      </c>
      <c r="D61" s="55" t="s">
        <v>168</v>
      </c>
      <c r="E61" s="55" t="s">
        <v>170</v>
      </c>
      <c r="F61" s="55" t="s">
        <v>4603</v>
      </c>
      <c r="G61" s="55" t="s">
        <v>4604</v>
      </c>
      <c r="H61" s="55" t="s">
        <v>17</v>
      </c>
      <c r="I61" s="55" t="s">
        <v>18</v>
      </c>
      <c r="J61" s="55" t="s">
        <v>4601</v>
      </c>
      <c r="K61" s="55" t="s">
        <v>20</v>
      </c>
      <c r="L61" s="57" t="str">
        <f>HYPERLINK("https://nycdoe.sharepoint.com/:w:/s/BAP/Eb5NFwYIBqVBpdolh0OAGdMBnAFCCY36znGnmg3y3bemyA", "1 out of 10")</f>
        <v>1 out of 10</v>
      </c>
      <c r="M61" t="s">
        <v>4602</v>
      </c>
    </row>
    <row r="62" spans="2:13">
      <c r="B62" s="55" t="s">
        <v>147</v>
      </c>
      <c r="C62" s="55" t="s">
        <v>12</v>
      </c>
      <c r="D62" s="55" t="s">
        <v>173</v>
      </c>
      <c r="E62" s="55" t="s">
        <v>173</v>
      </c>
      <c r="F62" s="55" t="s">
        <v>4605</v>
      </c>
      <c r="G62" s="55" t="s">
        <v>4606</v>
      </c>
      <c r="H62" s="55" t="s">
        <v>17</v>
      </c>
      <c r="I62" s="55" t="s">
        <v>18</v>
      </c>
      <c r="J62" s="55" t="s">
        <v>4607</v>
      </c>
      <c r="K62" s="55" t="s">
        <v>62</v>
      </c>
      <c r="L62" s="57" t="str">
        <f>HYPERLINK("https://nycdoe.sharepoint.com/:w:/s/BAP/EdKr_AAcjgFGswRYz6GgpTABWR0TsSkQWb_ylxVYEu1oZA", "9 out of 10")</f>
        <v>9 out of 10</v>
      </c>
      <c r="M62" t="s">
        <v>4608</v>
      </c>
    </row>
    <row r="63" spans="2:13">
      <c r="B63" s="55" t="s">
        <v>147</v>
      </c>
      <c r="C63" s="55" t="s">
        <v>12</v>
      </c>
      <c r="D63" s="55" t="s">
        <v>177</v>
      </c>
      <c r="E63" s="55" t="s">
        <v>178</v>
      </c>
      <c r="F63" s="55" t="s">
        <v>4609</v>
      </c>
      <c r="G63" s="55" t="s">
        <v>4610</v>
      </c>
      <c r="H63" s="55" t="s">
        <v>43</v>
      </c>
      <c r="I63" s="55"/>
      <c r="J63" s="55" t="s">
        <v>4611</v>
      </c>
      <c r="K63" s="55" t="s">
        <v>20</v>
      </c>
      <c r="L63" s="57" t="str">
        <f>HYPERLINK("https://nycdoe.sharepoint.com/:w:/s/BAP/EakJs7u3_8VJgEPNO3w5tCABjBVHYNyXBQ3ZKrMsFfd9Fw", "8 out of 10")</f>
        <v>8 out of 10</v>
      </c>
      <c r="M63" t="s">
        <v>4612</v>
      </c>
    </row>
    <row r="64" spans="2:13">
      <c r="B64" s="55" t="s">
        <v>147</v>
      </c>
      <c r="C64" s="55" t="s">
        <v>12</v>
      </c>
      <c r="D64" s="55" t="s">
        <v>177</v>
      </c>
      <c r="E64" s="55" t="s">
        <v>21</v>
      </c>
      <c r="F64" s="55" t="s">
        <v>4453</v>
      </c>
      <c r="G64" s="55" t="s">
        <v>4454</v>
      </c>
      <c r="H64" s="55" t="s">
        <v>24</v>
      </c>
      <c r="I64" s="55" t="s">
        <v>18</v>
      </c>
      <c r="J64" s="55" t="s">
        <v>4611</v>
      </c>
      <c r="K64" s="55" t="s">
        <v>20</v>
      </c>
      <c r="L64" s="57" t="str">
        <f>HYPERLINK("https://nycdoe.sharepoint.com/:w:/s/BAP/EakJs7u3_8VJgEPNO3w5tCABjBVHYNyXBQ3ZKrMsFfd9Fw", "8 out of 10")</f>
        <v>8 out of 10</v>
      </c>
      <c r="M64" t="s">
        <v>4612</v>
      </c>
    </row>
    <row r="65" spans="2:13">
      <c r="B65" s="55" t="s">
        <v>147</v>
      </c>
      <c r="C65" s="55" t="s">
        <v>12</v>
      </c>
      <c r="D65" s="55" t="s">
        <v>177</v>
      </c>
      <c r="E65" s="55" t="s">
        <v>182</v>
      </c>
      <c r="F65" s="55" t="s">
        <v>4613</v>
      </c>
      <c r="G65" s="55" t="s">
        <v>4614</v>
      </c>
      <c r="H65" s="55" t="s">
        <v>52</v>
      </c>
      <c r="I65" s="55"/>
      <c r="J65" s="55" t="s">
        <v>4611</v>
      </c>
      <c r="K65" s="55" t="s">
        <v>20</v>
      </c>
      <c r="L65" s="57" t="str">
        <f>HYPERLINK("https://nycdoe.sharepoint.com/:w:/s/BAP/EakJs7u3_8VJgEPNO3w5tCABjBVHYNyXBQ3ZKrMsFfd9Fw", "8 out of 10")</f>
        <v>8 out of 10</v>
      </c>
      <c r="M65" t="s">
        <v>4612</v>
      </c>
    </row>
    <row r="66" spans="2:13">
      <c r="B66" s="55" t="s">
        <v>147</v>
      </c>
      <c r="C66" s="55" t="s">
        <v>12</v>
      </c>
      <c r="D66" s="55" t="s">
        <v>185</v>
      </c>
      <c r="E66" s="55" t="s">
        <v>74</v>
      </c>
      <c r="F66" s="55" t="s">
        <v>4600</v>
      </c>
      <c r="G66" s="55" t="s">
        <v>76</v>
      </c>
      <c r="H66" s="55" t="s">
        <v>43</v>
      </c>
      <c r="I66" s="55" t="s">
        <v>18</v>
      </c>
      <c r="J66" s="55" t="s">
        <v>4615</v>
      </c>
      <c r="K66" s="55" t="s">
        <v>20</v>
      </c>
      <c r="L66" s="57" t="str">
        <f>HYPERLINK("https://nycdoe.sharepoint.com/:w:/s/BAP/EQuUMs8o-tVChDUwKjgKA1QBSXLv61dRvTcsm24weljjJQ", "4 out of 10")</f>
        <v>4 out of 10</v>
      </c>
      <c r="M66" t="s">
        <v>4616</v>
      </c>
    </row>
    <row r="67" spans="2:13">
      <c r="B67" s="55" t="s">
        <v>147</v>
      </c>
      <c r="C67" s="55" t="s">
        <v>12</v>
      </c>
      <c r="D67" s="55" t="s">
        <v>185</v>
      </c>
      <c r="E67" s="55" t="s">
        <v>185</v>
      </c>
      <c r="F67" s="55" t="s">
        <v>4617</v>
      </c>
      <c r="G67" s="55" t="s">
        <v>4618</v>
      </c>
      <c r="H67" s="55" t="s">
        <v>52</v>
      </c>
      <c r="I67" s="55"/>
      <c r="J67" s="55" t="s">
        <v>4615</v>
      </c>
      <c r="K67" s="55" t="s">
        <v>20</v>
      </c>
      <c r="L67" s="57" t="str">
        <f>HYPERLINK("https://nycdoe.sharepoint.com/:w:/s/BAP/EQuUMs8o-tVChDUwKjgKA1QBSXLv61dRvTcsm24weljjJQ", "4 out of 10")</f>
        <v>4 out of 10</v>
      </c>
      <c r="M67" t="s">
        <v>4616</v>
      </c>
    </row>
    <row r="68" spans="2:13">
      <c r="B68" s="55" t="s">
        <v>147</v>
      </c>
      <c r="C68" s="55" t="s">
        <v>12</v>
      </c>
      <c r="D68" s="55" t="s">
        <v>185</v>
      </c>
      <c r="E68" s="55" t="s">
        <v>189</v>
      </c>
      <c r="F68" s="55" t="s">
        <v>4619</v>
      </c>
      <c r="G68" s="55" t="s">
        <v>4620</v>
      </c>
      <c r="H68" s="55" t="s">
        <v>17</v>
      </c>
      <c r="I68" s="55" t="s">
        <v>18</v>
      </c>
      <c r="J68" s="55" t="s">
        <v>4615</v>
      </c>
      <c r="K68" s="55" t="s">
        <v>20</v>
      </c>
      <c r="L68" s="57" t="str">
        <f>HYPERLINK("https://nycdoe.sharepoint.com/:w:/s/BAP/EQuUMs8o-tVChDUwKjgKA1QBSXLv61dRvTcsm24weljjJQ", "4 out of 10")</f>
        <v>4 out of 10</v>
      </c>
      <c r="M68" t="s">
        <v>4616</v>
      </c>
    </row>
    <row r="69" spans="2:13">
      <c r="B69" s="55" t="s">
        <v>147</v>
      </c>
      <c r="C69" s="55" t="s">
        <v>12</v>
      </c>
      <c r="D69" s="55" t="s">
        <v>185</v>
      </c>
      <c r="E69" s="55" t="s">
        <v>53</v>
      </c>
      <c r="F69" s="55" t="s">
        <v>4497</v>
      </c>
      <c r="G69" s="55" t="s">
        <v>4498</v>
      </c>
      <c r="H69" s="55" t="s">
        <v>56</v>
      </c>
      <c r="I69" s="55"/>
      <c r="J69" s="55" t="s">
        <v>4615</v>
      </c>
      <c r="K69" s="55" t="s">
        <v>20</v>
      </c>
      <c r="L69" s="57" t="str">
        <f>HYPERLINK("https://nycdoe.sharepoint.com/:w:/s/BAP/EQuUMs8o-tVChDUwKjgKA1QBSXLv61dRvTcsm24weljjJQ", "4 out of 10")</f>
        <v>4 out of 10</v>
      </c>
      <c r="M69" t="s">
        <v>4616</v>
      </c>
    </row>
    <row r="70" spans="2:13">
      <c r="B70" s="55" t="s">
        <v>147</v>
      </c>
      <c r="C70" s="55" t="s">
        <v>12</v>
      </c>
      <c r="D70" s="55" t="s">
        <v>192</v>
      </c>
      <c r="E70" s="55" t="s">
        <v>193</v>
      </c>
      <c r="F70" s="55" t="s">
        <v>4621</v>
      </c>
      <c r="G70" s="55" t="s">
        <v>4622</v>
      </c>
      <c r="H70" s="55" t="s">
        <v>84</v>
      </c>
      <c r="I70" s="55"/>
      <c r="J70" s="55" t="s">
        <v>4623</v>
      </c>
      <c r="K70" s="55" t="s">
        <v>20</v>
      </c>
      <c r="L70" s="57" t="str">
        <f>HYPERLINK("https://nycdoe.sharepoint.com/:w:/s/BAP/Edu4YCDmAdJNlVE5493odP8BjDzItTVFhC7gv9SVnqn6aA", "1 out of 10")</f>
        <v>1 out of 10</v>
      </c>
      <c r="M70" t="s">
        <v>4624</v>
      </c>
    </row>
    <row r="71" spans="2:13">
      <c r="B71" s="55" t="s">
        <v>147</v>
      </c>
      <c r="C71" s="55" t="s">
        <v>12</v>
      </c>
      <c r="D71" s="55" t="s">
        <v>192</v>
      </c>
      <c r="E71" s="55" t="s">
        <v>197</v>
      </c>
      <c r="F71" s="55" t="s">
        <v>4625</v>
      </c>
      <c r="G71" s="55" t="s">
        <v>4626</v>
      </c>
      <c r="H71" s="55" t="s">
        <v>17</v>
      </c>
      <c r="I71" s="55" t="s">
        <v>18</v>
      </c>
      <c r="J71" s="55" t="s">
        <v>4623</v>
      </c>
      <c r="K71" s="55" t="s">
        <v>20</v>
      </c>
      <c r="L71" s="57" t="str">
        <f>HYPERLINK("https://nycdoe.sharepoint.com/:w:/s/BAP/Edu4YCDmAdJNlVE5493odP8BjDzItTVFhC7gv9SVnqn6aA", "1 out of 10")</f>
        <v>1 out of 10</v>
      </c>
      <c r="M71" t="s">
        <v>4624</v>
      </c>
    </row>
    <row r="72" spans="2:13">
      <c r="B72" s="55" t="s">
        <v>147</v>
      </c>
      <c r="C72" s="55" t="s">
        <v>12</v>
      </c>
      <c r="D72" s="55" t="s">
        <v>192</v>
      </c>
      <c r="E72" s="55" t="s">
        <v>200</v>
      </c>
      <c r="F72" s="55" t="s">
        <v>4627</v>
      </c>
      <c r="G72" s="55" t="s">
        <v>4628</v>
      </c>
      <c r="H72" s="55" t="s">
        <v>52</v>
      </c>
      <c r="I72" s="55"/>
      <c r="J72" s="55" t="s">
        <v>4623</v>
      </c>
      <c r="K72" s="55" t="s">
        <v>20</v>
      </c>
      <c r="L72" s="57" t="str">
        <f>HYPERLINK("https://nycdoe.sharepoint.com/:w:/s/BAP/Edu4YCDmAdJNlVE5493odP8BjDzItTVFhC7gv9SVnqn6aA", "1 out of 10")</f>
        <v>1 out of 10</v>
      </c>
      <c r="M72" t="s">
        <v>4624</v>
      </c>
    </row>
    <row r="73" spans="2:13">
      <c r="B73" s="55" t="s">
        <v>147</v>
      </c>
      <c r="C73" s="55" t="s">
        <v>12</v>
      </c>
      <c r="D73" s="55" t="s">
        <v>203</v>
      </c>
      <c r="E73" s="55" t="s">
        <v>203</v>
      </c>
      <c r="F73" s="55" t="s">
        <v>4629</v>
      </c>
      <c r="G73" s="55" t="s">
        <v>4630</v>
      </c>
      <c r="H73" s="55" t="s">
        <v>52</v>
      </c>
      <c r="I73" s="55"/>
      <c r="J73" s="55" t="s">
        <v>4631</v>
      </c>
      <c r="K73" s="55" t="s">
        <v>20</v>
      </c>
      <c r="L73" s="57" t="str">
        <f>HYPERLINK("https://nycdoe.sharepoint.com/:w:/s/BAP/ESbEwyznayZKmG5wQjv7Mb4BTxiY2C5hkTNKdPCczCoGWA", "3 out of 10")</f>
        <v>3 out of 10</v>
      </c>
      <c r="M73" t="s">
        <v>4632</v>
      </c>
    </row>
    <row r="74" spans="2:13">
      <c r="B74" s="55" t="s">
        <v>147</v>
      </c>
      <c r="C74" s="55" t="s">
        <v>12</v>
      </c>
      <c r="D74" s="55" t="s">
        <v>203</v>
      </c>
      <c r="E74" s="55" t="s">
        <v>207</v>
      </c>
      <c r="F74" s="55" t="s">
        <v>4633</v>
      </c>
      <c r="G74" s="55" t="s">
        <v>4634</v>
      </c>
      <c r="H74" s="55" t="s">
        <v>52</v>
      </c>
      <c r="I74" s="55"/>
      <c r="J74" s="55" t="s">
        <v>4631</v>
      </c>
      <c r="K74" s="55" t="s">
        <v>20</v>
      </c>
      <c r="L74" s="57" t="str">
        <f>HYPERLINK("https://nycdoe.sharepoint.com/:w:/s/BAP/ESbEwyznayZKmG5wQjv7Mb4BTxiY2C5hkTNKdPCczCoGWA", "3 out of 10")</f>
        <v>3 out of 10</v>
      </c>
      <c r="M74" t="s">
        <v>4632</v>
      </c>
    </row>
    <row r="75" spans="2:13">
      <c r="B75" s="55" t="s">
        <v>147</v>
      </c>
      <c r="C75" s="55" t="s">
        <v>12</v>
      </c>
      <c r="D75" s="55" t="s">
        <v>203</v>
      </c>
      <c r="E75" s="55" t="s">
        <v>210</v>
      </c>
      <c r="F75" s="55" t="s">
        <v>4635</v>
      </c>
      <c r="G75" s="55" t="s">
        <v>4636</v>
      </c>
      <c r="H75" s="55" t="s">
        <v>17</v>
      </c>
      <c r="I75" s="55"/>
      <c r="J75" s="55" t="s">
        <v>4631</v>
      </c>
      <c r="K75" s="55" t="s">
        <v>20</v>
      </c>
      <c r="L75" s="57" t="str">
        <f>HYPERLINK("https://nycdoe.sharepoint.com/:w:/s/BAP/ESbEwyznayZKmG5wQjv7Mb4BTxiY2C5hkTNKdPCczCoGWA", "3 out of 10")</f>
        <v>3 out of 10</v>
      </c>
      <c r="M75" t="s">
        <v>4632</v>
      </c>
    </row>
    <row r="76" spans="2:13">
      <c r="B76" s="55" t="s">
        <v>147</v>
      </c>
      <c r="C76" s="55" t="s">
        <v>12</v>
      </c>
      <c r="D76" s="55" t="s">
        <v>213</v>
      </c>
      <c r="E76" s="55" t="s">
        <v>213</v>
      </c>
      <c r="F76" s="55" t="s">
        <v>4637</v>
      </c>
      <c r="G76" s="55" t="s">
        <v>4638</v>
      </c>
      <c r="H76" s="55" t="s">
        <v>17</v>
      </c>
      <c r="I76" s="55" t="s">
        <v>18</v>
      </c>
      <c r="J76" s="55" t="s">
        <v>4639</v>
      </c>
      <c r="K76" s="55" t="s">
        <v>20</v>
      </c>
      <c r="L76" s="57" t="str">
        <f>HYPERLINK("https://nycdoe.sharepoint.com/:w:/s/BAP/EdO2e1qENwhAlxbWvntm4r0BauMKKTFyME4wvfbb3Y7gjQ", "1 out of 10")</f>
        <v>1 out of 10</v>
      </c>
      <c r="M76" t="s">
        <v>4640</v>
      </c>
    </row>
    <row r="77" spans="2:13">
      <c r="B77" s="55" t="s">
        <v>147</v>
      </c>
      <c r="C77" s="55" t="s">
        <v>12</v>
      </c>
      <c r="D77" s="55" t="s">
        <v>217</v>
      </c>
      <c r="E77" s="55" t="s">
        <v>4564</v>
      </c>
      <c r="F77" s="55" t="s">
        <v>4565</v>
      </c>
      <c r="G77" s="55" t="s">
        <v>4566</v>
      </c>
      <c r="H77" s="55" t="s">
        <v>52</v>
      </c>
      <c r="I77" s="55"/>
      <c r="J77" s="55" t="s">
        <v>4641</v>
      </c>
      <c r="K77" s="55" t="s">
        <v>62</v>
      </c>
      <c r="L77" s="57" t="str">
        <f>HYPERLINK("https://nycdoe.sharepoint.com/:w:/s/BAP/EW6GVOFJnqlNleGT_TJzJGMBqJtHtBXxPfOo4yDbUu6miQ", "9 out of 10")</f>
        <v>9 out of 10</v>
      </c>
      <c r="M77" t="s">
        <v>4642</v>
      </c>
    </row>
    <row r="78" spans="2:13">
      <c r="B78" s="55" t="s">
        <v>147</v>
      </c>
      <c r="C78" s="55" t="s">
        <v>12</v>
      </c>
      <c r="D78" s="55" t="s">
        <v>217</v>
      </c>
      <c r="E78" s="55" t="s">
        <v>58</v>
      </c>
      <c r="F78" s="55" t="s">
        <v>4499</v>
      </c>
      <c r="G78" s="55" t="s">
        <v>60</v>
      </c>
      <c r="H78" s="55" t="s">
        <v>43</v>
      </c>
      <c r="I78" s="55"/>
      <c r="J78" s="55" t="s">
        <v>4641</v>
      </c>
      <c r="K78" s="55" t="s">
        <v>62</v>
      </c>
      <c r="L78" s="57" t="str">
        <f>HYPERLINK("https://nycdoe.sharepoint.com/:w:/s/BAP/EW6GVOFJnqlNleGT_TJzJGMBqJtHtBXxPfOo4yDbUu6miQ", "9 out of 10")</f>
        <v>9 out of 10</v>
      </c>
      <c r="M78" t="s">
        <v>4642</v>
      </c>
    </row>
    <row r="79" spans="2:13">
      <c r="B79" s="55" t="s">
        <v>147</v>
      </c>
      <c r="C79" s="55" t="s">
        <v>12</v>
      </c>
      <c r="D79" s="55" t="s">
        <v>217</v>
      </c>
      <c r="E79" s="55" t="s">
        <v>219</v>
      </c>
      <c r="F79" s="55" t="s">
        <v>4643</v>
      </c>
      <c r="G79" s="55" t="s">
        <v>4644</v>
      </c>
      <c r="H79" s="55" t="s">
        <v>56</v>
      </c>
      <c r="I79" s="55"/>
      <c r="J79" s="55" t="s">
        <v>4641</v>
      </c>
      <c r="K79" s="55" t="s">
        <v>62</v>
      </c>
      <c r="L79" s="57" t="str">
        <f>HYPERLINK("https://nycdoe.sharepoint.com/:w:/s/BAP/EW6GVOFJnqlNleGT_TJzJGMBqJtHtBXxPfOo4yDbUu6miQ", "9 out of 10")</f>
        <v>9 out of 10</v>
      </c>
      <c r="M79" t="s">
        <v>4642</v>
      </c>
    </row>
    <row r="80" spans="2:13">
      <c r="B80" s="55" t="s">
        <v>147</v>
      </c>
      <c r="C80" s="55" t="s">
        <v>12</v>
      </c>
      <c r="D80" s="55" t="s">
        <v>217</v>
      </c>
      <c r="E80" s="55" t="s">
        <v>222</v>
      </c>
      <c r="F80" s="55" t="s">
        <v>4645</v>
      </c>
      <c r="G80" s="55" t="s">
        <v>4646</v>
      </c>
      <c r="H80" s="55" t="s">
        <v>84</v>
      </c>
      <c r="I80" s="55"/>
      <c r="J80" s="55" t="s">
        <v>4641</v>
      </c>
      <c r="K80" s="55" t="s">
        <v>62</v>
      </c>
      <c r="L80" s="57" t="str">
        <f>HYPERLINK("https://nycdoe.sharepoint.com/:w:/s/BAP/EW6GVOFJnqlNleGT_TJzJGMBqJtHtBXxPfOo4yDbUu6miQ", "9 out of 10")</f>
        <v>9 out of 10</v>
      </c>
      <c r="M80" t="s">
        <v>4642</v>
      </c>
    </row>
    <row r="81" spans="2:13">
      <c r="B81" s="55" t="s">
        <v>147</v>
      </c>
      <c r="C81" s="55" t="s">
        <v>12</v>
      </c>
      <c r="D81" s="55" t="s">
        <v>217</v>
      </c>
      <c r="E81" s="55" t="s">
        <v>225</v>
      </c>
      <c r="F81" s="55" t="s">
        <v>4647</v>
      </c>
      <c r="G81" s="55" t="s">
        <v>4648</v>
      </c>
      <c r="H81" s="55" t="s">
        <v>52</v>
      </c>
      <c r="I81" s="55"/>
      <c r="J81" s="55" t="s">
        <v>4641</v>
      </c>
      <c r="K81" s="55" t="s">
        <v>62</v>
      </c>
      <c r="L81" s="57" t="str">
        <f>HYPERLINK("https://nycdoe.sharepoint.com/:w:/s/BAP/EW6GVOFJnqlNleGT_TJzJGMBqJtHtBXxPfOo4yDbUu6miQ", "9 out of 10")</f>
        <v>9 out of 10</v>
      </c>
      <c r="M81" t="s">
        <v>4642</v>
      </c>
    </row>
    <row r="82" spans="2:13">
      <c r="B82" s="55" t="s">
        <v>147</v>
      </c>
      <c r="C82" s="55" t="s">
        <v>12</v>
      </c>
      <c r="D82" s="55" t="s">
        <v>228</v>
      </c>
      <c r="E82" s="55" t="s">
        <v>229</v>
      </c>
      <c r="F82" s="55" t="s">
        <v>4649</v>
      </c>
      <c r="G82" s="55" t="s">
        <v>4650</v>
      </c>
      <c r="H82" s="55" t="s">
        <v>52</v>
      </c>
      <c r="I82" s="55"/>
      <c r="J82" s="55" t="s">
        <v>4651</v>
      </c>
      <c r="K82" s="55" t="s">
        <v>20</v>
      </c>
      <c r="L82" s="57" t="str">
        <f>HYPERLINK("https://nycdoe.sharepoint.com/:w:/s/BAP/EUUfE8-dq3ZCm-b5qjW28IQByV-yZA_QiiSL0TSTtls7lA", "8 out of 10")</f>
        <v>8 out of 10</v>
      </c>
      <c r="M82" t="s">
        <v>4652</v>
      </c>
    </row>
    <row r="83" spans="2:13">
      <c r="B83" s="55" t="s">
        <v>147</v>
      </c>
      <c r="C83" s="55" t="s">
        <v>12</v>
      </c>
      <c r="D83" s="55" t="s">
        <v>228</v>
      </c>
      <c r="E83" s="55" t="s">
        <v>233</v>
      </c>
      <c r="F83" s="55" t="s">
        <v>4653</v>
      </c>
      <c r="G83" s="55" t="s">
        <v>4654</v>
      </c>
      <c r="H83" s="55" t="s">
        <v>17</v>
      </c>
      <c r="I83" s="55" t="s">
        <v>18</v>
      </c>
      <c r="J83" s="55" t="s">
        <v>4651</v>
      </c>
      <c r="K83" s="55" t="s">
        <v>20</v>
      </c>
      <c r="L83" s="57" t="str">
        <f>HYPERLINK("https://nycdoe.sharepoint.com/:w:/s/BAP/EUUfE8-dq3ZCm-b5qjW28IQByV-yZA_QiiSL0TSTtls7lA", "8 out of 10")</f>
        <v>8 out of 10</v>
      </c>
      <c r="M83" t="s">
        <v>4652</v>
      </c>
    </row>
    <row r="84" spans="2:13">
      <c r="B84" s="55" t="s">
        <v>147</v>
      </c>
      <c r="C84" s="55" t="s">
        <v>12</v>
      </c>
      <c r="D84" s="55" t="s">
        <v>228</v>
      </c>
      <c r="E84" s="55" t="s">
        <v>236</v>
      </c>
      <c r="F84" s="55" t="s">
        <v>4655</v>
      </c>
      <c r="G84" s="55" t="s">
        <v>4656</v>
      </c>
      <c r="H84" s="55" t="s">
        <v>52</v>
      </c>
      <c r="I84" s="55"/>
      <c r="J84" s="55" t="s">
        <v>4651</v>
      </c>
      <c r="K84" s="55" t="s">
        <v>20</v>
      </c>
      <c r="L84" s="57" t="str">
        <f>HYPERLINK("https://nycdoe.sharepoint.com/:w:/s/BAP/EUUfE8-dq3ZCm-b5qjW28IQByV-yZA_QiiSL0TSTtls7lA", "8 out of 10")</f>
        <v>8 out of 10</v>
      </c>
      <c r="M84" t="s">
        <v>4652</v>
      </c>
    </row>
    <row r="85" spans="2:13">
      <c r="B85" s="55" t="s">
        <v>147</v>
      </c>
      <c r="C85" s="55" t="s">
        <v>12</v>
      </c>
      <c r="D85" s="55" t="s">
        <v>239</v>
      </c>
      <c r="E85" s="55" t="s">
        <v>240</v>
      </c>
      <c r="F85" s="55" t="s">
        <v>4657</v>
      </c>
      <c r="G85" s="55" t="s">
        <v>242</v>
      </c>
      <c r="H85" s="55" t="s">
        <v>17</v>
      </c>
      <c r="I85" s="55" t="s">
        <v>18</v>
      </c>
      <c r="J85" s="55" t="s">
        <v>4658</v>
      </c>
      <c r="K85" s="55" t="s">
        <v>62</v>
      </c>
      <c r="L85" s="57" t="str">
        <f>HYPERLINK("https://nycdoe.sharepoint.com/:w:/s/BAP/EUgAnupij61Hg6ivD9zssy8BVzDJuoQZqWx7UeFLhbUaDA", "10 out of 10")</f>
        <v>10 out of 10</v>
      </c>
      <c r="M85" t="s">
        <v>4659</v>
      </c>
    </row>
    <row r="86" spans="2:13">
      <c r="B86" s="55" t="s">
        <v>147</v>
      </c>
      <c r="C86" s="55" t="s">
        <v>12</v>
      </c>
      <c r="D86" s="55" t="s">
        <v>233</v>
      </c>
      <c r="E86" s="55" t="s">
        <v>244</v>
      </c>
      <c r="F86" s="55" t="s">
        <v>4660</v>
      </c>
      <c r="G86" s="55" t="s">
        <v>4661</v>
      </c>
      <c r="H86" s="55" t="s">
        <v>24</v>
      </c>
      <c r="I86" s="55"/>
      <c r="J86" s="55" t="s">
        <v>4662</v>
      </c>
      <c r="K86" s="55" t="s">
        <v>62</v>
      </c>
      <c r="L86" s="57" t="str">
        <f>HYPERLINK("https://nycdoe.sharepoint.com/:w:/s/BAP/ERhjR5Zz2wZJhLzDEMALfCoBsdzEhjulaikKPW4G3PhPOg", "10 out of 10")</f>
        <v>10 out of 10</v>
      </c>
      <c r="M86" t="s">
        <v>4663</v>
      </c>
    </row>
    <row r="87" spans="2:13">
      <c r="B87" s="55" t="s">
        <v>147</v>
      </c>
      <c r="C87" s="55" t="s">
        <v>12</v>
      </c>
      <c r="D87" s="55" t="s">
        <v>233</v>
      </c>
      <c r="E87" s="55" t="s">
        <v>248</v>
      </c>
      <c r="F87" s="55" t="s">
        <v>4664</v>
      </c>
      <c r="G87" s="55" t="s">
        <v>4665</v>
      </c>
      <c r="H87" s="55" t="s">
        <v>84</v>
      </c>
      <c r="I87" s="55"/>
      <c r="J87" s="55" t="s">
        <v>4662</v>
      </c>
      <c r="K87" s="55" t="s">
        <v>62</v>
      </c>
      <c r="L87" s="57" t="str">
        <f>HYPERLINK("https://nycdoe.sharepoint.com/:w:/s/BAP/ERhjR5Zz2wZJhLzDEMALfCoBsdzEhjulaikKPW4G3PhPOg", "10 out of 10")</f>
        <v>10 out of 10</v>
      </c>
      <c r="M87" t="s">
        <v>4663</v>
      </c>
    </row>
    <row r="88" spans="2:13">
      <c r="B88" s="55" t="s">
        <v>147</v>
      </c>
      <c r="C88" s="55" t="s">
        <v>12</v>
      </c>
      <c r="D88" s="55" t="s">
        <v>251</v>
      </c>
      <c r="E88" s="55" t="s">
        <v>4490</v>
      </c>
      <c r="F88" s="55" t="s">
        <v>4491</v>
      </c>
      <c r="G88" s="55" t="s">
        <v>4492</v>
      </c>
      <c r="H88" s="55" t="s">
        <v>56</v>
      </c>
      <c r="I88" s="55"/>
      <c r="J88" s="55" t="s">
        <v>4666</v>
      </c>
      <c r="K88" s="55" t="s">
        <v>20</v>
      </c>
      <c r="L88" s="57" t="str">
        <f>HYPERLINK("https://nycdoe.sharepoint.com/:w:/s/BAP/EcnfaZ-JOBpGvfT-LfHqxYAByuVJgx6VBslEutmGDJfteQ", "8 out of 10")</f>
        <v>8 out of 10</v>
      </c>
      <c r="M88" t="s">
        <v>4667</v>
      </c>
    </row>
    <row r="89" spans="2:13">
      <c r="B89" s="55" t="s">
        <v>147</v>
      </c>
      <c r="C89" s="55" t="s">
        <v>12</v>
      </c>
      <c r="D89" s="55" t="s">
        <v>251</v>
      </c>
      <c r="E89" s="55" t="s">
        <v>58</v>
      </c>
      <c r="F89" s="55" t="s">
        <v>4499</v>
      </c>
      <c r="G89" s="55" t="s">
        <v>60</v>
      </c>
      <c r="H89" s="55" t="s">
        <v>43</v>
      </c>
      <c r="I89" s="55"/>
      <c r="J89" s="55" t="s">
        <v>4666</v>
      </c>
      <c r="K89" s="55" t="s">
        <v>20</v>
      </c>
      <c r="L89" s="57" t="str">
        <f>HYPERLINK("https://nycdoe.sharepoint.com/:w:/s/BAP/EcnfaZ-JOBpGvfT-LfHqxYAByuVJgx6VBslEutmGDJfteQ", "8 out of 10")</f>
        <v>8 out of 10</v>
      </c>
      <c r="M89" t="s">
        <v>4667</v>
      </c>
    </row>
    <row r="90" spans="2:13">
      <c r="B90" s="55" t="s">
        <v>147</v>
      </c>
      <c r="C90" s="55" t="s">
        <v>12</v>
      </c>
      <c r="D90" s="55" t="s">
        <v>251</v>
      </c>
      <c r="E90" s="55" t="s">
        <v>253</v>
      </c>
      <c r="F90" s="55" t="s">
        <v>4668</v>
      </c>
      <c r="G90" s="55" t="s">
        <v>4669</v>
      </c>
      <c r="H90" s="55" t="s">
        <v>56</v>
      </c>
      <c r="I90" s="55"/>
      <c r="J90" s="55" t="s">
        <v>4666</v>
      </c>
      <c r="K90" s="55" t="s">
        <v>20</v>
      </c>
      <c r="L90" s="57" t="str">
        <f>HYPERLINK("https://nycdoe.sharepoint.com/:w:/s/BAP/EcnfaZ-JOBpGvfT-LfHqxYAByuVJgx6VBslEutmGDJfteQ", "8 out of 10")</f>
        <v>8 out of 10</v>
      </c>
      <c r="M90" t="s">
        <v>4667</v>
      </c>
    </row>
    <row r="91" spans="2:13">
      <c r="B91" s="55" t="s">
        <v>147</v>
      </c>
      <c r="C91" s="55" t="s">
        <v>12</v>
      </c>
      <c r="D91" s="55" t="s">
        <v>251</v>
      </c>
      <c r="E91" s="55" t="s">
        <v>256</v>
      </c>
      <c r="F91" s="55" t="s">
        <v>4670</v>
      </c>
      <c r="G91" s="55" t="s">
        <v>4671</v>
      </c>
      <c r="H91" s="55" t="s">
        <v>84</v>
      </c>
      <c r="I91" s="55"/>
      <c r="J91" s="55" t="s">
        <v>4666</v>
      </c>
      <c r="K91" s="55" t="s">
        <v>20</v>
      </c>
      <c r="L91" s="57" t="str">
        <f>HYPERLINK("https://nycdoe.sharepoint.com/:w:/s/BAP/EcnfaZ-JOBpGvfT-LfHqxYAByuVJgx6VBslEutmGDJfteQ", "8 out of 10")</f>
        <v>8 out of 10</v>
      </c>
      <c r="M91" t="s">
        <v>4667</v>
      </c>
    </row>
    <row r="92" spans="2:13">
      <c r="B92" s="55" t="s">
        <v>147</v>
      </c>
      <c r="C92" s="55" t="s">
        <v>12</v>
      </c>
      <c r="D92" s="55" t="s">
        <v>251</v>
      </c>
      <c r="E92" s="55" t="s">
        <v>259</v>
      </c>
      <c r="F92" s="55" t="s">
        <v>4672</v>
      </c>
      <c r="G92" s="55" t="s">
        <v>4673</v>
      </c>
      <c r="H92" s="55" t="s">
        <v>56</v>
      </c>
      <c r="I92" s="55"/>
      <c r="J92" s="55" t="s">
        <v>4666</v>
      </c>
      <c r="K92" s="55" t="s">
        <v>20</v>
      </c>
      <c r="L92" s="57" t="str">
        <f>HYPERLINK("https://nycdoe.sharepoint.com/:w:/s/BAP/EcnfaZ-JOBpGvfT-LfHqxYAByuVJgx6VBslEutmGDJfteQ", "8 out of 10")</f>
        <v>8 out of 10</v>
      </c>
      <c r="M92" t="s">
        <v>4667</v>
      </c>
    </row>
    <row r="93" spans="2:13">
      <c r="B93" s="55" t="s">
        <v>147</v>
      </c>
      <c r="C93" s="55" t="s">
        <v>12</v>
      </c>
      <c r="D93" s="55" t="s">
        <v>251</v>
      </c>
      <c r="E93" s="55" t="s">
        <v>262</v>
      </c>
      <c r="F93" s="55" t="s">
        <v>4674</v>
      </c>
      <c r="G93" s="55" t="s">
        <v>4675</v>
      </c>
      <c r="H93" s="55" t="s">
        <v>56</v>
      </c>
      <c r="I93" s="55"/>
      <c r="J93" s="55" t="s">
        <v>4666</v>
      </c>
      <c r="K93" s="55" t="s">
        <v>20</v>
      </c>
      <c r="L93" s="57" t="str">
        <f>HYPERLINK("https://nycdoe.sharepoint.com/:w:/s/BAP/EcnfaZ-JOBpGvfT-LfHqxYAByuVJgx6VBslEutmGDJfteQ", "8 out of 10")</f>
        <v>8 out of 10</v>
      </c>
      <c r="M93" t="s">
        <v>4667</v>
      </c>
    </row>
    <row r="94" spans="2:13">
      <c r="B94" s="55" t="s">
        <v>147</v>
      </c>
      <c r="C94" s="55" t="s">
        <v>12</v>
      </c>
      <c r="D94" s="55" t="s">
        <v>251</v>
      </c>
      <c r="E94" s="55" t="s">
        <v>265</v>
      </c>
      <c r="F94" s="55" t="s">
        <v>4676</v>
      </c>
      <c r="G94" s="55" t="s">
        <v>4677</v>
      </c>
      <c r="H94" s="55" t="s">
        <v>56</v>
      </c>
      <c r="I94" s="55"/>
      <c r="J94" s="55" t="s">
        <v>4666</v>
      </c>
      <c r="K94" s="55" t="s">
        <v>20</v>
      </c>
      <c r="L94" s="57" t="str">
        <f>HYPERLINK("https://nycdoe.sharepoint.com/:w:/s/BAP/EcnfaZ-JOBpGvfT-LfHqxYAByuVJgx6VBslEutmGDJfteQ", "8 out of 10")</f>
        <v>8 out of 10</v>
      </c>
      <c r="M94" t="s">
        <v>4667</v>
      </c>
    </row>
    <row r="95" spans="2:13">
      <c r="B95" s="55" t="s">
        <v>147</v>
      </c>
      <c r="C95" s="55" t="s">
        <v>12</v>
      </c>
      <c r="D95" s="55" t="s">
        <v>251</v>
      </c>
      <c r="E95" s="55" t="s">
        <v>268</v>
      </c>
      <c r="F95" s="55" t="s">
        <v>4678</v>
      </c>
      <c r="G95" s="55" t="s">
        <v>4679</v>
      </c>
      <c r="H95" s="55" t="s">
        <v>56</v>
      </c>
      <c r="I95" s="55"/>
      <c r="J95" s="55" t="s">
        <v>4666</v>
      </c>
      <c r="K95" s="55" t="s">
        <v>20</v>
      </c>
      <c r="L95" s="57" t="str">
        <f>HYPERLINK("https://nycdoe.sharepoint.com/:w:/s/BAP/EcnfaZ-JOBpGvfT-LfHqxYAByuVJgx6VBslEutmGDJfteQ", "8 out of 10")</f>
        <v>8 out of 10</v>
      </c>
      <c r="M95" t="s">
        <v>4667</v>
      </c>
    </row>
    <row r="96" spans="2:13">
      <c r="B96" s="55" t="s">
        <v>147</v>
      </c>
      <c r="C96" s="55" t="s">
        <v>12</v>
      </c>
      <c r="D96" s="55" t="s">
        <v>271</v>
      </c>
      <c r="E96" s="55" t="s">
        <v>272</v>
      </c>
      <c r="F96" s="55" t="s">
        <v>4680</v>
      </c>
      <c r="G96" s="55" t="s">
        <v>4681</v>
      </c>
      <c r="H96" s="55" t="s">
        <v>56</v>
      </c>
      <c r="I96" s="55"/>
      <c r="J96" s="55" t="s">
        <v>4682</v>
      </c>
      <c r="K96" s="55" t="s">
        <v>62</v>
      </c>
      <c r="L96" s="57" t="str">
        <f>HYPERLINK("https://nycdoe.sharepoint.com/:w:/s/BAP/EVJ7F0fi779Egsu4uFIA08IBjDv2niEwz5bgAssNUI8beQ", "9 out of 10")</f>
        <v>9 out of 10</v>
      </c>
      <c r="M96" t="s">
        <v>4683</v>
      </c>
    </row>
    <row r="97" spans="2:13">
      <c r="B97" s="55" t="s">
        <v>147</v>
      </c>
      <c r="C97" s="55" t="s">
        <v>12</v>
      </c>
      <c r="D97" s="55" t="s">
        <v>271</v>
      </c>
      <c r="E97" s="55" t="s">
        <v>276</v>
      </c>
      <c r="F97" s="55" t="s">
        <v>4684</v>
      </c>
      <c r="G97" s="55" t="s">
        <v>4685</v>
      </c>
      <c r="H97" s="55" t="s">
        <v>56</v>
      </c>
      <c r="I97" s="55"/>
      <c r="J97" s="55" t="s">
        <v>4682</v>
      </c>
      <c r="K97" s="55" t="s">
        <v>62</v>
      </c>
      <c r="L97" s="57" t="str">
        <f>HYPERLINK("https://nycdoe.sharepoint.com/:w:/s/BAP/EVJ7F0fi779Egsu4uFIA08IBjDv2niEwz5bgAssNUI8beQ", "9 out of 10")</f>
        <v>9 out of 10</v>
      </c>
      <c r="M97" t="s">
        <v>4683</v>
      </c>
    </row>
    <row r="98" spans="2:13">
      <c r="B98" s="55" t="s">
        <v>147</v>
      </c>
      <c r="C98" s="55" t="s">
        <v>12</v>
      </c>
      <c r="D98" s="55" t="s">
        <v>4686</v>
      </c>
      <c r="E98" s="55" t="s">
        <v>4687</v>
      </c>
      <c r="F98" s="55" t="s">
        <v>4688</v>
      </c>
      <c r="G98" s="55" t="s">
        <v>4689</v>
      </c>
      <c r="H98" s="55" t="s">
        <v>17</v>
      </c>
      <c r="I98" s="55" t="s">
        <v>18</v>
      </c>
      <c r="J98" s="55" t="s">
        <v>4690</v>
      </c>
      <c r="K98" s="55" t="s">
        <v>20</v>
      </c>
      <c r="L98" s="57" t="str">
        <f>HYPERLINK("https://nycdoe.sharepoint.com/:w:/s/BAP/EUlr5LYTyqdFpD52WpTRUu8BxV_bh7GvhoP2BnLpcqaiTw", "1 out of 10")</f>
        <v>1 out of 10</v>
      </c>
      <c r="M98" t="s">
        <v>4691</v>
      </c>
    </row>
    <row r="99" spans="2:13">
      <c r="B99" s="55" t="s">
        <v>147</v>
      </c>
      <c r="C99" s="55" t="s">
        <v>12</v>
      </c>
      <c r="D99" s="55" t="s">
        <v>4692</v>
      </c>
      <c r="E99" s="55" t="s">
        <v>244</v>
      </c>
      <c r="F99" s="55" t="s">
        <v>4660</v>
      </c>
      <c r="G99" s="55" t="s">
        <v>4661</v>
      </c>
      <c r="H99" s="55" t="s">
        <v>24</v>
      </c>
      <c r="I99" s="55"/>
      <c r="J99" s="55" t="s">
        <v>4693</v>
      </c>
      <c r="K99" s="55" t="s">
        <v>20</v>
      </c>
      <c r="L99" s="57" t="str">
        <f>HYPERLINK("https://nycdoe.sharepoint.com/:w:/s/BAP/EWdM-9wP7nZImbGCUo10HKgBNSXt0rhXhlQNZYmvJDdZMg", "1 out of 10")</f>
        <v>1 out of 10</v>
      </c>
      <c r="M99" t="s">
        <v>4694</v>
      </c>
    </row>
    <row r="100" spans="2:13">
      <c r="B100" s="55" t="s">
        <v>147</v>
      </c>
      <c r="C100" s="55" t="s">
        <v>12</v>
      </c>
      <c r="D100" s="55" t="s">
        <v>279</v>
      </c>
      <c r="E100" s="55" t="s">
        <v>280</v>
      </c>
      <c r="F100" s="55" t="s">
        <v>4695</v>
      </c>
      <c r="G100" s="55" t="s">
        <v>4696</v>
      </c>
      <c r="H100" s="55" t="s">
        <v>56</v>
      </c>
      <c r="I100" s="55"/>
      <c r="J100" s="55" t="s">
        <v>4697</v>
      </c>
      <c r="K100" s="55" t="s">
        <v>62</v>
      </c>
      <c r="L100" s="57" t="str">
        <f>HYPERLINK("https://nycdoe.sharepoint.com/:w:/s/BAP/EU-9x7MckIVEso4NMJ4JzNUBMMpCrAszgWX5znfmL2BeiA", "10 out of 10")</f>
        <v>10 out of 10</v>
      </c>
      <c r="M100" t="s">
        <v>4698</v>
      </c>
    </row>
    <row r="101" spans="2:13">
      <c r="B101" s="55" t="s">
        <v>147</v>
      </c>
      <c r="C101" s="55" t="s">
        <v>12</v>
      </c>
      <c r="D101" s="55" t="s">
        <v>279</v>
      </c>
      <c r="E101" s="55" t="s">
        <v>284</v>
      </c>
      <c r="F101" s="55" t="s">
        <v>4699</v>
      </c>
      <c r="G101" s="55" t="s">
        <v>4700</v>
      </c>
      <c r="H101" s="55" t="s">
        <v>24</v>
      </c>
      <c r="I101" s="55"/>
      <c r="J101" s="55" t="s">
        <v>4697</v>
      </c>
      <c r="K101" s="55" t="s">
        <v>62</v>
      </c>
      <c r="L101" s="57" t="str">
        <f>HYPERLINK("https://nycdoe.sharepoint.com/:w:/s/BAP/EU-9x7MckIVEso4NMJ4JzNUBMMpCrAszgWX5znfmL2BeiA", "10 out of 10")</f>
        <v>10 out of 10</v>
      </c>
      <c r="M101" t="s">
        <v>4698</v>
      </c>
    </row>
    <row r="102" spans="2:13">
      <c r="B102" s="55" t="s">
        <v>287</v>
      </c>
      <c r="C102" s="55" t="s">
        <v>12</v>
      </c>
      <c r="D102" s="55" t="s">
        <v>288</v>
      </c>
      <c r="E102" s="55" t="s">
        <v>288</v>
      </c>
      <c r="F102" s="55" t="s">
        <v>4701</v>
      </c>
      <c r="G102" s="55" t="s">
        <v>4702</v>
      </c>
      <c r="H102" s="55" t="s">
        <v>17</v>
      </c>
      <c r="I102" s="55" t="s">
        <v>18</v>
      </c>
      <c r="J102" s="55" t="s">
        <v>4703</v>
      </c>
      <c r="K102" s="55" t="s">
        <v>20</v>
      </c>
      <c r="L102" s="57" t="str">
        <f>HYPERLINK("https://nycdoe.sharepoint.com/:w:/s/BAP/EYC1kyL4ISBPhQZNTawSrrwBI7WYNp_qUh9CdxZStLhecA", "3 out of 10")</f>
        <v>3 out of 10</v>
      </c>
      <c r="M102" t="s">
        <v>4704</v>
      </c>
    </row>
    <row r="103" spans="2:13">
      <c r="B103" s="55" t="s">
        <v>287</v>
      </c>
      <c r="C103" s="55" t="s">
        <v>12</v>
      </c>
      <c r="D103" s="55" t="s">
        <v>292</v>
      </c>
      <c r="E103" s="55" t="s">
        <v>292</v>
      </c>
      <c r="F103" s="55" t="s">
        <v>4705</v>
      </c>
      <c r="G103" s="55" t="s">
        <v>4706</v>
      </c>
      <c r="H103" s="55" t="s">
        <v>52</v>
      </c>
      <c r="I103" s="55"/>
      <c r="J103" s="55" t="s">
        <v>4707</v>
      </c>
      <c r="K103" s="55" t="s">
        <v>20</v>
      </c>
      <c r="L103" s="57" t="str">
        <f>HYPERLINK("https://nycdoe.sharepoint.com/:w:/s/BAP/EVXva3IzBGFJsoYukq9jGUkBrSbT7cLUkoOPAM3LkBMVBw", "1 out of 10")</f>
        <v>1 out of 10</v>
      </c>
      <c r="M103" t="s">
        <v>4708</v>
      </c>
    </row>
    <row r="104" spans="2:13">
      <c r="B104" s="55" t="s">
        <v>287</v>
      </c>
      <c r="C104" s="55" t="s">
        <v>12</v>
      </c>
      <c r="D104" s="55" t="s">
        <v>292</v>
      </c>
      <c r="E104" s="55" t="s">
        <v>296</v>
      </c>
      <c r="F104" s="55" t="s">
        <v>4709</v>
      </c>
      <c r="G104" s="55" t="s">
        <v>4710</v>
      </c>
      <c r="H104" s="55" t="s">
        <v>52</v>
      </c>
      <c r="I104" s="55"/>
      <c r="J104" s="55" t="s">
        <v>4707</v>
      </c>
      <c r="K104" s="55" t="s">
        <v>20</v>
      </c>
      <c r="L104" s="57" t="str">
        <f>HYPERLINK("https://nycdoe.sharepoint.com/:w:/s/BAP/EVXva3IzBGFJsoYukq9jGUkBrSbT7cLUkoOPAM3LkBMVBw", "1 out of 10")</f>
        <v>1 out of 10</v>
      </c>
      <c r="M104" t="s">
        <v>4708</v>
      </c>
    </row>
    <row r="105" spans="2:13">
      <c r="B105" s="55" t="s">
        <v>287</v>
      </c>
      <c r="C105" s="55" t="s">
        <v>12</v>
      </c>
      <c r="D105" s="55" t="s">
        <v>292</v>
      </c>
      <c r="E105" s="55" t="s">
        <v>299</v>
      </c>
      <c r="F105" s="55" t="s">
        <v>4711</v>
      </c>
      <c r="G105" s="55" t="s">
        <v>4712</v>
      </c>
      <c r="H105" s="55" t="s">
        <v>24</v>
      </c>
      <c r="I105" s="55"/>
      <c r="J105" s="55" t="s">
        <v>4707</v>
      </c>
      <c r="K105" s="55" t="s">
        <v>20</v>
      </c>
      <c r="L105" s="57" t="str">
        <f>HYPERLINK("https://nycdoe.sharepoint.com/:w:/s/BAP/EVXva3IzBGFJsoYukq9jGUkBrSbT7cLUkoOPAM3LkBMVBw", "1 out of 10")</f>
        <v>1 out of 10</v>
      </c>
      <c r="M105" t="s">
        <v>4708</v>
      </c>
    </row>
    <row r="106" spans="2:13">
      <c r="B106" s="55" t="s">
        <v>287</v>
      </c>
      <c r="C106" s="55" t="s">
        <v>12</v>
      </c>
      <c r="D106" s="55" t="s">
        <v>302</v>
      </c>
      <c r="E106" s="55" t="s">
        <v>303</v>
      </c>
      <c r="F106" s="55" t="s">
        <v>4713</v>
      </c>
      <c r="G106" s="55" t="s">
        <v>305</v>
      </c>
      <c r="H106" s="55" t="s">
        <v>52</v>
      </c>
      <c r="I106" s="55"/>
      <c r="J106" s="55" t="s">
        <v>4714</v>
      </c>
      <c r="K106" s="55" t="s">
        <v>62</v>
      </c>
      <c r="L106" s="57" t="str">
        <f>HYPERLINK("https://nycdoe.sharepoint.com/:w:/s/BAP/EaVaQN88XE1KlxXGoHrOABwBfTrIZKX4SNtHu_rQR79vsw", "9 out of 10")</f>
        <v>9 out of 10</v>
      </c>
      <c r="M106" t="s">
        <v>4715</v>
      </c>
    </row>
    <row r="107" spans="2:13">
      <c r="B107" s="55" t="s">
        <v>287</v>
      </c>
      <c r="C107" s="55" t="s">
        <v>12</v>
      </c>
      <c r="D107" s="55" t="s">
        <v>302</v>
      </c>
      <c r="E107" s="55" t="s">
        <v>307</v>
      </c>
      <c r="F107" s="55" t="s">
        <v>4716</v>
      </c>
      <c r="G107" s="55" t="s">
        <v>4717</v>
      </c>
      <c r="H107" s="55" t="s">
        <v>52</v>
      </c>
      <c r="I107" s="55"/>
      <c r="J107" s="55" t="s">
        <v>4714</v>
      </c>
      <c r="K107" s="55" t="s">
        <v>62</v>
      </c>
      <c r="L107" s="57" t="str">
        <f>HYPERLINK("https://nycdoe.sharepoint.com/:w:/s/BAP/EaVaQN88XE1KlxXGoHrOABwBfTrIZKX4SNtHu_rQR79vsw", "9 out of 10")</f>
        <v>9 out of 10</v>
      </c>
      <c r="M107" t="s">
        <v>4715</v>
      </c>
    </row>
    <row r="108" spans="2:13">
      <c r="B108" s="55" t="s">
        <v>287</v>
      </c>
      <c r="C108" s="55" t="s">
        <v>12</v>
      </c>
      <c r="D108" s="55" t="s">
        <v>302</v>
      </c>
      <c r="E108" s="55" t="s">
        <v>310</v>
      </c>
      <c r="F108" s="55" t="s">
        <v>4718</v>
      </c>
      <c r="G108" s="55" t="s">
        <v>4719</v>
      </c>
      <c r="H108" s="55" t="s">
        <v>56</v>
      </c>
      <c r="I108" s="55"/>
      <c r="J108" s="55" t="s">
        <v>4714</v>
      </c>
      <c r="K108" s="55" t="s">
        <v>62</v>
      </c>
      <c r="L108" s="57" t="str">
        <f>HYPERLINK("https://nycdoe.sharepoint.com/:w:/s/BAP/EaVaQN88XE1KlxXGoHrOABwBfTrIZKX4SNtHu_rQR79vsw", "9 out of 10")</f>
        <v>9 out of 10</v>
      </c>
      <c r="M108" t="s">
        <v>4715</v>
      </c>
    </row>
    <row r="109" spans="2:13">
      <c r="B109" s="55" t="s">
        <v>287</v>
      </c>
      <c r="C109" s="55" t="s">
        <v>12</v>
      </c>
      <c r="D109" s="55" t="s">
        <v>313</v>
      </c>
      <c r="E109" s="55" t="s">
        <v>314</v>
      </c>
      <c r="F109" s="55" t="s">
        <v>4720</v>
      </c>
      <c r="G109" s="55" t="s">
        <v>4721</v>
      </c>
      <c r="H109" s="55" t="s">
        <v>17</v>
      </c>
      <c r="I109" s="55" t="s">
        <v>18</v>
      </c>
      <c r="J109" s="55" t="s">
        <v>4722</v>
      </c>
      <c r="K109" s="55" t="s">
        <v>20</v>
      </c>
      <c r="L109" s="57" t="str">
        <f>HYPERLINK("https://nycdoe.sharepoint.com/:w:/s/BAP/ET3RHO3FKDVBgZ2N9AzXrcMBVuOzjyWIvihzB8PkbavbSQ", "3 out of 10")</f>
        <v>3 out of 10</v>
      </c>
      <c r="M109" t="s">
        <v>4723</v>
      </c>
    </row>
    <row r="110" spans="2:13">
      <c r="B110" s="55" t="s">
        <v>287</v>
      </c>
      <c r="C110" s="55" t="s">
        <v>12</v>
      </c>
      <c r="D110" s="55" t="s">
        <v>313</v>
      </c>
      <c r="E110" s="55" t="s">
        <v>318</v>
      </c>
      <c r="F110" s="55" t="s">
        <v>4724</v>
      </c>
      <c r="G110" s="55" t="s">
        <v>4725</v>
      </c>
      <c r="H110" s="55" t="s">
        <v>17</v>
      </c>
      <c r="I110" s="55" t="s">
        <v>18</v>
      </c>
      <c r="J110" s="55" t="s">
        <v>4722</v>
      </c>
      <c r="K110" s="55" t="s">
        <v>20</v>
      </c>
      <c r="L110" s="57" t="str">
        <f>HYPERLINK("https://nycdoe.sharepoint.com/:w:/s/BAP/ET3RHO3FKDVBgZ2N9AzXrcMBVuOzjyWIvihzB8PkbavbSQ", "3 out of 10")</f>
        <v>3 out of 10</v>
      </c>
      <c r="M110" t="s">
        <v>4723</v>
      </c>
    </row>
    <row r="111" spans="2:13">
      <c r="B111" s="55" t="s">
        <v>287</v>
      </c>
      <c r="C111" s="55" t="s">
        <v>12</v>
      </c>
      <c r="D111" s="55" t="s">
        <v>4726</v>
      </c>
      <c r="E111" s="55" t="s">
        <v>74</v>
      </c>
      <c r="F111" s="55" t="s">
        <v>4600</v>
      </c>
      <c r="G111" s="55" t="s">
        <v>76</v>
      </c>
      <c r="H111" s="55" t="s">
        <v>43</v>
      </c>
      <c r="I111" s="55" t="s">
        <v>18</v>
      </c>
      <c r="J111" s="55" t="s">
        <v>4727</v>
      </c>
      <c r="K111" s="55" t="s">
        <v>20</v>
      </c>
      <c r="L111" s="57" t="str">
        <f>HYPERLINK("https://nycdoe.sharepoint.com/:w:/s/BAP/EWxQIYBBw9dGry_WijrRXCUBds2Omd7q5ZOjMlq43-Vf7g", "1 out of 10")</f>
        <v>1 out of 10</v>
      </c>
      <c r="M111" t="s">
        <v>4728</v>
      </c>
    </row>
    <row r="112" spans="2:13">
      <c r="B112" s="55" t="s">
        <v>287</v>
      </c>
      <c r="C112" s="55" t="s">
        <v>12</v>
      </c>
      <c r="D112" s="55" t="s">
        <v>4726</v>
      </c>
      <c r="E112" s="55" t="s">
        <v>4729</v>
      </c>
      <c r="F112" s="55" t="s">
        <v>4730</v>
      </c>
      <c r="G112" s="55" t="s">
        <v>4731</v>
      </c>
      <c r="H112" s="55" t="s">
        <v>17</v>
      </c>
      <c r="I112" s="55" t="s">
        <v>18</v>
      </c>
      <c r="J112" s="55" t="s">
        <v>4727</v>
      </c>
      <c r="K112" s="55" t="s">
        <v>20</v>
      </c>
      <c r="L112" s="57" t="str">
        <f>HYPERLINK("https://nycdoe.sharepoint.com/:w:/s/BAP/EWxQIYBBw9dGry_WijrRXCUBds2Omd7q5ZOjMlq43-Vf7g", "1 out of 10")</f>
        <v>1 out of 10</v>
      </c>
      <c r="M112" t="s">
        <v>4728</v>
      </c>
    </row>
    <row r="113" spans="2:13">
      <c r="B113" s="55" t="s">
        <v>287</v>
      </c>
      <c r="C113" s="55" t="s">
        <v>12</v>
      </c>
      <c r="D113" s="55" t="s">
        <v>4732</v>
      </c>
      <c r="E113" s="55" t="s">
        <v>4732</v>
      </c>
      <c r="F113" s="55" t="s">
        <v>4733</v>
      </c>
      <c r="G113" s="55" t="s">
        <v>4734</v>
      </c>
      <c r="H113" s="55" t="s">
        <v>17</v>
      </c>
      <c r="I113" s="55" t="s">
        <v>18</v>
      </c>
      <c r="J113" s="55" t="s">
        <v>4735</v>
      </c>
      <c r="K113" s="55" t="s">
        <v>20</v>
      </c>
      <c r="L113" s="57" t="str">
        <f>HYPERLINK("https://nycdoe.sharepoint.com/:w:/s/BAP/EY7lj_VzHwFIsOf3bGWg-UYBM3d6xlTdiJZ344FUkc7aTA", "1 out of 10")</f>
        <v>1 out of 10</v>
      </c>
      <c r="M113" t="s">
        <v>4736</v>
      </c>
    </row>
    <row r="114" spans="2:13">
      <c r="B114" s="55" t="s">
        <v>287</v>
      </c>
      <c r="C114" s="55" t="s">
        <v>12</v>
      </c>
      <c r="D114" s="55" t="s">
        <v>4737</v>
      </c>
      <c r="E114" s="55" t="s">
        <v>4564</v>
      </c>
      <c r="F114" s="55" t="s">
        <v>4565</v>
      </c>
      <c r="G114" s="55" t="s">
        <v>4566</v>
      </c>
      <c r="H114" s="55" t="s">
        <v>52</v>
      </c>
      <c r="I114" s="55"/>
      <c r="J114" s="55" t="s">
        <v>4738</v>
      </c>
      <c r="K114" s="55" t="s">
        <v>20</v>
      </c>
      <c r="L114" s="57" t="str">
        <f>HYPERLINK("https://nycdoe.sharepoint.com/:w:/s/BAP/EebjwBgVJaxAlBAkdp5BmkQBFhny4I1r6fLtCWX9ODNPzw", "4 out of 10")</f>
        <v>4 out of 10</v>
      </c>
      <c r="M114" t="s">
        <v>4739</v>
      </c>
    </row>
    <row r="115" spans="2:13">
      <c r="B115" s="55" t="s">
        <v>287</v>
      </c>
      <c r="C115" s="55" t="s">
        <v>12</v>
      </c>
      <c r="D115" s="55" t="s">
        <v>4737</v>
      </c>
      <c r="E115" s="55" t="s">
        <v>4737</v>
      </c>
      <c r="F115" s="55" t="s">
        <v>4740</v>
      </c>
      <c r="G115" s="55" t="s">
        <v>4741</v>
      </c>
      <c r="H115" s="55" t="s">
        <v>52</v>
      </c>
      <c r="I115" s="55"/>
      <c r="J115" s="55" t="s">
        <v>4738</v>
      </c>
      <c r="K115" s="55" t="s">
        <v>20</v>
      </c>
      <c r="L115" s="57" t="str">
        <f>HYPERLINK("https://nycdoe.sharepoint.com/:w:/s/BAP/EebjwBgVJaxAlBAkdp5BmkQBFhny4I1r6fLtCWX9ODNPzw", "4 out of 10")</f>
        <v>4 out of 10</v>
      </c>
      <c r="M115" t="s">
        <v>4739</v>
      </c>
    </row>
    <row r="116" spans="2:13">
      <c r="B116" s="55" t="s">
        <v>287</v>
      </c>
      <c r="C116" s="55" t="s">
        <v>12</v>
      </c>
      <c r="D116" s="55" t="s">
        <v>4737</v>
      </c>
      <c r="E116" s="55" t="s">
        <v>4742</v>
      </c>
      <c r="F116" s="55" t="s">
        <v>4743</v>
      </c>
      <c r="G116" s="55" t="s">
        <v>4744</v>
      </c>
      <c r="H116" s="55" t="s">
        <v>84</v>
      </c>
      <c r="I116" s="55"/>
      <c r="J116" s="55" t="s">
        <v>4738</v>
      </c>
      <c r="K116" s="55" t="s">
        <v>20</v>
      </c>
      <c r="L116" s="57" t="str">
        <f>HYPERLINK("https://nycdoe.sharepoint.com/:w:/s/BAP/EebjwBgVJaxAlBAkdp5BmkQBFhny4I1r6fLtCWX9ODNPzw", "4 out of 10")</f>
        <v>4 out of 10</v>
      </c>
      <c r="M116" t="s">
        <v>4739</v>
      </c>
    </row>
    <row r="117" spans="2:13">
      <c r="B117" s="55" t="s">
        <v>287</v>
      </c>
      <c r="C117" s="55" t="s">
        <v>12</v>
      </c>
      <c r="D117" s="55" t="s">
        <v>321</v>
      </c>
      <c r="E117" s="55" t="s">
        <v>321</v>
      </c>
      <c r="F117" s="55" t="s">
        <v>4745</v>
      </c>
      <c r="G117" s="55" t="s">
        <v>4746</v>
      </c>
      <c r="H117" s="55" t="s">
        <v>17</v>
      </c>
      <c r="I117" s="55" t="s">
        <v>18</v>
      </c>
      <c r="J117" s="55" t="s">
        <v>4747</v>
      </c>
      <c r="K117" s="55" t="s">
        <v>62</v>
      </c>
      <c r="L117" s="57" t="str">
        <f>HYPERLINK("https://nycdoe.sharepoint.com/:w:/s/BAP/EU-WK4WOSRpDiWbttiwGxEkBJ_JloGYmgzfQIO34mz-BtA", "9 out of 10")</f>
        <v>9 out of 10</v>
      </c>
      <c r="M117" t="s">
        <v>4748</v>
      </c>
    </row>
    <row r="118" spans="2:13">
      <c r="B118" s="55" t="s">
        <v>287</v>
      </c>
      <c r="C118" s="55" t="s">
        <v>12</v>
      </c>
      <c r="D118" s="55" t="s">
        <v>325</v>
      </c>
      <c r="E118" s="55" t="s">
        <v>326</v>
      </c>
      <c r="F118" s="55" t="s">
        <v>4749</v>
      </c>
      <c r="G118" s="55" t="s">
        <v>4750</v>
      </c>
      <c r="H118" s="55" t="s">
        <v>52</v>
      </c>
      <c r="I118" s="55"/>
      <c r="J118" s="55" t="s">
        <v>4751</v>
      </c>
      <c r="K118" s="55" t="s">
        <v>20</v>
      </c>
      <c r="L118" s="57" t="str">
        <f>HYPERLINK("https://nycdoe.sharepoint.com/:w:/s/BAP/EcuBhFGcB-5Cs56EJPYMcSEB4grABFmBJqEahAhQ9jbB-A", "1 out of 10")</f>
        <v>1 out of 10</v>
      </c>
      <c r="M118" t="s">
        <v>4752</v>
      </c>
    </row>
    <row r="119" spans="2:13">
      <c r="B119" s="55" t="s">
        <v>287</v>
      </c>
      <c r="C119" s="55" t="s">
        <v>12</v>
      </c>
      <c r="D119" s="55" t="s">
        <v>325</v>
      </c>
      <c r="E119" s="55" t="s">
        <v>330</v>
      </c>
      <c r="F119" s="55" t="s">
        <v>4753</v>
      </c>
      <c r="G119" s="55" t="s">
        <v>332</v>
      </c>
      <c r="H119" s="55" t="s">
        <v>52</v>
      </c>
      <c r="I119" s="55"/>
      <c r="J119" s="55" t="s">
        <v>4751</v>
      </c>
      <c r="K119" s="55" t="s">
        <v>20</v>
      </c>
      <c r="L119" s="57" t="str">
        <f>HYPERLINK("https://nycdoe.sharepoint.com/:w:/s/BAP/EcuBhFGcB-5Cs56EJPYMcSEB4grABFmBJqEahAhQ9jbB-A", "1 out of 10")</f>
        <v>1 out of 10</v>
      </c>
      <c r="M119" t="s">
        <v>4752</v>
      </c>
    </row>
    <row r="120" spans="2:13">
      <c r="B120" s="55" t="s">
        <v>287</v>
      </c>
      <c r="C120" s="55" t="s">
        <v>12</v>
      </c>
      <c r="D120" s="55" t="s">
        <v>325</v>
      </c>
      <c r="E120" s="55" t="s">
        <v>333</v>
      </c>
      <c r="F120" s="55" t="s">
        <v>4754</v>
      </c>
      <c r="G120" s="55" t="s">
        <v>4755</v>
      </c>
      <c r="H120" s="55" t="s">
        <v>43</v>
      </c>
      <c r="I120" s="55"/>
      <c r="J120" s="55" t="s">
        <v>4751</v>
      </c>
      <c r="K120" s="55" t="s">
        <v>20</v>
      </c>
      <c r="L120" s="57" t="str">
        <f>HYPERLINK("https://nycdoe.sharepoint.com/:w:/s/BAP/EcuBhFGcB-5Cs56EJPYMcSEB4grABFmBJqEahAhQ9jbB-A", "1 out of 10")</f>
        <v>1 out of 10</v>
      </c>
      <c r="M120" t="s">
        <v>4752</v>
      </c>
    </row>
    <row r="121" spans="2:13">
      <c r="B121" s="55" t="s">
        <v>287</v>
      </c>
      <c r="C121" s="55" t="s">
        <v>12</v>
      </c>
      <c r="D121" s="55" t="s">
        <v>4756</v>
      </c>
      <c r="E121" s="55" t="s">
        <v>4757</v>
      </c>
      <c r="F121" s="55" t="s">
        <v>4758</v>
      </c>
      <c r="G121" s="55" t="s">
        <v>4759</v>
      </c>
      <c r="H121" s="55" t="s">
        <v>52</v>
      </c>
      <c r="I121" s="55"/>
      <c r="J121" s="55" t="s">
        <v>4760</v>
      </c>
      <c r="K121" s="55" t="s">
        <v>20</v>
      </c>
      <c r="L121" s="57" t="str">
        <f>HYPERLINK("https://nycdoe.sharepoint.com/:w:/s/BAP/ERCZBqa-3N1BpiFSVGaiHOcB1HTHg7pyKqKSnFUWXp_Ufw", "4 out of 10")</f>
        <v>4 out of 10</v>
      </c>
      <c r="M121" t="s">
        <v>4761</v>
      </c>
    </row>
    <row r="122" spans="2:13">
      <c r="B122" s="55" t="s">
        <v>287</v>
      </c>
      <c r="C122" s="55" t="s">
        <v>12</v>
      </c>
      <c r="D122" s="55" t="s">
        <v>4756</v>
      </c>
      <c r="E122" s="55" t="s">
        <v>4762</v>
      </c>
      <c r="F122" s="55" t="s">
        <v>4763</v>
      </c>
      <c r="G122" s="55" t="s">
        <v>4764</v>
      </c>
      <c r="H122" s="55" t="s">
        <v>52</v>
      </c>
      <c r="I122" s="55"/>
      <c r="J122" s="55" t="s">
        <v>4760</v>
      </c>
      <c r="K122" s="55" t="s">
        <v>20</v>
      </c>
      <c r="L122" s="57" t="str">
        <f>HYPERLINK("https://nycdoe.sharepoint.com/:w:/s/BAP/ERCZBqa-3N1BpiFSVGaiHOcB1HTHg7pyKqKSnFUWXp_Ufw", "4 out of 10")</f>
        <v>4 out of 10</v>
      </c>
      <c r="M122" t="s">
        <v>4761</v>
      </c>
    </row>
    <row r="123" spans="2:13">
      <c r="B123" s="55" t="s">
        <v>287</v>
      </c>
      <c r="C123" s="55" t="s">
        <v>12</v>
      </c>
      <c r="D123" s="55" t="s">
        <v>4756</v>
      </c>
      <c r="E123" s="55" t="s">
        <v>4765</v>
      </c>
      <c r="F123" s="55" t="s">
        <v>4766</v>
      </c>
      <c r="G123" s="55" t="s">
        <v>4767</v>
      </c>
      <c r="H123" s="55" t="s">
        <v>56</v>
      </c>
      <c r="I123" s="55"/>
      <c r="J123" s="55" t="s">
        <v>4760</v>
      </c>
      <c r="K123" s="55" t="s">
        <v>20</v>
      </c>
      <c r="L123" s="57" t="str">
        <f>HYPERLINK("https://nycdoe.sharepoint.com/:w:/s/BAP/ERCZBqa-3N1BpiFSVGaiHOcB1HTHg7pyKqKSnFUWXp_Ufw", "4 out of 10")</f>
        <v>4 out of 10</v>
      </c>
      <c r="M123" t="s">
        <v>4761</v>
      </c>
    </row>
    <row r="124" spans="2:13">
      <c r="B124" s="55" t="s">
        <v>287</v>
      </c>
      <c r="C124" s="55" t="s">
        <v>12</v>
      </c>
      <c r="D124" s="55" t="s">
        <v>336</v>
      </c>
      <c r="E124" s="55" t="s">
        <v>337</v>
      </c>
      <c r="F124" s="55" t="s">
        <v>4768</v>
      </c>
      <c r="G124" s="55" t="s">
        <v>4769</v>
      </c>
      <c r="H124" s="55" t="s">
        <v>84</v>
      </c>
      <c r="I124" s="55"/>
      <c r="J124" s="55" t="s">
        <v>4770</v>
      </c>
      <c r="K124" s="55" t="s">
        <v>62</v>
      </c>
      <c r="L124" s="57" t="str">
        <f>HYPERLINK("https://nycdoe.sharepoint.com/:w:/s/BAP/Eb6GfUZOFcZPvIGG1bEYR5kBzTTOROFp9zE4CZCggzKheg", "9 out of 10")</f>
        <v>9 out of 10</v>
      </c>
      <c r="M124" t="s">
        <v>4771</v>
      </c>
    </row>
    <row r="125" spans="2:13">
      <c r="B125" s="55" t="s">
        <v>287</v>
      </c>
      <c r="C125" s="55" t="s">
        <v>12</v>
      </c>
      <c r="D125" s="55" t="s">
        <v>336</v>
      </c>
      <c r="E125" s="55" t="s">
        <v>341</v>
      </c>
      <c r="F125" s="55" t="s">
        <v>4772</v>
      </c>
      <c r="G125" s="55" t="s">
        <v>4773</v>
      </c>
      <c r="H125" s="55" t="s">
        <v>17</v>
      </c>
      <c r="I125" s="55" t="s">
        <v>18</v>
      </c>
      <c r="J125" s="55" t="s">
        <v>4770</v>
      </c>
      <c r="K125" s="55" t="s">
        <v>62</v>
      </c>
      <c r="L125" s="57" t="str">
        <f>HYPERLINK("https://nycdoe.sharepoint.com/:w:/s/BAP/Eb6GfUZOFcZPvIGG1bEYR5kBzTTOROFp9zE4CZCggzKheg", "9 out of 10")</f>
        <v>9 out of 10</v>
      </c>
      <c r="M125" t="s">
        <v>4771</v>
      </c>
    </row>
    <row r="126" spans="2:13">
      <c r="B126" s="55" t="s">
        <v>287</v>
      </c>
      <c r="C126" s="55" t="s">
        <v>12</v>
      </c>
      <c r="D126" s="55" t="s">
        <v>336</v>
      </c>
      <c r="E126" s="55" t="s">
        <v>344</v>
      </c>
      <c r="F126" s="55" t="s">
        <v>4774</v>
      </c>
      <c r="G126" s="55" t="s">
        <v>4775</v>
      </c>
      <c r="H126" s="55" t="s">
        <v>52</v>
      </c>
      <c r="I126" s="55"/>
      <c r="J126" s="55" t="s">
        <v>4770</v>
      </c>
      <c r="K126" s="55" t="s">
        <v>62</v>
      </c>
      <c r="L126" s="57" t="str">
        <f>HYPERLINK("https://nycdoe.sharepoint.com/:w:/s/BAP/Eb6GfUZOFcZPvIGG1bEYR5kBzTTOROFp9zE4CZCggzKheg", "9 out of 10")</f>
        <v>9 out of 10</v>
      </c>
      <c r="M126" t="s">
        <v>4771</v>
      </c>
    </row>
    <row r="127" spans="2:13">
      <c r="B127" s="55" t="s">
        <v>287</v>
      </c>
      <c r="C127" s="55" t="s">
        <v>12</v>
      </c>
      <c r="D127" s="55" t="s">
        <v>4776</v>
      </c>
      <c r="E127" s="55" t="s">
        <v>4777</v>
      </c>
      <c r="F127" s="55" t="s">
        <v>4778</v>
      </c>
      <c r="G127" s="55" t="s">
        <v>4779</v>
      </c>
      <c r="H127" s="55" t="s">
        <v>24</v>
      </c>
      <c r="I127" s="55" t="s">
        <v>18</v>
      </c>
      <c r="J127" s="55" t="s">
        <v>4780</v>
      </c>
      <c r="K127" s="55" t="s">
        <v>62</v>
      </c>
      <c r="L127" s="57" t="str">
        <f>HYPERLINK("https://nycdoe.sharepoint.com/:w:/s/BAP/EQHD4Ko05MVIoLXFZYWOC_ABUFSSNUanPLVCw-6VyD-X0Q", "10 out of 10")</f>
        <v>10 out of 10</v>
      </c>
      <c r="M127" t="s">
        <v>4781</v>
      </c>
    </row>
    <row r="128" spans="2:13">
      <c r="B128" s="55" t="s">
        <v>287</v>
      </c>
      <c r="C128" s="55" t="s">
        <v>12</v>
      </c>
      <c r="D128" s="55" t="s">
        <v>4782</v>
      </c>
      <c r="E128" s="55" t="s">
        <v>288</v>
      </c>
      <c r="F128" s="55" t="s">
        <v>4701</v>
      </c>
      <c r="G128" s="55" t="s">
        <v>4702</v>
      </c>
      <c r="H128" s="55" t="s">
        <v>17</v>
      </c>
      <c r="I128" s="55" t="s">
        <v>18</v>
      </c>
      <c r="J128" s="55" t="s">
        <v>4783</v>
      </c>
      <c r="K128" s="55" t="s">
        <v>62</v>
      </c>
      <c r="L128" s="57" t="str">
        <f>HYPERLINK("https://nycdoe.sharepoint.com/:w:/s/BAP/Ea98sXT3L05LiyJxyh7n0XEBqFWPsq9oLIT0tOwIjH22zQ", "10 out of 10")</f>
        <v>10 out of 10</v>
      </c>
      <c r="M128" t="s">
        <v>4784</v>
      </c>
    </row>
    <row r="129" spans="2:13">
      <c r="B129" s="55" t="s">
        <v>287</v>
      </c>
      <c r="C129" s="55" t="s">
        <v>12</v>
      </c>
      <c r="D129" s="55" t="s">
        <v>347</v>
      </c>
      <c r="E129" s="55" t="s">
        <v>348</v>
      </c>
      <c r="F129" s="55" t="s">
        <v>4785</v>
      </c>
      <c r="G129" s="55" t="s">
        <v>4786</v>
      </c>
      <c r="H129" s="55" t="s">
        <v>17</v>
      </c>
      <c r="I129" s="55" t="s">
        <v>18</v>
      </c>
      <c r="J129" s="55" t="s">
        <v>4787</v>
      </c>
      <c r="K129" s="55" t="s">
        <v>62</v>
      </c>
      <c r="L129" s="57" t="str">
        <f>HYPERLINK("https://nycdoe.sharepoint.com/:w:/s/BAP/ERL3Mc9YDmJDj_SEzYKE5mUBlmSyGJEUdEHpVQnh4vRJlg", "10 out of 10")</f>
        <v>10 out of 10</v>
      </c>
      <c r="M129" t="s">
        <v>4788</v>
      </c>
    </row>
    <row r="130" spans="2:13">
      <c r="B130" s="55" t="s">
        <v>287</v>
      </c>
      <c r="C130" s="55" t="s">
        <v>12</v>
      </c>
      <c r="D130" s="55" t="s">
        <v>352</v>
      </c>
      <c r="E130" s="55" t="s">
        <v>352</v>
      </c>
      <c r="F130" s="55" t="s">
        <v>4789</v>
      </c>
      <c r="G130" s="55" t="s">
        <v>4790</v>
      </c>
      <c r="H130" s="55" t="s">
        <v>52</v>
      </c>
      <c r="I130" s="55"/>
      <c r="J130" s="55" t="s">
        <v>4791</v>
      </c>
      <c r="K130" s="55" t="s">
        <v>62</v>
      </c>
      <c r="L130" s="57" t="str">
        <f>HYPERLINK("https://nycdoe.sharepoint.com/:w:/s/BAP/EdFPs-LzmYNBgfBFH09okCIBC3eciXpqxutICSSPm7wQnQ", "9 out of 10")</f>
        <v>9 out of 10</v>
      </c>
      <c r="M130" t="s">
        <v>4792</v>
      </c>
    </row>
    <row r="131" spans="2:13">
      <c r="B131" s="55" t="s">
        <v>287</v>
      </c>
      <c r="C131" s="55" t="s">
        <v>12</v>
      </c>
      <c r="D131" s="55" t="s">
        <v>352</v>
      </c>
      <c r="E131" s="55" t="s">
        <v>356</v>
      </c>
      <c r="F131" s="55" t="s">
        <v>4793</v>
      </c>
      <c r="G131" s="55" t="s">
        <v>4794</v>
      </c>
      <c r="H131" s="55" t="s">
        <v>17</v>
      </c>
      <c r="I131" s="55" t="s">
        <v>18</v>
      </c>
      <c r="J131" s="55" t="s">
        <v>4791</v>
      </c>
      <c r="K131" s="55" t="s">
        <v>62</v>
      </c>
      <c r="L131" s="57" t="str">
        <f>HYPERLINK("https://nycdoe.sharepoint.com/:w:/s/BAP/EdFPs-LzmYNBgfBFH09okCIBC3eciXpqxutICSSPm7wQnQ", "9 out of 10")</f>
        <v>9 out of 10</v>
      </c>
      <c r="M131" t="s">
        <v>4792</v>
      </c>
    </row>
    <row r="132" spans="2:13">
      <c r="B132" s="55" t="s">
        <v>287</v>
      </c>
      <c r="C132" s="55" t="s">
        <v>12</v>
      </c>
      <c r="D132" s="55" t="s">
        <v>359</v>
      </c>
      <c r="E132" s="55" t="s">
        <v>360</v>
      </c>
      <c r="F132" s="55" t="s">
        <v>4795</v>
      </c>
      <c r="G132" s="55" t="s">
        <v>4796</v>
      </c>
      <c r="H132" s="55" t="s">
        <v>24</v>
      </c>
      <c r="I132" s="55"/>
      <c r="J132" s="55" t="s">
        <v>4797</v>
      </c>
      <c r="K132" s="55" t="s">
        <v>62</v>
      </c>
      <c r="L132" s="57" t="str">
        <f>HYPERLINK("https://nycdoe.sharepoint.com/:w:/s/BAP/EeVwZDuwVx5ImdJ3z2jCKccBGNI71cPAOR96GHHlxcTVsw", "10 out of 10")</f>
        <v>10 out of 10</v>
      </c>
      <c r="M132" t="s">
        <v>4798</v>
      </c>
    </row>
    <row r="133" spans="2:13">
      <c r="B133" s="55" t="s">
        <v>287</v>
      </c>
      <c r="C133" s="55" t="s">
        <v>12</v>
      </c>
      <c r="D133" s="55" t="s">
        <v>367</v>
      </c>
      <c r="E133" s="55" t="s">
        <v>74</v>
      </c>
      <c r="F133" s="55" t="s">
        <v>4600</v>
      </c>
      <c r="G133" s="55" t="s">
        <v>76</v>
      </c>
      <c r="H133" s="55" t="s">
        <v>43</v>
      </c>
      <c r="I133" s="55" t="s">
        <v>18</v>
      </c>
      <c r="J133" s="55" t="s">
        <v>4799</v>
      </c>
      <c r="K133" s="55" t="s">
        <v>62</v>
      </c>
      <c r="L133" s="57" t="str">
        <f>HYPERLINK("https://nycdoe.sharepoint.com/:w:/s/BAP/EeRn77K6CwBNhtTPlsIM8jYBj_SYqeKyNwXTdmU371_KUQ", "10 out of 10")</f>
        <v>10 out of 10</v>
      </c>
      <c r="M133" t="s">
        <v>4800</v>
      </c>
    </row>
    <row r="134" spans="2:13">
      <c r="B134" s="55" t="s">
        <v>287</v>
      </c>
      <c r="C134" s="55" t="s">
        <v>12</v>
      </c>
      <c r="D134" s="55" t="s">
        <v>367</v>
      </c>
      <c r="E134" s="55" t="s">
        <v>369</v>
      </c>
      <c r="F134" s="55" t="s">
        <v>4801</v>
      </c>
      <c r="G134" s="55" t="s">
        <v>4802</v>
      </c>
      <c r="H134" s="55" t="s">
        <v>84</v>
      </c>
      <c r="I134" s="55"/>
      <c r="J134" s="55" t="s">
        <v>4799</v>
      </c>
      <c r="K134" s="55" t="s">
        <v>62</v>
      </c>
      <c r="L134" s="57" t="str">
        <f>HYPERLINK("https://nycdoe.sharepoint.com/:w:/s/BAP/EeRn77K6CwBNhtTPlsIM8jYBj_SYqeKyNwXTdmU371_KUQ", "10 out of 10")</f>
        <v>10 out of 10</v>
      </c>
      <c r="M134" t="s">
        <v>4800</v>
      </c>
    </row>
    <row r="135" spans="2:13">
      <c r="B135" s="55" t="s">
        <v>287</v>
      </c>
      <c r="C135" s="55" t="s">
        <v>12</v>
      </c>
      <c r="D135" s="55" t="s">
        <v>367</v>
      </c>
      <c r="E135" s="55" t="s">
        <v>372</v>
      </c>
      <c r="F135" s="55" t="s">
        <v>4803</v>
      </c>
      <c r="G135" s="55" t="s">
        <v>4804</v>
      </c>
      <c r="H135" s="55" t="s">
        <v>17</v>
      </c>
      <c r="I135" s="55" t="s">
        <v>18</v>
      </c>
      <c r="J135" s="55" t="s">
        <v>4799</v>
      </c>
      <c r="K135" s="55" t="s">
        <v>62</v>
      </c>
      <c r="L135" s="57" t="str">
        <f>HYPERLINK("https://nycdoe.sharepoint.com/:w:/s/BAP/EeRn77K6CwBNhtTPlsIM8jYBj_SYqeKyNwXTdmU371_KUQ", "10 out of 10")</f>
        <v>10 out of 10</v>
      </c>
      <c r="M135" t="s">
        <v>4800</v>
      </c>
    </row>
    <row r="136" spans="2:13">
      <c r="B136" s="55" t="s">
        <v>287</v>
      </c>
      <c r="C136" s="55" t="s">
        <v>12</v>
      </c>
      <c r="D136" s="55" t="s">
        <v>375</v>
      </c>
      <c r="E136" s="55" t="s">
        <v>376</v>
      </c>
      <c r="F136" s="55" t="s">
        <v>4805</v>
      </c>
      <c r="G136" s="55" t="s">
        <v>4806</v>
      </c>
      <c r="H136" s="55" t="s">
        <v>52</v>
      </c>
      <c r="I136" s="55"/>
      <c r="J136" s="55" t="s">
        <v>4807</v>
      </c>
      <c r="K136" s="55" t="s">
        <v>62</v>
      </c>
      <c r="L136" s="57" t="str">
        <f>HYPERLINK("https://nycdoe.sharepoint.com/:w:/s/BAP/EWPqQb6Aw7hNulLpWhFWhdkBL5AhGfrd6YTzJc64KfNFEA", "10 out of 10")</f>
        <v>10 out of 10</v>
      </c>
      <c r="M136" t="s">
        <v>4808</v>
      </c>
    </row>
    <row r="137" spans="2:13">
      <c r="B137" s="55" t="s">
        <v>287</v>
      </c>
      <c r="C137" s="55" t="s">
        <v>12</v>
      </c>
      <c r="D137" s="55" t="s">
        <v>380</v>
      </c>
      <c r="E137" s="55" t="s">
        <v>381</v>
      </c>
      <c r="F137" s="55" t="s">
        <v>4809</v>
      </c>
      <c r="G137" s="55" t="s">
        <v>4810</v>
      </c>
      <c r="H137" s="55" t="s">
        <v>17</v>
      </c>
      <c r="I137" s="55" t="s">
        <v>18</v>
      </c>
      <c r="J137" s="55" t="s">
        <v>4811</v>
      </c>
      <c r="K137" s="55" t="s">
        <v>62</v>
      </c>
      <c r="L137" s="57" t="str">
        <f>HYPERLINK("https://nycdoe.sharepoint.com/:w:/s/BAP/ESOC7w2To_ZHtfGZjJeW0qoB565-lge8Zn1DvEj3icj-eQ", "10 out of 10")</f>
        <v>10 out of 10</v>
      </c>
      <c r="M137" t="s">
        <v>4812</v>
      </c>
    </row>
    <row r="138" spans="2:13">
      <c r="B138" s="55" t="s">
        <v>287</v>
      </c>
      <c r="C138" s="55" t="s">
        <v>12</v>
      </c>
      <c r="D138" s="55" t="s">
        <v>380</v>
      </c>
      <c r="E138" s="55" t="s">
        <v>364</v>
      </c>
      <c r="F138" s="55" t="s">
        <v>4813</v>
      </c>
      <c r="G138" s="55" t="s">
        <v>366</v>
      </c>
      <c r="H138" s="55" t="s">
        <v>43</v>
      </c>
      <c r="I138" s="55"/>
      <c r="J138" s="55" t="s">
        <v>4811</v>
      </c>
      <c r="K138" s="55" t="s">
        <v>62</v>
      </c>
      <c r="L138" s="57" t="str">
        <f>HYPERLINK("https://nycdoe.sharepoint.com/:w:/s/BAP/ESOC7w2To_ZHtfGZjJeW0qoB565-lge8Zn1DvEj3icj-eQ", "10 out of 10")</f>
        <v>10 out of 10</v>
      </c>
      <c r="M138" t="s">
        <v>4812</v>
      </c>
    </row>
    <row r="139" spans="2:13">
      <c r="B139" s="55" t="s">
        <v>287</v>
      </c>
      <c r="C139" s="55" t="s">
        <v>12</v>
      </c>
      <c r="D139" s="55" t="s">
        <v>385</v>
      </c>
      <c r="E139" s="55" t="s">
        <v>386</v>
      </c>
      <c r="F139" s="55" t="s">
        <v>4814</v>
      </c>
      <c r="G139" s="55" t="s">
        <v>4815</v>
      </c>
      <c r="H139" s="55" t="s">
        <v>56</v>
      </c>
      <c r="I139" s="55"/>
      <c r="J139" s="55" t="s">
        <v>4816</v>
      </c>
      <c r="K139" s="55" t="s">
        <v>20</v>
      </c>
      <c r="L139" s="57" t="str">
        <f>HYPERLINK("https://nycdoe.sharepoint.com/:w:/s/BAP/EZ25paNmN49MhSrjFB2WJhoBa_409CP5L4OrWy6BZj_nYw", "6 out of 10")</f>
        <v>6 out of 10</v>
      </c>
      <c r="M139" t="s">
        <v>4817</v>
      </c>
    </row>
    <row r="140" spans="2:13">
      <c r="B140" s="55" t="s">
        <v>287</v>
      </c>
      <c r="C140" s="55" t="s">
        <v>12</v>
      </c>
      <c r="D140" s="55" t="s">
        <v>385</v>
      </c>
      <c r="E140" s="55" t="s">
        <v>390</v>
      </c>
      <c r="F140" s="55" t="s">
        <v>4818</v>
      </c>
      <c r="G140" s="55" t="s">
        <v>4819</v>
      </c>
      <c r="H140" s="55" t="s">
        <v>56</v>
      </c>
      <c r="I140" s="55"/>
      <c r="J140" s="55" t="s">
        <v>4816</v>
      </c>
      <c r="K140" s="55" t="s">
        <v>20</v>
      </c>
      <c r="L140" s="57" t="str">
        <f>HYPERLINK("https://nycdoe.sharepoint.com/:w:/s/BAP/EZ25paNmN49MhSrjFB2WJhoBa_409CP5L4OrWy6BZj_nYw", "6 out of 10")</f>
        <v>6 out of 10</v>
      </c>
      <c r="M140" t="s">
        <v>4817</v>
      </c>
    </row>
    <row r="141" spans="2:13">
      <c r="B141" s="55" t="s">
        <v>287</v>
      </c>
      <c r="C141" s="55" t="s">
        <v>12</v>
      </c>
      <c r="D141" s="55" t="s">
        <v>385</v>
      </c>
      <c r="E141" s="55" t="s">
        <v>396</v>
      </c>
      <c r="F141" s="55" t="s">
        <v>4820</v>
      </c>
      <c r="G141" s="55" t="s">
        <v>4821</v>
      </c>
      <c r="H141" s="55" t="s">
        <v>56</v>
      </c>
      <c r="I141" s="55"/>
      <c r="J141" s="55" t="s">
        <v>4816</v>
      </c>
      <c r="K141" s="55" t="s">
        <v>20</v>
      </c>
      <c r="L141" s="57" t="str">
        <f>HYPERLINK("https://nycdoe.sharepoint.com/:w:/s/BAP/EZ25paNmN49MhSrjFB2WJhoBa_409CP5L4OrWy6BZj_nYw", "6 out of 10")</f>
        <v>6 out of 10</v>
      </c>
      <c r="M141" t="s">
        <v>4817</v>
      </c>
    </row>
    <row r="142" spans="2:13">
      <c r="B142" s="55" t="s">
        <v>287</v>
      </c>
      <c r="C142" s="55" t="s">
        <v>12</v>
      </c>
      <c r="D142" s="55" t="s">
        <v>399</v>
      </c>
      <c r="E142" s="55" t="s">
        <v>400</v>
      </c>
      <c r="F142" s="55" t="s">
        <v>4822</v>
      </c>
      <c r="G142" s="55" t="s">
        <v>4823</v>
      </c>
      <c r="H142" s="55" t="s">
        <v>56</v>
      </c>
      <c r="I142" s="55"/>
      <c r="J142" s="55" t="s">
        <v>4824</v>
      </c>
      <c r="K142" s="55" t="s">
        <v>20</v>
      </c>
      <c r="L142" s="57" t="str">
        <f>HYPERLINK("https://nycdoe.sharepoint.com/:w:/s/BAP/Eb_abUxEHtFMstxD5gSqFccBER-dwJOvdp55UJ6Nc3RDdA", "6 out of 10")</f>
        <v>6 out of 10</v>
      </c>
      <c r="M142" t="s">
        <v>4825</v>
      </c>
    </row>
    <row r="143" spans="2:13">
      <c r="B143" s="55" t="s">
        <v>287</v>
      </c>
      <c r="C143" s="55" t="s">
        <v>12</v>
      </c>
      <c r="D143" s="55" t="s">
        <v>399</v>
      </c>
      <c r="E143" s="55" t="s">
        <v>404</v>
      </c>
      <c r="F143" s="55" t="s">
        <v>4826</v>
      </c>
      <c r="G143" s="55" t="s">
        <v>4827</v>
      </c>
      <c r="H143" s="55" t="s">
        <v>56</v>
      </c>
      <c r="I143" s="55"/>
      <c r="J143" s="55" t="s">
        <v>4824</v>
      </c>
      <c r="K143" s="55" t="s">
        <v>20</v>
      </c>
      <c r="L143" s="57" t="str">
        <f>HYPERLINK("https://nycdoe.sharepoint.com/:w:/s/BAP/Eb_abUxEHtFMstxD5gSqFccBER-dwJOvdp55UJ6Nc3RDdA", "6 out of 10")</f>
        <v>6 out of 10</v>
      </c>
      <c r="M143" t="s">
        <v>4825</v>
      </c>
    </row>
    <row r="144" spans="2:13">
      <c r="B144" s="55" t="s">
        <v>287</v>
      </c>
      <c r="C144" s="55" t="s">
        <v>12</v>
      </c>
      <c r="D144" s="55" t="s">
        <v>399</v>
      </c>
      <c r="E144" s="55" t="s">
        <v>407</v>
      </c>
      <c r="F144" s="55" t="s">
        <v>4828</v>
      </c>
      <c r="G144" s="55" t="s">
        <v>4829</v>
      </c>
      <c r="H144" s="55" t="s">
        <v>56</v>
      </c>
      <c r="I144" s="55"/>
      <c r="J144" s="55" t="s">
        <v>4824</v>
      </c>
      <c r="K144" s="55" t="s">
        <v>20</v>
      </c>
      <c r="L144" s="57" t="str">
        <f>HYPERLINK("https://nycdoe.sharepoint.com/:w:/s/BAP/Eb_abUxEHtFMstxD5gSqFccBER-dwJOvdp55UJ6Nc3RDdA", "6 out of 10")</f>
        <v>6 out of 10</v>
      </c>
      <c r="M144" t="s">
        <v>4825</v>
      </c>
    </row>
    <row r="145" spans="2:13">
      <c r="B145" s="55" t="s">
        <v>287</v>
      </c>
      <c r="C145" s="55" t="s">
        <v>12</v>
      </c>
      <c r="D145" s="55" t="s">
        <v>399</v>
      </c>
      <c r="E145" s="55" t="s">
        <v>410</v>
      </c>
      <c r="F145" s="55" t="s">
        <v>4830</v>
      </c>
      <c r="G145" s="55" t="s">
        <v>4831</v>
      </c>
      <c r="H145" s="55" t="s">
        <v>56</v>
      </c>
      <c r="I145" s="55"/>
      <c r="J145" s="55" t="s">
        <v>4824</v>
      </c>
      <c r="K145" s="55" t="s">
        <v>20</v>
      </c>
      <c r="L145" s="57" t="str">
        <f>HYPERLINK("https://nycdoe.sharepoint.com/:w:/s/BAP/Eb_abUxEHtFMstxD5gSqFccBER-dwJOvdp55UJ6Nc3RDdA", "6 out of 10")</f>
        <v>6 out of 10</v>
      </c>
      <c r="M145" t="s">
        <v>4825</v>
      </c>
    </row>
    <row r="146" spans="2:13">
      <c r="B146" s="55" t="s">
        <v>287</v>
      </c>
      <c r="C146" s="55" t="s">
        <v>12</v>
      </c>
      <c r="D146" s="55" t="s">
        <v>399</v>
      </c>
      <c r="E146" s="55" t="s">
        <v>413</v>
      </c>
      <c r="F146" s="55" t="s">
        <v>4832</v>
      </c>
      <c r="G146" s="55" t="s">
        <v>4833</v>
      </c>
      <c r="H146" s="55" t="s">
        <v>84</v>
      </c>
      <c r="I146" s="55"/>
      <c r="J146" s="55" t="s">
        <v>4824</v>
      </c>
      <c r="K146" s="55" t="s">
        <v>20</v>
      </c>
      <c r="L146" s="57" t="str">
        <f>HYPERLINK("https://nycdoe.sharepoint.com/:w:/s/BAP/Eb_abUxEHtFMstxD5gSqFccBER-dwJOvdp55UJ6Nc3RDdA", "6 out of 10")</f>
        <v>6 out of 10</v>
      </c>
      <c r="M146" t="s">
        <v>4825</v>
      </c>
    </row>
    <row r="147" spans="2:13">
      <c r="B147" s="55" t="s">
        <v>287</v>
      </c>
      <c r="C147" s="55" t="s">
        <v>12</v>
      </c>
      <c r="D147" s="55" t="s">
        <v>399</v>
      </c>
      <c r="E147" s="55" t="s">
        <v>333</v>
      </c>
      <c r="F147" s="55" t="s">
        <v>4754</v>
      </c>
      <c r="G147" s="55" t="s">
        <v>4755</v>
      </c>
      <c r="H147" s="55" t="s">
        <v>43</v>
      </c>
      <c r="I147" s="55"/>
      <c r="J147" s="55" t="s">
        <v>4824</v>
      </c>
      <c r="K147" s="55" t="s">
        <v>20</v>
      </c>
      <c r="L147" s="57" t="str">
        <f>HYPERLINK("https://nycdoe.sharepoint.com/:w:/s/BAP/Eb_abUxEHtFMstxD5gSqFccBER-dwJOvdp55UJ6Nc3RDdA", "6 out of 10")</f>
        <v>6 out of 10</v>
      </c>
      <c r="M147" t="s">
        <v>4825</v>
      </c>
    </row>
    <row r="148" spans="2:13">
      <c r="B148" s="55" t="s">
        <v>287</v>
      </c>
      <c r="C148" s="55" t="s">
        <v>12</v>
      </c>
      <c r="D148" s="55" t="s">
        <v>399</v>
      </c>
      <c r="E148" s="55" t="s">
        <v>416</v>
      </c>
      <c r="F148" s="55" t="s">
        <v>4834</v>
      </c>
      <c r="G148" s="55" t="s">
        <v>4835</v>
      </c>
      <c r="H148" s="55" t="s">
        <v>56</v>
      </c>
      <c r="I148" s="55"/>
      <c r="J148" s="55" t="s">
        <v>4824</v>
      </c>
      <c r="K148" s="55" t="s">
        <v>20</v>
      </c>
      <c r="L148" s="57" t="str">
        <f>HYPERLINK("https://nycdoe.sharepoint.com/:w:/s/BAP/Eb_abUxEHtFMstxD5gSqFccBER-dwJOvdp55UJ6Nc3RDdA", "6 out of 10")</f>
        <v>6 out of 10</v>
      </c>
      <c r="M148" t="s">
        <v>4825</v>
      </c>
    </row>
    <row r="149" spans="2:13">
      <c r="B149" s="55" t="s">
        <v>287</v>
      </c>
      <c r="C149" s="55" t="s">
        <v>12</v>
      </c>
      <c r="D149" s="55" t="s">
        <v>419</v>
      </c>
      <c r="E149" s="55" t="s">
        <v>420</v>
      </c>
      <c r="F149" s="55" t="s">
        <v>4836</v>
      </c>
      <c r="G149" s="55" t="s">
        <v>4837</v>
      </c>
      <c r="H149" s="55" t="s">
        <v>84</v>
      </c>
      <c r="I149" s="55"/>
      <c r="J149" s="55" t="s">
        <v>4838</v>
      </c>
      <c r="K149" s="55" t="s">
        <v>62</v>
      </c>
      <c r="L149" s="57" t="str">
        <f>HYPERLINK("https://nycdoe.sharepoint.com/:w:/s/BAP/EQexBVKIbMhJnYlmLqWasPwBIDE3koqVb36jZ4LVL6fzbw", "10 out of 10")</f>
        <v>10 out of 10</v>
      </c>
      <c r="M149" t="s">
        <v>4839</v>
      </c>
    </row>
    <row r="150" spans="2:13">
      <c r="B150" s="55" t="s">
        <v>287</v>
      </c>
      <c r="C150" s="55" t="s">
        <v>12</v>
      </c>
      <c r="D150" s="55" t="s">
        <v>424</v>
      </c>
      <c r="E150" s="55" t="s">
        <v>425</v>
      </c>
      <c r="F150" s="55" t="s">
        <v>4840</v>
      </c>
      <c r="G150" s="55" t="s">
        <v>4841</v>
      </c>
      <c r="H150" s="55" t="s">
        <v>84</v>
      </c>
      <c r="I150" s="55"/>
      <c r="J150" s="55" t="s">
        <v>4842</v>
      </c>
      <c r="K150" s="55" t="s">
        <v>62</v>
      </c>
      <c r="L150" s="57" t="str">
        <f>HYPERLINK("https://nycdoe.sharepoint.com/:w:/s/BAP/EWcnt219-fVMiRsvyW_Ih4UBhATzAxceQs3-eSTd6hCW_w", "10 out of 10")</f>
        <v>10 out of 10</v>
      </c>
      <c r="M150" t="s">
        <v>4843</v>
      </c>
    </row>
    <row r="151" spans="2:13">
      <c r="B151" s="55" t="s">
        <v>287</v>
      </c>
      <c r="C151" s="55" t="s">
        <v>12</v>
      </c>
      <c r="D151" s="55" t="s">
        <v>4844</v>
      </c>
      <c r="E151" s="55" t="s">
        <v>4845</v>
      </c>
      <c r="F151" s="55" t="s">
        <v>4846</v>
      </c>
      <c r="G151" s="55" t="s">
        <v>4847</v>
      </c>
      <c r="H151" s="55" t="s">
        <v>52</v>
      </c>
      <c r="I151" s="55"/>
      <c r="J151" s="55" t="s">
        <v>4848</v>
      </c>
      <c r="K151" s="55" t="s">
        <v>62</v>
      </c>
      <c r="L151" s="57" t="str">
        <f>HYPERLINK("https://nycdoe.sharepoint.com/:w:/s/BAP/ESonrlagoNpLjwfq_2t_vsoBxs7Fz4S1Y3JyhMjAu1DoTQ", "10 out of 10")</f>
        <v>10 out of 10</v>
      </c>
      <c r="M151" t="s">
        <v>4849</v>
      </c>
    </row>
    <row r="152" spans="2:13">
      <c r="B152" s="55" t="s">
        <v>287</v>
      </c>
      <c r="C152" s="55" t="s">
        <v>12</v>
      </c>
      <c r="D152" s="55" t="s">
        <v>4850</v>
      </c>
      <c r="E152" s="55" t="s">
        <v>4850</v>
      </c>
      <c r="F152" s="55" t="s">
        <v>4851</v>
      </c>
      <c r="G152" s="55" t="s">
        <v>4852</v>
      </c>
      <c r="H152" s="55" t="s">
        <v>24</v>
      </c>
      <c r="I152" s="55"/>
      <c r="J152" s="55" t="s">
        <v>4853</v>
      </c>
      <c r="K152" s="55" t="s">
        <v>62</v>
      </c>
      <c r="L152" s="57" t="str">
        <f>HYPERLINK("https://nycdoe.sharepoint.com/:w:/s/BAP/ES-vJXLADEBHkqq3yKwZqtQB-mL91TcDyRTVGNRETfxt1g", "10 out of 10")</f>
        <v>10 out of 10</v>
      </c>
      <c r="M152" t="s">
        <v>4854</v>
      </c>
    </row>
    <row r="153" spans="2:13">
      <c r="B153" s="55" t="s">
        <v>287</v>
      </c>
      <c r="C153" s="55" t="s">
        <v>12</v>
      </c>
      <c r="D153" s="55" t="s">
        <v>429</v>
      </c>
      <c r="E153" s="55" t="s">
        <v>430</v>
      </c>
      <c r="F153" s="55" t="s">
        <v>4855</v>
      </c>
      <c r="G153" s="55" t="s">
        <v>4856</v>
      </c>
      <c r="H153" s="55" t="s">
        <v>56</v>
      </c>
      <c r="I153" s="55"/>
      <c r="J153" s="55" t="s">
        <v>4857</v>
      </c>
      <c r="K153" s="55" t="s">
        <v>62</v>
      </c>
      <c r="L153" s="57" t="str">
        <f>HYPERLINK("https://nycdoe.sharepoint.com/:w:/s/BAP/EaGTWHDc0s1Ag9I5tn9p6coB0HXNJeaWDhD9RHDtnn2dHQ", "9 out of 10")</f>
        <v>9 out of 10</v>
      </c>
      <c r="M153" t="s">
        <v>4858</v>
      </c>
    </row>
    <row r="154" spans="2:13">
      <c r="B154" s="55" t="s">
        <v>287</v>
      </c>
      <c r="C154" s="55" t="s">
        <v>12</v>
      </c>
      <c r="D154" s="55" t="s">
        <v>4859</v>
      </c>
      <c r="E154" s="55" t="s">
        <v>364</v>
      </c>
      <c r="F154" s="55" t="s">
        <v>4813</v>
      </c>
      <c r="G154" s="55" t="s">
        <v>366</v>
      </c>
      <c r="H154" s="55" t="s">
        <v>43</v>
      </c>
      <c r="I154" s="55"/>
      <c r="J154" s="55" t="s">
        <v>4860</v>
      </c>
      <c r="K154" s="55" t="s">
        <v>62</v>
      </c>
      <c r="L154" s="57" t="str">
        <f>HYPERLINK("https://nycdoe.sharepoint.com/:w:/s/BAP/EV6XyZXApqJDripbmQcKQQcB37guYmHLGNbA5Utc9fDIDw", "10 out of 10")</f>
        <v>10 out of 10</v>
      </c>
      <c r="M154" t="s">
        <v>4861</v>
      </c>
    </row>
    <row r="155" spans="2:13">
      <c r="B155" s="55" t="s">
        <v>287</v>
      </c>
      <c r="C155" s="55" t="s">
        <v>12</v>
      </c>
      <c r="D155" s="55" t="s">
        <v>4862</v>
      </c>
      <c r="E155" s="55" t="s">
        <v>364</v>
      </c>
      <c r="F155" s="55" t="s">
        <v>4813</v>
      </c>
      <c r="G155" s="55" t="s">
        <v>366</v>
      </c>
      <c r="H155" s="55" t="s">
        <v>43</v>
      </c>
      <c r="I155" s="55"/>
      <c r="J155" s="55" t="s">
        <v>4863</v>
      </c>
      <c r="K155" s="55" t="s">
        <v>62</v>
      </c>
      <c r="L155" s="57" t="str">
        <f>HYPERLINK("https://nycdoe.sharepoint.com/:w:/s/BAP/EVhMHl7TGLlEtATru374sygBob6pXhKlqOvANL9JHR8Dug", "9 out of 10")</f>
        <v>9 out of 10</v>
      </c>
      <c r="M155" t="s">
        <v>4864</v>
      </c>
    </row>
    <row r="156" spans="2:13">
      <c r="B156" s="55" t="s">
        <v>287</v>
      </c>
      <c r="C156" s="55" t="s">
        <v>12</v>
      </c>
      <c r="D156" s="55" t="s">
        <v>434</v>
      </c>
      <c r="E156" s="55" t="s">
        <v>435</v>
      </c>
      <c r="F156" s="55" t="s">
        <v>4865</v>
      </c>
      <c r="G156" s="55" t="s">
        <v>4866</v>
      </c>
      <c r="H156" s="55" t="s">
        <v>84</v>
      </c>
      <c r="I156" s="55"/>
      <c r="J156" s="55" t="s">
        <v>4867</v>
      </c>
      <c r="K156" s="55" t="s">
        <v>62</v>
      </c>
      <c r="L156" s="57" t="str">
        <f>HYPERLINK("https://nycdoe.sharepoint.com/:w:/s/BAP/EV-95d1zm2hChM1cKIqGyHgBcdTuVF8yz8fNN2Zpv6z6Lw", "10 out of 10")</f>
        <v>10 out of 10</v>
      </c>
      <c r="M156" t="s">
        <v>4868</v>
      </c>
    </row>
    <row r="157" spans="2:13">
      <c r="B157" s="55" t="s">
        <v>287</v>
      </c>
      <c r="C157" s="55" t="s">
        <v>12</v>
      </c>
      <c r="D157" s="55" t="s">
        <v>434</v>
      </c>
      <c r="E157" s="55" t="s">
        <v>439</v>
      </c>
      <c r="F157" s="55" t="s">
        <v>4869</v>
      </c>
      <c r="G157" s="55" t="s">
        <v>4870</v>
      </c>
      <c r="H157" s="55" t="s">
        <v>56</v>
      </c>
      <c r="I157" s="55"/>
      <c r="J157" s="55" t="s">
        <v>4867</v>
      </c>
      <c r="K157" s="55" t="s">
        <v>62</v>
      </c>
      <c r="L157" s="57" t="str">
        <f>HYPERLINK("https://nycdoe.sharepoint.com/:w:/s/BAP/EV-95d1zm2hChM1cKIqGyHgBcdTuVF8yz8fNN2Zpv6z6Lw", "10 out of 10")</f>
        <v>10 out of 10</v>
      </c>
      <c r="M157" t="s">
        <v>4868</v>
      </c>
    </row>
    <row r="158" spans="2:13">
      <c r="B158" s="55" t="s">
        <v>287</v>
      </c>
      <c r="C158" s="55" t="s">
        <v>12</v>
      </c>
      <c r="D158" s="55" t="s">
        <v>434</v>
      </c>
      <c r="E158" s="55" t="s">
        <v>442</v>
      </c>
      <c r="F158" s="55" t="s">
        <v>4871</v>
      </c>
      <c r="G158" s="55" t="s">
        <v>4872</v>
      </c>
      <c r="H158" s="55" t="s">
        <v>56</v>
      </c>
      <c r="I158" s="55"/>
      <c r="J158" s="55" t="s">
        <v>4867</v>
      </c>
      <c r="K158" s="55" t="s">
        <v>62</v>
      </c>
      <c r="L158" s="57" t="str">
        <f>HYPERLINK("https://nycdoe.sharepoint.com/:w:/s/BAP/EV-95d1zm2hChM1cKIqGyHgBcdTuVF8yz8fNN2Zpv6z6Lw", "10 out of 10")</f>
        <v>10 out of 10</v>
      </c>
      <c r="M158" t="s">
        <v>4868</v>
      </c>
    </row>
    <row r="159" spans="2:13">
      <c r="B159" s="55" t="s">
        <v>287</v>
      </c>
      <c r="C159" s="55" t="s">
        <v>12</v>
      </c>
      <c r="D159" s="55" t="s">
        <v>4873</v>
      </c>
      <c r="E159" s="55" t="s">
        <v>4490</v>
      </c>
      <c r="F159" s="55" t="s">
        <v>4491</v>
      </c>
      <c r="G159" s="55" t="s">
        <v>4492</v>
      </c>
      <c r="H159" s="55" t="s">
        <v>56</v>
      </c>
      <c r="I159" s="55"/>
      <c r="J159" s="55" t="s">
        <v>4874</v>
      </c>
      <c r="K159" s="55" t="s">
        <v>62</v>
      </c>
      <c r="L159" s="57" t="str">
        <f>HYPERLINK("https://nycdoe.sharepoint.com/:w:/s/BAP/EQBcDxf1D4hKqBQI4rKP4cEBtBmf6VGBe3LvDOj1THU_BA", "10 out of 10")</f>
        <v>10 out of 10</v>
      </c>
      <c r="M159" t="s">
        <v>4875</v>
      </c>
    </row>
    <row r="160" spans="2:13">
      <c r="B160" s="55" t="s">
        <v>287</v>
      </c>
      <c r="C160" s="55" t="s">
        <v>12</v>
      </c>
      <c r="D160" s="55" t="s">
        <v>4873</v>
      </c>
      <c r="E160" s="55" t="s">
        <v>801</v>
      </c>
      <c r="F160" s="55" t="s">
        <v>4876</v>
      </c>
      <c r="G160" s="55" t="s">
        <v>803</v>
      </c>
      <c r="H160" s="55" t="s">
        <v>84</v>
      </c>
      <c r="I160" s="55"/>
      <c r="J160" s="55" t="s">
        <v>4874</v>
      </c>
      <c r="K160" s="55" t="s">
        <v>62</v>
      </c>
      <c r="L160" s="57" t="str">
        <f>HYPERLINK("https://nycdoe.sharepoint.com/:w:/s/BAP/EQBcDxf1D4hKqBQI4rKP4cEBtBmf6VGBe3LvDOj1THU_BA", "10 out of 10")</f>
        <v>10 out of 10</v>
      </c>
      <c r="M160" t="s">
        <v>4875</v>
      </c>
    </row>
    <row r="161" spans="2:13">
      <c r="B161" s="55" t="s">
        <v>445</v>
      </c>
      <c r="C161" s="55" t="s">
        <v>12</v>
      </c>
      <c r="D161" s="55" t="s">
        <v>446</v>
      </c>
      <c r="E161" s="55" t="s">
        <v>446</v>
      </c>
      <c r="F161" s="55" t="s">
        <v>4877</v>
      </c>
      <c r="G161" s="55" t="s">
        <v>4878</v>
      </c>
      <c r="H161" s="55" t="s">
        <v>24</v>
      </c>
      <c r="I161" s="55" t="s">
        <v>18</v>
      </c>
      <c r="J161" s="55" t="s">
        <v>4879</v>
      </c>
      <c r="K161" s="55" t="s">
        <v>62</v>
      </c>
      <c r="L161" s="57" t="str">
        <f>HYPERLINK("https://nycdoe.sharepoint.com/:w:/s/BAP/ETOisNvAh8pBh-HkSExIctQBmG0jpyy2pI4gerwTq08w_A", "10 out of 10")</f>
        <v>10 out of 10</v>
      </c>
      <c r="M161" t="s">
        <v>4880</v>
      </c>
    </row>
    <row r="162" spans="2:13">
      <c r="B162" s="55" t="s">
        <v>445</v>
      </c>
      <c r="C162" s="55" t="s">
        <v>12</v>
      </c>
      <c r="D162" s="55" t="s">
        <v>450</v>
      </c>
      <c r="E162" s="55" t="s">
        <v>4490</v>
      </c>
      <c r="F162" s="55" t="s">
        <v>4491</v>
      </c>
      <c r="G162" s="55" t="s">
        <v>4492</v>
      </c>
      <c r="H162" s="55" t="s">
        <v>56</v>
      </c>
      <c r="I162" s="55"/>
      <c r="J162" s="55" t="s">
        <v>4881</v>
      </c>
      <c r="K162" s="55" t="s">
        <v>62</v>
      </c>
      <c r="L162" s="57" t="str">
        <f>HYPERLINK("https://nycdoe.sharepoint.com/:w:/s/BAP/EUu9z1fezaxPovRyhBm17NsBj7yxc3XPV79Abo59R0zf8g", "9 out of 10")</f>
        <v>9 out of 10</v>
      </c>
      <c r="M162" t="s">
        <v>4882</v>
      </c>
    </row>
    <row r="163" spans="2:13">
      <c r="B163" s="55" t="s">
        <v>445</v>
      </c>
      <c r="C163" s="55" t="s">
        <v>12</v>
      </c>
      <c r="D163" s="55" t="s">
        <v>450</v>
      </c>
      <c r="E163" s="55" t="s">
        <v>450</v>
      </c>
      <c r="F163" s="55" t="s">
        <v>4883</v>
      </c>
      <c r="G163" s="55" t="s">
        <v>4884</v>
      </c>
      <c r="H163" s="55" t="s">
        <v>17</v>
      </c>
      <c r="I163" s="55" t="s">
        <v>18</v>
      </c>
      <c r="J163" s="55" t="s">
        <v>4881</v>
      </c>
      <c r="K163" s="55" t="s">
        <v>62</v>
      </c>
      <c r="L163" s="57" t="str">
        <f>HYPERLINK("https://nycdoe.sharepoint.com/:w:/s/BAP/EUu9z1fezaxPovRyhBm17NsBj7yxc3XPV79Abo59R0zf8g", "9 out of 10")</f>
        <v>9 out of 10</v>
      </c>
      <c r="M163" t="s">
        <v>4882</v>
      </c>
    </row>
    <row r="164" spans="2:13">
      <c r="B164" s="55" t="s">
        <v>445</v>
      </c>
      <c r="C164" s="55" t="s">
        <v>12</v>
      </c>
      <c r="D164" s="55" t="s">
        <v>454</v>
      </c>
      <c r="E164" s="55" t="s">
        <v>74</v>
      </c>
      <c r="F164" s="55" t="s">
        <v>4600</v>
      </c>
      <c r="G164" s="55" t="s">
        <v>76</v>
      </c>
      <c r="H164" s="55" t="s">
        <v>43</v>
      </c>
      <c r="I164" s="55" t="s">
        <v>18</v>
      </c>
      <c r="J164" s="55" t="s">
        <v>4885</v>
      </c>
      <c r="K164" s="55" t="s">
        <v>62</v>
      </c>
      <c r="L164" s="57" t="str">
        <f>HYPERLINK("https://nycdoe.sharepoint.com/:w:/s/BAP/EQ8BMnaI3M1NrBG5h-xuB0kBuo8Bx3bO_ccXQppxfCR0Ag", "10 out of 10")</f>
        <v>10 out of 10</v>
      </c>
      <c r="M164" t="s">
        <v>4886</v>
      </c>
    </row>
    <row r="165" spans="2:13">
      <c r="B165" s="55" t="s">
        <v>445</v>
      </c>
      <c r="C165" s="55" t="s">
        <v>12</v>
      </c>
      <c r="D165" s="55" t="s">
        <v>454</v>
      </c>
      <c r="E165" s="55" t="s">
        <v>454</v>
      </c>
      <c r="F165" s="55" t="s">
        <v>4887</v>
      </c>
      <c r="G165" s="55" t="s">
        <v>4888</v>
      </c>
      <c r="H165" s="55" t="s">
        <v>24</v>
      </c>
      <c r="I165" s="55"/>
      <c r="J165" s="55" t="s">
        <v>4885</v>
      </c>
      <c r="K165" s="55" t="s">
        <v>62</v>
      </c>
      <c r="L165" s="57" t="str">
        <f>HYPERLINK("https://nycdoe.sharepoint.com/:w:/s/BAP/EQ8BMnaI3M1NrBG5h-xuB0kBuo8Bx3bO_ccXQppxfCR0Ag", "10 out of 10")</f>
        <v>10 out of 10</v>
      </c>
      <c r="M165" t="s">
        <v>4886</v>
      </c>
    </row>
    <row r="166" spans="2:13">
      <c r="B166" s="55" t="s">
        <v>445</v>
      </c>
      <c r="C166" s="55" t="s">
        <v>12</v>
      </c>
      <c r="D166" s="55" t="s">
        <v>454</v>
      </c>
      <c r="E166" s="55" t="s">
        <v>458</v>
      </c>
      <c r="F166" s="55" t="s">
        <v>4889</v>
      </c>
      <c r="G166" s="55" t="s">
        <v>460</v>
      </c>
      <c r="H166" s="55" t="s">
        <v>17</v>
      </c>
      <c r="I166" s="55"/>
      <c r="J166" s="55" t="s">
        <v>4885</v>
      </c>
      <c r="K166" s="55" t="s">
        <v>62</v>
      </c>
      <c r="L166" s="57" t="str">
        <f>HYPERLINK("https://nycdoe.sharepoint.com/:w:/s/BAP/EQ8BMnaI3M1NrBG5h-xuB0kBuo8Bx3bO_ccXQppxfCR0Ag", "10 out of 10")</f>
        <v>10 out of 10</v>
      </c>
      <c r="M166" t="s">
        <v>4886</v>
      </c>
    </row>
    <row r="167" spans="2:13">
      <c r="B167" s="55" t="s">
        <v>445</v>
      </c>
      <c r="C167" s="55" t="s">
        <v>12</v>
      </c>
      <c r="D167" s="55" t="s">
        <v>461</v>
      </c>
      <c r="E167" s="55" t="s">
        <v>461</v>
      </c>
      <c r="F167" s="55" t="s">
        <v>4890</v>
      </c>
      <c r="G167" s="55" t="s">
        <v>4891</v>
      </c>
      <c r="H167" s="55" t="s">
        <v>24</v>
      </c>
      <c r="I167" s="55" t="s">
        <v>18</v>
      </c>
      <c r="J167" s="55" t="s">
        <v>4892</v>
      </c>
      <c r="K167" s="55" t="s">
        <v>62</v>
      </c>
      <c r="L167" s="57" t="str">
        <f>HYPERLINK("https://nycdoe.sharepoint.com/:w:/s/BAP/EeAb4zYRVPxKjuXhYcdXHSIB7Z06rcgGQqQXEqWr6uHBzQ", "10 out of 10")</f>
        <v>10 out of 10</v>
      </c>
      <c r="M167" t="s">
        <v>4893</v>
      </c>
    </row>
    <row r="168" spans="2:13">
      <c r="B168" s="55" t="s">
        <v>445</v>
      </c>
      <c r="C168" s="55" t="s">
        <v>12</v>
      </c>
      <c r="D168" s="55" t="s">
        <v>461</v>
      </c>
      <c r="E168" s="55" t="s">
        <v>40</v>
      </c>
      <c r="F168" s="55" t="s">
        <v>4479</v>
      </c>
      <c r="G168" s="55" t="s">
        <v>42</v>
      </c>
      <c r="H168" s="55" t="s">
        <v>43</v>
      </c>
      <c r="I168" s="55" t="s">
        <v>18</v>
      </c>
      <c r="J168" s="55" t="s">
        <v>4892</v>
      </c>
      <c r="K168" s="55" t="s">
        <v>62</v>
      </c>
      <c r="L168" s="57" t="str">
        <f>HYPERLINK("https://nycdoe.sharepoint.com/:w:/s/BAP/EeAb4zYRVPxKjuXhYcdXHSIB7Z06rcgGQqQXEqWr6uHBzQ", "10 out of 10")</f>
        <v>10 out of 10</v>
      </c>
      <c r="M168" t="s">
        <v>4893</v>
      </c>
    </row>
    <row r="169" spans="2:13">
      <c r="B169" s="55" t="s">
        <v>445</v>
      </c>
      <c r="C169" s="55" t="s">
        <v>12</v>
      </c>
      <c r="D169" s="55" t="s">
        <v>465</v>
      </c>
      <c r="E169" s="55" t="s">
        <v>465</v>
      </c>
      <c r="F169" s="55" t="s">
        <v>4894</v>
      </c>
      <c r="G169" s="55" t="s">
        <v>4895</v>
      </c>
      <c r="H169" s="55" t="s">
        <v>17</v>
      </c>
      <c r="I169" s="55" t="s">
        <v>18</v>
      </c>
      <c r="J169" s="55" t="s">
        <v>4896</v>
      </c>
      <c r="K169" s="55" t="s">
        <v>62</v>
      </c>
      <c r="L169" s="57" t="str">
        <f>HYPERLINK("https://nycdoe.sharepoint.com/:w:/s/BAP/Ec9n4jyHz5dCvQ8uQCsjRysBCJHYwVq7XQLwcPZSchgubw", "9 out of 10")</f>
        <v>9 out of 10</v>
      </c>
      <c r="M169" t="s">
        <v>4897</v>
      </c>
    </row>
    <row r="170" spans="2:13">
      <c r="B170" s="55" t="s">
        <v>445</v>
      </c>
      <c r="C170" s="55" t="s">
        <v>12</v>
      </c>
      <c r="D170" s="55" t="s">
        <v>4898</v>
      </c>
      <c r="E170" s="55" t="s">
        <v>4898</v>
      </c>
      <c r="F170" s="55" t="s">
        <v>4899</v>
      </c>
      <c r="G170" s="55" t="s">
        <v>4900</v>
      </c>
      <c r="H170" s="55" t="s">
        <v>17</v>
      </c>
      <c r="I170" s="55" t="s">
        <v>18</v>
      </c>
      <c r="J170" s="55" t="s">
        <v>4901</v>
      </c>
      <c r="K170" s="55" t="s">
        <v>20</v>
      </c>
      <c r="L170" s="57" t="str">
        <f>HYPERLINK("https://nycdoe.sharepoint.com/:w:/s/BAP/EVrx3g2GmkBBqdPMdGS9omcBSxrm-3AYF2kW_XbX4xCnlg", "2 out of 10")</f>
        <v>2 out of 10</v>
      </c>
      <c r="M170" t="s">
        <v>4902</v>
      </c>
    </row>
    <row r="171" spans="2:13">
      <c r="B171" s="55" t="s">
        <v>445</v>
      </c>
      <c r="C171" s="55" t="s">
        <v>12</v>
      </c>
      <c r="D171" s="55" t="s">
        <v>469</v>
      </c>
      <c r="E171" s="55" t="s">
        <v>126</v>
      </c>
      <c r="F171" s="55" t="s">
        <v>4569</v>
      </c>
      <c r="G171" s="55" t="s">
        <v>128</v>
      </c>
      <c r="H171" s="55" t="s">
        <v>43</v>
      </c>
      <c r="I171" s="55" t="s">
        <v>18</v>
      </c>
      <c r="J171" s="55" t="s">
        <v>4903</v>
      </c>
      <c r="K171" s="55" t="s">
        <v>62</v>
      </c>
      <c r="L171" s="57" t="str">
        <f>HYPERLINK("https://nycdoe.sharepoint.com/:w:/s/BAP/EZ7HKsDdFGxIiGWRB6NHiOkBN-cln-W09BMfwJQxTak78Q", "10 out of 10")</f>
        <v>10 out of 10</v>
      </c>
      <c r="M171" t="s">
        <v>4904</v>
      </c>
    </row>
    <row r="172" spans="2:13">
      <c r="B172" s="55" t="s">
        <v>445</v>
      </c>
      <c r="C172" s="55" t="s">
        <v>12</v>
      </c>
      <c r="D172" s="55" t="s">
        <v>469</v>
      </c>
      <c r="E172" s="55" t="s">
        <v>53</v>
      </c>
      <c r="F172" s="55" t="s">
        <v>4497</v>
      </c>
      <c r="G172" s="55" t="s">
        <v>4498</v>
      </c>
      <c r="H172" s="55" t="s">
        <v>56</v>
      </c>
      <c r="I172" s="55"/>
      <c r="J172" s="55" t="s">
        <v>4903</v>
      </c>
      <c r="K172" s="55" t="s">
        <v>62</v>
      </c>
      <c r="L172" s="57" t="str">
        <f>HYPERLINK("https://nycdoe.sharepoint.com/:w:/s/BAP/EZ7HKsDdFGxIiGWRB6NHiOkBN-cln-W09BMfwJQxTak78Q", "10 out of 10")</f>
        <v>10 out of 10</v>
      </c>
      <c r="M172" t="s">
        <v>4904</v>
      </c>
    </row>
    <row r="173" spans="2:13">
      <c r="B173" s="55" t="s">
        <v>445</v>
      </c>
      <c r="C173" s="55" t="s">
        <v>12</v>
      </c>
      <c r="D173" s="55" t="s">
        <v>471</v>
      </c>
      <c r="E173" s="55" t="s">
        <v>471</v>
      </c>
      <c r="F173" s="55" t="s">
        <v>4905</v>
      </c>
      <c r="G173" s="55" t="s">
        <v>4906</v>
      </c>
      <c r="H173" s="55" t="s">
        <v>24</v>
      </c>
      <c r="I173" s="55"/>
      <c r="J173" s="55" t="s">
        <v>4907</v>
      </c>
      <c r="K173" s="55" t="s">
        <v>62</v>
      </c>
      <c r="L173" s="57" t="str">
        <f>HYPERLINK("https://nycdoe.sharepoint.com/:w:/s/BAP/EcEjz6-ehylJrG9kw_SQnXMBzOFXkTt-TGNtg6FRDqV6Hg", "10 out of 10")</f>
        <v>10 out of 10</v>
      </c>
      <c r="M173" t="s">
        <v>4908</v>
      </c>
    </row>
    <row r="174" spans="2:13">
      <c r="B174" s="55" t="s">
        <v>445</v>
      </c>
      <c r="C174" s="55" t="s">
        <v>12</v>
      </c>
      <c r="D174" s="55" t="s">
        <v>4909</v>
      </c>
      <c r="E174" s="55" t="s">
        <v>193</v>
      </c>
      <c r="F174" s="55" t="s">
        <v>4621</v>
      </c>
      <c r="G174" s="55" t="s">
        <v>4622</v>
      </c>
      <c r="H174" s="55" t="s">
        <v>84</v>
      </c>
      <c r="I174" s="55"/>
      <c r="J174" s="55" t="s">
        <v>4910</v>
      </c>
      <c r="K174" s="55" t="s">
        <v>20</v>
      </c>
      <c r="L174" s="57" t="str">
        <f>HYPERLINK("https://nycdoe.sharepoint.com/:w:/s/BAP/EdYPpxsV9vlBtBBbJSPw5VsBZpdT6bKvEPPIV4a9yLzs6g", "2 out of 10")</f>
        <v>2 out of 10</v>
      </c>
      <c r="M174" t="s">
        <v>4911</v>
      </c>
    </row>
    <row r="175" spans="2:13">
      <c r="B175" s="55" t="s">
        <v>445</v>
      </c>
      <c r="C175" s="55" t="s">
        <v>12</v>
      </c>
      <c r="D175" s="55" t="s">
        <v>4909</v>
      </c>
      <c r="E175" s="55" t="s">
        <v>4909</v>
      </c>
      <c r="F175" s="55" t="s">
        <v>4912</v>
      </c>
      <c r="G175" s="55" t="s">
        <v>4913</v>
      </c>
      <c r="H175" s="55" t="s">
        <v>52</v>
      </c>
      <c r="I175" s="55"/>
      <c r="J175" s="55" t="s">
        <v>4910</v>
      </c>
      <c r="K175" s="55" t="s">
        <v>20</v>
      </c>
      <c r="L175" s="57" t="str">
        <f>HYPERLINK("https://nycdoe.sharepoint.com/:w:/s/BAP/EdYPpxsV9vlBtBBbJSPw5VsBZpdT6bKvEPPIV4a9yLzs6g", "2 out of 10")</f>
        <v>2 out of 10</v>
      </c>
      <c r="M175" t="s">
        <v>4911</v>
      </c>
    </row>
    <row r="176" spans="2:13">
      <c r="B176" s="55" t="s">
        <v>445</v>
      </c>
      <c r="C176" s="55" t="s">
        <v>12</v>
      </c>
      <c r="D176" s="55" t="s">
        <v>475</v>
      </c>
      <c r="E176" s="55" t="s">
        <v>475</v>
      </c>
      <c r="F176" s="55" t="s">
        <v>4914</v>
      </c>
      <c r="G176" s="55" t="s">
        <v>4915</v>
      </c>
      <c r="H176" s="55" t="s">
        <v>17</v>
      </c>
      <c r="I176" s="55" t="s">
        <v>18</v>
      </c>
      <c r="J176" s="55" t="s">
        <v>4916</v>
      </c>
      <c r="K176" s="55" t="s">
        <v>62</v>
      </c>
      <c r="L176" s="57" t="str">
        <f>HYPERLINK("https://nycdoe.sharepoint.com/:w:/s/BAP/Ea_-x7Pa-RVFlzuHdquAJ0sBo6olFB6sf8UIzma3PJBsRQ", "10 out of 10")</f>
        <v>10 out of 10</v>
      </c>
      <c r="M176" t="s">
        <v>4917</v>
      </c>
    </row>
    <row r="177" spans="2:13">
      <c r="B177" s="55" t="s">
        <v>445</v>
      </c>
      <c r="C177" s="55" t="s">
        <v>12</v>
      </c>
      <c r="D177" s="55" t="s">
        <v>475</v>
      </c>
      <c r="E177" s="55" t="s">
        <v>333</v>
      </c>
      <c r="F177" s="55" t="s">
        <v>4754</v>
      </c>
      <c r="G177" s="55" t="s">
        <v>4755</v>
      </c>
      <c r="H177" s="55" t="s">
        <v>43</v>
      </c>
      <c r="I177" s="55"/>
      <c r="J177" s="55" t="s">
        <v>4918</v>
      </c>
      <c r="K177" s="55" t="s">
        <v>62</v>
      </c>
      <c r="L177" s="57" t="str">
        <f>HYPERLINK("https://nycdoe.sharepoint.com/:w:/s/BAP/Ea_-x7Pa-RVFlzuHdquAJ0sBo6olFB6sf8UIzma3PJBsRQ", "10 out of 10")</f>
        <v>10 out of 10</v>
      </c>
      <c r="M177" t="s">
        <v>4917</v>
      </c>
    </row>
    <row r="178" spans="2:13">
      <c r="B178" s="55" t="s">
        <v>445</v>
      </c>
      <c r="C178" s="55" t="s">
        <v>12</v>
      </c>
      <c r="D178" s="55" t="s">
        <v>479</v>
      </c>
      <c r="E178" s="55" t="s">
        <v>479</v>
      </c>
      <c r="F178" s="55" t="s">
        <v>4919</v>
      </c>
      <c r="G178" s="55" t="s">
        <v>481</v>
      </c>
      <c r="H178" s="55" t="s">
        <v>17</v>
      </c>
      <c r="I178" s="55" t="s">
        <v>18</v>
      </c>
      <c r="J178" s="55" t="s">
        <v>4920</v>
      </c>
      <c r="K178" s="55" t="s">
        <v>62</v>
      </c>
      <c r="L178" s="57" t="str">
        <f>HYPERLINK("https://nycdoe.sharepoint.com/:w:/s/BAP/EWKeew3b4rpBrVrid3oVLmUB-i37rqaEpmWkWkt8XPqDlA", "10 out of 10")</f>
        <v>10 out of 10</v>
      </c>
      <c r="M178" t="s">
        <v>4921</v>
      </c>
    </row>
    <row r="179" spans="2:13">
      <c r="B179" s="55" t="s">
        <v>445</v>
      </c>
      <c r="C179" s="55" t="s">
        <v>12</v>
      </c>
      <c r="D179" s="55" t="s">
        <v>483</v>
      </c>
      <c r="E179" s="55" t="s">
        <v>483</v>
      </c>
      <c r="F179" s="55" t="s">
        <v>4922</v>
      </c>
      <c r="G179" s="55" t="s">
        <v>4923</v>
      </c>
      <c r="H179" s="55" t="s">
        <v>17</v>
      </c>
      <c r="I179" s="55"/>
      <c r="J179" s="55" t="s">
        <v>4924</v>
      </c>
      <c r="K179" s="55" t="s">
        <v>62</v>
      </c>
      <c r="L179" s="57" t="str">
        <f>HYPERLINK("https://nycdoe.sharepoint.com/:w:/s/BAP/Ed71jBbaz1JAg1gvcLNWihsBhcLmx1UWrhDhdjEGLxq3qw", "10 out of 10")</f>
        <v>10 out of 10</v>
      </c>
      <c r="M179" t="s">
        <v>4925</v>
      </c>
    </row>
    <row r="180" spans="2:13">
      <c r="B180" s="55" t="s">
        <v>445</v>
      </c>
      <c r="C180" s="55" t="s">
        <v>12</v>
      </c>
      <c r="D180" s="55" t="s">
        <v>4926</v>
      </c>
      <c r="E180" s="55" t="s">
        <v>4926</v>
      </c>
      <c r="F180" s="55" t="s">
        <v>4927</v>
      </c>
      <c r="G180" s="55" t="s">
        <v>4928</v>
      </c>
      <c r="H180" s="55" t="s">
        <v>17</v>
      </c>
      <c r="I180" s="55" t="s">
        <v>18</v>
      </c>
      <c r="J180" s="55" t="s">
        <v>4929</v>
      </c>
      <c r="K180" s="55" t="s">
        <v>20</v>
      </c>
      <c r="L180" s="57" t="str">
        <f>HYPERLINK("https://nycdoe.sharepoint.com/:w:/s/BAP/Ebw4glPftWhNj8S80kk4hTMBcQUS3KZolBQJKFDb5gE3ig", "2 out of 10")</f>
        <v>2 out of 10</v>
      </c>
      <c r="M180" t="s">
        <v>4930</v>
      </c>
    </row>
    <row r="181" spans="2:13">
      <c r="B181" s="55" t="s">
        <v>445</v>
      </c>
      <c r="C181" s="55" t="s">
        <v>12</v>
      </c>
      <c r="D181" s="55" t="s">
        <v>487</v>
      </c>
      <c r="E181" s="55" t="s">
        <v>492</v>
      </c>
      <c r="F181" s="55" t="s">
        <v>4931</v>
      </c>
      <c r="G181" s="55" t="s">
        <v>4932</v>
      </c>
      <c r="H181" s="55" t="s">
        <v>17</v>
      </c>
      <c r="I181" s="55" t="s">
        <v>18</v>
      </c>
      <c r="J181" s="55" t="s">
        <v>4933</v>
      </c>
      <c r="K181" s="55" t="s">
        <v>62</v>
      </c>
      <c r="L181" s="57" t="str">
        <f>HYPERLINK("https://nycdoe.sharepoint.com/:w:/s/BAP/EV7Xwj13kJhKoAW2_rbhy08B29kbTarRmC8s8Q_qeYNoug", "9 out of 10")</f>
        <v>9 out of 10</v>
      </c>
      <c r="M181" t="s">
        <v>4934</v>
      </c>
    </row>
    <row r="182" spans="2:13">
      <c r="B182" s="55" t="s">
        <v>445</v>
      </c>
      <c r="C182" s="55" t="s">
        <v>12</v>
      </c>
      <c r="D182" s="55" t="s">
        <v>487</v>
      </c>
      <c r="E182" s="55" t="s">
        <v>495</v>
      </c>
      <c r="F182" s="55" t="s">
        <v>4935</v>
      </c>
      <c r="G182" s="55" t="s">
        <v>4936</v>
      </c>
      <c r="H182" s="55" t="s">
        <v>52</v>
      </c>
      <c r="I182" s="55"/>
      <c r="J182" s="55" t="s">
        <v>4933</v>
      </c>
      <c r="K182" s="55" t="s">
        <v>62</v>
      </c>
      <c r="L182" s="57" t="str">
        <f>HYPERLINK("https://nycdoe.sharepoint.com/:w:/s/BAP/EV7Xwj13kJhKoAW2_rbhy08B29kbTarRmC8s8Q_qeYNoug", "9 out of 10")</f>
        <v>9 out of 10</v>
      </c>
      <c r="M182" t="s">
        <v>4934</v>
      </c>
    </row>
    <row r="183" spans="2:13">
      <c r="B183" s="55" t="s">
        <v>445</v>
      </c>
      <c r="C183" s="55" t="s">
        <v>12</v>
      </c>
      <c r="D183" s="55" t="s">
        <v>498</v>
      </c>
      <c r="E183" s="55" t="s">
        <v>498</v>
      </c>
      <c r="F183" s="55" t="s">
        <v>4937</v>
      </c>
      <c r="G183" s="55" t="s">
        <v>4938</v>
      </c>
      <c r="H183" s="55" t="s">
        <v>52</v>
      </c>
      <c r="I183" s="55"/>
      <c r="J183" s="55" t="s">
        <v>4939</v>
      </c>
      <c r="K183" s="55" t="s">
        <v>20</v>
      </c>
      <c r="L183" s="57" t="str">
        <f>HYPERLINK("https://nycdoe.sharepoint.com/:w:/s/BAP/ETQutMvf_pNEuKUKB_zrkxcBHj2zW42-XlUpbxCAHKf_qA", "8 out of 10")</f>
        <v>8 out of 10</v>
      </c>
      <c r="M183" t="s">
        <v>4940</v>
      </c>
    </row>
    <row r="184" spans="2:13">
      <c r="B184" s="55" t="s">
        <v>445</v>
      </c>
      <c r="C184" s="55" t="s">
        <v>12</v>
      </c>
      <c r="D184" s="55" t="s">
        <v>498</v>
      </c>
      <c r="E184" s="55" t="s">
        <v>502</v>
      </c>
      <c r="F184" s="55" t="s">
        <v>4941</v>
      </c>
      <c r="G184" s="55" t="s">
        <v>4942</v>
      </c>
      <c r="H184" s="55" t="s">
        <v>24</v>
      </c>
      <c r="I184" s="55"/>
      <c r="J184" s="55" t="s">
        <v>4943</v>
      </c>
      <c r="K184" s="55" t="s">
        <v>20</v>
      </c>
      <c r="L184" s="57" t="str">
        <f>HYPERLINK("https://nycdoe.sharepoint.com/:w:/s/BAP/ETQutMvf_pNEuKUKB_zrkxcBHj2zW42-XlUpbxCAHKf_qA", "8 out of 10")</f>
        <v>8 out of 10</v>
      </c>
      <c r="M184" t="s">
        <v>4940</v>
      </c>
    </row>
    <row r="185" spans="2:13">
      <c r="B185" s="55" t="s">
        <v>445</v>
      </c>
      <c r="C185" s="55" t="s">
        <v>12</v>
      </c>
      <c r="D185" s="55" t="s">
        <v>505</v>
      </c>
      <c r="E185" s="55" t="s">
        <v>505</v>
      </c>
      <c r="F185" s="55" t="s">
        <v>4944</v>
      </c>
      <c r="G185" s="55" t="s">
        <v>4945</v>
      </c>
      <c r="H185" s="55" t="s">
        <v>17</v>
      </c>
      <c r="I185" s="55" t="s">
        <v>18</v>
      </c>
      <c r="J185" s="55" t="s">
        <v>4946</v>
      </c>
      <c r="K185" s="55" t="s">
        <v>20</v>
      </c>
      <c r="L185" s="57" t="str">
        <f>HYPERLINK("https://nycdoe.sharepoint.com/:w:/s/BAP/EW0VqEYSde5IvRDeATLU-9cBf7dHE-v4InumM5zr2K6dxw", "3 out of 10")</f>
        <v>3 out of 10</v>
      </c>
      <c r="M185" t="s">
        <v>4947</v>
      </c>
    </row>
    <row r="186" spans="2:13">
      <c r="B186" s="55" t="s">
        <v>445</v>
      </c>
      <c r="C186" s="55" t="s">
        <v>12</v>
      </c>
      <c r="D186" s="55" t="s">
        <v>509</v>
      </c>
      <c r="E186" s="55" t="s">
        <v>509</v>
      </c>
      <c r="F186" s="55" t="s">
        <v>4948</v>
      </c>
      <c r="G186" s="55" t="s">
        <v>4949</v>
      </c>
      <c r="H186" s="55" t="s">
        <v>17</v>
      </c>
      <c r="I186" s="55" t="s">
        <v>18</v>
      </c>
      <c r="J186" s="55" t="s">
        <v>4950</v>
      </c>
      <c r="K186" s="55" t="s">
        <v>20</v>
      </c>
      <c r="L186" s="57" t="str">
        <f>HYPERLINK("https://nycdoe.sharepoint.com/:w:/s/BAP/EdreDHZUMs1FgqS3fNwGm4MBURTlt1aUUctebull5a0r-A", "1 out of 10")</f>
        <v>1 out of 10</v>
      </c>
      <c r="M186" t="s">
        <v>4951</v>
      </c>
    </row>
    <row r="187" spans="2:13">
      <c r="B187" s="55" t="s">
        <v>445</v>
      </c>
      <c r="C187" s="55" t="s">
        <v>12</v>
      </c>
      <c r="D187" s="55" t="s">
        <v>513</v>
      </c>
      <c r="E187" s="55" t="s">
        <v>513</v>
      </c>
      <c r="F187" s="55" t="s">
        <v>4952</v>
      </c>
      <c r="G187" s="55" t="s">
        <v>4953</v>
      </c>
      <c r="H187" s="55" t="s">
        <v>24</v>
      </c>
      <c r="I187" s="55"/>
      <c r="J187" s="55" t="s">
        <v>4954</v>
      </c>
      <c r="K187" s="55" t="s">
        <v>62</v>
      </c>
      <c r="L187" s="57" t="str">
        <f>HYPERLINK("https://nycdoe.sharepoint.com/:w:/s/BAP/EXqOlw0ueF5KudmbwA1aoGwBcVl8BWK2TBEpw93iwScNyQ", "9 out of 10")</f>
        <v>9 out of 10</v>
      </c>
      <c r="M187" t="s">
        <v>4955</v>
      </c>
    </row>
    <row r="188" spans="2:13">
      <c r="B188" s="55" t="s">
        <v>445</v>
      </c>
      <c r="C188" s="55" t="s">
        <v>12</v>
      </c>
      <c r="D188" s="55" t="s">
        <v>513</v>
      </c>
      <c r="E188" s="55" t="s">
        <v>517</v>
      </c>
      <c r="F188" s="55" t="s">
        <v>4956</v>
      </c>
      <c r="G188" s="55" t="s">
        <v>4957</v>
      </c>
      <c r="H188" s="55" t="s">
        <v>17</v>
      </c>
      <c r="I188" s="55" t="s">
        <v>18</v>
      </c>
      <c r="J188" s="55" t="s">
        <v>4954</v>
      </c>
      <c r="K188" s="55" t="s">
        <v>62</v>
      </c>
      <c r="L188" s="57" t="str">
        <f>HYPERLINK("https://nycdoe.sharepoint.com/:w:/s/BAP/EXqOlw0ueF5KudmbwA1aoGwBcVl8BWK2TBEpw93iwScNyQ", "9 out of 10")</f>
        <v>9 out of 10</v>
      </c>
      <c r="M188" t="s">
        <v>4955</v>
      </c>
    </row>
    <row r="189" spans="2:13">
      <c r="B189" s="55" t="s">
        <v>445</v>
      </c>
      <c r="C189" s="55" t="s">
        <v>12</v>
      </c>
      <c r="D189" s="55" t="s">
        <v>520</v>
      </c>
      <c r="E189" s="55" t="s">
        <v>521</v>
      </c>
      <c r="F189" s="55" t="s">
        <v>4958</v>
      </c>
      <c r="G189" s="55" t="s">
        <v>4959</v>
      </c>
      <c r="H189" s="55" t="s">
        <v>24</v>
      </c>
      <c r="I189" s="55"/>
      <c r="J189" s="55" t="s">
        <v>4960</v>
      </c>
      <c r="K189" s="55" t="s">
        <v>20</v>
      </c>
      <c r="L189" s="57" t="str">
        <f>HYPERLINK("https://nycdoe.sharepoint.com/:w:/s/BAP/EYVAkKVH1ulCv6xcilCiPvUBFOHgLyHfhV8W2NdiAuvbHw", "3 out of 10")</f>
        <v>3 out of 10</v>
      </c>
      <c r="M189" t="s">
        <v>4961</v>
      </c>
    </row>
    <row r="190" spans="2:13">
      <c r="B190" s="55" t="s">
        <v>445</v>
      </c>
      <c r="C190" s="55" t="s">
        <v>12</v>
      </c>
      <c r="D190" s="55" t="s">
        <v>525</v>
      </c>
      <c r="E190" s="55" t="s">
        <v>4564</v>
      </c>
      <c r="F190" s="55" t="s">
        <v>4565</v>
      </c>
      <c r="G190" s="55" t="s">
        <v>4566</v>
      </c>
      <c r="H190" s="55" t="s">
        <v>52</v>
      </c>
      <c r="I190" s="55"/>
      <c r="J190" s="55" t="s">
        <v>4962</v>
      </c>
      <c r="K190" s="55" t="s">
        <v>20</v>
      </c>
      <c r="L190" s="57" t="str">
        <f>HYPERLINK("https://nycdoe.sharepoint.com/:w:/s/BAP/EcSCV3gKSGhCrVQk0KYMha8BEdu_ooQHrlPQZnh71JzY3A", "4 out of 10")</f>
        <v>4 out of 10</v>
      </c>
      <c r="M190" t="s">
        <v>4963</v>
      </c>
    </row>
    <row r="191" spans="2:13">
      <c r="B191" s="55" t="s">
        <v>445</v>
      </c>
      <c r="C191" s="55" t="s">
        <v>12</v>
      </c>
      <c r="D191" s="55" t="s">
        <v>525</v>
      </c>
      <c r="E191" s="55" t="s">
        <v>525</v>
      </c>
      <c r="F191" s="55" t="s">
        <v>4964</v>
      </c>
      <c r="G191" s="55" t="s">
        <v>4965</v>
      </c>
      <c r="H191" s="55" t="s">
        <v>52</v>
      </c>
      <c r="I191" s="55"/>
      <c r="J191" s="55" t="s">
        <v>4962</v>
      </c>
      <c r="K191" s="55" t="s">
        <v>20</v>
      </c>
      <c r="L191" s="57" t="str">
        <f>HYPERLINK("https://nycdoe.sharepoint.com/:w:/s/BAP/EcSCV3gKSGhCrVQk0KYMha8BEdu_ooQHrlPQZnh71JzY3A", "4 out of 10")</f>
        <v>4 out of 10</v>
      </c>
      <c r="M191" t="s">
        <v>4963</v>
      </c>
    </row>
    <row r="192" spans="2:13">
      <c r="B192" s="55" t="s">
        <v>445</v>
      </c>
      <c r="C192" s="55" t="s">
        <v>12</v>
      </c>
      <c r="D192" s="55" t="s">
        <v>529</v>
      </c>
      <c r="E192" s="55" t="s">
        <v>530</v>
      </c>
      <c r="F192" s="55" t="s">
        <v>4966</v>
      </c>
      <c r="G192" s="55" t="s">
        <v>4967</v>
      </c>
      <c r="H192" s="55" t="s">
        <v>84</v>
      </c>
      <c r="I192" s="55"/>
      <c r="J192" s="55" t="s">
        <v>4968</v>
      </c>
      <c r="K192" s="55" t="s">
        <v>20</v>
      </c>
      <c r="L192" s="57" t="str">
        <f>HYPERLINK("https://nycdoe.sharepoint.com/:w:/s/BAP/EUelwVdNzl1CmLPXmtyuQnYB3BLbjq243IPOu79ltFsHkw", "4 out of 10")</f>
        <v>4 out of 10</v>
      </c>
      <c r="M192" t="s">
        <v>4969</v>
      </c>
    </row>
    <row r="193" spans="2:13">
      <c r="B193" s="55" t="s">
        <v>445</v>
      </c>
      <c r="C193" s="55" t="s">
        <v>12</v>
      </c>
      <c r="D193" s="55" t="s">
        <v>529</v>
      </c>
      <c r="E193" s="55" t="s">
        <v>534</v>
      </c>
      <c r="F193" s="55" t="s">
        <v>4970</v>
      </c>
      <c r="G193" s="55" t="s">
        <v>4971</v>
      </c>
      <c r="H193" s="55" t="s">
        <v>52</v>
      </c>
      <c r="I193" s="55"/>
      <c r="J193" s="55" t="s">
        <v>4972</v>
      </c>
      <c r="K193" s="55" t="s">
        <v>20</v>
      </c>
      <c r="L193" s="57" t="str">
        <f>HYPERLINK("https://nycdoe.sharepoint.com/:w:/s/BAP/EUelwVdNzl1CmLPXmtyuQnYB3BLbjq243IPOu79ltFsHkw", "4 out of 10")</f>
        <v>4 out of 10</v>
      </c>
      <c r="M193" t="s">
        <v>4969</v>
      </c>
    </row>
    <row r="194" spans="2:13">
      <c r="B194" s="55" t="s">
        <v>445</v>
      </c>
      <c r="C194" s="55" t="s">
        <v>12</v>
      </c>
      <c r="D194" s="55" t="s">
        <v>537</v>
      </c>
      <c r="E194" s="55" t="s">
        <v>537</v>
      </c>
      <c r="F194" s="55" t="s">
        <v>4973</v>
      </c>
      <c r="G194" s="55" t="s">
        <v>4974</v>
      </c>
      <c r="H194" s="55" t="s">
        <v>84</v>
      </c>
      <c r="I194" s="55"/>
      <c r="J194" s="55" t="s">
        <v>4975</v>
      </c>
      <c r="K194" s="55" t="s">
        <v>62</v>
      </c>
      <c r="L194" s="57" t="str">
        <f>HYPERLINK("https://nycdoe.sharepoint.com/:w:/s/BAP/EVthhIlQ2MhLmRWvvNBMBQgBWrff8MrwelDZvwBtanDwBA", "9 out of 10")</f>
        <v>9 out of 10</v>
      </c>
      <c r="M194" t="s">
        <v>4976</v>
      </c>
    </row>
    <row r="195" spans="2:13">
      <c r="B195" s="55" t="s">
        <v>445</v>
      </c>
      <c r="C195" s="55" t="s">
        <v>12</v>
      </c>
      <c r="D195" s="55" t="s">
        <v>4977</v>
      </c>
      <c r="E195" s="55" t="s">
        <v>4978</v>
      </c>
      <c r="F195" s="55" t="s">
        <v>4979</v>
      </c>
      <c r="G195" s="55" t="s">
        <v>4980</v>
      </c>
      <c r="H195" s="55" t="s">
        <v>56</v>
      </c>
      <c r="I195" s="55"/>
      <c r="J195" s="55" t="s">
        <v>4981</v>
      </c>
      <c r="K195" s="55" t="s">
        <v>20</v>
      </c>
      <c r="L195" s="57" t="str">
        <f>HYPERLINK("https://nycdoe.sharepoint.com/:w:/s/BAP/ERwrXSmcRCdMlt2LVEkrCyQB9HHHyKpnSbM8Zbhw7ATMAA", "1 out of 10")</f>
        <v>1 out of 10</v>
      </c>
      <c r="M195" t="s">
        <v>4982</v>
      </c>
    </row>
    <row r="196" spans="2:13">
      <c r="B196" s="55" t="s">
        <v>445</v>
      </c>
      <c r="C196" s="55" t="s">
        <v>12</v>
      </c>
      <c r="D196" s="55" t="s">
        <v>4977</v>
      </c>
      <c r="E196" s="55" t="s">
        <v>4983</v>
      </c>
      <c r="F196" s="55" t="s">
        <v>4984</v>
      </c>
      <c r="G196" s="55" t="s">
        <v>4985</v>
      </c>
      <c r="H196" s="55" t="s">
        <v>52</v>
      </c>
      <c r="I196" s="55"/>
      <c r="J196" s="55" t="s">
        <v>4981</v>
      </c>
      <c r="K196" s="55" t="s">
        <v>20</v>
      </c>
      <c r="L196" s="57" t="str">
        <f>HYPERLINK("https://nycdoe.sharepoint.com/:w:/s/BAP/ERwrXSmcRCdMlt2LVEkrCyQB9HHHyKpnSbM8Zbhw7ATMAA", "1 out of 10")</f>
        <v>1 out of 10</v>
      </c>
      <c r="M196" t="s">
        <v>4982</v>
      </c>
    </row>
    <row r="197" spans="2:13">
      <c r="B197" s="55" t="s">
        <v>445</v>
      </c>
      <c r="C197" s="55" t="s">
        <v>12</v>
      </c>
      <c r="D197" s="55" t="s">
        <v>541</v>
      </c>
      <c r="E197" s="55" t="s">
        <v>542</v>
      </c>
      <c r="F197" s="55" t="s">
        <v>4986</v>
      </c>
      <c r="G197" s="55" t="s">
        <v>4987</v>
      </c>
      <c r="H197" s="55" t="s">
        <v>17</v>
      </c>
      <c r="I197" s="55" t="s">
        <v>18</v>
      </c>
      <c r="J197" s="55" t="s">
        <v>4988</v>
      </c>
      <c r="K197" s="55" t="s">
        <v>62</v>
      </c>
      <c r="L197" s="57" t="str">
        <f>HYPERLINK("https://nycdoe.sharepoint.com/:w:/s/BAP/EcS-umI_XclLsfX87DxJ2G8B_V9wmdAHOuG0WWXrYHjwnQ", "10 out of 10")</f>
        <v>10 out of 10</v>
      </c>
      <c r="M197" t="s">
        <v>4989</v>
      </c>
    </row>
    <row r="198" spans="2:13">
      <c r="B198" s="55" t="s">
        <v>445</v>
      </c>
      <c r="C198" s="55" t="s">
        <v>12</v>
      </c>
      <c r="D198" s="55" t="s">
        <v>541</v>
      </c>
      <c r="E198" s="55" t="s">
        <v>333</v>
      </c>
      <c r="F198" s="55" t="s">
        <v>4754</v>
      </c>
      <c r="G198" s="55" t="s">
        <v>4755</v>
      </c>
      <c r="H198" s="55" t="s">
        <v>43</v>
      </c>
      <c r="I198" s="55"/>
      <c r="J198" s="55" t="s">
        <v>4988</v>
      </c>
      <c r="K198" s="55" t="s">
        <v>62</v>
      </c>
      <c r="L198" s="57" t="str">
        <f>HYPERLINK("https://nycdoe.sharepoint.com/:w:/s/BAP/EcS-umI_XclLsfX87DxJ2G8B_V9wmdAHOuG0WWXrYHjwnQ", "10 out of 10")</f>
        <v>10 out of 10</v>
      </c>
      <c r="M198" t="s">
        <v>4989</v>
      </c>
    </row>
    <row r="199" spans="2:13">
      <c r="B199" s="55" t="s">
        <v>445</v>
      </c>
      <c r="C199" s="55" t="s">
        <v>12</v>
      </c>
      <c r="D199" s="55" t="s">
        <v>546</v>
      </c>
      <c r="E199" s="55" t="s">
        <v>546</v>
      </c>
      <c r="F199" s="55" t="s">
        <v>4990</v>
      </c>
      <c r="G199" s="55" t="s">
        <v>4991</v>
      </c>
      <c r="H199" s="55" t="s">
        <v>17</v>
      </c>
      <c r="I199" s="55"/>
      <c r="J199" s="55" t="s">
        <v>4992</v>
      </c>
      <c r="K199" s="55" t="s">
        <v>20</v>
      </c>
      <c r="L199" s="57" t="str">
        <f>HYPERLINK("https://nycdoe.sharepoint.com/:w:/s/BAP/EYd_-Ej3w9dNkR9MUKoXTnYBAadJHM8zKMEXruQu_ZxrGg", "1 out of 10")</f>
        <v>1 out of 10</v>
      </c>
      <c r="M199" t="s">
        <v>4993</v>
      </c>
    </row>
    <row r="200" spans="2:13">
      <c r="B200" s="55" t="s">
        <v>445</v>
      </c>
      <c r="C200" s="55" t="s">
        <v>12</v>
      </c>
      <c r="D200" s="55" t="s">
        <v>550</v>
      </c>
      <c r="E200" s="55" t="s">
        <v>550</v>
      </c>
      <c r="F200" s="55" t="s">
        <v>4994</v>
      </c>
      <c r="G200" s="55" t="s">
        <v>552</v>
      </c>
      <c r="H200" s="55" t="s">
        <v>553</v>
      </c>
      <c r="I200" s="55" t="s">
        <v>18</v>
      </c>
      <c r="J200" s="55" t="s">
        <v>4995</v>
      </c>
      <c r="K200" s="55" t="s">
        <v>62</v>
      </c>
      <c r="L200" s="57" t="str">
        <f>HYPERLINK("https://nycdoe.sharepoint.com/:w:/s/BAP/EZTR-mjYpPpNlOYj74hhxIcBIQFq609AsLL8woxn_mIbVQ", "10 out of 10")</f>
        <v>10 out of 10</v>
      </c>
      <c r="M200" t="s">
        <v>4996</v>
      </c>
    </row>
    <row r="201" spans="2:13">
      <c r="B201" s="55" t="s">
        <v>445</v>
      </c>
      <c r="C201" s="55" t="s">
        <v>12</v>
      </c>
      <c r="D201" s="55" t="s">
        <v>555</v>
      </c>
      <c r="E201" s="55" t="s">
        <v>556</v>
      </c>
      <c r="F201" s="55" t="s">
        <v>4997</v>
      </c>
      <c r="G201" s="55" t="s">
        <v>4998</v>
      </c>
      <c r="H201" s="55" t="s">
        <v>56</v>
      </c>
      <c r="I201" s="55"/>
      <c r="J201" s="55" t="s">
        <v>4999</v>
      </c>
      <c r="K201" s="55" t="s">
        <v>20</v>
      </c>
      <c r="L201" s="57" t="str">
        <f>HYPERLINK("https://nycdoe.sharepoint.com/:w:/s/BAP/ETHpadBdKhlGrQP32C1czOoBh5rJUjKhCiIkM-22JLvfLA", "1 out of 10")</f>
        <v>1 out of 10</v>
      </c>
      <c r="M201" t="s">
        <v>5000</v>
      </c>
    </row>
    <row r="202" spans="2:13">
      <c r="B202" s="55" t="s">
        <v>445</v>
      </c>
      <c r="C202" s="55" t="s">
        <v>12</v>
      </c>
      <c r="D202" s="55" t="s">
        <v>560</v>
      </c>
      <c r="E202" s="55" t="s">
        <v>560</v>
      </c>
      <c r="F202" s="55" t="s">
        <v>5001</v>
      </c>
      <c r="G202" s="55" t="s">
        <v>562</v>
      </c>
      <c r="H202" s="55" t="s">
        <v>52</v>
      </c>
      <c r="I202" s="55"/>
      <c r="J202" s="55" t="s">
        <v>5002</v>
      </c>
      <c r="K202" s="55" t="s">
        <v>62</v>
      </c>
      <c r="L202" s="57" t="str">
        <f>HYPERLINK("https://nycdoe.sharepoint.com/:w:/s/BAP/EeyTEJ9FGB9Ol_f17fw-gN8B-P9zYrDkq_6leMvMS-BhOQ", "10 out of 10")</f>
        <v>10 out of 10</v>
      </c>
      <c r="M202" t="s">
        <v>5003</v>
      </c>
    </row>
    <row r="203" spans="2:13">
      <c r="B203" s="55" t="s">
        <v>445</v>
      </c>
      <c r="C203" s="55" t="s">
        <v>12</v>
      </c>
      <c r="D203" s="55" t="s">
        <v>564</v>
      </c>
      <c r="E203" s="55" t="s">
        <v>564</v>
      </c>
      <c r="F203" s="55" t="s">
        <v>5004</v>
      </c>
      <c r="G203" s="55" t="s">
        <v>5005</v>
      </c>
      <c r="H203" s="55" t="s">
        <v>24</v>
      </c>
      <c r="I203" s="55"/>
      <c r="J203" s="55" t="s">
        <v>5006</v>
      </c>
      <c r="K203" s="55" t="s">
        <v>62</v>
      </c>
      <c r="L203" s="57" t="str">
        <f>HYPERLINK("https://nycdoe.sharepoint.com/:w:/s/BAP/EYciaf3naQhNhASzJX58ZZcB12Qys7_O24yLmBynq0TVGQ", "10 out of 10")</f>
        <v>10 out of 10</v>
      </c>
      <c r="M203" t="s">
        <v>5007</v>
      </c>
    </row>
    <row r="204" spans="2:13">
      <c r="B204" s="55" t="s">
        <v>445</v>
      </c>
      <c r="C204" s="55" t="s">
        <v>12</v>
      </c>
      <c r="D204" s="55" t="s">
        <v>568</v>
      </c>
      <c r="E204" s="55" t="s">
        <v>569</v>
      </c>
      <c r="F204" s="55" t="s">
        <v>5008</v>
      </c>
      <c r="G204" s="55" t="s">
        <v>5009</v>
      </c>
      <c r="H204" s="55" t="s">
        <v>84</v>
      </c>
      <c r="I204" s="55"/>
      <c r="J204" s="55" t="s">
        <v>5010</v>
      </c>
      <c r="K204" s="55" t="s">
        <v>62</v>
      </c>
      <c r="L204" s="57" t="str">
        <f>HYPERLINK("https://nycdoe.sharepoint.com/:w:/s/BAP/EQas3DpNUi5Drv159BeXSSMBMARp6K-91An8nIIFIS2N-A", "9 out of 10")</f>
        <v>9 out of 10</v>
      </c>
      <c r="M204" t="s">
        <v>5011</v>
      </c>
    </row>
    <row r="205" spans="2:13">
      <c r="B205" s="55" t="s">
        <v>445</v>
      </c>
      <c r="C205" s="55" t="s">
        <v>12</v>
      </c>
      <c r="D205" s="55" t="s">
        <v>573</v>
      </c>
      <c r="E205" s="55" t="s">
        <v>244</v>
      </c>
      <c r="F205" s="55" t="s">
        <v>4660</v>
      </c>
      <c r="G205" s="55" t="s">
        <v>4661</v>
      </c>
      <c r="H205" s="55" t="s">
        <v>24</v>
      </c>
      <c r="I205" s="55"/>
      <c r="J205" s="55" t="s">
        <v>5012</v>
      </c>
      <c r="K205" s="55" t="s">
        <v>62</v>
      </c>
      <c r="L205" s="57" t="str">
        <f>HYPERLINK("https://nycdoe.sharepoint.com/:w:/s/BAP/EfZi2A3kljhHjr4VLQ09FWMB9NdSF8WONxH1A405Vw9MNA", "10 out of 10")</f>
        <v>10 out of 10</v>
      </c>
      <c r="M205" t="s">
        <v>5013</v>
      </c>
    </row>
    <row r="206" spans="2:13">
      <c r="B206" s="55" t="s">
        <v>445</v>
      </c>
      <c r="C206" s="55" t="s">
        <v>12</v>
      </c>
      <c r="D206" s="55" t="s">
        <v>573</v>
      </c>
      <c r="E206" s="55" t="s">
        <v>573</v>
      </c>
      <c r="F206" s="55" t="s">
        <v>5014</v>
      </c>
      <c r="G206" s="55" t="s">
        <v>576</v>
      </c>
      <c r="H206" s="55" t="s">
        <v>17</v>
      </c>
      <c r="I206" s="55"/>
      <c r="J206" s="55" t="s">
        <v>5012</v>
      </c>
      <c r="K206" s="55" t="s">
        <v>62</v>
      </c>
      <c r="L206" s="57" t="str">
        <f>HYPERLINK("https://nycdoe.sharepoint.com/:w:/s/BAP/EfZi2A3kljhHjr4VLQ09FWMB9NdSF8WONxH1A405Vw9MNA", "10 out of 10")</f>
        <v>10 out of 10</v>
      </c>
      <c r="M206" t="s">
        <v>5013</v>
      </c>
    </row>
    <row r="207" spans="2:13">
      <c r="B207" s="55" t="s">
        <v>445</v>
      </c>
      <c r="C207" s="55" t="s">
        <v>12</v>
      </c>
      <c r="D207" s="55" t="s">
        <v>573</v>
      </c>
      <c r="E207" s="55" t="s">
        <v>577</v>
      </c>
      <c r="F207" s="55" t="s">
        <v>5015</v>
      </c>
      <c r="G207" s="55" t="s">
        <v>5016</v>
      </c>
      <c r="H207" s="55" t="s">
        <v>52</v>
      </c>
      <c r="I207" s="55"/>
      <c r="J207" s="55" t="s">
        <v>5012</v>
      </c>
      <c r="K207" s="55" t="s">
        <v>62</v>
      </c>
      <c r="L207" s="57" t="str">
        <f>HYPERLINK("https://nycdoe.sharepoint.com/:w:/s/BAP/EfZi2A3kljhHjr4VLQ09FWMB9NdSF8WONxH1A405Vw9MNA", "10 out of 10")</f>
        <v>10 out of 10</v>
      </c>
      <c r="M207" t="s">
        <v>5013</v>
      </c>
    </row>
    <row r="208" spans="2:13">
      <c r="B208" s="55" t="s">
        <v>445</v>
      </c>
      <c r="C208" s="55" t="s">
        <v>12</v>
      </c>
      <c r="D208" s="55" t="s">
        <v>580</v>
      </c>
      <c r="E208" s="55" t="s">
        <v>580</v>
      </c>
      <c r="F208" s="55" t="s">
        <v>5017</v>
      </c>
      <c r="G208" s="55" t="s">
        <v>582</v>
      </c>
      <c r="H208" s="55" t="s">
        <v>17</v>
      </c>
      <c r="I208" s="55" t="s">
        <v>18</v>
      </c>
      <c r="J208" s="55" t="s">
        <v>5018</v>
      </c>
      <c r="K208" s="55" t="s">
        <v>62</v>
      </c>
      <c r="L208" s="57" t="str">
        <f>HYPERLINK("https://nycdoe.sharepoint.com/:w:/s/BAP/EdNKWqB6rUZFggAbc5_kjfMBVxTzRBojEZ3N2rXoxI8Kyw", "9 out of 10")</f>
        <v>9 out of 10</v>
      </c>
      <c r="M208" t="s">
        <v>5019</v>
      </c>
    </row>
    <row r="209" spans="2:13">
      <c r="B209" s="55" t="s">
        <v>445</v>
      </c>
      <c r="C209" s="55" t="s">
        <v>12</v>
      </c>
      <c r="D209" s="55" t="s">
        <v>5020</v>
      </c>
      <c r="E209" s="55" t="s">
        <v>5021</v>
      </c>
      <c r="F209" s="55" t="s">
        <v>5022</v>
      </c>
      <c r="G209" s="55" t="s">
        <v>5023</v>
      </c>
      <c r="H209" s="55" t="s">
        <v>17</v>
      </c>
      <c r="I209" s="55" t="s">
        <v>18</v>
      </c>
      <c r="J209" s="55" t="s">
        <v>5024</v>
      </c>
      <c r="K209" s="55" t="s">
        <v>62</v>
      </c>
      <c r="L209" s="57" t="str">
        <f>HYPERLINK("https://nycdoe.sharepoint.com/:w:/s/BAP/ES0w3lv1YuVAn2D12BJx6WcB9CA03n_Y7b_RyIN7QXKJCw", "10 out of 10")</f>
        <v>10 out of 10</v>
      </c>
      <c r="M209" t="s">
        <v>5025</v>
      </c>
    </row>
    <row r="210" spans="2:13">
      <c r="B210" s="55" t="s">
        <v>445</v>
      </c>
      <c r="C210" s="55" t="s">
        <v>12</v>
      </c>
      <c r="D210" s="55" t="s">
        <v>584</v>
      </c>
      <c r="E210" s="55" t="s">
        <v>584</v>
      </c>
      <c r="F210" s="55" t="s">
        <v>5026</v>
      </c>
      <c r="G210" s="55" t="s">
        <v>586</v>
      </c>
      <c r="H210" s="55" t="s">
        <v>17</v>
      </c>
      <c r="I210" s="55" t="s">
        <v>18</v>
      </c>
      <c r="J210" s="55" t="s">
        <v>5027</v>
      </c>
      <c r="K210" s="55" t="s">
        <v>62</v>
      </c>
      <c r="L210" s="57" t="str">
        <f>HYPERLINK("https://nycdoe.sharepoint.com/:w:/s/BAP/EfK83fDrmI5Al4sd9VzH5kABdFqQUfJTIMgv7fFy3j9W9Q", "10 out of 10")</f>
        <v>10 out of 10</v>
      </c>
      <c r="M210" t="s">
        <v>5028</v>
      </c>
    </row>
    <row r="211" spans="2:13">
      <c r="B211" s="55" t="s">
        <v>445</v>
      </c>
      <c r="C211" s="55" t="s">
        <v>12</v>
      </c>
      <c r="D211" s="55" t="s">
        <v>376</v>
      </c>
      <c r="E211" s="55" t="s">
        <v>5029</v>
      </c>
      <c r="F211" s="55" t="s">
        <v>5030</v>
      </c>
      <c r="G211" s="55" t="s">
        <v>5031</v>
      </c>
      <c r="H211" s="55" t="s">
        <v>17</v>
      </c>
      <c r="I211" s="55"/>
      <c r="J211" s="55" t="s">
        <v>5032</v>
      </c>
      <c r="K211" s="55" t="s">
        <v>62</v>
      </c>
      <c r="L211" s="57" t="str">
        <f>HYPERLINK("https://nycdoe.sharepoint.com/:w:/s/BAP/EYCKymSpfexPlbMrxTpt0DIBOo-gEBsr5j7AYKTFf6-6zQ", "10 out of 10")</f>
        <v>10 out of 10</v>
      </c>
      <c r="M211" t="s">
        <v>5033</v>
      </c>
    </row>
    <row r="212" spans="2:13">
      <c r="B212" s="55" t="s">
        <v>445</v>
      </c>
      <c r="C212" s="55" t="s">
        <v>12</v>
      </c>
      <c r="D212" s="55" t="s">
        <v>588</v>
      </c>
      <c r="E212" s="55" t="s">
        <v>588</v>
      </c>
      <c r="F212" s="55" t="s">
        <v>5034</v>
      </c>
      <c r="G212" s="55" t="s">
        <v>5035</v>
      </c>
      <c r="H212" s="55" t="s">
        <v>84</v>
      </c>
      <c r="I212" s="55"/>
      <c r="J212" s="55" t="s">
        <v>5036</v>
      </c>
      <c r="K212" s="55" t="s">
        <v>62</v>
      </c>
      <c r="L212" s="57" t="str">
        <f>HYPERLINK("https://nycdoe.sharepoint.com/:w:/s/BAP/EQOH641De-lNjsVJ07eE9l4BT8bpanVsVvSmtBqorsoIcg", "10 out of 10")</f>
        <v>10 out of 10</v>
      </c>
      <c r="M212" t="s">
        <v>5037</v>
      </c>
    </row>
    <row r="213" spans="2:13">
      <c r="B213" s="55" t="s">
        <v>445</v>
      </c>
      <c r="C213" s="55" t="s">
        <v>12</v>
      </c>
      <c r="D213" s="55" t="s">
        <v>588</v>
      </c>
      <c r="E213" s="55" t="s">
        <v>592</v>
      </c>
      <c r="F213" s="55" t="s">
        <v>5038</v>
      </c>
      <c r="G213" s="55" t="s">
        <v>5039</v>
      </c>
      <c r="H213" s="55" t="s">
        <v>56</v>
      </c>
      <c r="I213" s="55"/>
      <c r="J213" s="55" t="s">
        <v>5036</v>
      </c>
      <c r="K213" s="55" t="s">
        <v>62</v>
      </c>
      <c r="L213" s="57" t="str">
        <f>HYPERLINK("https://nycdoe.sharepoint.com/:w:/s/BAP/EQOH641De-lNjsVJ07eE9l4BT8bpanVsVvSmtBqorsoIcg", "10 out of 10")</f>
        <v>10 out of 10</v>
      </c>
      <c r="M213" t="s">
        <v>5037</v>
      </c>
    </row>
    <row r="214" spans="2:13">
      <c r="B214" s="55" t="s">
        <v>445</v>
      </c>
      <c r="C214" s="55" t="s">
        <v>12</v>
      </c>
      <c r="D214" s="55" t="s">
        <v>595</v>
      </c>
      <c r="E214" s="55" t="s">
        <v>596</v>
      </c>
      <c r="F214" s="55" t="s">
        <v>5040</v>
      </c>
      <c r="G214" s="55" t="s">
        <v>5041</v>
      </c>
      <c r="H214" s="55" t="s">
        <v>56</v>
      </c>
      <c r="I214" s="55"/>
      <c r="J214" s="55" t="s">
        <v>5042</v>
      </c>
      <c r="K214" s="55" t="s">
        <v>62</v>
      </c>
      <c r="L214" s="57" t="str">
        <f>HYPERLINK("https://nycdoe.sharepoint.com/:w:/s/BAP/EfAzzkW-PhNPlg3YfhwvaoQBauAq0dxjremCLVnWvKRVVg", "9 out of 10")</f>
        <v>9 out of 10</v>
      </c>
      <c r="M214" t="s">
        <v>5043</v>
      </c>
    </row>
    <row r="215" spans="2:13">
      <c r="B215" s="55" t="s">
        <v>445</v>
      </c>
      <c r="C215" s="55" t="s">
        <v>12</v>
      </c>
      <c r="D215" s="55" t="s">
        <v>595</v>
      </c>
      <c r="E215" s="55" t="s">
        <v>600</v>
      </c>
      <c r="F215" s="55" t="s">
        <v>5044</v>
      </c>
      <c r="G215" s="55" t="s">
        <v>5045</v>
      </c>
      <c r="H215" s="55" t="s">
        <v>84</v>
      </c>
      <c r="I215" s="55"/>
      <c r="J215" s="55" t="s">
        <v>5042</v>
      </c>
      <c r="K215" s="55" t="s">
        <v>62</v>
      </c>
      <c r="L215" s="57" t="str">
        <f>HYPERLINK("https://nycdoe.sharepoint.com/:w:/s/BAP/EfAzzkW-PhNPlg3YfhwvaoQBauAq0dxjremCLVnWvKRVVg", "9 out of 10")</f>
        <v>9 out of 10</v>
      </c>
      <c r="M215" t="s">
        <v>5043</v>
      </c>
    </row>
    <row r="216" spans="2:13">
      <c r="B216" s="55" t="s">
        <v>445</v>
      </c>
      <c r="C216" s="55" t="s">
        <v>12</v>
      </c>
      <c r="D216" s="55" t="s">
        <v>595</v>
      </c>
      <c r="E216" s="55" t="s">
        <v>603</v>
      </c>
      <c r="F216" s="55" t="s">
        <v>5046</v>
      </c>
      <c r="G216" s="55" t="s">
        <v>5047</v>
      </c>
      <c r="H216" s="55" t="s">
        <v>56</v>
      </c>
      <c r="I216" s="55"/>
      <c r="J216" s="55" t="s">
        <v>5042</v>
      </c>
      <c r="K216" s="55" t="s">
        <v>62</v>
      </c>
      <c r="L216" s="57" t="str">
        <f>HYPERLINK("https://nycdoe.sharepoint.com/:w:/s/BAP/EfAzzkW-PhNPlg3YfhwvaoQBauAq0dxjremCLVnWvKRVVg", "9 out of 10")</f>
        <v>9 out of 10</v>
      </c>
      <c r="M216" t="s">
        <v>5043</v>
      </c>
    </row>
    <row r="217" spans="2:13">
      <c r="B217" s="55" t="s">
        <v>445</v>
      </c>
      <c r="C217" s="55" t="s">
        <v>12</v>
      </c>
      <c r="D217" s="55" t="s">
        <v>595</v>
      </c>
      <c r="E217" s="55" t="s">
        <v>606</v>
      </c>
      <c r="F217" s="55" t="s">
        <v>5048</v>
      </c>
      <c r="G217" s="55" t="s">
        <v>5049</v>
      </c>
      <c r="H217" s="55" t="s">
        <v>56</v>
      </c>
      <c r="I217" s="55"/>
      <c r="J217" s="55" t="s">
        <v>5042</v>
      </c>
      <c r="K217" s="55" t="s">
        <v>62</v>
      </c>
      <c r="L217" s="57" t="str">
        <f>HYPERLINK("https://nycdoe.sharepoint.com/:w:/s/BAP/EfAzzkW-PhNPlg3YfhwvaoQBauAq0dxjremCLVnWvKRVVg", "9 out of 10")</f>
        <v>9 out of 10</v>
      </c>
      <c r="M217" t="s">
        <v>5043</v>
      </c>
    </row>
    <row r="218" spans="2:13">
      <c r="B218" s="55" t="s">
        <v>445</v>
      </c>
      <c r="C218" s="55" t="s">
        <v>12</v>
      </c>
      <c r="D218" s="55" t="s">
        <v>595</v>
      </c>
      <c r="E218" s="55" t="s">
        <v>609</v>
      </c>
      <c r="F218" s="55" t="s">
        <v>5050</v>
      </c>
      <c r="G218" s="55" t="s">
        <v>5051</v>
      </c>
      <c r="H218" s="55" t="s">
        <v>56</v>
      </c>
      <c r="I218" s="55"/>
      <c r="J218" s="55" t="s">
        <v>5042</v>
      </c>
      <c r="K218" s="55" t="s">
        <v>62</v>
      </c>
      <c r="L218" s="57" t="str">
        <f>HYPERLINK("https://nycdoe.sharepoint.com/:w:/s/BAP/EfAzzkW-PhNPlg3YfhwvaoQBauAq0dxjremCLVnWvKRVVg", "9 out of 10")</f>
        <v>9 out of 10</v>
      </c>
      <c r="M218" t="s">
        <v>5043</v>
      </c>
    </row>
    <row r="219" spans="2:13">
      <c r="B219" s="55" t="s">
        <v>445</v>
      </c>
      <c r="C219" s="55" t="s">
        <v>12</v>
      </c>
      <c r="D219" s="55" t="s">
        <v>612</v>
      </c>
      <c r="E219" s="55" t="s">
        <v>613</v>
      </c>
      <c r="F219" s="55" t="s">
        <v>5052</v>
      </c>
      <c r="G219" s="55" t="s">
        <v>5053</v>
      </c>
      <c r="H219" s="55" t="s">
        <v>84</v>
      </c>
      <c r="I219" s="55"/>
      <c r="J219" s="55" t="s">
        <v>5054</v>
      </c>
      <c r="K219" s="55" t="s">
        <v>20</v>
      </c>
      <c r="L219" s="57" t="str">
        <f>HYPERLINK("https://nycdoe.sharepoint.com/:w:/s/BAP/Eeued8N6ZFlIvSxifuIOregBnKinbTIRC34Lcv31NJkpfw", "8 out of 10")</f>
        <v>8 out of 10</v>
      </c>
      <c r="M219" t="s">
        <v>5055</v>
      </c>
    </row>
    <row r="220" spans="2:13">
      <c r="B220" s="55" t="s">
        <v>445</v>
      </c>
      <c r="C220" s="55" t="s">
        <v>12</v>
      </c>
      <c r="D220" s="55" t="s">
        <v>612</v>
      </c>
      <c r="E220" s="55" t="s">
        <v>617</v>
      </c>
      <c r="F220" s="55" t="s">
        <v>5056</v>
      </c>
      <c r="G220" s="55" t="s">
        <v>5057</v>
      </c>
      <c r="H220" s="55" t="s">
        <v>56</v>
      </c>
      <c r="I220" s="55"/>
      <c r="J220" s="55" t="s">
        <v>5054</v>
      </c>
      <c r="K220" s="55" t="s">
        <v>20</v>
      </c>
      <c r="L220" s="57" t="str">
        <f>HYPERLINK("https://nycdoe.sharepoint.com/:w:/s/BAP/Eeued8N6ZFlIvSxifuIOregBnKinbTIRC34Lcv31NJkpfw", "8 out of 10")</f>
        <v>8 out of 10</v>
      </c>
      <c r="M220" t="s">
        <v>5055</v>
      </c>
    </row>
    <row r="221" spans="2:13">
      <c r="B221" s="55" t="s">
        <v>445</v>
      </c>
      <c r="C221" s="55" t="s">
        <v>12</v>
      </c>
      <c r="D221" s="55" t="s">
        <v>612</v>
      </c>
      <c r="E221" s="55" t="s">
        <v>620</v>
      </c>
      <c r="F221" s="55" t="s">
        <v>5058</v>
      </c>
      <c r="G221" s="55" t="s">
        <v>5059</v>
      </c>
      <c r="H221" s="55" t="s">
        <v>56</v>
      </c>
      <c r="I221" s="55"/>
      <c r="J221" s="55" t="s">
        <v>5054</v>
      </c>
      <c r="K221" s="55" t="s">
        <v>20</v>
      </c>
      <c r="L221" s="57" t="str">
        <f>HYPERLINK("https://nycdoe.sharepoint.com/:w:/s/BAP/Eeued8N6ZFlIvSxifuIOregBnKinbTIRC34Lcv31NJkpfw", "8 out of 10")</f>
        <v>8 out of 10</v>
      </c>
      <c r="M221" t="s">
        <v>5055</v>
      </c>
    </row>
    <row r="222" spans="2:13">
      <c r="B222" s="55" t="s">
        <v>445</v>
      </c>
      <c r="C222" s="55" t="s">
        <v>12</v>
      </c>
      <c r="D222" s="55" t="s">
        <v>612</v>
      </c>
      <c r="E222" s="55" t="s">
        <v>623</v>
      </c>
      <c r="F222" s="55" t="s">
        <v>5060</v>
      </c>
      <c r="G222" s="55" t="s">
        <v>5061</v>
      </c>
      <c r="H222" s="55" t="s">
        <v>56</v>
      </c>
      <c r="I222" s="55"/>
      <c r="J222" s="55" t="s">
        <v>5054</v>
      </c>
      <c r="K222" s="55" t="s">
        <v>20</v>
      </c>
      <c r="L222" s="57" t="str">
        <f>HYPERLINK("https://nycdoe.sharepoint.com/:w:/s/BAP/Eeued8N6ZFlIvSxifuIOregBnKinbTIRC34Lcv31NJkpfw", "8 out of 10")</f>
        <v>8 out of 10</v>
      </c>
      <c r="M222" t="s">
        <v>5055</v>
      </c>
    </row>
    <row r="223" spans="2:13">
      <c r="B223" s="55" t="s">
        <v>445</v>
      </c>
      <c r="C223" s="55" t="s">
        <v>12</v>
      </c>
      <c r="D223" s="55" t="s">
        <v>612</v>
      </c>
      <c r="E223" s="55" t="s">
        <v>626</v>
      </c>
      <c r="F223" s="55" t="s">
        <v>5062</v>
      </c>
      <c r="G223" s="55" t="s">
        <v>5063</v>
      </c>
      <c r="H223" s="55" t="s">
        <v>56</v>
      </c>
      <c r="I223" s="55"/>
      <c r="J223" s="55" t="s">
        <v>5054</v>
      </c>
      <c r="K223" s="55" t="s">
        <v>20</v>
      </c>
      <c r="L223" s="57" t="str">
        <f>HYPERLINK("https://nycdoe.sharepoint.com/:w:/s/BAP/Eeued8N6ZFlIvSxifuIOregBnKinbTIRC34Lcv31NJkpfw", "8 out of 10")</f>
        <v>8 out of 10</v>
      </c>
      <c r="M223" t="s">
        <v>5055</v>
      </c>
    </row>
    <row r="224" spans="2:13">
      <c r="B224" s="55" t="s">
        <v>445</v>
      </c>
      <c r="C224" s="55" t="s">
        <v>12</v>
      </c>
      <c r="D224" s="55" t="s">
        <v>612</v>
      </c>
      <c r="E224" s="55" t="s">
        <v>629</v>
      </c>
      <c r="F224" s="55" t="s">
        <v>5064</v>
      </c>
      <c r="G224" s="55" t="s">
        <v>5065</v>
      </c>
      <c r="H224" s="55" t="s">
        <v>56</v>
      </c>
      <c r="I224" s="55"/>
      <c r="J224" s="55" t="s">
        <v>5054</v>
      </c>
      <c r="K224" s="55" t="s">
        <v>20</v>
      </c>
      <c r="L224" s="57" t="str">
        <f>HYPERLINK("https://nycdoe.sharepoint.com/:w:/s/BAP/Eeued8N6ZFlIvSxifuIOregBnKinbTIRC34Lcv31NJkpfw", "8 out of 10")</f>
        <v>8 out of 10</v>
      </c>
      <c r="M224" t="s">
        <v>5055</v>
      </c>
    </row>
    <row r="225" spans="2:13">
      <c r="B225" s="55" t="s">
        <v>445</v>
      </c>
      <c r="C225" s="55" t="s">
        <v>12</v>
      </c>
      <c r="D225" s="55" t="s">
        <v>632</v>
      </c>
      <c r="E225" s="55" t="s">
        <v>4490</v>
      </c>
      <c r="F225" s="55" t="s">
        <v>4491</v>
      </c>
      <c r="G225" s="55" t="s">
        <v>4492</v>
      </c>
      <c r="H225" s="55" t="s">
        <v>56</v>
      </c>
      <c r="I225" s="55"/>
      <c r="J225" s="55" t="s">
        <v>5066</v>
      </c>
      <c r="K225" s="55" t="s">
        <v>20</v>
      </c>
      <c r="L225" s="57" t="str">
        <f>HYPERLINK("https://nycdoe.sharepoint.com/:w:/s/BAP/EWF0UWsw76xNjUrg6KGDAmcBtMx_jgHcVIIACiT3pjQLtA", "6 out of 10")</f>
        <v>6 out of 10</v>
      </c>
      <c r="M225" t="s">
        <v>5067</v>
      </c>
    </row>
    <row r="226" spans="2:13">
      <c r="B226" s="55" t="s">
        <v>445</v>
      </c>
      <c r="C226" s="55" t="s">
        <v>12</v>
      </c>
      <c r="D226" s="55" t="s">
        <v>632</v>
      </c>
      <c r="E226" s="55" t="s">
        <v>40</v>
      </c>
      <c r="F226" s="55" t="s">
        <v>4479</v>
      </c>
      <c r="G226" s="55" t="s">
        <v>42</v>
      </c>
      <c r="H226" s="55" t="s">
        <v>43</v>
      </c>
      <c r="I226" s="55" t="s">
        <v>18</v>
      </c>
      <c r="J226" s="55" t="s">
        <v>5066</v>
      </c>
      <c r="K226" s="55" t="s">
        <v>20</v>
      </c>
      <c r="L226" s="57" t="str">
        <f>HYPERLINK("https://nycdoe.sharepoint.com/:w:/s/BAP/EWF0UWsw76xNjUrg6KGDAmcBtMx_jgHcVIIACiT3pjQLtA", "6 out of 10")</f>
        <v>6 out of 10</v>
      </c>
      <c r="M226" t="s">
        <v>5067</v>
      </c>
    </row>
    <row r="227" spans="2:13">
      <c r="B227" s="55" t="s">
        <v>445</v>
      </c>
      <c r="C227" s="55" t="s">
        <v>12</v>
      </c>
      <c r="D227" s="55" t="s">
        <v>632</v>
      </c>
      <c r="E227" s="55" t="s">
        <v>634</v>
      </c>
      <c r="F227" s="55" t="s">
        <v>5068</v>
      </c>
      <c r="G227" s="55" t="s">
        <v>5069</v>
      </c>
      <c r="H227" s="55" t="s">
        <v>56</v>
      </c>
      <c r="I227" s="55"/>
      <c r="J227" s="55" t="s">
        <v>5066</v>
      </c>
      <c r="K227" s="55" t="s">
        <v>20</v>
      </c>
      <c r="L227" s="57" t="str">
        <f>HYPERLINK("https://nycdoe.sharepoint.com/:w:/s/BAP/EWF0UWsw76xNjUrg6KGDAmcBtMx_jgHcVIIACiT3pjQLtA", "6 out of 10")</f>
        <v>6 out of 10</v>
      </c>
      <c r="M227" t="s">
        <v>5067</v>
      </c>
    </row>
    <row r="228" spans="2:13">
      <c r="B228" s="55" t="s">
        <v>445</v>
      </c>
      <c r="C228" s="55" t="s">
        <v>12</v>
      </c>
      <c r="D228" s="55" t="s">
        <v>632</v>
      </c>
      <c r="E228" s="55" t="s">
        <v>637</v>
      </c>
      <c r="F228" s="55" t="s">
        <v>5070</v>
      </c>
      <c r="G228" s="55" t="s">
        <v>5071</v>
      </c>
      <c r="H228" s="55" t="s">
        <v>56</v>
      </c>
      <c r="I228" s="55"/>
      <c r="J228" s="55" t="s">
        <v>5066</v>
      </c>
      <c r="K228" s="55" t="s">
        <v>20</v>
      </c>
      <c r="L228" s="57" t="str">
        <f>HYPERLINK("https://nycdoe.sharepoint.com/:w:/s/BAP/EWF0UWsw76xNjUrg6KGDAmcBtMx_jgHcVIIACiT3pjQLtA", "6 out of 10")</f>
        <v>6 out of 10</v>
      </c>
      <c r="M228" t="s">
        <v>5067</v>
      </c>
    </row>
    <row r="229" spans="2:13">
      <c r="B229" s="55" t="s">
        <v>445</v>
      </c>
      <c r="C229" s="55" t="s">
        <v>12</v>
      </c>
      <c r="D229" s="55" t="s">
        <v>632</v>
      </c>
      <c r="E229" s="55" t="s">
        <v>632</v>
      </c>
      <c r="F229" s="55" t="s">
        <v>5072</v>
      </c>
      <c r="G229" s="55" t="s">
        <v>5073</v>
      </c>
      <c r="H229" s="55" t="s">
        <v>56</v>
      </c>
      <c r="I229" s="55"/>
      <c r="J229" s="55" t="s">
        <v>5066</v>
      </c>
      <c r="K229" s="55" t="s">
        <v>20</v>
      </c>
      <c r="L229" s="57" t="str">
        <f>HYPERLINK("https://nycdoe.sharepoint.com/:w:/s/BAP/EWF0UWsw76xNjUrg6KGDAmcBtMx_jgHcVIIACiT3pjQLtA", "6 out of 10")</f>
        <v>6 out of 10</v>
      </c>
      <c r="M229" t="s">
        <v>5067</v>
      </c>
    </row>
    <row r="230" spans="2:13">
      <c r="B230" s="55" t="s">
        <v>445</v>
      </c>
      <c r="C230" s="55" t="s">
        <v>12</v>
      </c>
      <c r="D230" s="55" t="s">
        <v>632</v>
      </c>
      <c r="E230" s="55" t="s">
        <v>592</v>
      </c>
      <c r="F230" s="55" t="s">
        <v>5038</v>
      </c>
      <c r="G230" s="55" t="s">
        <v>5039</v>
      </c>
      <c r="H230" s="55" t="s">
        <v>56</v>
      </c>
      <c r="I230" s="55"/>
      <c r="J230" s="55" t="s">
        <v>5066</v>
      </c>
      <c r="K230" s="55" t="s">
        <v>20</v>
      </c>
      <c r="L230" s="57" t="str">
        <f>HYPERLINK("https://nycdoe.sharepoint.com/:w:/s/BAP/EWF0UWsw76xNjUrg6KGDAmcBtMx_jgHcVIIACiT3pjQLtA", "6 out of 10")</f>
        <v>6 out of 10</v>
      </c>
      <c r="M230" t="s">
        <v>5067</v>
      </c>
    </row>
    <row r="231" spans="2:13">
      <c r="B231" s="55" t="s">
        <v>445</v>
      </c>
      <c r="C231" s="55" t="s">
        <v>12</v>
      </c>
      <c r="D231" s="55" t="s">
        <v>642</v>
      </c>
      <c r="E231" s="55" t="s">
        <v>642</v>
      </c>
      <c r="F231" s="55" t="s">
        <v>5074</v>
      </c>
      <c r="G231" s="55" t="s">
        <v>5075</v>
      </c>
      <c r="H231" s="55" t="s">
        <v>56</v>
      </c>
      <c r="I231" s="55"/>
      <c r="J231" s="55" t="s">
        <v>5076</v>
      </c>
      <c r="K231" s="55" t="s">
        <v>20</v>
      </c>
      <c r="L231" s="57" t="str">
        <f>HYPERLINK("https://nycdoe.sharepoint.com/:w:/s/BAP/EW2nJwOQD6BBnEY85VXxyCoBcqOG-jPk0s-XqFdYlqN5vA", "4 out of 10")</f>
        <v>4 out of 10</v>
      </c>
      <c r="M231" t="s">
        <v>5077</v>
      </c>
    </row>
    <row r="232" spans="2:13">
      <c r="B232" s="55" t="s">
        <v>445</v>
      </c>
      <c r="C232" s="55" t="s">
        <v>12</v>
      </c>
      <c r="D232" s="55" t="s">
        <v>207</v>
      </c>
      <c r="E232" s="55" t="s">
        <v>580</v>
      </c>
      <c r="F232" s="55" t="s">
        <v>5017</v>
      </c>
      <c r="G232" s="55" t="s">
        <v>582</v>
      </c>
      <c r="H232" s="55" t="s">
        <v>17</v>
      </c>
      <c r="I232" s="55" t="s">
        <v>18</v>
      </c>
      <c r="J232" s="55" t="s">
        <v>5078</v>
      </c>
      <c r="K232" s="55" t="s">
        <v>62</v>
      </c>
      <c r="L232" s="57" t="str">
        <f>HYPERLINK("https://nycdoe.sharepoint.com/:w:/s/BAP/EZxFS-Wr3CBIliMC0MIYVGUBIc4XmFCV-nW7hV5Lwz8SEw", "10 out of 10")</f>
        <v>10 out of 10</v>
      </c>
      <c r="M232" t="s">
        <v>5079</v>
      </c>
    </row>
    <row r="233" spans="2:13">
      <c r="B233" s="55" t="s">
        <v>445</v>
      </c>
      <c r="C233" s="55" t="s">
        <v>12</v>
      </c>
      <c r="D233" s="55" t="s">
        <v>646</v>
      </c>
      <c r="E233" s="55" t="s">
        <v>647</v>
      </c>
      <c r="F233" s="55" t="s">
        <v>5080</v>
      </c>
      <c r="G233" s="55" t="s">
        <v>5081</v>
      </c>
      <c r="H233" s="55" t="s">
        <v>56</v>
      </c>
      <c r="I233" s="55"/>
      <c r="J233" s="55" t="s">
        <v>5082</v>
      </c>
      <c r="K233" s="55" t="s">
        <v>20</v>
      </c>
      <c r="L233" s="57" t="str">
        <f>HYPERLINK("https://nycdoe.sharepoint.com/:w:/s/BAP/EfOPUnvUcxZNsuI2tSwaWjMBh_5o1wdi-s4tzKtY8El3Fg", "6 out of 10")</f>
        <v>6 out of 10</v>
      </c>
      <c r="M233" t="s">
        <v>5083</v>
      </c>
    </row>
    <row r="234" spans="2:13">
      <c r="B234" s="55" t="s">
        <v>445</v>
      </c>
      <c r="C234" s="55" t="s">
        <v>12</v>
      </c>
      <c r="D234" s="55" t="s">
        <v>646</v>
      </c>
      <c r="E234" s="55" t="s">
        <v>651</v>
      </c>
      <c r="F234" s="55" t="s">
        <v>5084</v>
      </c>
      <c r="G234" s="55" t="s">
        <v>5085</v>
      </c>
      <c r="H234" s="55" t="s">
        <v>56</v>
      </c>
      <c r="I234" s="55"/>
      <c r="J234" s="55" t="s">
        <v>5082</v>
      </c>
      <c r="K234" s="55" t="s">
        <v>20</v>
      </c>
      <c r="L234" s="57" t="str">
        <f>HYPERLINK("https://nycdoe.sharepoint.com/:w:/s/BAP/EfOPUnvUcxZNsuI2tSwaWjMBh_5o1wdi-s4tzKtY8El3Fg", "6 out of 10")</f>
        <v>6 out of 10</v>
      </c>
      <c r="M234" t="s">
        <v>5083</v>
      </c>
    </row>
    <row r="235" spans="2:13">
      <c r="B235" s="55" t="s">
        <v>445</v>
      </c>
      <c r="C235" s="55" t="s">
        <v>12</v>
      </c>
      <c r="D235" s="55" t="s">
        <v>646</v>
      </c>
      <c r="E235" s="55" t="s">
        <v>654</v>
      </c>
      <c r="F235" s="55" t="s">
        <v>5086</v>
      </c>
      <c r="G235" s="55" t="s">
        <v>5087</v>
      </c>
      <c r="H235" s="55" t="s">
        <v>56</v>
      </c>
      <c r="I235" s="55"/>
      <c r="J235" s="55" t="s">
        <v>5082</v>
      </c>
      <c r="K235" s="55" t="s">
        <v>20</v>
      </c>
      <c r="L235" s="57" t="str">
        <f>HYPERLINK("https://nycdoe.sharepoint.com/:w:/s/BAP/EfOPUnvUcxZNsuI2tSwaWjMBh_5o1wdi-s4tzKtY8El3Fg", "6 out of 10")</f>
        <v>6 out of 10</v>
      </c>
      <c r="M235" t="s">
        <v>5083</v>
      </c>
    </row>
    <row r="236" spans="2:13">
      <c r="B236" s="55" t="s">
        <v>445</v>
      </c>
      <c r="C236" s="55" t="s">
        <v>12</v>
      </c>
      <c r="D236" s="55" t="s">
        <v>646</v>
      </c>
      <c r="E236" s="55" t="s">
        <v>657</v>
      </c>
      <c r="F236" s="55" t="s">
        <v>5088</v>
      </c>
      <c r="G236" s="55" t="s">
        <v>5089</v>
      </c>
      <c r="H236" s="55" t="s">
        <v>56</v>
      </c>
      <c r="I236" s="55"/>
      <c r="J236" s="55" t="s">
        <v>5082</v>
      </c>
      <c r="K236" s="55" t="s">
        <v>20</v>
      </c>
      <c r="L236" s="57" t="str">
        <f>HYPERLINK("https://nycdoe.sharepoint.com/:w:/s/BAP/EfOPUnvUcxZNsuI2tSwaWjMBh_5o1wdi-s4tzKtY8El3Fg", "6 out of 10")</f>
        <v>6 out of 10</v>
      </c>
      <c r="M236" t="s">
        <v>5083</v>
      </c>
    </row>
    <row r="237" spans="2:13">
      <c r="B237" s="55" t="s">
        <v>445</v>
      </c>
      <c r="C237" s="55" t="s">
        <v>12</v>
      </c>
      <c r="D237" s="55" t="s">
        <v>646</v>
      </c>
      <c r="E237" s="55" t="s">
        <v>660</v>
      </c>
      <c r="F237" s="55" t="s">
        <v>5090</v>
      </c>
      <c r="G237" s="55" t="s">
        <v>5091</v>
      </c>
      <c r="H237" s="55" t="s">
        <v>56</v>
      </c>
      <c r="I237" s="55"/>
      <c r="J237" s="55" t="s">
        <v>5082</v>
      </c>
      <c r="K237" s="55" t="s">
        <v>20</v>
      </c>
      <c r="L237" s="57" t="str">
        <f>HYPERLINK("https://nycdoe.sharepoint.com/:w:/s/BAP/EfOPUnvUcxZNsuI2tSwaWjMBh_5o1wdi-s4tzKtY8El3Fg", "6 out of 10")</f>
        <v>6 out of 10</v>
      </c>
      <c r="M237" t="s">
        <v>5083</v>
      </c>
    </row>
    <row r="238" spans="2:13">
      <c r="B238" s="55" t="s">
        <v>445</v>
      </c>
      <c r="C238" s="55" t="s">
        <v>12</v>
      </c>
      <c r="D238" s="55" t="s">
        <v>646</v>
      </c>
      <c r="E238" s="55" t="s">
        <v>663</v>
      </c>
      <c r="F238" s="55" t="s">
        <v>5092</v>
      </c>
      <c r="G238" s="55" t="s">
        <v>5093</v>
      </c>
      <c r="H238" s="55" t="s">
        <v>56</v>
      </c>
      <c r="I238" s="55"/>
      <c r="J238" s="55" t="s">
        <v>5082</v>
      </c>
      <c r="K238" s="55" t="s">
        <v>20</v>
      </c>
      <c r="L238" s="57" t="str">
        <f>HYPERLINK("https://nycdoe.sharepoint.com/:w:/s/BAP/EfOPUnvUcxZNsuI2tSwaWjMBh_5o1wdi-s4tzKtY8El3Fg", "6 out of 10")</f>
        <v>6 out of 10</v>
      </c>
      <c r="M238" t="s">
        <v>5083</v>
      </c>
    </row>
    <row r="239" spans="2:13">
      <c r="B239" s="55" t="s">
        <v>445</v>
      </c>
      <c r="C239" s="55" t="s">
        <v>12</v>
      </c>
      <c r="D239" s="55" t="s">
        <v>646</v>
      </c>
      <c r="E239" s="55" t="s">
        <v>666</v>
      </c>
      <c r="F239" s="55" t="s">
        <v>5094</v>
      </c>
      <c r="G239" s="55" t="s">
        <v>5095</v>
      </c>
      <c r="H239" s="55" t="s">
        <v>56</v>
      </c>
      <c r="I239" s="55"/>
      <c r="J239" s="55" t="s">
        <v>5082</v>
      </c>
      <c r="K239" s="55" t="s">
        <v>20</v>
      </c>
      <c r="L239" s="57" t="str">
        <f>HYPERLINK("https://nycdoe.sharepoint.com/:w:/s/BAP/EfOPUnvUcxZNsuI2tSwaWjMBh_5o1wdi-s4tzKtY8El3Fg", "6 out of 10")</f>
        <v>6 out of 10</v>
      </c>
      <c r="M239" t="s">
        <v>5083</v>
      </c>
    </row>
    <row r="240" spans="2:13">
      <c r="B240" s="55" t="s">
        <v>445</v>
      </c>
      <c r="C240" s="55" t="s">
        <v>12</v>
      </c>
      <c r="D240" s="55" t="s">
        <v>669</v>
      </c>
      <c r="E240" s="55" t="s">
        <v>670</v>
      </c>
      <c r="F240" s="55" t="s">
        <v>5096</v>
      </c>
      <c r="G240" s="55" t="s">
        <v>5097</v>
      </c>
      <c r="H240" s="55" t="s">
        <v>56</v>
      </c>
      <c r="I240" s="55"/>
      <c r="J240" s="55" t="s">
        <v>5098</v>
      </c>
      <c r="K240" s="55" t="s">
        <v>20</v>
      </c>
      <c r="L240" s="57" t="str">
        <f>HYPERLINK("https://nycdoe.sharepoint.com/:w:/s/BAP/EcZoeqGqwAtEgEc1QkwowGYBPbWPEnDRTt34qRr1Esyp2w", "5 out of 10")</f>
        <v>5 out of 10</v>
      </c>
      <c r="M240" t="s">
        <v>5099</v>
      </c>
    </row>
    <row r="241" spans="2:13">
      <c r="B241" s="55" t="s">
        <v>445</v>
      </c>
      <c r="C241" s="55" t="s">
        <v>12</v>
      </c>
      <c r="D241" s="55" t="s">
        <v>669</v>
      </c>
      <c r="E241" s="55" t="s">
        <v>674</v>
      </c>
      <c r="F241" s="55" t="s">
        <v>5100</v>
      </c>
      <c r="G241" s="55" t="s">
        <v>5101</v>
      </c>
      <c r="H241" s="55" t="s">
        <v>56</v>
      </c>
      <c r="I241" s="55"/>
      <c r="J241" s="55" t="s">
        <v>5098</v>
      </c>
      <c r="K241" s="55" t="s">
        <v>20</v>
      </c>
      <c r="L241" s="57" t="str">
        <f>HYPERLINK("https://nycdoe.sharepoint.com/:w:/s/BAP/EcZoeqGqwAtEgEc1QkwowGYBPbWPEnDRTt34qRr1Esyp2w", "5 out of 10")</f>
        <v>5 out of 10</v>
      </c>
      <c r="M241" t="s">
        <v>5099</v>
      </c>
    </row>
    <row r="242" spans="2:13">
      <c r="B242" s="55" t="s">
        <v>445</v>
      </c>
      <c r="C242" s="55" t="s">
        <v>12</v>
      </c>
      <c r="D242" s="55" t="s">
        <v>669</v>
      </c>
      <c r="E242" s="55" t="s">
        <v>677</v>
      </c>
      <c r="F242" s="55" t="s">
        <v>5102</v>
      </c>
      <c r="G242" s="55" t="s">
        <v>5103</v>
      </c>
      <c r="H242" s="55" t="s">
        <v>56</v>
      </c>
      <c r="I242" s="55"/>
      <c r="J242" s="55" t="s">
        <v>5098</v>
      </c>
      <c r="K242" s="55" t="s">
        <v>20</v>
      </c>
      <c r="L242" s="57" t="str">
        <f>HYPERLINK("https://nycdoe.sharepoint.com/:w:/s/BAP/EcZoeqGqwAtEgEc1QkwowGYBPbWPEnDRTt34qRr1Esyp2w", "5 out of 10")</f>
        <v>5 out of 10</v>
      </c>
      <c r="M242" t="s">
        <v>5099</v>
      </c>
    </row>
    <row r="243" spans="2:13">
      <c r="B243" s="55" t="s">
        <v>445</v>
      </c>
      <c r="C243" s="55" t="s">
        <v>12</v>
      </c>
      <c r="D243" s="55" t="s">
        <v>680</v>
      </c>
      <c r="E243" s="55" t="s">
        <v>681</v>
      </c>
      <c r="F243" s="55" t="s">
        <v>5104</v>
      </c>
      <c r="G243" s="55" t="s">
        <v>5105</v>
      </c>
      <c r="H243" s="55" t="s">
        <v>17</v>
      </c>
      <c r="I243" s="55" t="s">
        <v>18</v>
      </c>
      <c r="J243" s="55" t="s">
        <v>5106</v>
      </c>
      <c r="K243" s="55" t="s">
        <v>20</v>
      </c>
      <c r="L243" s="57" t="str">
        <f>HYPERLINK("https://nycdoe.sharepoint.com/:w:/s/BAP/ETZRIiBF1spFpSfI_frxe5UBrAwoNbylggOpNEWsHh3CHg", "1 out of 10")</f>
        <v>1 out of 10</v>
      </c>
      <c r="M243" t="s">
        <v>5107</v>
      </c>
    </row>
    <row r="244" spans="2:13">
      <c r="B244" s="55" t="s">
        <v>445</v>
      </c>
      <c r="C244" s="55" t="s">
        <v>12</v>
      </c>
      <c r="D244" s="55" t="s">
        <v>5108</v>
      </c>
      <c r="E244" s="55" t="s">
        <v>5109</v>
      </c>
      <c r="F244" s="55" t="s">
        <v>5110</v>
      </c>
      <c r="G244" s="55" t="s">
        <v>5111</v>
      </c>
      <c r="H244" s="55" t="s">
        <v>17</v>
      </c>
      <c r="I244" s="55" t="s">
        <v>18</v>
      </c>
      <c r="J244" s="55" t="s">
        <v>5112</v>
      </c>
      <c r="K244" s="55" t="s">
        <v>62</v>
      </c>
      <c r="L244" s="57" t="str">
        <f>HYPERLINK("https://nycdoe.sharepoint.com/:w:/s/BAP/ETBNiqRMQ_VJiIDeICR5yKkBAbrhw-vAnS8DI8UCacrqbg", "9 out of 10")</f>
        <v>9 out of 10</v>
      </c>
      <c r="M244" t="s">
        <v>5113</v>
      </c>
    </row>
    <row r="245" spans="2:13">
      <c r="B245" s="55" t="s">
        <v>445</v>
      </c>
      <c r="C245" s="55" t="s">
        <v>12</v>
      </c>
      <c r="D245" s="55" t="s">
        <v>685</v>
      </c>
      <c r="E245" s="55" t="s">
        <v>686</v>
      </c>
      <c r="F245" s="55" t="s">
        <v>5114</v>
      </c>
      <c r="G245" s="55" t="s">
        <v>688</v>
      </c>
      <c r="H245" s="55" t="s">
        <v>17</v>
      </c>
      <c r="I245" s="55" t="s">
        <v>18</v>
      </c>
      <c r="J245" s="55" t="s">
        <v>5115</v>
      </c>
      <c r="K245" s="55" t="s">
        <v>62</v>
      </c>
      <c r="L245" s="57" t="str">
        <f>HYPERLINK("https://nycdoe.sharepoint.com/:w:/s/BAP/EY_EaidlQ45On0SAAAuiccoBp8DywZM_3U7mEH38un0VbQ", "9 out of 10")</f>
        <v>9 out of 10</v>
      </c>
      <c r="M245" t="s">
        <v>5116</v>
      </c>
    </row>
    <row r="246" spans="2:13">
      <c r="B246" s="55" t="s">
        <v>445</v>
      </c>
      <c r="C246" s="55" t="s">
        <v>12</v>
      </c>
      <c r="D246" s="55" t="s">
        <v>5117</v>
      </c>
      <c r="E246" s="55" t="s">
        <v>686</v>
      </c>
      <c r="F246" s="55" t="s">
        <v>5114</v>
      </c>
      <c r="G246" s="55" t="s">
        <v>688</v>
      </c>
      <c r="H246" s="55" t="s">
        <v>17</v>
      </c>
      <c r="I246" s="55" t="s">
        <v>18</v>
      </c>
      <c r="J246" s="55" t="s">
        <v>5118</v>
      </c>
      <c r="K246" s="55" t="s">
        <v>62</v>
      </c>
      <c r="L246" s="57" t="str">
        <f>HYPERLINK("https://nycdoe.sharepoint.com/:w:/s/BAP/EW0d8O9Sd61Jkn-g4MhbeC8BkHjqSD5c4cnmGpyIY2cP5A", "9 out of 10")</f>
        <v>9 out of 10</v>
      </c>
      <c r="M246" t="s">
        <v>5119</v>
      </c>
    </row>
    <row r="247" spans="2:13">
      <c r="B247" s="55" t="s">
        <v>445</v>
      </c>
      <c r="C247" s="55" t="s">
        <v>12</v>
      </c>
      <c r="D247" s="55" t="s">
        <v>5120</v>
      </c>
      <c r="E247" s="55" t="s">
        <v>4898</v>
      </c>
      <c r="F247" s="55" t="s">
        <v>4899</v>
      </c>
      <c r="G247" s="55" t="s">
        <v>4900</v>
      </c>
      <c r="H247" s="55" t="s">
        <v>17</v>
      </c>
      <c r="I247" s="55" t="s">
        <v>18</v>
      </c>
      <c r="J247" s="55" t="s">
        <v>4901</v>
      </c>
      <c r="K247" s="55" t="s">
        <v>62</v>
      </c>
      <c r="L247" s="57" t="str">
        <f>HYPERLINK("https://nycdoe.sharepoint.com/:w:/s/BAP/EXw9gxQWGddNi2ioYMwxfhYBGzepRs9qGqBgg2XFLrdc8w", "9 out of 10")</f>
        <v>9 out of 10</v>
      </c>
      <c r="M247" t="s">
        <v>5121</v>
      </c>
    </row>
    <row r="248" spans="2:13">
      <c r="B248" s="55" t="s">
        <v>445</v>
      </c>
      <c r="C248" s="55" t="s">
        <v>12</v>
      </c>
      <c r="D248" s="55" t="s">
        <v>690</v>
      </c>
      <c r="E248" s="55" t="s">
        <v>691</v>
      </c>
      <c r="F248" s="55" t="s">
        <v>5122</v>
      </c>
      <c r="G248" s="55" t="s">
        <v>5123</v>
      </c>
      <c r="H248" s="55" t="s">
        <v>17</v>
      </c>
      <c r="I248" s="55"/>
      <c r="J248" s="55" t="s">
        <v>5124</v>
      </c>
      <c r="K248" s="55" t="s">
        <v>20</v>
      </c>
      <c r="L248" s="57" t="str">
        <f>HYPERLINK("https://nycdoe.sharepoint.com/:w:/s/BAP/EY7ITX8iBL1Lka5braaz3vQBI0jQJeZPLA_rumyezue6xw", "1 out of 10")</f>
        <v>1 out of 10</v>
      </c>
      <c r="M248" t="s">
        <v>5125</v>
      </c>
    </row>
    <row r="249" spans="2:13">
      <c r="B249" s="55" t="s">
        <v>445</v>
      </c>
      <c r="C249" s="55" t="s">
        <v>12</v>
      </c>
      <c r="D249" s="55" t="s">
        <v>695</v>
      </c>
      <c r="E249" s="55" t="s">
        <v>696</v>
      </c>
      <c r="F249" s="55" t="s">
        <v>5126</v>
      </c>
      <c r="G249" s="55" t="s">
        <v>5127</v>
      </c>
      <c r="H249" s="55" t="s">
        <v>52</v>
      </c>
      <c r="I249" s="55"/>
      <c r="J249" s="55" t="s">
        <v>5128</v>
      </c>
      <c r="K249" s="55" t="s">
        <v>62</v>
      </c>
      <c r="L249" s="57" t="str">
        <f>HYPERLINK("https://nycdoe.sharepoint.com/:w:/s/BAP/Ed7Oq08QwrVFrEPW2vc2v9IBuTaoPX-pK6t9MhS_Im0MkQ", "9 out of 10")</f>
        <v>9 out of 10</v>
      </c>
      <c r="M249" t="s">
        <v>5129</v>
      </c>
    </row>
    <row r="250" spans="2:13">
      <c r="B250" s="55" t="s">
        <v>445</v>
      </c>
      <c r="C250" s="55" t="s">
        <v>12</v>
      </c>
      <c r="D250" s="55" t="s">
        <v>700</v>
      </c>
      <c r="E250" s="55" t="s">
        <v>700</v>
      </c>
      <c r="F250" s="55" t="s">
        <v>5130</v>
      </c>
      <c r="G250" s="55" t="s">
        <v>5131</v>
      </c>
      <c r="H250" s="55" t="s">
        <v>995</v>
      </c>
      <c r="I250" s="55"/>
      <c r="J250" s="55" t="s">
        <v>5132</v>
      </c>
      <c r="K250" s="55" t="s">
        <v>20</v>
      </c>
      <c r="L250" s="57" t="str">
        <f>HYPERLINK("https://nycdoe.sharepoint.com/:w:/s/BAP/EYn0OHNzYZNHlFJRXCTwlT8BEqJSXZxqaitc43YyvvkKiA", "5 out of 10")</f>
        <v>5 out of 10</v>
      </c>
      <c r="M250" t="s">
        <v>5133</v>
      </c>
    </row>
    <row r="251" spans="2:13">
      <c r="B251" s="55" t="s">
        <v>445</v>
      </c>
      <c r="C251" s="55" t="s">
        <v>12</v>
      </c>
      <c r="D251" s="55" t="s">
        <v>705</v>
      </c>
      <c r="E251" s="55" t="s">
        <v>706</v>
      </c>
      <c r="F251" s="55" t="s">
        <v>5134</v>
      </c>
      <c r="G251" s="55" t="s">
        <v>5135</v>
      </c>
      <c r="H251" s="55" t="s">
        <v>56</v>
      </c>
      <c r="I251" s="55"/>
      <c r="J251" s="55" t="s">
        <v>5136</v>
      </c>
      <c r="K251" s="55" t="s">
        <v>62</v>
      </c>
      <c r="L251" s="57" t="str">
        <f>HYPERLINK("https://nycdoe.sharepoint.com/:w:/s/BAP/ESDgjiLRHsxAsGajcRDYU7QB2JxzYVYnc8iUsVbGpj5ynA", "10 out of 10")</f>
        <v>10 out of 10</v>
      </c>
      <c r="M251" t="s">
        <v>5137</v>
      </c>
    </row>
    <row r="252" spans="2:13">
      <c r="B252" s="55" t="s">
        <v>445</v>
      </c>
      <c r="C252" s="55" t="s">
        <v>12</v>
      </c>
      <c r="D252" s="55" t="s">
        <v>5138</v>
      </c>
      <c r="E252" s="55" t="s">
        <v>525</v>
      </c>
      <c r="F252" s="55" t="s">
        <v>4964</v>
      </c>
      <c r="G252" s="55" t="s">
        <v>4965</v>
      </c>
      <c r="H252" s="55" t="s">
        <v>52</v>
      </c>
      <c r="I252" s="55"/>
      <c r="J252" s="55" t="s">
        <v>4962</v>
      </c>
      <c r="K252" s="55" t="s">
        <v>62</v>
      </c>
      <c r="L252" s="57" t="str">
        <f>HYPERLINK("https://nycdoe.sharepoint.com/:w:/s/BAP/EUdeeYgPTApJtHfnDA_6-pIBXnQ0IvOHiBx-KHXDnz-uBQ", "10 out of 10")</f>
        <v>10 out of 10</v>
      </c>
      <c r="M252" t="s">
        <v>5139</v>
      </c>
    </row>
    <row r="253" spans="2:13">
      <c r="B253" s="55" t="s">
        <v>710</v>
      </c>
      <c r="C253" s="55" t="s">
        <v>12</v>
      </c>
      <c r="D253" s="55" t="s">
        <v>711</v>
      </c>
      <c r="E253" s="55" t="s">
        <v>711</v>
      </c>
      <c r="F253" s="55" t="s">
        <v>5140</v>
      </c>
      <c r="G253" s="55" t="s">
        <v>5141</v>
      </c>
      <c r="H253" s="55" t="s">
        <v>24</v>
      </c>
      <c r="I253" s="55" t="s">
        <v>18</v>
      </c>
      <c r="J253" s="55" t="s">
        <v>5142</v>
      </c>
      <c r="K253" s="55" t="s">
        <v>62</v>
      </c>
      <c r="L253" s="57" t="str">
        <f>HYPERLINK("https://nycdoe.sharepoint.com/:w:/s/BAP/EaywxjXsnuFFmtPrTF2gKlUBWuzHpQzF3uLhtGixW2B7GA", "9 out of 10")</f>
        <v>9 out of 10</v>
      </c>
      <c r="M253" t="s">
        <v>5143</v>
      </c>
    </row>
    <row r="254" spans="2:13">
      <c r="B254" s="55" t="s">
        <v>710</v>
      </c>
      <c r="C254" s="55" t="s">
        <v>12</v>
      </c>
      <c r="D254" s="55" t="s">
        <v>5144</v>
      </c>
      <c r="E254" s="55" t="s">
        <v>5144</v>
      </c>
      <c r="F254" s="55" t="s">
        <v>5145</v>
      </c>
      <c r="G254" s="55" t="s">
        <v>5146</v>
      </c>
      <c r="H254" s="55" t="s">
        <v>17</v>
      </c>
      <c r="I254" s="55"/>
      <c r="J254" s="55" t="s">
        <v>5147</v>
      </c>
      <c r="K254" s="55" t="s">
        <v>20</v>
      </c>
      <c r="L254" s="57" t="str">
        <f>HYPERLINK("https://nycdoe.sharepoint.com/:w:/s/BAP/EcOJklyvKv9GhhDCAaxtnMMBKqaThsZIrNnV2q8gX2lh_Q", "2 out of 10")</f>
        <v>2 out of 10</v>
      </c>
      <c r="M254" t="s">
        <v>5148</v>
      </c>
    </row>
    <row r="255" spans="2:13">
      <c r="B255" s="55" t="s">
        <v>710</v>
      </c>
      <c r="C255" s="55" t="s">
        <v>12</v>
      </c>
      <c r="D255" s="55" t="s">
        <v>715</v>
      </c>
      <c r="E255" s="55" t="s">
        <v>715</v>
      </c>
      <c r="F255" s="55" t="s">
        <v>5149</v>
      </c>
      <c r="G255" s="55" t="s">
        <v>5150</v>
      </c>
      <c r="H255" s="55" t="s">
        <v>17</v>
      </c>
      <c r="I255" s="55" t="s">
        <v>18</v>
      </c>
      <c r="J255" s="55" t="s">
        <v>5151</v>
      </c>
      <c r="K255" s="55" t="s">
        <v>20</v>
      </c>
      <c r="L255" s="57" t="str">
        <f>HYPERLINK("https://nycdoe.sharepoint.com/:w:/s/BAP/EagkvEY_0MxOmTH7Q3Nf1gcBYsbWmn8IcjIarf6x1D9XMg", "4 out of 10")</f>
        <v>4 out of 10</v>
      </c>
      <c r="M255" t="s">
        <v>5152</v>
      </c>
    </row>
    <row r="256" spans="2:13">
      <c r="B256" s="55" t="s">
        <v>710</v>
      </c>
      <c r="C256" s="55" t="s">
        <v>12</v>
      </c>
      <c r="D256" s="55" t="s">
        <v>5153</v>
      </c>
      <c r="E256" s="55" t="s">
        <v>5153</v>
      </c>
      <c r="F256" s="55" t="s">
        <v>5154</v>
      </c>
      <c r="G256" s="55" t="s">
        <v>5155</v>
      </c>
      <c r="H256" s="55" t="s">
        <v>17</v>
      </c>
      <c r="I256" s="55" t="s">
        <v>18</v>
      </c>
      <c r="J256" s="55" t="s">
        <v>5156</v>
      </c>
      <c r="K256" s="55" t="s">
        <v>20</v>
      </c>
      <c r="L256" s="57" t="str">
        <f>HYPERLINK("https://nycdoe.sharepoint.com/:w:/s/BAP/EZLruKvl6oVCsb7j7w4i3JQBETlw5lRoIqjQst6WZiJcgA", "3 out of 10")</f>
        <v>3 out of 10</v>
      </c>
      <c r="M256" t="s">
        <v>5157</v>
      </c>
    </row>
    <row r="257" spans="2:13">
      <c r="B257" s="55" t="s">
        <v>710</v>
      </c>
      <c r="C257" s="55" t="s">
        <v>12</v>
      </c>
      <c r="D257" s="55" t="s">
        <v>719</v>
      </c>
      <c r="E257" s="55" t="s">
        <v>719</v>
      </c>
      <c r="F257" s="55" t="s">
        <v>5158</v>
      </c>
      <c r="G257" s="55" t="s">
        <v>5159</v>
      </c>
      <c r="H257" s="55" t="s">
        <v>24</v>
      </c>
      <c r="I257" s="55"/>
      <c r="J257" s="55" t="s">
        <v>5160</v>
      </c>
      <c r="K257" s="55" t="s">
        <v>62</v>
      </c>
      <c r="L257" s="57" t="str">
        <f>HYPERLINK("https://nycdoe.sharepoint.com/:w:/s/BAP/EUiYpiolWb5PmfwFiSUHcy8BlG99JLas4BtLnbaf9LEfNA", "9 out of 10")</f>
        <v>9 out of 10</v>
      </c>
      <c r="M257" t="s">
        <v>5161</v>
      </c>
    </row>
    <row r="258" spans="2:13">
      <c r="B258" s="55" t="s">
        <v>710</v>
      </c>
      <c r="C258" s="55" t="s">
        <v>12</v>
      </c>
      <c r="D258" s="55" t="s">
        <v>723</v>
      </c>
      <c r="E258" s="55" t="s">
        <v>723</v>
      </c>
      <c r="F258" s="55" t="s">
        <v>5162</v>
      </c>
      <c r="G258" s="55" t="s">
        <v>5163</v>
      </c>
      <c r="H258" s="55" t="s">
        <v>17</v>
      </c>
      <c r="I258" s="55" t="s">
        <v>18</v>
      </c>
      <c r="J258" s="55" t="s">
        <v>5164</v>
      </c>
      <c r="K258" s="55" t="s">
        <v>62</v>
      </c>
      <c r="L258" s="57" t="str">
        <f>HYPERLINK("https://nycdoe.sharepoint.com/:w:/s/BAP/ESoXm0exfa5Cjlpo8V9Yw9QBhZfqaE-t1D8rV32LL2bhLw", "10 out of 10")</f>
        <v>10 out of 10</v>
      </c>
      <c r="M258" t="s">
        <v>5165</v>
      </c>
    </row>
    <row r="259" spans="2:13">
      <c r="B259" s="55" t="s">
        <v>710</v>
      </c>
      <c r="C259" s="55" t="s">
        <v>12</v>
      </c>
      <c r="D259" s="55" t="s">
        <v>727</v>
      </c>
      <c r="E259" s="55" t="s">
        <v>727</v>
      </c>
      <c r="F259" s="55" t="s">
        <v>5166</v>
      </c>
      <c r="G259" s="55" t="s">
        <v>5167</v>
      </c>
      <c r="H259" s="55" t="s">
        <v>17</v>
      </c>
      <c r="I259" s="55" t="s">
        <v>18</v>
      </c>
      <c r="J259" s="55" t="s">
        <v>5168</v>
      </c>
      <c r="K259" s="55" t="s">
        <v>62</v>
      </c>
      <c r="L259" s="57" t="str">
        <f>HYPERLINK("https://nycdoe.sharepoint.com/:w:/s/BAP/ER-K5KIBTSJIp7zmBvCwPOQB0G9ZfLtfaLQcbFiXXUQQKQ", "9 out of 10")</f>
        <v>9 out of 10</v>
      </c>
      <c r="M259" t="s">
        <v>5169</v>
      </c>
    </row>
    <row r="260" spans="2:13">
      <c r="B260" s="55" t="s">
        <v>710</v>
      </c>
      <c r="C260" s="55" t="s">
        <v>12</v>
      </c>
      <c r="D260" s="55" t="s">
        <v>731</v>
      </c>
      <c r="E260" s="55" t="s">
        <v>731</v>
      </c>
      <c r="F260" s="55" t="s">
        <v>5170</v>
      </c>
      <c r="G260" s="55" t="s">
        <v>5171</v>
      </c>
      <c r="H260" s="55" t="s">
        <v>17</v>
      </c>
      <c r="I260" s="55" t="s">
        <v>18</v>
      </c>
      <c r="J260" s="55" t="s">
        <v>5172</v>
      </c>
      <c r="K260" s="55" t="s">
        <v>20</v>
      </c>
      <c r="L260" s="57" t="str">
        <f>HYPERLINK("https://nycdoe.sharepoint.com/:w:/s/BAP/ESkC3WppzI5GvlDB0UYpcJ0BjfchP3jy05S4VJVqkgp0Kw", "6 out of 10")</f>
        <v>6 out of 10</v>
      </c>
      <c r="M260" t="s">
        <v>5173</v>
      </c>
    </row>
    <row r="261" spans="2:13">
      <c r="B261" s="55" t="s">
        <v>710</v>
      </c>
      <c r="C261" s="55" t="s">
        <v>12</v>
      </c>
      <c r="D261" s="55" t="s">
        <v>731</v>
      </c>
      <c r="E261" s="55" t="s">
        <v>364</v>
      </c>
      <c r="F261" s="55" t="s">
        <v>4813</v>
      </c>
      <c r="G261" s="55" t="s">
        <v>366</v>
      </c>
      <c r="H261" s="55" t="s">
        <v>43</v>
      </c>
      <c r="I261" s="55"/>
      <c r="J261" s="55" t="s">
        <v>5174</v>
      </c>
      <c r="K261" s="55" t="s">
        <v>20</v>
      </c>
      <c r="L261" s="57" t="str">
        <f>HYPERLINK("https://nycdoe.sharepoint.com/:w:/s/BAP/ESkC3WppzI5GvlDB0UYpcJ0BjfchP3jy05S4VJVqkgp0Kw", "6 out of 10")</f>
        <v>6 out of 10</v>
      </c>
      <c r="M261" t="s">
        <v>5173</v>
      </c>
    </row>
    <row r="262" spans="2:13">
      <c r="B262" s="55" t="s">
        <v>710</v>
      </c>
      <c r="C262" s="55" t="s">
        <v>12</v>
      </c>
      <c r="D262" s="55" t="s">
        <v>735</v>
      </c>
      <c r="E262" s="55" t="s">
        <v>735</v>
      </c>
      <c r="F262" s="55" t="s">
        <v>5175</v>
      </c>
      <c r="G262" s="55" t="s">
        <v>5176</v>
      </c>
      <c r="H262" s="55" t="s">
        <v>17</v>
      </c>
      <c r="I262" s="55" t="s">
        <v>18</v>
      </c>
      <c r="J262" s="55" t="s">
        <v>5177</v>
      </c>
      <c r="K262" s="55" t="s">
        <v>62</v>
      </c>
      <c r="L262" s="57" t="str">
        <f>HYPERLINK("https://nycdoe.sharepoint.com/:w:/s/BAP/ER2b3GM_xwpGh253joadCswB6gv1ZCENgVqDajyf9OTZxg", "10 out of 10")</f>
        <v>10 out of 10</v>
      </c>
      <c r="M262" t="s">
        <v>5178</v>
      </c>
    </row>
    <row r="263" spans="2:13">
      <c r="B263" s="55" t="s">
        <v>710</v>
      </c>
      <c r="C263" s="55" t="s">
        <v>12</v>
      </c>
      <c r="D263" s="55" t="s">
        <v>739</v>
      </c>
      <c r="E263" s="55" t="s">
        <v>739</v>
      </c>
      <c r="F263" s="55" t="s">
        <v>5179</v>
      </c>
      <c r="G263" s="55" t="s">
        <v>5180</v>
      </c>
      <c r="H263" s="55" t="s">
        <v>17</v>
      </c>
      <c r="I263" s="55" t="s">
        <v>18</v>
      </c>
      <c r="J263" s="55" t="s">
        <v>5181</v>
      </c>
      <c r="K263" s="55" t="s">
        <v>20</v>
      </c>
      <c r="L263" s="57" t="str">
        <f>HYPERLINK("https://nycdoe.sharepoint.com/:w:/s/BAP/EVmv2PKLJJ5HqW16E7uBxcQBrBrnKjZ5cKGy3E-2R0AXLg", "1 out of 10")</f>
        <v>1 out of 10</v>
      </c>
      <c r="M263" t="s">
        <v>5182</v>
      </c>
    </row>
    <row r="264" spans="2:13">
      <c r="B264" s="55" t="s">
        <v>710</v>
      </c>
      <c r="C264" s="55" t="s">
        <v>12</v>
      </c>
      <c r="D264" s="55" t="s">
        <v>739</v>
      </c>
      <c r="E264" s="55" t="s">
        <v>746</v>
      </c>
      <c r="F264" s="55" t="s">
        <v>5183</v>
      </c>
      <c r="G264" s="55" t="s">
        <v>5184</v>
      </c>
      <c r="H264" s="55" t="s">
        <v>17</v>
      </c>
      <c r="I264" s="55" t="s">
        <v>18</v>
      </c>
      <c r="J264" s="55" t="s">
        <v>5181</v>
      </c>
      <c r="K264" s="55" t="s">
        <v>20</v>
      </c>
      <c r="L264" s="57" t="str">
        <f>HYPERLINK("https://nycdoe.sharepoint.com/:w:/s/BAP/EVmv2PKLJJ5HqW16E7uBxcQBrBrnKjZ5cKGy3E-2R0AXLg", "1 out of 10")</f>
        <v>1 out of 10</v>
      </c>
      <c r="M264" t="s">
        <v>5182</v>
      </c>
    </row>
    <row r="265" spans="2:13">
      <c r="B265" s="55" t="s">
        <v>710</v>
      </c>
      <c r="C265" s="55" t="s">
        <v>12</v>
      </c>
      <c r="D265" s="55" t="s">
        <v>749</v>
      </c>
      <c r="E265" s="55" t="s">
        <v>754</v>
      </c>
      <c r="F265" s="55" t="s">
        <v>5185</v>
      </c>
      <c r="G265" s="55" t="s">
        <v>5186</v>
      </c>
      <c r="H265" s="55" t="s">
        <v>52</v>
      </c>
      <c r="I265" s="55"/>
      <c r="J265" s="55" t="s">
        <v>5187</v>
      </c>
      <c r="K265" s="55" t="s">
        <v>20</v>
      </c>
      <c r="L265" s="57" t="str">
        <f>HYPERLINK("https://nycdoe.sharepoint.com/:w:/s/BAP/EfhCZrR1meNDvXoYkWAcV-UBQ9Ufa0ULyStjyVTNElmCpg", "5 out of 10")</f>
        <v>5 out of 10</v>
      </c>
      <c r="M265" t="s">
        <v>5188</v>
      </c>
    </row>
    <row r="266" spans="2:13">
      <c r="B266" s="55" t="s">
        <v>710</v>
      </c>
      <c r="C266" s="55" t="s">
        <v>12</v>
      </c>
      <c r="D266" s="55" t="s">
        <v>757</v>
      </c>
      <c r="E266" s="55" t="s">
        <v>4564</v>
      </c>
      <c r="F266" s="55" t="s">
        <v>4565</v>
      </c>
      <c r="G266" s="55" t="s">
        <v>4566</v>
      </c>
      <c r="H266" s="55" t="s">
        <v>52</v>
      </c>
      <c r="I266" s="55"/>
      <c r="J266" s="55" t="s">
        <v>5189</v>
      </c>
      <c r="K266" s="55" t="s">
        <v>62</v>
      </c>
      <c r="L266" s="57" t="str">
        <f>HYPERLINK("https://nycdoe.sharepoint.com/:w:/s/BAP/EVHLyjLrnNZBtOhGAKnATH4BGrZ5StStNUJwJ6YAgDY9wg", "9 out of 10")</f>
        <v>9 out of 10</v>
      </c>
      <c r="M266" t="s">
        <v>5190</v>
      </c>
    </row>
    <row r="267" spans="2:13">
      <c r="B267" s="55" t="s">
        <v>710</v>
      </c>
      <c r="C267" s="55" t="s">
        <v>12</v>
      </c>
      <c r="D267" s="55" t="s">
        <v>757</v>
      </c>
      <c r="E267" s="55" t="s">
        <v>757</v>
      </c>
      <c r="F267" s="55" t="s">
        <v>5191</v>
      </c>
      <c r="G267" s="55" t="s">
        <v>5192</v>
      </c>
      <c r="H267" s="55" t="s">
        <v>52</v>
      </c>
      <c r="I267" s="55"/>
      <c r="J267" s="55" t="s">
        <v>5193</v>
      </c>
      <c r="K267" s="55" t="s">
        <v>62</v>
      </c>
      <c r="L267" s="57" t="str">
        <f>HYPERLINK("https://nycdoe.sharepoint.com/:w:/s/BAP/EVHLyjLrnNZBtOhGAKnATH4BGrZ5StStNUJwJ6YAgDY9wg", "9 out of 10")</f>
        <v>9 out of 10</v>
      </c>
      <c r="M267" t="s">
        <v>5190</v>
      </c>
    </row>
    <row r="268" spans="2:13">
      <c r="B268" s="55" t="s">
        <v>710</v>
      </c>
      <c r="C268" s="55" t="s">
        <v>12</v>
      </c>
      <c r="D268" s="55" t="s">
        <v>757</v>
      </c>
      <c r="E268" s="55" t="s">
        <v>761</v>
      </c>
      <c r="F268" s="55" t="s">
        <v>5194</v>
      </c>
      <c r="G268" s="55" t="s">
        <v>5195</v>
      </c>
      <c r="H268" s="55" t="s">
        <v>17</v>
      </c>
      <c r="I268" s="55" t="s">
        <v>18</v>
      </c>
      <c r="J268" s="55" t="s">
        <v>5189</v>
      </c>
      <c r="K268" s="55" t="s">
        <v>62</v>
      </c>
      <c r="L268" s="57" t="str">
        <f>HYPERLINK("https://nycdoe.sharepoint.com/:w:/s/BAP/EVHLyjLrnNZBtOhGAKnATH4BGrZ5StStNUJwJ6YAgDY9wg", "9 out of 10")</f>
        <v>9 out of 10</v>
      </c>
      <c r="M268" t="s">
        <v>5190</v>
      </c>
    </row>
    <row r="269" spans="2:13">
      <c r="B269" s="55" t="s">
        <v>710</v>
      </c>
      <c r="C269" s="55" t="s">
        <v>12</v>
      </c>
      <c r="D269" s="55" t="s">
        <v>764</v>
      </c>
      <c r="E269" s="55" t="s">
        <v>764</v>
      </c>
      <c r="F269" s="55" t="s">
        <v>5196</v>
      </c>
      <c r="G269" s="55" t="s">
        <v>5197</v>
      </c>
      <c r="H269" s="55" t="s">
        <v>52</v>
      </c>
      <c r="I269" s="55"/>
      <c r="J269" s="55" t="s">
        <v>5198</v>
      </c>
      <c r="K269" s="55" t="s">
        <v>20</v>
      </c>
      <c r="L269" s="57" t="str">
        <f>HYPERLINK("https://nycdoe.sharepoint.com/:w:/s/BAP/EehGb_2ciDJCl167dbYKtwEBUvAFKBQRe-SlYeO9l8lOcw", "3 out of 10")</f>
        <v>3 out of 10</v>
      </c>
      <c r="M269" t="s">
        <v>5199</v>
      </c>
    </row>
    <row r="270" spans="2:13">
      <c r="B270" s="55" t="s">
        <v>710</v>
      </c>
      <c r="C270" s="55" t="s">
        <v>12</v>
      </c>
      <c r="D270" s="55" t="s">
        <v>764</v>
      </c>
      <c r="E270" s="55" t="s">
        <v>768</v>
      </c>
      <c r="F270" s="55" t="s">
        <v>5200</v>
      </c>
      <c r="G270" s="55" t="s">
        <v>5201</v>
      </c>
      <c r="H270" s="55" t="s">
        <v>17</v>
      </c>
      <c r="I270" s="55"/>
      <c r="J270" s="55" t="s">
        <v>5198</v>
      </c>
      <c r="K270" s="55" t="s">
        <v>20</v>
      </c>
      <c r="L270" s="57" t="str">
        <f>HYPERLINK("https://nycdoe.sharepoint.com/:w:/s/BAP/EehGb_2ciDJCl167dbYKtwEBUvAFKBQRe-SlYeO9l8lOcw", "3 out of 10")</f>
        <v>3 out of 10</v>
      </c>
      <c r="M270" t="s">
        <v>5199</v>
      </c>
    </row>
    <row r="271" spans="2:13">
      <c r="B271" s="55" t="s">
        <v>710</v>
      </c>
      <c r="C271" s="55" t="s">
        <v>12</v>
      </c>
      <c r="D271" s="55" t="s">
        <v>764</v>
      </c>
      <c r="E271" s="55" t="s">
        <v>771</v>
      </c>
      <c r="F271" s="55" t="s">
        <v>5202</v>
      </c>
      <c r="G271" s="55" t="s">
        <v>5203</v>
      </c>
      <c r="H271" s="55" t="s">
        <v>52</v>
      </c>
      <c r="I271" s="55"/>
      <c r="J271" s="55" t="s">
        <v>5198</v>
      </c>
      <c r="K271" s="55" t="s">
        <v>20</v>
      </c>
      <c r="L271" s="57" t="str">
        <f>HYPERLINK("https://nycdoe.sharepoint.com/:w:/s/BAP/EehGb_2ciDJCl167dbYKtwEBUvAFKBQRe-SlYeO9l8lOcw", "3 out of 10")</f>
        <v>3 out of 10</v>
      </c>
      <c r="M271" t="s">
        <v>5199</v>
      </c>
    </row>
    <row r="272" spans="2:13">
      <c r="B272" s="55" t="s">
        <v>710</v>
      </c>
      <c r="C272" s="55" t="s">
        <v>12</v>
      </c>
      <c r="D272" s="55" t="s">
        <v>774</v>
      </c>
      <c r="E272" s="55" t="s">
        <v>774</v>
      </c>
      <c r="F272" s="55" t="s">
        <v>5204</v>
      </c>
      <c r="G272" s="55" t="s">
        <v>5205</v>
      </c>
      <c r="H272" s="55" t="s">
        <v>17</v>
      </c>
      <c r="I272" s="55" t="s">
        <v>18</v>
      </c>
      <c r="J272" s="55" t="s">
        <v>5206</v>
      </c>
      <c r="K272" s="55" t="s">
        <v>62</v>
      </c>
      <c r="L272" s="57" t="str">
        <f>HYPERLINK("https://nycdoe.sharepoint.com/:w:/s/BAP/ETdV54QCP2BOsVz1NjwfGbQBOpY3Mb9DRLln6bVhKxhkuw", "9 out of 10")</f>
        <v>9 out of 10</v>
      </c>
      <c r="M272" t="s">
        <v>5207</v>
      </c>
    </row>
    <row r="273" spans="2:13">
      <c r="B273" s="55" t="s">
        <v>710</v>
      </c>
      <c r="C273" s="55" t="s">
        <v>12</v>
      </c>
      <c r="D273" s="55" t="s">
        <v>774</v>
      </c>
      <c r="E273" s="55" t="s">
        <v>778</v>
      </c>
      <c r="F273" s="55" t="s">
        <v>5208</v>
      </c>
      <c r="G273" s="55" t="s">
        <v>780</v>
      </c>
      <c r="H273" s="55" t="s">
        <v>17</v>
      </c>
      <c r="I273" s="55" t="s">
        <v>18</v>
      </c>
      <c r="J273" s="55" t="s">
        <v>5206</v>
      </c>
      <c r="K273" s="55" t="s">
        <v>62</v>
      </c>
      <c r="L273" s="57" t="str">
        <f>HYPERLINK("https://nycdoe.sharepoint.com/:w:/s/BAP/ETdV54QCP2BOsVz1NjwfGbQBOpY3Mb9DRLln6bVhKxhkuw", "9 out of 10")</f>
        <v>9 out of 10</v>
      </c>
      <c r="M273" t="s">
        <v>5207</v>
      </c>
    </row>
    <row r="274" spans="2:13">
      <c r="B274" s="55" t="s">
        <v>710</v>
      </c>
      <c r="C274" s="55" t="s">
        <v>12</v>
      </c>
      <c r="D274" s="55" t="s">
        <v>781</v>
      </c>
      <c r="E274" s="55" t="s">
        <v>781</v>
      </c>
      <c r="F274" s="55" t="s">
        <v>5209</v>
      </c>
      <c r="G274" s="55" t="s">
        <v>5210</v>
      </c>
      <c r="H274" s="55" t="s">
        <v>17</v>
      </c>
      <c r="I274" s="55" t="s">
        <v>18</v>
      </c>
      <c r="J274" s="55" t="s">
        <v>5211</v>
      </c>
      <c r="K274" s="55" t="s">
        <v>20</v>
      </c>
      <c r="L274" s="57" t="str">
        <f>HYPERLINK("https://nycdoe.sharepoint.com/:w:/s/BAP/EVDGdyqwHjtMiw2dQ8R8KhUB2YaJepCbJu-5hwpAGCeqBA", "8 out of 10")</f>
        <v>8 out of 10</v>
      </c>
      <c r="M274" t="s">
        <v>5212</v>
      </c>
    </row>
    <row r="275" spans="2:13">
      <c r="B275" s="55" t="s">
        <v>710</v>
      </c>
      <c r="C275" s="55" t="s">
        <v>12</v>
      </c>
      <c r="D275" s="55" t="s">
        <v>781</v>
      </c>
      <c r="E275" s="55" t="s">
        <v>40</v>
      </c>
      <c r="F275" s="55" t="s">
        <v>4479</v>
      </c>
      <c r="G275" s="55" t="s">
        <v>42</v>
      </c>
      <c r="H275" s="55" t="s">
        <v>43</v>
      </c>
      <c r="I275" s="55" t="s">
        <v>18</v>
      </c>
      <c r="J275" s="55" t="s">
        <v>5211</v>
      </c>
      <c r="K275" s="55" t="s">
        <v>20</v>
      </c>
      <c r="L275" s="57" t="str">
        <f>HYPERLINK("https://nycdoe.sharepoint.com/:w:/s/BAP/EVDGdyqwHjtMiw2dQ8R8KhUB2YaJepCbJu-5hwpAGCeqBA", "8 out of 10")</f>
        <v>8 out of 10</v>
      </c>
      <c r="M275" t="s">
        <v>5212</v>
      </c>
    </row>
    <row r="276" spans="2:13">
      <c r="B276" s="55" t="s">
        <v>710</v>
      </c>
      <c r="C276" s="55" t="s">
        <v>12</v>
      </c>
      <c r="D276" s="55" t="s">
        <v>781</v>
      </c>
      <c r="E276" s="55" t="s">
        <v>785</v>
      </c>
      <c r="F276" s="55" t="s">
        <v>5213</v>
      </c>
      <c r="G276" s="55" t="s">
        <v>5214</v>
      </c>
      <c r="H276" s="55" t="s">
        <v>84</v>
      </c>
      <c r="I276" s="55"/>
      <c r="J276" s="55" t="s">
        <v>5211</v>
      </c>
      <c r="K276" s="55" t="s">
        <v>20</v>
      </c>
      <c r="L276" s="57" t="str">
        <f>HYPERLINK("https://nycdoe.sharepoint.com/:w:/s/BAP/EVDGdyqwHjtMiw2dQ8R8KhUB2YaJepCbJu-5hwpAGCeqBA", "8 out of 10")</f>
        <v>8 out of 10</v>
      </c>
      <c r="M276" t="s">
        <v>5212</v>
      </c>
    </row>
    <row r="277" spans="2:13">
      <c r="B277" s="55" t="s">
        <v>710</v>
      </c>
      <c r="C277" s="55" t="s">
        <v>12</v>
      </c>
      <c r="D277" s="55" t="s">
        <v>788</v>
      </c>
      <c r="E277" s="55" t="s">
        <v>788</v>
      </c>
      <c r="F277" s="55" t="s">
        <v>5215</v>
      </c>
      <c r="G277" s="55" t="s">
        <v>5216</v>
      </c>
      <c r="H277" s="55" t="s">
        <v>17</v>
      </c>
      <c r="I277" s="55" t="s">
        <v>18</v>
      </c>
      <c r="J277" s="55" t="s">
        <v>5217</v>
      </c>
      <c r="K277" s="55" t="s">
        <v>62</v>
      </c>
      <c r="L277" s="57" t="str">
        <f>HYPERLINK("https://nycdoe.sharepoint.com/:w:/s/BAP/EcpeziHX8nNLnJGoXefDGSwBic__d4bwnqakMOtgkk3sQQ", "10 out of 10")</f>
        <v>10 out of 10</v>
      </c>
      <c r="M277" t="s">
        <v>5218</v>
      </c>
    </row>
    <row r="278" spans="2:13">
      <c r="B278" s="55" t="s">
        <v>710</v>
      </c>
      <c r="C278" s="55" t="s">
        <v>12</v>
      </c>
      <c r="D278" s="55" t="s">
        <v>5219</v>
      </c>
      <c r="E278" s="55" t="s">
        <v>5219</v>
      </c>
      <c r="F278" s="55" t="s">
        <v>5220</v>
      </c>
      <c r="G278" s="55" t="s">
        <v>5221</v>
      </c>
      <c r="H278" s="55" t="s">
        <v>24</v>
      </c>
      <c r="I278" s="55" t="s">
        <v>18</v>
      </c>
      <c r="J278" s="55" t="s">
        <v>5222</v>
      </c>
      <c r="K278" s="55" t="s">
        <v>20</v>
      </c>
      <c r="L278" s="57" t="str">
        <f>HYPERLINK("https://nycdoe.sharepoint.com/:w:/s/BAP/EVLk2KG5vXNLnitm6roTTTwBAVmMtwwvsQTMxa7ZLXCYrQ", "1 out of 10")</f>
        <v>1 out of 10</v>
      </c>
      <c r="M278" t="s">
        <v>5223</v>
      </c>
    </row>
    <row r="279" spans="2:13">
      <c r="B279" s="55" t="s">
        <v>710</v>
      </c>
      <c r="C279" s="55" t="s">
        <v>12</v>
      </c>
      <c r="D279" s="55" t="s">
        <v>792</v>
      </c>
      <c r="E279" s="55" t="s">
        <v>792</v>
      </c>
      <c r="F279" s="55" t="s">
        <v>5224</v>
      </c>
      <c r="G279" s="55" t="s">
        <v>5225</v>
      </c>
      <c r="H279" s="55" t="s">
        <v>17</v>
      </c>
      <c r="I279" s="55" t="s">
        <v>18</v>
      </c>
      <c r="J279" s="55" t="s">
        <v>5226</v>
      </c>
      <c r="K279" s="55" t="s">
        <v>20</v>
      </c>
      <c r="L279" s="57" t="str">
        <f>HYPERLINK("https://nycdoe.sharepoint.com/:w:/s/BAP/EXT7LKexbVlFi_3JBHs4H-EBs6EGHAu0F2GQG4BoAsu1Dw", "8 out of 10")</f>
        <v>8 out of 10</v>
      </c>
      <c r="M279" t="s">
        <v>5227</v>
      </c>
    </row>
    <row r="280" spans="2:13">
      <c r="B280" s="55" t="s">
        <v>710</v>
      </c>
      <c r="C280" s="55" t="s">
        <v>12</v>
      </c>
      <c r="D280" s="55" t="s">
        <v>792</v>
      </c>
      <c r="E280" s="55" t="s">
        <v>778</v>
      </c>
      <c r="F280" s="55" t="s">
        <v>5208</v>
      </c>
      <c r="G280" s="55" t="s">
        <v>780</v>
      </c>
      <c r="H280" s="55" t="s">
        <v>17</v>
      </c>
      <c r="I280" s="55" t="s">
        <v>18</v>
      </c>
      <c r="J280" s="55" t="s">
        <v>5226</v>
      </c>
      <c r="K280" s="55" t="s">
        <v>20</v>
      </c>
      <c r="L280" s="57" t="str">
        <f>HYPERLINK("https://nycdoe.sharepoint.com/:w:/s/BAP/EXT7LKexbVlFi_3JBHs4H-EBs6EGHAu0F2GQG4BoAsu1Dw", "8 out of 10")</f>
        <v>8 out of 10</v>
      </c>
      <c r="M280" t="s">
        <v>5227</v>
      </c>
    </row>
    <row r="281" spans="2:13">
      <c r="B281" s="55" t="s">
        <v>710</v>
      </c>
      <c r="C281" s="55" t="s">
        <v>12</v>
      </c>
      <c r="D281" s="55" t="s">
        <v>796</v>
      </c>
      <c r="E281" s="55" t="s">
        <v>796</v>
      </c>
      <c r="F281" s="55" t="s">
        <v>5228</v>
      </c>
      <c r="G281" s="55" t="s">
        <v>5229</v>
      </c>
      <c r="H281" s="55" t="s">
        <v>52</v>
      </c>
      <c r="I281" s="55"/>
      <c r="J281" s="55" t="s">
        <v>5230</v>
      </c>
      <c r="K281" s="55" t="s">
        <v>62</v>
      </c>
      <c r="L281" s="57" t="str">
        <f>HYPERLINK("https://nycdoe.sharepoint.com/:w:/s/BAP/EeIBk0qojSRJpI-v_ZCidYsBTz3NIG2PdPkAqB8paDJC-g", "9 out of 10")</f>
        <v>9 out of 10</v>
      </c>
      <c r="M281" t="s">
        <v>5231</v>
      </c>
    </row>
    <row r="282" spans="2:13">
      <c r="B282" s="55" t="s">
        <v>710</v>
      </c>
      <c r="C282" s="55" t="s">
        <v>12</v>
      </c>
      <c r="D282" s="55" t="s">
        <v>800</v>
      </c>
      <c r="E282" s="55" t="s">
        <v>801</v>
      </c>
      <c r="F282" s="55" t="s">
        <v>4876</v>
      </c>
      <c r="G282" s="55" t="s">
        <v>803</v>
      </c>
      <c r="H282" s="55" t="s">
        <v>84</v>
      </c>
      <c r="I282" s="55"/>
      <c r="J282" s="55" t="s">
        <v>5232</v>
      </c>
      <c r="K282" s="55" t="s">
        <v>20</v>
      </c>
      <c r="L282" s="57" t="str">
        <f>HYPERLINK("https://nycdoe.sharepoint.com/:w:/s/BAP/EZH-ttEM_BRNpp-bTgfbA0YBw4orGJQiFC_rHYxmfGfBMQ", "4 out of 10")</f>
        <v>4 out of 10</v>
      </c>
      <c r="M282" t="s">
        <v>5233</v>
      </c>
    </row>
    <row r="283" spans="2:13">
      <c r="B283" s="55" t="s">
        <v>710</v>
      </c>
      <c r="C283" s="55" t="s">
        <v>12</v>
      </c>
      <c r="D283" s="55" t="s">
        <v>800</v>
      </c>
      <c r="E283" s="55" t="s">
        <v>800</v>
      </c>
      <c r="F283" s="55" t="s">
        <v>5234</v>
      </c>
      <c r="G283" s="55" t="s">
        <v>5235</v>
      </c>
      <c r="H283" s="55" t="s">
        <v>52</v>
      </c>
      <c r="I283" s="55"/>
      <c r="J283" s="55" t="s">
        <v>5232</v>
      </c>
      <c r="K283" s="55" t="s">
        <v>20</v>
      </c>
      <c r="L283" s="57" t="str">
        <f>HYPERLINK("https://nycdoe.sharepoint.com/:w:/s/BAP/EZH-ttEM_BRNpp-bTgfbA0YBw4orGJQiFC_rHYxmfGfBMQ", "4 out of 10")</f>
        <v>4 out of 10</v>
      </c>
      <c r="M283" t="s">
        <v>5233</v>
      </c>
    </row>
    <row r="284" spans="2:13">
      <c r="B284" s="55" t="s">
        <v>710</v>
      </c>
      <c r="C284" s="55" t="s">
        <v>12</v>
      </c>
      <c r="D284" s="55" t="s">
        <v>807</v>
      </c>
      <c r="E284" s="55" t="s">
        <v>807</v>
      </c>
      <c r="F284" s="55" t="s">
        <v>5236</v>
      </c>
      <c r="G284" s="55" t="s">
        <v>5237</v>
      </c>
      <c r="H284" s="55" t="s">
        <v>17</v>
      </c>
      <c r="I284" s="55" t="s">
        <v>18</v>
      </c>
      <c r="J284" s="55" t="s">
        <v>5238</v>
      </c>
      <c r="K284" s="55" t="s">
        <v>62</v>
      </c>
      <c r="L284" s="57" t="str">
        <f>HYPERLINK("https://nycdoe.sharepoint.com/:w:/s/BAP/EcA9ofOirI1Hj5xn6rogKdABM32L88RVtl-vbiPEpNkxjQ", "10 out of 10")</f>
        <v>10 out of 10</v>
      </c>
      <c r="M284" t="s">
        <v>5239</v>
      </c>
    </row>
    <row r="285" spans="2:13">
      <c r="B285" s="55" t="s">
        <v>710</v>
      </c>
      <c r="C285" s="55" t="s">
        <v>12</v>
      </c>
      <c r="D285" s="55" t="s">
        <v>807</v>
      </c>
      <c r="E285" s="55" t="s">
        <v>811</v>
      </c>
      <c r="F285" s="55" t="s">
        <v>5240</v>
      </c>
      <c r="G285" s="55" t="s">
        <v>5241</v>
      </c>
      <c r="H285" s="55" t="s">
        <v>52</v>
      </c>
      <c r="I285" s="55"/>
      <c r="J285" s="55" t="s">
        <v>5238</v>
      </c>
      <c r="K285" s="55" t="s">
        <v>62</v>
      </c>
      <c r="L285" s="57" t="str">
        <f>HYPERLINK("https://nycdoe.sharepoint.com/:w:/s/BAP/EcA9ofOirI1Hj5xn6rogKdABM32L88RVtl-vbiPEpNkxjQ", "10 out of 10")</f>
        <v>10 out of 10</v>
      </c>
      <c r="M285" t="s">
        <v>5239</v>
      </c>
    </row>
    <row r="286" spans="2:13">
      <c r="B286" s="55" t="s">
        <v>710</v>
      </c>
      <c r="C286" s="55" t="s">
        <v>12</v>
      </c>
      <c r="D286" s="55" t="s">
        <v>807</v>
      </c>
      <c r="E286" s="55" t="s">
        <v>364</v>
      </c>
      <c r="F286" s="55" t="s">
        <v>4813</v>
      </c>
      <c r="G286" s="55" t="s">
        <v>366</v>
      </c>
      <c r="H286" s="55" t="s">
        <v>43</v>
      </c>
      <c r="I286" s="55"/>
      <c r="J286" s="55" t="s">
        <v>5238</v>
      </c>
      <c r="K286" s="55" t="s">
        <v>62</v>
      </c>
      <c r="L286" s="57" t="str">
        <f>HYPERLINK("https://nycdoe.sharepoint.com/:w:/s/BAP/EcA9ofOirI1Hj5xn6rogKdABM32L88RVtl-vbiPEpNkxjQ", "10 out of 10")</f>
        <v>10 out of 10</v>
      </c>
      <c r="M286" t="s">
        <v>5239</v>
      </c>
    </row>
    <row r="287" spans="2:13">
      <c r="B287" s="55" t="s">
        <v>710</v>
      </c>
      <c r="C287" s="55" t="s">
        <v>12</v>
      </c>
      <c r="D287" s="55" t="s">
        <v>814</v>
      </c>
      <c r="E287" s="55" t="s">
        <v>40</v>
      </c>
      <c r="F287" s="55" t="s">
        <v>4479</v>
      </c>
      <c r="G287" s="55" t="s">
        <v>42</v>
      </c>
      <c r="H287" s="55" t="s">
        <v>43</v>
      </c>
      <c r="I287" s="55" t="s">
        <v>18</v>
      </c>
      <c r="J287" s="55" t="s">
        <v>5242</v>
      </c>
      <c r="K287" s="55" t="s">
        <v>62</v>
      </c>
      <c r="L287" s="57" t="str">
        <f>HYPERLINK("https://nycdoe.sharepoint.com/:w:/s/BAP/Eb_WAWTOAJ1EiR6XpR-P-bwBa2ugNP9PHKZBSCOI2UN37w", "10 out of 10")</f>
        <v>10 out of 10</v>
      </c>
      <c r="M287" t="s">
        <v>5243</v>
      </c>
    </row>
    <row r="288" spans="2:13">
      <c r="B288" s="55" t="s">
        <v>710</v>
      </c>
      <c r="C288" s="55" t="s">
        <v>12</v>
      </c>
      <c r="D288" s="55" t="s">
        <v>814</v>
      </c>
      <c r="E288" s="55" t="s">
        <v>814</v>
      </c>
      <c r="F288" s="55" t="s">
        <v>5244</v>
      </c>
      <c r="G288" s="55" t="s">
        <v>817</v>
      </c>
      <c r="H288" s="55" t="s">
        <v>24</v>
      </c>
      <c r="I288" s="55"/>
      <c r="J288" s="55" t="s">
        <v>5242</v>
      </c>
      <c r="K288" s="55" t="s">
        <v>62</v>
      </c>
      <c r="L288" s="57" t="str">
        <f>HYPERLINK("https://nycdoe.sharepoint.com/:w:/s/BAP/Eb_WAWTOAJ1EiR6XpR-P-bwBa2ugNP9PHKZBSCOI2UN37w", "10 out of 10")</f>
        <v>10 out of 10</v>
      </c>
      <c r="M288" t="s">
        <v>5243</v>
      </c>
    </row>
    <row r="289" spans="2:13">
      <c r="B289" s="55" t="s">
        <v>710</v>
      </c>
      <c r="C289" s="55" t="s">
        <v>12</v>
      </c>
      <c r="D289" s="55" t="s">
        <v>818</v>
      </c>
      <c r="E289" s="55" t="s">
        <v>819</v>
      </c>
      <c r="F289" s="55" t="s">
        <v>5245</v>
      </c>
      <c r="G289" s="55" t="s">
        <v>5246</v>
      </c>
      <c r="H289" s="55" t="s">
        <v>17</v>
      </c>
      <c r="I289" s="55" t="s">
        <v>18</v>
      </c>
      <c r="J289" s="55" t="s">
        <v>5247</v>
      </c>
      <c r="K289" s="55" t="s">
        <v>62</v>
      </c>
      <c r="L289" s="57" t="str">
        <f>HYPERLINK("https://nycdoe.sharepoint.com/:w:/s/BAP/EdgoAfoHmzhLo-8GGUNNT40BVqD0ZBYIkad2LeCTmrxVVw", "10 out of 10")</f>
        <v>10 out of 10</v>
      </c>
      <c r="M289" t="s">
        <v>5248</v>
      </c>
    </row>
    <row r="290" spans="2:13">
      <c r="B290" s="55" t="s">
        <v>710</v>
      </c>
      <c r="C290" s="55" t="s">
        <v>12</v>
      </c>
      <c r="D290" s="55" t="s">
        <v>823</v>
      </c>
      <c r="E290" s="55" t="s">
        <v>824</v>
      </c>
      <c r="F290" s="55" t="s">
        <v>5249</v>
      </c>
      <c r="G290" s="55" t="s">
        <v>5250</v>
      </c>
      <c r="H290" s="55" t="s">
        <v>56</v>
      </c>
      <c r="I290" s="55"/>
      <c r="J290" s="55" t="s">
        <v>5251</v>
      </c>
      <c r="K290" s="55" t="s">
        <v>62</v>
      </c>
      <c r="L290" s="57" t="str">
        <f>HYPERLINK("https://nycdoe.sharepoint.com/:w:/s/BAP/EUWvNmql0ZVBh1QGf7kQlZsBADMivbxY3FICVAo2-TK9hg", "10 out of 10")</f>
        <v>10 out of 10</v>
      </c>
      <c r="M290" t="s">
        <v>5252</v>
      </c>
    </row>
    <row r="291" spans="2:13">
      <c r="B291" s="55" t="s">
        <v>710</v>
      </c>
      <c r="C291" s="55" t="s">
        <v>12</v>
      </c>
      <c r="D291" s="55" t="s">
        <v>823</v>
      </c>
      <c r="E291" s="55" t="s">
        <v>828</v>
      </c>
      <c r="F291" s="55" t="s">
        <v>5253</v>
      </c>
      <c r="G291" s="55" t="s">
        <v>5254</v>
      </c>
      <c r="H291" s="55" t="s">
        <v>56</v>
      </c>
      <c r="I291" s="55"/>
      <c r="J291" s="55" t="s">
        <v>5251</v>
      </c>
      <c r="K291" s="55" t="s">
        <v>62</v>
      </c>
      <c r="L291" s="57" t="str">
        <f>HYPERLINK("https://nycdoe.sharepoint.com/:w:/s/BAP/EUWvNmql0ZVBh1QGf7kQlZsBADMivbxY3FICVAo2-TK9hg", "10 out of 10")</f>
        <v>10 out of 10</v>
      </c>
      <c r="M291" t="s">
        <v>5252</v>
      </c>
    </row>
    <row r="292" spans="2:13">
      <c r="B292" s="55" t="s">
        <v>710</v>
      </c>
      <c r="C292" s="55" t="s">
        <v>12</v>
      </c>
      <c r="D292" s="55" t="s">
        <v>823</v>
      </c>
      <c r="E292" s="55" t="s">
        <v>831</v>
      </c>
      <c r="F292" s="55" t="s">
        <v>5255</v>
      </c>
      <c r="G292" s="55" t="s">
        <v>5256</v>
      </c>
      <c r="H292" s="55" t="s">
        <v>56</v>
      </c>
      <c r="I292" s="55"/>
      <c r="J292" s="55" t="s">
        <v>5251</v>
      </c>
      <c r="K292" s="55" t="s">
        <v>62</v>
      </c>
      <c r="L292" s="57" t="str">
        <f>HYPERLINK("https://nycdoe.sharepoint.com/:w:/s/BAP/EUWvNmql0ZVBh1QGf7kQlZsBADMivbxY3FICVAo2-TK9hg", "10 out of 10")</f>
        <v>10 out of 10</v>
      </c>
      <c r="M292" t="s">
        <v>5252</v>
      </c>
    </row>
    <row r="293" spans="2:13">
      <c r="B293" s="55" t="s">
        <v>710</v>
      </c>
      <c r="C293" s="55" t="s">
        <v>12</v>
      </c>
      <c r="D293" s="55" t="s">
        <v>823</v>
      </c>
      <c r="E293" s="55" t="s">
        <v>53</v>
      </c>
      <c r="F293" s="55" t="s">
        <v>4497</v>
      </c>
      <c r="G293" s="55" t="s">
        <v>4498</v>
      </c>
      <c r="H293" s="55" t="s">
        <v>56</v>
      </c>
      <c r="I293" s="55"/>
      <c r="J293" s="55" t="s">
        <v>5251</v>
      </c>
      <c r="K293" s="55" t="s">
        <v>62</v>
      </c>
      <c r="L293" s="57" t="str">
        <f>HYPERLINK("https://nycdoe.sharepoint.com/:w:/s/BAP/EUWvNmql0ZVBh1QGf7kQlZsBADMivbxY3FICVAo2-TK9hg", "10 out of 10")</f>
        <v>10 out of 10</v>
      </c>
      <c r="M293" t="s">
        <v>5252</v>
      </c>
    </row>
    <row r="294" spans="2:13">
      <c r="B294" s="55" t="s">
        <v>710</v>
      </c>
      <c r="C294" s="55" t="s">
        <v>12</v>
      </c>
      <c r="D294" s="55" t="s">
        <v>834</v>
      </c>
      <c r="E294" s="55" t="s">
        <v>835</v>
      </c>
      <c r="F294" s="55" t="s">
        <v>5257</v>
      </c>
      <c r="G294" s="55" t="s">
        <v>5258</v>
      </c>
      <c r="H294" s="55" t="s">
        <v>56</v>
      </c>
      <c r="I294" s="55"/>
      <c r="J294" s="55" t="s">
        <v>5259</v>
      </c>
      <c r="K294" s="55" t="s">
        <v>62</v>
      </c>
      <c r="L294" s="57" t="str">
        <f>HYPERLINK("https://nycdoe.sharepoint.com/:w:/s/BAP/EZ75nWLFlatAjjwiTSkjRWEBWqJS78C26qWJH7sAWVYEKw", "9 out of 10")</f>
        <v>9 out of 10</v>
      </c>
      <c r="M294" t="s">
        <v>5260</v>
      </c>
    </row>
    <row r="295" spans="2:13">
      <c r="B295" s="55" t="s">
        <v>710</v>
      </c>
      <c r="C295" s="55" t="s">
        <v>12</v>
      </c>
      <c r="D295" s="55" t="s">
        <v>834</v>
      </c>
      <c r="E295" s="55" t="s">
        <v>839</v>
      </c>
      <c r="F295" s="55" t="s">
        <v>5261</v>
      </c>
      <c r="G295" s="55" t="s">
        <v>5262</v>
      </c>
      <c r="H295" s="55" t="s">
        <v>56</v>
      </c>
      <c r="I295" s="55"/>
      <c r="J295" s="55" t="s">
        <v>5259</v>
      </c>
      <c r="K295" s="55" t="s">
        <v>62</v>
      </c>
      <c r="L295" s="57" t="str">
        <f>HYPERLINK("https://nycdoe.sharepoint.com/:w:/s/BAP/EZ75nWLFlatAjjwiTSkjRWEBWqJS78C26qWJH7sAWVYEKw", "9 out of 10")</f>
        <v>9 out of 10</v>
      </c>
      <c r="M295" t="s">
        <v>5260</v>
      </c>
    </row>
    <row r="296" spans="2:13">
      <c r="B296" s="55" t="s">
        <v>710</v>
      </c>
      <c r="C296" s="55" t="s">
        <v>12</v>
      </c>
      <c r="D296" s="55" t="s">
        <v>834</v>
      </c>
      <c r="E296" s="55" t="s">
        <v>842</v>
      </c>
      <c r="F296" s="55" t="s">
        <v>5263</v>
      </c>
      <c r="G296" s="55" t="s">
        <v>5264</v>
      </c>
      <c r="H296" s="55" t="s">
        <v>56</v>
      </c>
      <c r="I296" s="55"/>
      <c r="J296" s="55" t="s">
        <v>5259</v>
      </c>
      <c r="K296" s="55" t="s">
        <v>62</v>
      </c>
      <c r="L296" s="57" t="str">
        <f>HYPERLINK("https://nycdoe.sharepoint.com/:w:/s/BAP/EZ75nWLFlatAjjwiTSkjRWEBWqJS78C26qWJH7sAWVYEKw", "9 out of 10")</f>
        <v>9 out of 10</v>
      </c>
      <c r="M296" t="s">
        <v>5260</v>
      </c>
    </row>
    <row r="297" spans="2:13">
      <c r="B297" s="55" t="s">
        <v>710</v>
      </c>
      <c r="C297" s="55" t="s">
        <v>12</v>
      </c>
      <c r="D297" s="55" t="s">
        <v>834</v>
      </c>
      <c r="E297" s="55" t="s">
        <v>845</v>
      </c>
      <c r="F297" s="55" t="s">
        <v>5265</v>
      </c>
      <c r="G297" s="55" t="s">
        <v>5266</v>
      </c>
      <c r="H297" s="55" t="s">
        <v>56</v>
      </c>
      <c r="I297" s="55"/>
      <c r="J297" s="55" t="s">
        <v>5259</v>
      </c>
      <c r="K297" s="55" t="s">
        <v>62</v>
      </c>
      <c r="L297" s="57" t="str">
        <f>HYPERLINK("https://nycdoe.sharepoint.com/:w:/s/BAP/EZ75nWLFlatAjjwiTSkjRWEBWqJS78C26qWJH7sAWVYEKw", "9 out of 10")</f>
        <v>9 out of 10</v>
      </c>
      <c r="M297" t="s">
        <v>5260</v>
      </c>
    </row>
    <row r="298" spans="2:13">
      <c r="B298" s="55" t="s">
        <v>710</v>
      </c>
      <c r="C298" s="55" t="s">
        <v>12</v>
      </c>
      <c r="D298" s="55" t="s">
        <v>834</v>
      </c>
      <c r="E298" s="55" t="s">
        <v>834</v>
      </c>
      <c r="F298" s="55" t="s">
        <v>5267</v>
      </c>
      <c r="G298" s="55" t="s">
        <v>5268</v>
      </c>
      <c r="H298" s="55" t="s">
        <v>56</v>
      </c>
      <c r="I298" s="55"/>
      <c r="J298" s="55" t="s">
        <v>5259</v>
      </c>
      <c r="K298" s="55" t="s">
        <v>62</v>
      </c>
      <c r="L298" s="57" t="str">
        <f>HYPERLINK("https://nycdoe.sharepoint.com/:w:/s/BAP/EZ75nWLFlatAjjwiTSkjRWEBWqJS78C26qWJH7sAWVYEKw", "9 out of 10")</f>
        <v>9 out of 10</v>
      </c>
      <c r="M298" t="s">
        <v>5260</v>
      </c>
    </row>
    <row r="299" spans="2:13">
      <c r="B299" s="55" t="s">
        <v>710</v>
      </c>
      <c r="C299" s="55" t="s">
        <v>12</v>
      </c>
      <c r="D299" s="55" t="s">
        <v>834</v>
      </c>
      <c r="E299" s="55" t="s">
        <v>850</v>
      </c>
      <c r="F299" s="55" t="s">
        <v>5269</v>
      </c>
      <c r="G299" s="55" t="s">
        <v>5270</v>
      </c>
      <c r="H299" s="55" t="s">
        <v>56</v>
      </c>
      <c r="I299" s="55"/>
      <c r="J299" s="55" t="s">
        <v>5259</v>
      </c>
      <c r="K299" s="55" t="s">
        <v>62</v>
      </c>
      <c r="L299" s="57" t="str">
        <f>HYPERLINK("https://nycdoe.sharepoint.com/:w:/s/BAP/EZ75nWLFlatAjjwiTSkjRWEBWqJS78C26qWJH7sAWVYEKw", "9 out of 10")</f>
        <v>9 out of 10</v>
      </c>
      <c r="M299" t="s">
        <v>5260</v>
      </c>
    </row>
    <row r="300" spans="2:13">
      <c r="B300" s="55" t="s">
        <v>710</v>
      </c>
      <c r="C300" s="55" t="s">
        <v>12</v>
      </c>
      <c r="D300" s="55" t="s">
        <v>834</v>
      </c>
      <c r="E300" s="55" t="s">
        <v>592</v>
      </c>
      <c r="F300" s="55" t="s">
        <v>5038</v>
      </c>
      <c r="G300" s="55" t="s">
        <v>5039</v>
      </c>
      <c r="H300" s="55" t="s">
        <v>56</v>
      </c>
      <c r="I300" s="55"/>
      <c r="J300" s="55" t="s">
        <v>5259</v>
      </c>
      <c r="K300" s="55" t="s">
        <v>62</v>
      </c>
      <c r="L300" s="57" t="str">
        <f>HYPERLINK("https://nycdoe.sharepoint.com/:w:/s/BAP/EZ75nWLFlatAjjwiTSkjRWEBWqJS78C26qWJH7sAWVYEKw", "9 out of 10")</f>
        <v>9 out of 10</v>
      </c>
      <c r="M300" t="s">
        <v>5260</v>
      </c>
    </row>
    <row r="301" spans="2:13">
      <c r="B301" s="55" t="s">
        <v>710</v>
      </c>
      <c r="C301" s="55" t="s">
        <v>12</v>
      </c>
      <c r="D301" s="55" t="s">
        <v>853</v>
      </c>
      <c r="E301" s="55" t="s">
        <v>74</v>
      </c>
      <c r="F301" s="55" t="s">
        <v>4600</v>
      </c>
      <c r="G301" s="55" t="s">
        <v>76</v>
      </c>
      <c r="H301" s="55" t="s">
        <v>43</v>
      </c>
      <c r="I301" s="55" t="s">
        <v>18</v>
      </c>
      <c r="J301" s="55" t="s">
        <v>5271</v>
      </c>
      <c r="K301" s="55" t="s">
        <v>20</v>
      </c>
      <c r="L301" s="57" t="str">
        <f>HYPERLINK("https://nycdoe.sharepoint.com/:w:/s/BAP/EcImm7XKDhJImEZ-pioOvnkBxFGsROP_3MyDm_LBt6r3wA", "4 out of 10")</f>
        <v>4 out of 10</v>
      </c>
      <c r="M301" t="s">
        <v>5272</v>
      </c>
    </row>
    <row r="302" spans="2:13">
      <c r="B302" s="55" t="s">
        <v>710</v>
      </c>
      <c r="C302" s="55" t="s">
        <v>12</v>
      </c>
      <c r="D302" s="55" t="s">
        <v>853</v>
      </c>
      <c r="E302" s="55" t="s">
        <v>855</v>
      </c>
      <c r="F302" s="55" t="s">
        <v>5273</v>
      </c>
      <c r="G302" s="55" t="s">
        <v>5274</v>
      </c>
      <c r="H302" s="55" t="s">
        <v>56</v>
      </c>
      <c r="I302" s="55"/>
      <c r="J302" s="55" t="s">
        <v>5271</v>
      </c>
      <c r="K302" s="55" t="s">
        <v>20</v>
      </c>
      <c r="L302" s="57" t="str">
        <f>HYPERLINK("https://nycdoe.sharepoint.com/:w:/s/BAP/EcImm7XKDhJImEZ-pioOvnkBxFGsROP_3MyDm_LBt6r3wA", "4 out of 10")</f>
        <v>4 out of 10</v>
      </c>
      <c r="M302" t="s">
        <v>5272</v>
      </c>
    </row>
    <row r="303" spans="2:13">
      <c r="B303" s="55" t="s">
        <v>710</v>
      </c>
      <c r="C303" s="55" t="s">
        <v>12</v>
      </c>
      <c r="D303" s="55" t="s">
        <v>853</v>
      </c>
      <c r="E303" s="55" t="s">
        <v>858</v>
      </c>
      <c r="F303" s="55" t="s">
        <v>5275</v>
      </c>
      <c r="G303" s="55" t="s">
        <v>5276</v>
      </c>
      <c r="H303" s="55" t="s">
        <v>56</v>
      </c>
      <c r="I303" s="55"/>
      <c r="J303" s="55" t="s">
        <v>5271</v>
      </c>
      <c r="K303" s="55" t="s">
        <v>20</v>
      </c>
      <c r="L303" s="57" t="str">
        <f>HYPERLINK("https://nycdoe.sharepoint.com/:w:/s/BAP/EcImm7XKDhJImEZ-pioOvnkBxFGsROP_3MyDm_LBt6r3wA", "4 out of 10")</f>
        <v>4 out of 10</v>
      </c>
      <c r="M303" t="s">
        <v>5272</v>
      </c>
    </row>
    <row r="304" spans="2:13">
      <c r="B304" s="55" t="s">
        <v>710</v>
      </c>
      <c r="C304" s="55" t="s">
        <v>12</v>
      </c>
      <c r="D304" s="55" t="s">
        <v>853</v>
      </c>
      <c r="E304" s="55" t="s">
        <v>861</v>
      </c>
      <c r="F304" s="55" t="s">
        <v>5277</v>
      </c>
      <c r="G304" s="55" t="s">
        <v>5278</v>
      </c>
      <c r="H304" s="55" t="s">
        <v>56</v>
      </c>
      <c r="I304" s="55"/>
      <c r="J304" s="55" t="s">
        <v>5271</v>
      </c>
      <c r="K304" s="55" t="s">
        <v>20</v>
      </c>
      <c r="L304" s="57" t="str">
        <f>HYPERLINK("https://nycdoe.sharepoint.com/:w:/s/BAP/EcImm7XKDhJImEZ-pioOvnkBxFGsROP_3MyDm_LBt6r3wA", "4 out of 10")</f>
        <v>4 out of 10</v>
      </c>
      <c r="M304" t="s">
        <v>5272</v>
      </c>
    </row>
    <row r="305" spans="2:13">
      <c r="B305" s="55" t="s">
        <v>710</v>
      </c>
      <c r="C305" s="55" t="s">
        <v>12</v>
      </c>
      <c r="D305" s="55" t="s">
        <v>853</v>
      </c>
      <c r="E305" s="55" t="s">
        <v>864</v>
      </c>
      <c r="F305" s="55" t="s">
        <v>5279</v>
      </c>
      <c r="G305" s="55" t="s">
        <v>5280</v>
      </c>
      <c r="H305" s="55" t="s">
        <v>56</v>
      </c>
      <c r="I305" s="55"/>
      <c r="J305" s="55" t="s">
        <v>5271</v>
      </c>
      <c r="K305" s="55" t="s">
        <v>20</v>
      </c>
      <c r="L305" s="57" t="str">
        <f>HYPERLINK("https://nycdoe.sharepoint.com/:w:/s/BAP/EcImm7XKDhJImEZ-pioOvnkBxFGsROP_3MyDm_LBt6r3wA", "4 out of 10")</f>
        <v>4 out of 10</v>
      </c>
      <c r="M305" t="s">
        <v>5272</v>
      </c>
    </row>
    <row r="306" spans="2:13">
      <c r="B306" s="55" t="s">
        <v>710</v>
      </c>
      <c r="C306" s="55" t="s">
        <v>12</v>
      </c>
      <c r="D306" s="55" t="s">
        <v>853</v>
      </c>
      <c r="E306" s="55" t="s">
        <v>867</v>
      </c>
      <c r="F306" s="55" t="s">
        <v>5281</v>
      </c>
      <c r="G306" s="55" t="s">
        <v>5282</v>
      </c>
      <c r="H306" s="55" t="s">
        <v>56</v>
      </c>
      <c r="I306" s="55"/>
      <c r="J306" s="55" t="s">
        <v>5271</v>
      </c>
      <c r="K306" s="55" t="s">
        <v>20</v>
      </c>
      <c r="L306" s="57" t="str">
        <f>HYPERLINK("https://nycdoe.sharepoint.com/:w:/s/BAP/EcImm7XKDhJImEZ-pioOvnkBxFGsROP_3MyDm_LBt6r3wA", "4 out of 10")</f>
        <v>4 out of 10</v>
      </c>
      <c r="M306" t="s">
        <v>5272</v>
      </c>
    </row>
    <row r="307" spans="2:13">
      <c r="B307" s="55" t="s">
        <v>710</v>
      </c>
      <c r="C307" s="55" t="s">
        <v>12</v>
      </c>
      <c r="D307" s="55" t="s">
        <v>870</v>
      </c>
      <c r="E307" s="55" t="s">
        <v>801</v>
      </c>
      <c r="F307" s="55" t="s">
        <v>4876</v>
      </c>
      <c r="G307" s="55" t="s">
        <v>803</v>
      </c>
      <c r="H307" s="55" t="s">
        <v>84</v>
      </c>
      <c r="I307" s="55"/>
      <c r="J307" s="55" t="s">
        <v>5283</v>
      </c>
      <c r="K307" s="55" t="s">
        <v>62</v>
      </c>
      <c r="L307" s="57" t="str">
        <f>HYPERLINK("https://nycdoe.sharepoint.com/:w:/s/BAP/ETOD0OOfvrZLlgbJ0gAiS9cB9kkUK9RWYRGf_mX4yPwv9A", "9 out of 10")</f>
        <v>9 out of 10</v>
      </c>
      <c r="M307" t="s">
        <v>5284</v>
      </c>
    </row>
    <row r="308" spans="2:13">
      <c r="B308" s="55" t="s">
        <v>710</v>
      </c>
      <c r="C308" s="55" t="s">
        <v>12</v>
      </c>
      <c r="D308" s="55" t="s">
        <v>870</v>
      </c>
      <c r="E308" s="55" t="s">
        <v>875</v>
      </c>
      <c r="F308" s="55" t="s">
        <v>5285</v>
      </c>
      <c r="G308" s="55" t="s">
        <v>5286</v>
      </c>
      <c r="H308" s="55" t="s">
        <v>56</v>
      </c>
      <c r="I308" s="55"/>
      <c r="J308" s="55" t="s">
        <v>5283</v>
      </c>
      <c r="K308" s="55" t="s">
        <v>62</v>
      </c>
      <c r="L308" s="57" t="str">
        <f>HYPERLINK("https://nycdoe.sharepoint.com/:w:/s/BAP/ETOD0OOfvrZLlgbJ0gAiS9cB9kkUK9RWYRGf_mX4yPwv9A", "9 out of 10")</f>
        <v>9 out of 10</v>
      </c>
      <c r="M308" t="s">
        <v>5284</v>
      </c>
    </row>
    <row r="309" spans="2:13">
      <c r="B309" s="55" t="s">
        <v>710</v>
      </c>
      <c r="C309" s="55" t="s">
        <v>12</v>
      </c>
      <c r="D309" s="55" t="s">
        <v>870</v>
      </c>
      <c r="E309" s="55" t="s">
        <v>878</v>
      </c>
      <c r="F309" s="55" t="s">
        <v>5287</v>
      </c>
      <c r="G309" s="55" t="s">
        <v>5288</v>
      </c>
      <c r="H309" s="55" t="s">
        <v>56</v>
      </c>
      <c r="I309" s="55"/>
      <c r="J309" s="55" t="s">
        <v>5283</v>
      </c>
      <c r="K309" s="55" t="s">
        <v>62</v>
      </c>
      <c r="L309" s="57" t="str">
        <f>HYPERLINK("https://nycdoe.sharepoint.com/:w:/s/BAP/ETOD0OOfvrZLlgbJ0gAiS9cB9kkUK9RWYRGf_mX4yPwv9A", "9 out of 10")</f>
        <v>9 out of 10</v>
      </c>
      <c r="M309" t="s">
        <v>5284</v>
      </c>
    </row>
    <row r="310" spans="2:13">
      <c r="B310" s="55" t="s">
        <v>710</v>
      </c>
      <c r="C310" s="55" t="s">
        <v>12</v>
      </c>
      <c r="D310" s="55" t="s">
        <v>870</v>
      </c>
      <c r="E310" s="55" t="s">
        <v>881</v>
      </c>
      <c r="F310" s="55" t="s">
        <v>5289</v>
      </c>
      <c r="G310" s="55" t="s">
        <v>5290</v>
      </c>
      <c r="H310" s="55" t="s">
        <v>56</v>
      </c>
      <c r="I310" s="55"/>
      <c r="J310" s="55" t="s">
        <v>5283</v>
      </c>
      <c r="K310" s="55" t="s">
        <v>62</v>
      </c>
      <c r="L310" s="57" t="str">
        <f>HYPERLINK("https://nycdoe.sharepoint.com/:w:/s/BAP/ETOD0OOfvrZLlgbJ0gAiS9cB9kkUK9RWYRGf_mX4yPwv9A", "9 out of 10")</f>
        <v>9 out of 10</v>
      </c>
      <c r="M310" t="s">
        <v>5284</v>
      </c>
    </row>
    <row r="311" spans="2:13">
      <c r="B311" s="55" t="s">
        <v>710</v>
      </c>
      <c r="C311" s="55" t="s">
        <v>12</v>
      </c>
      <c r="D311" s="55" t="s">
        <v>870</v>
      </c>
      <c r="E311" s="55" t="s">
        <v>884</v>
      </c>
      <c r="F311" s="55" t="s">
        <v>5291</v>
      </c>
      <c r="G311" s="55" t="s">
        <v>5292</v>
      </c>
      <c r="H311" s="55" t="s">
        <v>56</v>
      </c>
      <c r="I311" s="55"/>
      <c r="J311" s="55" t="s">
        <v>5283</v>
      </c>
      <c r="K311" s="55" t="s">
        <v>62</v>
      </c>
      <c r="L311" s="57" t="str">
        <f>HYPERLINK("https://nycdoe.sharepoint.com/:w:/s/BAP/ETOD0OOfvrZLlgbJ0gAiS9cB9kkUK9RWYRGf_mX4yPwv9A", "9 out of 10")</f>
        <v>9 out of 10</v>
      </c>
      <c r="M311" t="s">
        <v>5284</v>
      </c>
    </row>
    <row r="312" spans="2:13">
      <c r="B312" s="55" t="s">
        <v>710</v>
      </c>
      <c r="C312" s="55" t="s">
        <v>12</v>
      </c>
      <c r="D312" s="55" t="s">
        <v>870</v>
      </c>
      <c r="E312" s="55" t="s">
        <v>887</v>
      </c>
      <c r="F312" s="55" t="s">
        <v>5293</v>
      </c>
      <c r="G312" s="55" t="s">
        <v>5294</v>
      </c>
      <c r="H312" s="55" t="s">
        <v>56</v>
      </c>
      <c r="I312" s="55"/>
      <c r="J312" s="55" t="s">
        <v>5283</v>
      </c>
      <c r="K312" s="55" t="s">
        <v>62</v>
      </c>
      <c r="L312" s="57" t="str">
        <f>HYPERLINK("https://nycdoe.sharepoint.com/:w:/s/BAP/ETOD0OOfvrZLlgbJ0gAiS9cB9kkUK9RWYRGf_mX4yPwv9A", "9 out of 10")</f>
        <v>9 out of 10</v>
      </c>
      <c r="M312" t="s">
        <v>5284</v>
      </c>
    </row>
    <row r="313" spans="2:13">
      <c r="B313" s="55" t="s">
        <v>710</v>
      </c>
      <c r="C313" s="55" t="s">
        <v>12</v>
      </c>
      <c r="D313" s="55" t="s">
        <v>890</v>
      </c>
      <c r="E313" s="55" t="s">
        <v>801</v>
      </c>
      <c r="F313" s="55" t="s">
        <v>4876</v>
      </c>
      <c r="G313" s="55" t="s">
        <v>803</v>
      </c>
      <c r="H313" s="55" t="s">
        <v>84</v>
      </c>
      <c r="I313" s="55"/>
      <c r="J313" s="55" t="s">
        <v>5295</v>
      </c>
      <c r="K313" s="55" t="s">
        <v>20</v>
      </c>
      <c r="L313" s="57" t="str">
        <f>HYPERLINK("https://nycdoe.sharepoint.com/:w:/s/BAP/EajNAH3CXoBNhGTR6zvvHUQB6ifxetZv9YFf73p6UyVnrg", "5 out of 10")</f>
        <v>5 out of 10</v>
      </c>
      <c r="M313" t="s">
        <v>5296</v>
      </c>
    </row>
    <row r="314" spans="2:13">
      <c r="B314" s="55" t="s">
        <v>710</v>
      </c>
      <c r="C314" s="55" t="s">
        <v>12</v>
      </c>
      <c r="D314" s="55" t="s">
        <v>890</v>
      </c>
      <c r="E314" s="55" t="s">
        <v>892</v>
      </c>
      <c r="F314" s="55" t="s">
        <v>5297</v>
      </c>
      <c r="G314" s="55" t="s">
        <v>5298</v>
      </c>
      <c r="H314" s="55" t="s">
        <v>56</v>
      </c>
      <c r="I314" s="55"/>
      <c r="J314" s="55" t="s">
        <v>5295</v>
      </c>
      <c r="K314" s="55" t="s">
        <v>20</v>
      </c>
      <c r="L314" s="57" t="str">
        <f>HYPERLINK("https://nycdoe.sharepoint.com/:w:/s/BAP/EajNAH3CXoBNhGTR6zvvHUQB6ifxetZv9YFf73p6UyVnrg", "5 out of 10")</f>
        <v>5 out of 10</v>
      </c>
      <c r="M314" t="s">
        <v>5296</v>
      </c>
    </row>
    <row r="315" spans="2:13">
      <c r="B315" s="55" t="s">
        <v>710</v>
      </c>
      <c r="C315" s="55" t="s">
        <v>12</v>
      </c>
      <c r="D315" s="55" t="s">
        <v>890</v>
      </c>
      <c r="E315" s="55" t="s">
        <v>890</v>
      </c>
      <c r="F315" s="55" t="s">
        <v>5299</v>
      </c>
      <c r="G315" s="55" t="s">
        <v>5300</v>
      </c>
      <c r="H315" s="55" t="s">
        <v>56</v>
      </c>
      <c r="I315" s="55"/>
      <c r="J315" s="55" t="s">
        <v>5295</v>
      </c>
      <c r="K315" s="55" t="s">
        <v>20</v>
      </c>
      <c r="L315" s="57" t="str">
        <f>HYPERLINK("https://nycdoe.sharepoint.com/:w:/s/BAP/EajNAH3CXoBNhGTR6zvvHUQB6ifxetZv9YFf73p6UyVnrg", "5 out of 10")</f>
        <v>5 out of 10</v>
      </c>
      <c r="M315" t="s">
        <v>5296</v>
      </c>
    </row>
    <row r="316" spans="2:13">
      <c r="B316" s="55" t="s">
        <v>710</v>
      </c>
      <c r="C316" s="55" t="s">
        <v>12</v>
      </c>
      <c r="D316" s="55" t="s">
        <v>897</v>
      </c>
      <c r="E316" s="55" t="s">
        <v>898</v>
      </c>
      <c r="F316" s="55" t="s">
        <v>5301</v>
      </c>
      <c r="G316" s="55" t="s">
        <v>5302</v>
      </c>
      <c r="H316" s="55" t="s">
        <v>24</v>
      </c>
      <c r="I316" s="55"/>
      <c r="J316" s="55" t="s">
        <v>5303</v>
      </c>
      <c r="K316" s="55" t="s">
        <v>62</v>
      </c>
      <c r="L316" s="57" t="str">
        <f>HYPERLINK("https://nycdoe.sharepoint.com/:w:/s/BAP/EdYpHLi3cGJArHrFRuRMyRcB7Y2fS0qKHbQhIik1GfU1_Q", "10 out of 10")</f>
        <v>10 out of 10</v>
      </c>
      <c r="M316" t="s">
        <v>5304</v>
      </c>
    </row>
    <row r="317" spans="2:13">
      <c r="B317" s="55" t="s">
        <v>710</v>
      </c>
      <c r="C317" s="55" t="s">
        <v>12</v>
      </c>
      <c r="D317" s="55" t="s">
        <v>897</v>
      </c>
      <c r="E317" s="55" t="s">
        <v>897</v>
      </c>
      <c r="F317" s="55" t="s">
        <v>5305</v>
      </c>
      <c r="G317" s="55" t="s">
        <v>5306</v>
      </c>
      <c r="H317" s="55" t="s">
        <v>24</v>
      </c>
      <c r="I317" s="55"/>
      <c r="J317" s="55" t="s">
        <v>5303</v>
      </c>
      <c r="K317" s="55" t="s">
        <v>62</v>
      </c>
      <c r="L317" s="57" t="str">
        <f>HYPERLINK("https://nycdoe.sharepoint.com/:w:/s/BAP/EdYpHLi3cGJArHrFRuRMyRcB7Y2fS0qKHbQhIik1GfU1_Q", "10 out of 10")</f>
        <v>10 out of 10</v>
      </c>
      <c r="M317" t="s">
        <v>5304</v>
      </c>
    </row>
    <row r="318" spans="2:13">
      <c r="B318" s="55" t="s">
        <v>710</v>
      </c>
      <c r="C318" s="55" t="s">
        <v>12</v>
      </c>
      <c r="D318" s="55" t="s">
        <v>897</v>
      </c>
      <c r="E318" s="55" t="s">
        <v>778</v>
      </c>
      <c r="F318" s="55" t="s">
        <v>5208</v>
      </c>
      <c r="G318" s="55" t="s">
        <v>780</v>
      </c>
      <c r="H318" s="55" t="s">
        <v>17</v>
      </c>
      <c r="I318" s="55" t="s">
        <v>18</v>
      </c>
      <c r="J318" s="55" t="s">
        <v>5303</v>
      </c>
      <c r="K318" s="55" t="s">
        <v>62</v>
      </c>
      <c r="L318" s="57" t="str">
        <f>HYPERLINK("https://nycdoe.sharepoint.com/:w:/s/BAP/EdYpHLi3cGJArHrFRuRMyRcB7Y2fS0qKHbQhIik1GfU1_Q", "10 out of 10")</f>
        <v>10 out of 10</v>
      </c>
      <c r="M318" t="s">
        <v>5304</v>
      </c>
    </row>
    <row r="319" spans="2:13">
      <c r="B319" s="55" t="s">
        <v>710</v>
      </c>
      <c r="C319" s="55" t="s">
        <v>12</v>
      </c>
      <c r="D319" s="55" t="s">
        <v>904</v>
      </c>
      <c r="E319" s="55" t="s">
        <v>592</v>
      </c>
      <c r="F319" s="55" t="s">
        <v>5038</v>
      </c>
      <c r="G319" s="55" t="s">
        <v>5039</v>
      </c>
      <c r="H319" s="55" t="s">
        <v>56</v>
      </c>
      <c r="I319" s="55"/>
      <c r="J319" s="55" t="s">
        <v>5307</v>
      </c>
      <c r="K319" s="55" t="s">
        <v>20</v>
      </c>
      <c r="L319" s="57" t="str">
        <f>HYPERLINK("https://nycdoe.sharepoint.com/:w:/s/BAP/Ec0KJn4J4GFHl3L-BrBVI04BaTNRvH6jKmcZJwjpK61fOg", "8 out of 10")</f>
        <v>8 out of 10</v>
      </c>
      <c r="M319" t="s">
        <v>5308</v>
      </c>
    </row>
    <row r="320" spans="2:13">
      <c r="B320" s="55" t="s">
        <v>710</v>
      </c>
      <c r="C320" s="55" t="s">
        <v>12</v>
      </c>
      <c r="D320" s="55" t="s">
        <v>906</v>
      </c>
      <c r="E320" s="55" t="s">
        <v>907</v>
      </c>
      <c r="F320" s="55" t="s">
        <v>5309</v>
      </c>
      <c r="G320" s="55" t="s">
        <v>5310</v>
      </c>
      <c r="H320" s="55" t="s">
        <v>56</v>
      </c>
      <c r="I320" s="55"/>
      <c r="J320" s="55" t="s">
        <v>5311</v>
      </c>
      <c r="K320" s="55" t="s">
        <v>62</v>
      </c>
      <c r="L320" s="57" t="str">
        <f>HYPERLINK("https://nycdoe.sharepoint.com/:w:/s/BAP/EZLQJtCUecVJrmB8HNWu_QIBWMz_u170vlObL6Ly8ExTgw", "9 out of 10")</f>
        <v>9 out of 10</v>
      </c>
      <c r="M320" t="s">
        <v>5312</v>
      </c>
    </row>
    <row r="321" spans="2:13">
      <c r="B321" s="55" t="s">
        <v>710</v>
      </c>
      <c r="C321" s="55" t="s">
        <v>12</v>
      </c>
      <c r="D321" s="55" t="s">
        <v>906</v>
      </c>
      <c r="E321" s="55" t="s">
        <v>911</v>
      </c>
      <c r="F321" s="55" t="s">
        <v>4526</v>
      </c>
      <c r="G321" s="55" t="s">
        <v>913</v>
      </c>
      <c r="H321" s="55" t="s">
        <v>84</v>
      </c>
      <c r="I321" s="55"/>
      <c r="J321" s="55" t="s">
        <v>5311</v>
      </c>
      <c r="K321" s="55" t="s">
        <v>62</v>
      </c>
      <c r="L321" s="57" t="str">
        <f>HYPERLINK("https://nycdoe.sharepoint.com/:w:/s/BAP/EZLQJtCUecVJrmB8HNWu_QIBWMz_u170vlObL6Ly8ExTgw", "9 out of 10")</f>
        <v>9 out of 10</v>
      </c>
      <c r="M321" t="s">
        <v>5312</v>
      </c>
    </row>
    <row r="322" spans="2:13">
      <c r="B322" s="55" t="s">
        <v>710</v>
      </c>
      <c r="C322" s="55" t="s">
        <v>12</v>
      </c>
      <c r="D322" s="55" t="s">
        <v>5313</v>
      </c>
      <c r="E322" s="55" t="s">
        <v>5314</v>
      </c>
      <c r="F322" s="55" t="s">
        <v>5315</v>
      </c>
      <c r="G322" s="55" t="s">
        <v>5316</v>
      </c>
      <c r="H322" s="55" t="s">
        <v>17</v>
      </c>
      <c r="I322" s="55" t="s">
        <v>18</v>
      </c>
      <c r="J322" s="55" t="s">
        <v>5317</v>
      </c>
      <c r="K322" s="55" t="s">
        <v>62</v>
      </c>
      <c r="L322" s="57" t="str">
        <f>HYPERLINK("https://nycdoe.sharepoint.com/:w:/s/BAP/EV2zh-06SMJNjOhecBytPNwBpNFNbXyHfIaG9U_Vs1QRZA", "10 out of 10")</f>
        <v>10 out of 10</v>
      </c>
      <c r="M322" t="s">
        <v>5318</v>
      </c>
    </row>
    <row r="323" spans="2:13">
      <c r="B323" s="55" t="s">
        <v>710</v>
      </c>
      <c r="C323" s="55" t="s">
        <v>12</v>
      </c>
      <c r="D323" s="55" t="s">
        <v>5319</v>
      </c>
      <c r="E323" s="55" t="s">
        <v>5153</v>
      </c>
      <c r="F323" s="55" t="s">
        <v>5154</v>
      </c>
      <c r="G323" s="55" t="s">
        <v>5155</v>
      </c>
      <c r="H323" s="55" t="s">
        <v>17</v>
      </c>
      <c r="I323" s="55" t="s">
        <v>18</v>
      </c>
      <c r="J323" s="55" t="s">
        <v>5156</v>
      </c>
      <c r="K323" s="55" t="s">
        <v>62</v>
      </c>
      <c r="L323" s="57" t="str">
        <f>HYPERLINK("https://nycdoe.sharepoint.com/:w:/s/BAP/EZqhkId7lXdKlxDzgFzRrPcBXjr7ibjjKwpmtK08hlcgOA", "10 out of 10")</f>
        <v>10 out of 10</v>
      </c>
      <c r="M323" t="s">
        <v>5320</v>
      </c>
    </row>
    <row r="324" spans="2:13">
      <c r="B324" s="55" t="s">
        <v>710</v>
      </c>
      <c r="C324" s="55" t="s">
        <v>12</v>
      </c>
      <c r="D324" s="55" t="s">
        <v>5321</v>
      </c>
      <c r="E324" s="55" t="s">
        <v>719</v>
      </c>
      <c r="F324" s="55" t="s">
        <v>5158</v>
      </c>
      <c r="G324" s="55" t="s">
        <v>5159</v>
      </c>
      <c r="H324" s="55" t="s">
        <v>24</v>
      </c>
      <c r="I324" s="55"/>
      <c r="J324" s="55" t="s">
        <v>5322</v>
      </c>
      <c r="K324" s="55" t="s">
        <v>62</v>
      </c>
      <c r="L324" s="57" t="str">
        <f>HYPERLINK("https://nycdoe.sharepoint.com/:w:/s/BAP/Ee9lw-yaQB9KlsjpgTbK92UBpRsOjxWZ98jdtw5Gxu_tpA", "10 out of 10")</f>
        <v>10 out of 10</v>
      </c>
      <c r="M324" t="s">
        <v>5323</v>
      </c>
    </row>
    <row r="325" spans="2:13">
      <c r="B325" s="55" t="s">
        <v>914</v>
      </c>
      <c r="C325" s="55" t="s">
        <v>12</v>
      </c>
      <c r="D325" s="55" t="s">
        <v>5324</v>
      </c>
      <c r="E325" s="55" t="s">
        <v>74</v>
      </c>
      <c r="F325" s="55" t="s">
        <v>4600</v>
      </c>
      <c r="G325" s="55" t="s">
        <v>76</v>
      </c>
      <c r="H325" s="55" t="s">
        <v>43</v>
      </c>
      <c r="I325" s="55" t="s">
        <v>18</v>
      </c>
      <c r="J325" s="55" t="s">
        <v>5325</v>
      </c>
      <c r="K325" s="55" t="s">
        <v>20</v>
      </c>
      <c r="L325" s="57" t="str">
        <f>HYPERLINK("https://nycdoe.sharepoint.com/:w:/s/BAP/ETco3UYlB55AqBDU87_WKWUBhA3SbfComph4M5tjUaGEyA", "1 out of 10")</f>
        <v>1 out of 10</v>
      </c>
      <c r="M325" t="s">
        <v>5326</v>
      </c>
    </row>
    <row r="326" spans="2:13">
      <c r="B326" s="55" t="s">
        <v>914</v>
      </c>
      <c r="C326" s="55" t="s">
        <v>12</v>
      </c>
      <c r="D326" s="55" t="s">
        <v>5324</v>
      </c>
      <c r="E326" s="55" t="s">
        <v>5324</v>
      </c>
      <c r="F326" s="55" t="s">
        <v>5327</v>
      </c>
      <c r="G326" s="55" t="s">
        <v>5328</v>
      </c>
      <c r="H326" s="55" t="s">
        <v>17</v>
      </c>
      <c r="I326" s="55" t="s">
        <v>18</v>
      </c>
      <c r="J326" s="55" t="s">
        <v>5325</v>
      </c>
      <c r="K326" s="55" t="s">
        <v>20</v>
      </c>
      <c r="L326" s="57" t="str">
        <f>HYPERLINK("https://nycdoe.sharepoint.com/:w:/s/BAP/ETco3UYlB55AqBDU87_WKWUBhA3SbfComph4M5tjUaGEyA", "1 out of 10")</f>
        <v>1 out of 10</v>
      </c>
      <c r="M326" t="s">
        <v>5326</v>
      </c>
    </row>
    <row r="327" spans="2:13">
      <c r="B327" s="55" t="s">
        <v>914</v>
      </c>
      <c r="C327" s="55" t="s">
        <v>12</v>
      </c>
      <c r="D327" s="55" t="s">
        <v>915</v>
      </c>
      <c r="E327" s="55" t="s">
        <v>911</v>
      </c>
      <c r="F327" s="55" t="s">
        <v>4526</v>
      </c>
      <c r="G327" s="55" t="s">
        <v>913</v>
      </c>
      <c r="H327" s="55" t="s">
        <v>84</v>
      </c>
      <c r="I327" s="55"/>
      <c r="J327" s="55" t="s">
        <v>5329</v>
      </c>
      <c r="K327" s="55" t="s">
        <v>62</v>
      </c>
      <c r="L327" s="57" t="str">
        <f>HYPERLINK("https://nycdoe.sharepoint.com/:w:/s/BAP/ET52hvelqQZCm__7saWGCeYBI9ISiy01l4rupmlx6yqO3g", "9 out of 10")</f>
        <v>9 out of 10</v>
      </c>
      <c r="M327" t="s">
        <v>5330</v>
      </c>
    </row>
    <row r="328" spans="2:13">
      <c r="B328" s="55" t="s">
        <v>914</v>
      </c>
      <c r="C328" s="55" t="s">
        <v>12</v>
      </c>
      <c r="D328" s="55" t="s">
        <v>917</v>
      </c>
      <c r="E328" s="55" t="s">
        <v>21</v>
      </c>
      <c r="F328" s="55" t="s">
        <v>4453</v>
      </c>
      <c r="G328" s="55" t="s">
        <v>4454</v>
      </c>
      <c r="H328" s="55" t="s">
        <v>24</v>
      </c>
      <c r="I328" s="55" t="s">
        <v>18</v>
      </c>
      <c r="J328" s="55" t="s">
        <v>5331</v>
      </c>
      <c r="K328" s="55" t="s">
        <v>20</v>
      </c>
      <c r="L328" s="57" t="str">
        <f>HYPERLINK("https://nycdoe.sharepoint.com/:w:/s/BAP/ERKLjFeS-uxOsURUNKmUsikBRplsLFDZPw-r0ncq1gEypw", "4 out of 10")</f>
        <v>4 out of 10</v>
      </c>
      <c r="M328" t="s">
        <v>5332</v>
      </c>
    </row>
    <row r="329" spans="2:13">
      <c r="B329" s="55" t="s">
        <v>914</v>
      </c>
      <c r="C329" s="55" t="s">
        <v>12</v>
      </c>
      <c r="D329" s="55" t="s">
        <v>917</v>
      </c>
      <c r="E329" s="55" t="s">
        <v>919</v>
      </c>
      <c r="F329" s="55" t="s">
        <v>5333</v>
      </c>
      <c r="G329" s="55" t="s">
        <v>921</v>
      </c>
      <c r="H329" s="55" t="s">
        <v>17</v>
      </c>
      <c r="I329" s="55" t="s">
        <v>18</v>
      </c>
      <c r="J329" s="55" t="s">
        <v>5331</v>
      </c>
      <c r="K329" s="55" t="s">
        <v>20</v>
      </c>
      <c r="L329" s="57" t="str">
        <f>HYPERLINK("https://nycdoe.sharepoint.com/:w:/s/BAP/ERKLjFeS-uxOsURUNKmUsikBRplsLFDZPw-r0ncq1gEypw", "4 out of 10")</f>
        <v>4 out of 10</v>
      </c>
      <c r="M329" t="s">
        <v>5332</v>
      </c>
    </row>
    <row r="330" spans="2:13">
      <c r="B330" s="55" t="s">
        <v>914</v>
      </c>
      <c r="C330" s="55" t="s">
        <v>12</v>
      </c>
      <c r="D330" s="55" t="s">
        <v>922</v>
      </c>
      <c r="E330" s="55" t="s">
        <v>923</v>
      </c>
      <c r="F330" s="55" t="s">
        <v>5334</v>
      </c>
      <c r="G330" s="55" t="s">
        <v>5335</v>
      </c>
      <c r="H330" s="55" t="s">
        <v>56</v>
      </c>
      <c r="I330" s="55"/>
      <c r="J330" s="55" t="s">
        <v>5336</v>
      </c>
      <c r="K330" s="55" t="s">
        <v>62</v>
      </c>
      <c r="L330" s="57" t="str">
        <f>HYPERLINK("https://nycdoe.sharepoint.com/:w:/s/BAP/EU0G_D8FUc1AlloJaXmAXj0BAsoO3qUkGVJN344edSO9KQ", "9 out of 10")</f>
        <v>9 out of 10</v>
      </c>
      <c r="M330" t="s">
        <v>5337</v>
      </c>
    </row>
    <row r="331" spans="2:13">
      <c r="B331" s="55" t="s">
        <v>914</v>
      </c>
      <c r="C331" s="55" t="s">
        <v>12</v>
      </c>
      <c r="D331" s="55" t="s">
        <v>922</v>
      </c>
      <c r="E331" s="55" t="s">
        <v>364</v>
      </c>
      <c r="F331" s="55" t="s">
        <v>4813</v>
      </c>
      <c r="G331" s="55" t="s">
        <v>366</v>
      </c>
      <c r="H331" s="55" t="s">
        <v>43</v>
      </c>
      <c r="I331" s="55"/>
      <c r="J331" s="55" t="s">
        <v>5336</v>
      </c>
      <c r="K331" s="55" t="s">
        <v>62</v>
      </c>
      <c r="L331" s="57" t="str">
        <f>HYPERLINK("https://nycdoe.sharepoint.com/:w:/s/BAP/EU0G_D8FUc1AlloJaXmAXj0BAsoO3qUkGVJN344edSO9KQ", "9 out of 10")</f>
        <v>9 out of 10</v>
      </c>
      <c r="M331" t="s">
        <v>5337</v>
      </c>
    </row>
    <row r="332" spans="2:13">
      <c r="B332" s="55" t="s">
        <v>914</v>
      </c>
      <c r="C332" s="55" t="s">
        <v>12</v>
      </c>
      <c r="D332" s="55" t="s">
        <v>927</v>
      </c>
      <c r="E332" s="55" t="s">
        <v>928</v>
      </c>
      <c r="F332" s="55" t="s">
        <v>5338</v>
      </c>
      <c r="G332" s="55" t="s">
        <v>5339</v>
      </c>
      <c r="H332" s="55" t="s">
        <v>17</v>
      </c>
      <c r="I332" s="55" t="s">
        <v>18</v>
      </c>
      <c r="J332" s="55" t="s">
        <v>5340</v>
      </c>
      <c r="K332" s="55" t="s">
        <v>20</v>
      </c>
      <c r="L332" s="57" t="str">
        <f>HYPERLINK("https://nycdoe.sharepoint.com/:w:/s/BAP/ERJJySPLjgRLkFqBUyBOkgwBeknyHJfZXRvmhGJuJJv6UQ", "8 out of 10")</f>
        <v>8 out of 10</v>
      </c>
      <c r="M332" t="s">
        <v>5341</v>
      </c>
    </row>
    <row r="333" spans="2:13">
      <c r="B333" s="55" t="s">
        <v>914</v>
      </c>
      <c r="C333" s="55" t="s">
        <v>12</v>
      </c>
      <c r="D333" s="55" t="s">
        <v>927</v>
      </c>
      <c r="E333" s="55" t="s">
        <v>932</v>
      </c>
      <c r="F333" s="55" t="s">
        <v>5342</v>
      </c>
      <c r="G333" s="55" t="s">
        <v>934</v>
      </c>
      <c r="H333" s="55" t="s">
        <v>17</v>
      </c>
      <c r="I333" s="55" t="s">
        <v>18</v>
      </c>
      <c r="J333" s="55" t="s">
        <v>5340</v>
      </c>
      <c r="K333" s="55" t="s">
        <v>20</v>
      </c>
      <c r="L333" s="57" t="str">
        <f>HYPERLINK("https://nycdoe.sharepoint.com/:w:/s/BAP/ERJJySPLjgRLkFqBUyBOkgwBeknyHJfZXRvmhGJuJJv6UQ", "8 out of 10")</f>
        <v>8 out of 10</v>
      </c>
      <c r="M333" t="s">
        <v>5341</v>
      </c>
    </row>
    <row r="334" spans="2:13">
      <c r="B334" s="55" t="s">
        <v>914</v>
      </c>
      <c r="C334" s="55" t="s">
        <v>12</v>
      </c>
      <c r="D334" s="55" t="s">
        <v>927</v>
      </c>
      <c r="E334" s="55" t="s">
        <v>935</v>
      </c>
      <c r="F334" s="55" t="s">
        <v>5343</v>
      </c>
      <c r="G334" s="55" t="s">
        <v>5344</v>
      </c>
      <c r="H334" s="55" t="s">
        <v>17</v>
      </c>
      <c r="I334" s="55" t="s">
        <v>18</v>
      </c>
      <c r="J334" s="55" t="s">
        <v>5340</v>
      </c>
      <c r="K334" s="55" t="s">
        <v>20</v>
      </c>
      <c r="L334" s="57" t="str">
        <f>HYPERLINK("https://nycdoe.sharepoint.com/:w:/s/BAP/ERJJySPLjgRLkFqBUyBOkgwBeknyHJfZXRvmhGJuJJv6UQ", "8 out of 10")</f>
        <v>8 out of 10</v>
      </c>
      <c r="M334" t="s">
        <v>5341</v>
      </c>
    </row>
    <row r="335" spans="2:13">
      <c r="B335" s="55" t="s">
        <v>914</v>
      </c>
      <c r="C335" s="55" t="s">
        <v>12</v>
      </c>
      <c r="D335" s="55" t="s">
        <v>938</v>
      </c>
      <c r="E335" s="55" t="s">
        <v>939</v>
      </c>
      <c r="F335" s="55" t="s">
        <v>5345</v>
      </c>
      <c r="G335" s="55" t="s">
        <v>5346</v>
      </c>
      <c r="H335" s="55" t="s">
        <v>52</v>
      </c>
      <c r="I335" s="55"/>
      <c r="J335" s="55" t="s">
        <v>5347</v>
      </c>
      <c r="K335" s="55" t="s">
        <v>20</v>
      </c>
      <c r="L335" s="57" t="str">
        <f>HYPERLINK("https://nycdoe.sharepoint.com/:w:/s/BAP/EeFKl5hl5DVMpUbtQ4OPz-MB84iIQmubxg-Smshjm8e0Jg", "1 out of 10")</f>
        <v>1 out of 10</v>
      </c>
      <c r="M335" t="s">
        <v>5348</v>
      </c>
    </row>
    <row r="336" spans="2:13">
      <c r="B336" s="55" t="s">
        <v>914</v>
      </c>
      <c r="C336" s="55" t="s">
        <v>12</v>
      </c>
      <c r="D336" s="55" t="s">
        <v>938</v>
      </c>
      <c r="E336" s="55" t="s">
        <v>943</v>
      </c>
      <c r="F336" s="55" t="s">
        <v>5349</v>
      </c>
      <c r="G336" s="55" t="s">
        <v>5350</v>
      </c>
      <c r="H336" s="55" t="s">
        <v>52</v>
      </c>
      <c r="I336" s="55"/>
      <c r="J336" s="55" t="s">
        <v>5347</v>
      </c>
      <c r="K336" s="55" t="s">
        <v>20</v>
      </c>
      <c r="L336" s="57" t="str">
        <f>HYPERLINK("https://nycdoe.sharepoint.com/:w:/s/BAP/EeFKl5hl5DVMpUbtQ4OPz-MB84iIQmubxg-Smshjm8e0Jg", "1 out of 10")</f>
        <v>1 out of 10</v>
      </c>
      <c r="M336" t="s">
        <v>5348</v>
      </c>
    </row>
    <row r="337" spans="2:13">
      <c r="B337" s="55" t="s">
        <v>914</v>
      </c>
      <c r="C337" s="55" t="s">
        <v>12</v>
      </c>
      <c r="D337" s="55" t="s">
        <v>938</v>
      </c>
      <c r="E337" s="55" t="s">
        <v>946</v>
      </c>
      <c r="F337" s="55" t="s">
        <v>5351</v>
      </c>
      <c r="G337" s="55" t="s">
        <v>5352</v>
      </c>
      <c r="H337" s="55" t="s">
        <v>24</v>
      </c>
      <c r="I337" s="55"/>
      <c r="J337" s="55" t="s">
        <v>5347</v>
      </c>
      <c r="K337" s="55" t="s">
        <v>20</v>
      </c>
      <c r="L337" s="57" t="str">
        <f>HYPERLINK("https://nycdoe.sharepoint.com/:w:/s/BAP/EeFKl5hl5DVMpUbtQ4OPz-MB84iIQmubxg-Smshjm8e0Jg", "1 out of 10")</f>
        <v>1 out of 10</v>
      </c>
      <c r="M337" t="s">
        <v>5348</v>
      </c>
    </row>
    <row r="338" spans="2:13">
      <c r="B338" s="55" t="s">
        <v>914</v>
      </c>
      <c r="C338" s="55" t="s">
        <v>12</v>
      </c>
      <c r="D338" s="55" t="s">
        <v>949</v>
      </c>
      <c r="E338" s="55" t="s">
        <v>949</v>
      </c>
      <c r="F338" s="55" t="s">
        <v>5353</v>
      </c>
      <c r="G338" s="55" t="s">
        <v>5354</v>
      </c>
      <c r="H338" s="55" t="s">
        <v>52</v>
      </c>
      <c r="I338" s="55"/>
      <c r="J338" s="55" t="s">
        <v>5355</v>
      </c>
      <c r="K338" s="55" t="s">
        <v>20</v>
      </c>
      <c r="L338" s="57" t="str">
        <f>HYPERLINK("https://nycdoe.sharepoint.com/:w:/s/BAP/EfNl9YScSBtCuJQgOtUvN9IB1nTztmKMDTqsdnLfvpUj6g", "1 out of 10")</f>
        <v>1 out of 10</v>
      </c>
      <c r="M338" t="s">
        <v>5356</v>
      </c>
    </row>
    <row r="339" spans="2:13">
      <c r="B339" s="55" t="s">
        <v>914</v>
      </c>
      <c r="C339" s="55" t="s">
        <v>12</v>
      </c>
      <c r="D339" s="55" t="s">
        <v>949</v>
      </c>
      <c r="E339" s="55" t="s">
        <v>953</v>
      </c>
      <c r="F339" s="55" t="s">
        <v>5357</v>
      </c>
      <c r="G339" s="55" t="s">
        <v>5358</v>
      </c>
      <c r="H339" s="55" t="s">
        <v>52</v>
      </c>
      <c r="I339" s="55"/>
      <c r="J339" s="55" t="s">
        <v>5355</v>
      </c>
      <c r="K339" s="55" t="s">
        <v>20</v>
      </c>
      <c r="L339" s="57" t="str">
        <f>HYPERLINK("https://nycdoe.sharepoint.com/:w:/s/BAP/EfNl9YScSBtCuJQgOtUvN9IB1nTztmKMDTqsdnLfvpUj6g", "1 out of 10")</f>
        <v>1 out of 10</v>
      </c>
      <c r="M339" t="s">
        <v>5356</v>
      </c>
    </row>
    <row r="340" spans="2:13">
      <c r="B340" s="55" t="s">
        <v>914</v>
      </c>
      <c r="C340" s="55" t="s">
        <v>12</v>
      </c>
      <c r="D340" s="55" t="s">
        <v>956</v>
      </c>
      <c r="E340" s="55" t="s">
        <v>244</v>
      </c>
      <c r="F340" s="55" t="s">
        <v>4660</v>
      </c>
      <c r="G340" s="55" t="s">
        <v>4661</v>
      </c>
      <c r="H340" s="55" t="s">
        <v>24</v>
      </c>
      <c r="I340" s="55"/>
      <c r="J340" s="55" t="s">
        <v>5359</v>
      </c>
      <c r="K340" s="55" t="s">
        <v>20</v>
      </c>
      <c r="L340" s="57" t="str">
        <f>HYPERLINK("https://nycdoe.sharepoint.com/:w:/s/BAP/ERlkk4SxFpJMrmMDkr0mW20BA51wMXPLoGT_81Xf4Sm6Mw", "1 out of 10")</f>
        <v>1 out of 10</v>
      </c>
      <c r="M340" t="s">
        <v>5360</v>
      </c>
    </row>
    <row r="341" spans="2:13">
      <c r="B341" s="55" t="s">
        <v>914</v>
      </c>
      <c r="C341" s="55" t="s">
        <v>12</v>
      </c>
      <c r="D341" s="55" t="s">
        <v>958</v>
      </c>
      <c r="E341" s="55" t="s">
        <v>959</v>
      </c>
      <c r="F341" s="55" t="s">
        <v>5361</v>
      </c>
      <c r="G341" s="55" t="s">
        <v>5362</v>
      </c>
      <c r="H341" s="55" t="s">
        <v>84</v>
      </c>
      <c r="I341" s="55"/>
      <c r="J341" s="55" t="s">
        <v>5363</v>
      </c>
      <c r="K341" s="55" t="s">
        <v>62</v>
      </c>
      <c r="L341" s="57" t="str">
        <f>HYPERLINK("https://nycdoe.sharepoint.com/:w:/s/BAP/ETR-SsA7jgdBqbhGHHDFLRgBYF7Jy_9BifIMOg9xif1JYQ", "9 out of 10")</f>
        <v>9 out of 10</v>
      </c>
      <c r="M341" t="s">
        <v>5364</v>
      </c>
    </row>
    <row r="342" spans="2:13">
      <c r="B342" s="55" t="s">
        <v>914</v>
      </c>
      <c r="C342" s="55" t="s">
        <v>12</v>
      </c>
      <c r="D342" s="55" t="s">
        <v>958</v>
      </c>
      <c r="E342" s="55" t="s">
        <v>963</v>
      </c>
      <c r="F342" s="55" t="s">
        <v>5365</v>
      </c>
      <c r="G342" s="55" t="s">
        <v>5366</v>
      </c>
      <c r="H342" s="55" t="s">
        <v>56</v>
      </c>
      <c r="I342" s="55"/>
      <c r="J342" s="55" t="s">
        <v>5363</v>
      </c>
      <c r="K342" s="55" t="s">
        <v>62</v>
      </c>
      <c r="L342" s="57" t="str">
        <f>HYPERLINK("https://nycdoe.sharepoint.com/:w:/s/BAP/ETR-SsA7jgdBqbhGHHDFLRgBYF7Jy_9BifIMOg9xif1JYQ", "9 out of 10")</f>
        <v>9 out of 10</v>
      </c>
      <c r="M342" t="s">
        <v>5364</v>
      </c>
    </row>
    <row r="343" spans="2:13">
      <c r="B343" s="55" t="s">
        <v>914</v>
      </c>
      <c r="C343" s="55" t="s">
        <v>12</v>
      </c>
      <c r="D343" s="55" t="s">
        <v>958</v>
      </c>
      <c r="E343" s="55" t="s">
        <v>966</v>
      </c>
      <c r="F343" s="55" t="s">
        <v>5367</v>
      </c>
      <c r="G343" s="55" t="s">
        <v>5368</v>
      </c>
      <c r="H343" s="55" t="s">
        <v>84</v>
      </c>
      <c r="I343" s="55"/>
      <c r="J343" s="55" t="s">
        <v>5363</v>
      </c>
      <c r="K343" s="55" t="s">
        <v>62</v>
      </c>
      <c r="L343" s="57" t="str">
        <f>HYPERLINK("https://nycdoe.sharepoint.com/:w:/s/BAP/ETR-SsA7jgdBqbhGHHDFLRgBYF7Jy_9BifIMOg9xif1JYQ", "9 out of 10")</f>
        <v>9 out of 10</v>
      </c>
      <c r="M343" t="s">
        <v>5364</v>
      </c>
    </row>
    <row r="344" spans="2:13">
      <c r="B344" s="55" t="s">
        <v>914</v>
      </c>
      <c r="C344" s="55" t="s">
        <v>12</v>
      </c>
      <c r="D344" s="55" t="s">
        <v>969</v>
      </c>
      <c r="E344" s="55" t="s">
        <v>970</v>
      </c>
      <c r="F344" s="55" t="s">
        <v>5369</v>
      </c>
      <c r="G344" s="55" t="s">
        <v>972</v>
      </c>
      <c r="H344" s="55" t="s">
        <v>24</v>
      </c>
      <c r="I344" s="55" t="s">
        <v>18</v>
      </c>
      <c r="J344" s="55" t="s">
        <v>5370</v>
      </c>
      <c r="K344" s="55" t="s">
        <v>62</v>
      </c>
      <c r="L344" s="57" t="str">
        <f>HYPERLINK("https://nycdoe.sharepoint.com/:w:/s/BAP/ETXD6mZPo9dIqm4VTxJI-TwBDJEJv2oEwSBxmxUQa-y3ew", "9 out of 10")</f>
        <v>9 out of 10</v>
      </c>
      <c r="M344" t="s">
        <v>5371</v>
      </c>
    </row>
    <row r="345" spans="2:13">
      <c r="B345" s="55" t="s">
        <v>914</v>
      </c>
      <c r="C345" s="55" t="s">
        <v>12</v>
      </c>
      <c r="D345" s="55" t="s">
        <v>969</v>
      </c>
      <c r="E345" s="55" t="s">
        <v>974</v>
      </c>
      <c r="F345" s="55" t="s">
        <v>5372</v>
      </c>
      <c r="G345" s="55" t="s">
        <v>5373</v>
      </c>
      <c r="H345" s="55" t="s">
        <v>52</v>
      </c>
      <c r="I345" s="55"/>
      <c r="J345" s="55" t="s">
        <v>5370</v>
      </c>
      <c r="K345" s="55" t="s">
        <v>62</v>
      </c>
      <c r="L345" s="57" t="str">
        <f>HYPERLINK("https://nycdoe.sharepoint.com/:w:/s/BAP/ETXD6mZPo9dIqm4VTxJI-TwBDJEJv2oEwSBxmxUQa-y3ew", "9 out of 10")</f>
        <v>9 out of 10</v>
      </c>
      <c r="M345" t="s">
        <v>5371</v>
      </c>
    </row>
    <row r="346" spans="2:13">
      <c r="B346" s="55" t="s">
        <v>914</v>
      </c>
      <c r="C346" s="55" t="s">
        <v>12</v>
      </c>
      <c r="D346" s="55" t="s">
        <v>977</v>
      </c>
      <c r="E346" s="55" t="s">
        <v>978</v>
      </c>
      <c r="F346" s="55" t="s">
        <v>5374</v>
      </c>
      <c r="G346" s="55" t="s">
        <v>5375</v>
      </c>
      <c r="H346" s="55" t="s">
        <v>24</v>
      </c>
      <c r="I346" s="55"/>
      <c r="J346" s="55" t="s">
        <v>5376</v>
      </c>
      <c r="K346" s="55" t="s">
        <v>62</v>
      </c>
      <c r="L346" s="57" t="str">
        <f>HYPERLINK("https://nycdoe.sharepoint.com/:w:/s/BAP/EbU_pOxA7yRIga33OFiZbEUB9JPsHjqkULjeCkleGTxVVQ", "9 out of 10")</f>
        <v>9 out of 10</v>
      </c>
      <c r="M346" t="s">
        <v>5377</v>
      </c>
    </row>
    <row r="347" spans="2:13">
      <c r="B347" s="55" t="s">
        <v>914</v>
      </c>
      <c r="C347" s="55" t="s">
        <v>12</v>
      </c>
      <c r="D347" s="55" t="s">
        <v>977</v>
      </c>
      <c r="E347" s="55" t="s">
        <v>555</v>
      </c>
      <c r="F347" s="55" t="s">
        <v>5378</v>
      </c>
      <c r="G347" s="55" t="s">
        <v>983</v>
      </c>
      <c r="H347" s="55" t="s">
        <v>17</v>
      </c>
      <c r="I347" s="55" t="s">
        <v>18</v>
      </c>
      <c r="J347" s="55" t="s">
        <v>5376</v>
      </c>
      <c r="K347" s="55" t="s">
        <v>62</v>
      </c>
      <c r="L347" s="57" t="str">
        <f>HYPERLINK("https://nycdoe.sharepoint.com/:w:/s/BAP/EbU_pOxA7yRIga33OFiZbEUB9JPsHjqkULjeCkleGTxVVQ", "9 out of 10")</f>
        <v>9 out of 10</v>
      </c>
      <c r="M347" t="s">
        <v>5377</v>
      </c>
    </row>
    <row r="348" spans="2:13">
      <c r="B348" s="55" t="s">
        <v>914</v>
      </c>
      <c r="C348" s="55" t="s">
        <v>12</v>
      </c>
      <c r="D348" s="55" t="s">
        <v>977</v>
      </c>
      <c r="E348" s="55" t="s">
        <v>984</v>
      </c>
      <c r="F348" s="55" t="s">
        <v>5379</v>
      </c>
      <c r="G348" s="55" t="s">
        <v>5380</v>
      </c>
      <c r="H348" s="55" t="s">
        <v>52</v>
      </c>
      <c r="I348" s="55"/>
      <c r="J348" s="55" t="s">
        <v>5376</v>
      </c>
      <c r="K348" s="55" t="s">
        <v>62</v>
      </c>
      <c r="L348" s="57" t="str">
        <f>HYPERLINK("https://nycdoe.sharepoint.com/:w:/s/BAP/EbU_pOxA7yRIga33OFiZbEUB9JPsHjqkULjeCkleGTxVVQ", "9 out of 10")</f>
        <v>9 out of 10</v>
      </c>
      <c r="M348" t="s">
        <v>5377</v>
      </c>
    </row>
    <row r="349" spans="2:13">
      <c r="B349" s="55" t="s">
        <v>914</v>
      </c>
      <c r="C349" s="55" t="s">
        <v>12</v>
      </c>
      <c r="D349" s="55" t="s">
        <v>987</v>
      </c>
      <c r="E349" s="55" t="s">
        <v>126</v>
      </c>
      <c r="F349" s="55" t="s">
        <v>4569</v>
      </c>
      <c r="G349" s="55" t="s">
        <v>128</v>
      </c>
      <c r="H349" s="55" t="s">
        <v>43</v>
      </c>
      <c r="I349" s="55" t="s">
        <v>18</v>
      </c>
      <c r="J349" s="55" t="s">
        <v>5381</v>
      </c>
      <c r="K349" s="55" t="s">
        <v>20</v>
      </c>
      <c r="L349" s="57" t="str">
        <f>HYPERLINK("https://nycdoe.sharepoint.com/:w:/s/BAP/EYHfYd4rNi9Kj5ldUKA3aY8BWjnBZGvU3tGnSLUNWY6ANw", "1 out of 10")</f>
        <v>1 out of 10</v>
      </c>
      <c r="M349" t="s">
        <v>5382</v>
      </c>
    </row>
    <row r="350" spans="2:13">
      <c r="B350" s="55" t="s">
        <v>914</v>
      </c>
      <c r="C350" s="55" t="s">
        <v>12</v>
      </c>
      <c r="D350" s="55" t="s">
        <v>987</v>
      </c>
      <c r="E350" s="55" t="s">
        <v>989</v>
      </c>
      <c r="F350" s="55" t="s">
        <v>5383</v>
      </c>
      <c r="G350" s="55" t="s">
        <v>5384</v>
      </c>
      <c r="H350" s="55" t="s">
        <v>17</v>
      </c>
      <c r="I350" s="55" t="s">
        <v>18</v>
      </c>
      <c r="J350" s="55" t="s">
        <v>5381</v>
      </c>
      <c r="K350" s="55" t="s">
        <v>20</v>
      </c>
      <c r="L350" s="57" t="str">
        <f>HYPERLINK("https://nycdoe.sharepoint.com/:w:/s/BAP/EYHfYd4rNi9Kj5ldUKA3aY8BWjnBZGvU3tGnSLUNWY6ANw", "1 out of 10")</f>
        <v>1 out of 10</v>
      </c>
      <c r="M350" t="s">
        <v>5382</v>
      </c>
    </row>
    <row r="351" spans="2:13">
      <c r="B351" s="55" t="s">
        <v>914</v>
      </c>
      <c r="C351" s="55" t="s">
        <v>12</v>
      </c>
      <c r="D351" s="55" t="s">
        <v>987</v>
      </c>
      <c r="E351" s="55" t="s">
        <v>992</v>
      </c>
      <c r="F351" s="55" t="s">
        <v>5385</v>
      </c>
      <c r="G351" s="55" t="s">
        <v>5386</v>
      </c>
      <c r="H351" s="55" t="s">
        <v>995</v>
      </c>
      <c r="I351" s="55"/>
      <c r="J351" s="55" t="s">
        <v>5381</v>
      </c>
      <c r="K351" s="55" t="s">
        <v>20</v>
      </c>
      <c r="L351" s="57" t="str">
        <f>HYPERLINK("https://nycdoe.sharepoint.com/:w:/s/BAP/EYHfYd4rNi9Kj5ldUKA3aY8BWjnBZGvU3tGnSLUNWY6ANw", "1 out of 10")</f>
        <v>1 out of 10</v>
      </c>
      <c r="M351" t="s">
        <v>5382</v>
      </c>
    </row>
    <row r="352" spans="2:13">
      <c r="B352" s="55" t="s">
        <v>914</v>
      </c>
      <c r="C352" s="55" t="s">
        <v>12</v>
      </c>
      <c r="D352" s="55" t="s">
        <v>996</v>
      </c>
      <c r="E352" s="55" t="s">
        <v>74</v>
      </c>
      <c r="F352" s="55" t="s">
        <v>4600</v>
      </c>
      <c r="G352" s="55" t="s">
        <v>76</v>
      </c>
      <c r="H352" s="55" t="s">
        <v>43</v>
      </c>
      <c r="I352" s="55" t="s">
        <v>18</v>
      </c>
      <c r="J352" s="55" t="s">
        <v>5387</v>
      </c>
      <c r="K352" s="55" t="s">
        <v>20</v>
      </c>
      <c r="L352" s="57" t="str">
        <f>HYPERLINK("https://nycdoe.sharepoint.com/:w:/s/BAP/EasI7SuaU3NCqdySh40AUnwBHNxODWdxVMsL8uWVH-FZDQ", "1 out of 10")</f>
        <v>1 out of 10</v>
      </c>
      <c r="M352" t="s">
        <v>5388</v>
      </c>
    </row>
    <row r="353" spans="2:13">
      <c r="B353" s="55" t="s">
        <v>914</v>
      </c>
      <c r="C353" s="55" t="s">
        <v>12</v>
      </c>
      <c r="D353" s="55" t="s">
        <v>996</v>
      </c>
      <c r="E353" s="55" t="s">
        <v>998</v>
      </c>
      <c r="F353" s="55" t="s">
        <v>5389</v>
      </c>
      <c r="G353" s="55" t="s">
        <v>5390</v>
      </c>
      <c r="H353" s="55" t="s">
        <v>17</v>
      </c>
      <c r="I353" s="55" t="s">
        <v>18</v>
      </c>
      <c r="J353" s="55" t="s">
        <v>5387</v>
      </c>
      <c r="K353" s="55" t="s">
        <v>20</v>
      </c>
      <c r="L353" s="57" t="str">
        <f>HYPERLINK("https://nycdoe.sharepoint.com/:w:/s/BAP/EasI7SuaU3NCqdySh40AUnwBHNxODWdxVMsL8uWVH-FZDQ", "1 out of 10")</f>
        <v>1 out of 10</v>
      </c>
      <c r="M353" t="s">
        <v>5388</v>
      </c>
    </row>
    <row r="354" spans="2:13">
      <c r="B354" s="55" t="s">
        <v>914</v>
      </c>
      <c r="C354" s="55" t="s">
        <v>12</v>
      </c>
      <c r="D354" s="55" t="s">
        <v>839</v>
      </c>
      <c r="E354" s="55" t="s">
        <v>5391</v>
      </c>
      <c r="F354" s="55" t="s">
        <v>5392</v>
      </c>
      <c r="G354" s="55" t="s">
        <v>5393</v>
      </c>
      <c r="H354" s="55" t="s">
        <v>17</v>
      </c>
      <c r="I354" s="55" t="s">
        <v>18</v>
      </c>
      <c r="J354" s="55" t="s">
        <v>5394</v>
      </c>
      <c r="K354" s="55" t="s">
        <v>62</v>
      </c>
      <c r="L354" s="57" t="str">
        <f>HYPERLINK("https://nycdoe.sharepoint.com/:w:/s/BAP/EfWOXBIQc_RJjBLUNDYQPCoBmIkSSSl21WJQKE_DESXD9w", "10 out of 10")</f>
        <v>10 out of 10</v>
      </c>
      <c r="M354" t="s">
        <v>5395</v>
      </c>
    </row>
    <row r="355" spans="2:13">
      <c r="B355" s="55" t="s">
        <v>914</v>
      </c>
      <c r="C355" s="55" t="s">
        <v>12</v>
      </c>
      <c r="D355" s="55" t="s">
        <v>5396</v>
      </c>
      <c r="E355" s="55" t="s">
        <v>193</v>
      </c>
      <c r="F355" s="55" t="s">
        <v>4621</v>
      </c>
      <c r="G355" s="55" t="s">
        <v>4622</v>
      </c>
      <c r="H355" s="55" t="s">
        <v>84</v>
      </c>
      <c r="I355" s="55"/>
      <c r="J355" s="55" t="s">
        <v>5397</v>
      </c>
      <c r="K355" s="55" t="s">
        <v>62</v>
      </c>
      <c r="L355" s="57" t="str">
        <f>HYPERLINK("https://nycdoe.sharepoint.com/:w:/s/BAP/EV3kA7nfwelHqgpDGJjnPHsBGvXnTnsydsrajOHLt8p0Gw", "10 out of 10")</f>
        <v>10 out of 10</v>
      </c>
      <c r="M355" t="s">
        <v>5398</v>
      </c>
    </row>
    <row r="356" spans="2:13">
      <c r="B356" s="55" t="s">
        <v>914</v>
      </c>
      <c r="C356" s="55" t="s">
        <v>12</v>
      </c>
      <c r="D356" s="55" t="s">
        <v>1001</v>
      </c>
      <c r="E356" s="55" t="s">
        <v>1002</v>
      </c>
      <c r="F356" s="55" t="s">
        <v>5399</v>
      </c>
      <c r="G356" s="55" t="s">
        <v>5400</v>
      </c>
      <c r="H356" s="55" t="s">
        <v>56</v>
      </c>
      <c r="I356" s="55"/>
      <c r="J356" s="55" t="s">
        <v>5401</v>
      </c>
      <c r="K356" s="55" t="s">
        <v>20</v>
      </c>
      <c r="L356" s="57" t="str">
        <f>HYPERLINK("https://nycdoe.sharepoint.com/:w:/s/BAP/EZuVEmE3jApBqd5AHJiDmyABh27uHCkL_bK3FcHWnYVubg", "7 out of 10")</f>
        <v>7 out of 10</v>
      </c>
      <c r="M356" t="s">
        <v>5402</v>
      </c>
    </row>
    <row r="357" spans="2:13">
      <c r="B357" s="55" t="s">
        <v>914</v>
      </c>
      <c r="C357" s="55" t="s">
        <v>12</v>
      </c>
      <c r="D357" s="55" t="s">
        <v>1001</v>
      </c>
      <c r="E357" s="55" t="s">
        <v>1006</v>
      </c>
      <c r="F357" s="55" t="s">
        <v>5403</v>
      </c>
      <c r="G357" s="55" t="s">
        <v>5404</v>
      </c>
      <c r="H357" s="55" t="s">
        <v>56</v>
      </c>
      <c r="I357" s="55"/>
      <c r="J357" s="55" t="s">
        <v>5401</v>
      </c>
      <c r="K357" s="55" t="s">
        <v>20</v>
      </c>
      <c r="L357" s="57" t="str">
        <f>HYPERLINK("https://nycdoe.sharepoint.com/:w:/s/BAP/EZuVEmE3jApBqd5AHJiDmyABh27uHCkL_bK3FcHWnYVubg", "7 out of 10")</f>
        <v>7 out of 10</v>
      </c>
      <c r="M357" t="s">
        <v>5402</v>
      </c>
    </row>
    <row r="358" spans="2:13">
      <c r="B358" s="55" t="s">
        <v>914</v>
      </c>
      <c r="C358" s="55" t="s">
        <v>12</v>
      </c>
      <c r="D358" s="55" t="s">
        <v>1001</v>
      </c>
      <c r="E358" s="55" t="s">
        <v>1009</v>
      </c>
      <c r="F358" s="55" t="s">
        <v>5405</v>
      </c>
      <c r="G358" s="55" t="s">
        <v>5406</v>
      </c>
      <c r="H358" s="55" t="s">
        <v>56</v>
      </c>
      <c r="I358" s="55"/>
      <c r="J358" s="55" t="s">
        <v>5401</v>
      </c>
      <c r="K358" s="55" t="s">
        <v>20</v>
      </c>
      <c r="L358" s="57" t="str">
        <f>HYPERLINK("https://nycdoe.sharepoint.com/:w:/s/BAP/EZuVEmE3jApBqd5AHJiDmyABh27uHCkL_bK3FcHWnYVubg", "7 out of 10")</f>
        <v>7 out of 10</v>
      </c>
      <c r="M358" t="s">
        <v>5402</v>
      </c>
    </row>
    <row r="359" spans="2:13">
      <c r="B359" s="55" t="s">
        <v>914</v>
      </c>
      <c r="C359" s="55" t="s">
        <v>12</v>
      </c>
      <c r="D359" s="55" t="s">
        <v>1015</v>
      </c>
      <c r="E359" s="55" t="s">
        <v>1016</v>
      </c>
      <c r="F359" s="55" t="s">
        <v>5407</v>
      </c>
      <c r="G359" s="55" t="s">
        <v>5408</v>
      </c>
      <c r="H359" s="55" t="s">
        <v>84</v>
      </c>
      <c r="I359" s="55"/>
      <c r="J359" s="55" t="s">
        <v>5409</v>
      </c>
      <c r="K359" s="55" t="s">
        <v>62</v>
      </c>
      <c r="L359" s="57" t="str">
        <f>HYPERLINK("https://nycdoe.sharepoint.com/:w:/s/BAP/EefIIt--1e9DnS_XKVRa-PoB-uSdCd9VOJNhSadJANl5-w", "10 out of 10")</f>
        <v>10 out of 10</v>
      </c>
      <c r="M359" t="s">
        <v>5410</v>
      </c>
    </row>
    <row r="360" spans="2:13">
      <c r="B360" s="55" t="s">
        <v>914</v>
      </c>
      <c r="C360" s="55" t="s">
        <v>12</v>
      </c>
      <c r="D360" s="55" t="s">
        <v>1015</v>
      </c>
      <c r="E360" s="55" t="s">
        <v>1020</v>
      </c>
      <c r="F360" s="55" t="s">
        <v>5411</v>
      </c>
      <c r="G360" s="55" t="s">
        <v>5412</v>
      </c>
      <c r="H360" s="55" t="s">
        <v>56</v>
      </c>
      <c r="I360" s="55"/>
      <c r="J360" s="55" t="s">
        <v>5409</v>
      </c>
      <c r="K360" s="55" t="s">
        <v>62</v>
      </c>
      <c r="L360" s="57" t="str">
        <f>HYPERLINK("https://nycdoe.sharepoint.com/:w:/s/BAP/EefIIt--1e9DnS_XKVRa-PoB-uSdCd9VOJNhSadJANl5-w", "10 out of 10")</f>
        <v>10 out of 10</v>
      </c>
      <c r="M360" t="s">
        <v>5410</v>
      </c>
    </row>
    <row r="361" spans="2:13">
      <c r="B361" s="55" t="s">
        <v>914</v>
      </c>
      <c r="C361" s="55" t="s">
        <v>12</v>
      </c>
      <c r="D361" s="55" t="s">
        <v>1015</v>
      </c>
      <c r="E361" s="55" t="s">
        <v>592</v>
      </c>
      <c r="F361" s="55" t="s">
        <v>5038</v>
      </c>
      <c r="G361" s="55" t="s">
        <v>5039</v>
      </c>
      <c r="H361" s="55" t="s">
        <v>56</v>
      </c>
      <c r="I361" s="55"/>
      <c r="J361" s="55" t="s">
        <v>5409</v>
      </c>
      <c r="K361" s="55" t="s">
        <v>62</v>
      </c>
      <c r="L361" s="57" t="str">
        <f>HYPERLINK("https://nycdoe.sharepoint.com/:w:/s/BAP/EefIIt--1e9DnS_XKVRa-PoB-uSdCd9VOJNhSadJANl5-w", "10 out of 10")</f>
        <v>10 out of 10</v>
      </c>
      <c r="M361" t="s">
        <v>5410</v>
      </c>
    </row>
    <row r="362" spans="2:13">
      <c r="B362" s="55" t="s">
        <v>914</v>
      </c>
      <c r="C362" s="55" t="s">
        <v>12</v>
      </c>
      <c r="D362" s="55" t="s">
        <v>1023</v>
      </c>
      <c r="E362" s="55" t="s">
        <v>1024</v>
      </c>
      <c r="F362" s="55" t="s">
        <v>5413</v>
      </c>
      <c r="G362" s="55" t="s">
        <v>5414</v>
      </c>
      <c r="H362" s="55" t="s">
        <v>43</v>
      </c>
      <c r="I362" s="55"/>
      <c r="J362" s="55" t="s">
        <v>5415</v>
      </c>
      <c r="K362" s="55" t="s">
        <v>62</v>
      </c>
      <c r="L362" s="57" t="str">
        <f>HYPERLINK("https://nycdoe.sharepoint.com/:w:/s/BAP/EdU_jt9qY7NEmxlbkBepm4kBLpEHWWFnK5cVofrHr1gHxg", "9 out of 10")</f>
        <v>9 out of 10</v>
      </c>
      <c r="M362" t="s">
        <v>5416</v>
      </c>
    </row>
    <row r="363" spans="2:13">
      <c r="B363" s="55" t="s">
        <v>914</v>
      </c>
      <c r="C363" s="55" t="s">
        <v>12</v>
      </c>
      <c r="D363" s="55" t="s">
        <v>5417</v>
      </c>
      <c r="E363" s="55" t="s">
        <v>74</v>
      </c>
      <c r="F363" s="55" t="s">
        <v>4600</v>
      </c>
      <c r="G363" s="55" t="s">
        <v>76</v>
      </c>
      <c r="H363" s="55" t="s">
        <v>43</v>
      </c>
      <c r="I363" s="55" t="s">
        <v>18</v>
      </c>
      <c r="J363" s="55" t="s">
        <v>5418</v>
      </c>
      <c r="K363" s="55" t="s">
        <v>62</v>
      </c>
      <c r="L363" s="57" t="str">
        <f>HYPERLINK("https://nycdoe.sharepoint.com/:w:/s/BAP/EbrQYu_T2fBHs1U-tjRun2UBF4a2nHD_jTeCddMmEuLCcA", "9 out of 10")</f>
        <v>9 out of 10</v>
      </c>
      <c r="M363" t="s">
        <v>5419</v>
      </c>
    </row>
    <row r="364" spans="2:13">
      <c r="B364" s="55" t="s">
        <v>914</v>
      </c>
      <c r="C364" s="55" t="s">
        <v>12</v>
      </c>
      <c r="D364" s="55" t="s">
        <v>1028</v>
      </c>
      <c r="E364" s="55" t="s">
        <v>1029</v>
      </c>
      <c r="F364" s="55" t="s">
        <v>5420</v>
      </c>
      <c r="G364" s="55" t="s">
        <v>5421</v>
      </c>
      <c r="H364" s="55" t="s">
        <v>56</v>
      </c>
      <c r="I364" s="55"/>
      <c r="J364" s="55" t="s">
        <v>5422</v>
      </c>
      <c r="K364" s="55" t="s">
        <v>62</v>
      </c>
      <c r="L364" s="57" t="str">
        <f>HYPERLINK("https://nycdoe.sharepoint.com/:w:/s/BAP/EUJP2BfMHRROjaEtlCWPHFkB7QcuoueUdwfK-V3NQdncGQ", "9 out of 10")</f>
        <v>9 out of 10</v>
      </c>
      <c r="M364" t="s">
        <v>5423</v>
      </c>
    </row>
    <row r="365" spans="2:13">
      <c r="B365" s="55" t="s">
        <v>914</v>
      </c>
      <c r="C365" s="55" t="s">
        <v>12</v>
      </c>
      <c r="D365" s="55" t="s">
        <v>1033</v>
      </c>
      <c r="E365" s="55" t="s">
        <v>1034</v>
      </c>
      <c r="F365" s="55" t="s">
        <v>5424</v>
      </c>
      <c r="G365" s="55" t="s">
        <v>5425</v>
      </c>
      <c r="H365" s="55" t="s">
        <v>56</v>
      </c>
      <c r="I365" s="55"/>
      <c r="J365" s="55" t="s">
        <v>5426</v>
      </c>
      <c r="K365" s="55" t="s">
        <v>62</v>
      </c>
      <c r="L365" s="57" t="str">
        <f>HYPERLINK("https://nycdoe.sharepoint.com/:w:/s/BAP/EdHiPu7Ytd5OiAvalZ9OlcsBZiv3oy8PPChG7uUZkKs9gw", "10 out of 10")</f>
        <v>10 out of 10</v>
      </c>
      <c r="M365" t="s">
        <v>5427</v>
      </c>
    </row>
    <row r="366" spans="2:13">
      <c r="B366" s="55" t="s">
        <v>914</v>
      </c>
      <c r="C366" s="55" t="s">
        <v>12</v>
      </c>
      <c r="D366" s="55" t="s">
        <v>1038</v>
      </c>
      <c r="E366" s="55" t="s">
        <v>244</v>
      </c>
      <c r="F366" s="55" t="s">
        <v>4660</v>
      </c>
      <c r="G366" s="55" t="s">
        <v>4661</v>
      </c>
      <c r="H366" s="55" t="s">
        <v>24</v>
      </c>
      <c r="I366" s="55"/>
      <c r="J366" s="55" t="s">
        <v>5428</v>
      </c>
      <c r="K366" s="55" t="s">
        <v>62</v>
      </c>
      <c r="L366" s="57" t="str">
        <f>HYPERLINK("https://nycdoe.sharepoint.com/:w:/s/BAP/EUgz_OZPuLpFjLf81xRODVUB4gvPJ4caBn3glXzmoVcrSw", "10 out of 10")</f>
        <v>10 out of 10</v>
      </c>
      <c r="M366" t="s">
        <v>5429</v>
      </c>
    </row>
    <row r="367" spans="2:13">
      <c r="B367" s="55" t="s">
        <v>914</v>
      </c>
      <c r="C367" s="55" t="s">
        <v>12</v>
      </c>
      <c r="D367" s="55" t="s">
        <v>1038</v>
      </c>
      <c r="E367" s="55" t="s">
        <v>1040</v>
      </c>
      <c r="F367" s="55" t="s">
        <v>5430</v>
      </c>
      <c r="G367" s="55" t="s">
        <v>5431</v>
      </c>
      <c r="H367" s="55" t="s">
        <v>84</v>
      </c>
      <c r="I367" s="55"/>
      <c r="J367" s="55" t="s">
        <v>5428</v>
      </c>
      <c r="K367" s="55" t="s">
        <v>62</v>
      </c>
      <c r="L367" s="57" t="str">
        <f>HYPERLINK("https://nycdoe.sharepoint.com/:w:/s/BAP/EUgz_OZPuLpFjLf81xRODVUB4gvPJ4caBn3glXzmoVcrSw", "10 out of 10")</f>
        <v>10 out of 10</v>
      </c>
      <c r="M367" t="s">
        <v>5429</v>
      </c>
    </row>
    <row r="368" spans="2:13">
      <c r="B368" s="55" t="s">
        <v>1043</v>
      </c>
      <c r="C368" s="55" t="s">
        <v>1044</v>
      </c>
      <c r="D368" s="55" t="s">
        <v>1045</v>
      </c>
      <c r="E368" s="55" t="s">
        <v>1045</v>
      </c>
      <c r="F368" s="55" t="s">
        <v>5432</v>
      </c>
      <c r="G368" s="55" t="s">
        <v>5433</v>
      </c>
      <c r="H368" s="55" t="s">
        <v>17</v>
      </c>
      <c r="I368" s="55"/>
      <c r="J368" s="55" t="s">
        <v>5434</v>
      </c>
      <c r="K368" s="55" t="s">
        <v>20</v>
      </c>
      <c r="L368" s="57" t="str">
        <f>HYPERLINK("https://nycdoe.sharepoint.com/:w:/s/BAP/EcND188ZkchEshtucoTZg3sB7czYG_t6oQPsivH0QBpU5g", "8 out of 10")</f>
        <v>8 out of 10</v>
      </c>
      <c r="M368" t="s">
        <v>5435</v>
      </c>
    </row>
    <row r="369" spans="2:13">
      <c r="B369" s="55" t="s">
        <v>1043</v>
      </c>
      <c r="C369" s="55" t="s">
        <v>1044</v>
      </c>
      <c r="D369" s="55" t="s">
        <v>1049</v>
      </c>
      <c r="E369" s="55" t="s">
        <v>1049</v>
      </c>
      <c r="F369" s="55" t="s">
        <v>5436</v>
      </c>
      <c r="G369" s="55" t="s">
        <v>5437</v>
      </c>
      <c r="H369" s="55" t="s">
        <v>17</v>
      </c>
      <c r="I369" s="55" t="s">
        <v>18</v>
      </c>
      <c r="J369" s="55" t="s">
        <v>5438</v>
      </c>
      <c r="K369" s="55" t="s">
        <v>20</v>
      </c>
      <c r="L369" s="57" t="str">
        <f>HYPERLINK("https://nycdoe.sharepoint.com/:w:/s/BAP/ES-enaRMyoZFga_Kh44JFj4Bs28QhcLCIrngVNoYr_UXAg", "1 out of 10")</f>
        <v>1 out of 10</v>
      </c>
      <c r="M369" t="s">
        <v>5439</v>
      </c>
    </row>
    <row r="370" spans="2:13">
      <c r="B370" s="55" t="s">
        <v>1043</v>
      </c>
      <c r="C370" s="55" t="s">
        <v>1044</v>
      </c>
      <c r="D370" s="55" t="s">
        <v>1053</v>
      </c>
      <c r="E370" s="55" t="s">
        <v>1053</v>
      </c>
      <c r="F370" s="55" t="s">
        <v>5440</v>
      </c>
      <c r="G370" s="55" t="s">
        <v>5441</v>
      </c>
      <c r="H370" s="55" t="s">
        <v>17</v>
      </c>
      <c r="I370" s="55" t="s">
        <v>18</v>
      </c>
      <c r="J370" s="55" t="s">
        <v>5442</v>
      </c>
      <c r="K370" s="55" t="s">
        <v>20</v>
      </c>
      <c r="L370" s="57" t="str">
        <f>HYPERLINK("https://nycdoe.sharepoint.com/:w:/s/BAP/Ecl4SMQNxD9JmTS6_GVxwXQB4D6Sst67yfRoatGCkcZ8PA", "1 out of 10")</f>
        <v>1 out of 10</v>
      </c>
      <c r="M370" t="s">
        <v>5443</v>
      </c>
    </row>
    <row r="371" spans="2:13">
      <c r="B371" s="55" t="s">
        <v>1043</v>
      </c>
      <c r="C371" s="55" t="s">
        <v>1044</v>
      </c>
      <c r="D371" s="55" t="s">
        <v>5444</v>
      </c>
      <c r="E371" s="55" t="s">
        <v>5444</v>
      </c>
      <c r="F371" s="55" t="s">
        <v>5445</v>
      </c>
      <c r="G371" s="55" t="s">
        <v>5446</v>
      </c>
      <c r="H371" s="55" t="s">
        <v>17</v>
      </c>
      <c r="I371" s="55" t="s">
        <v>18</v>
      </c>
      <c r="J371" s="55" t="s">
        <v>5447</v>
      </c>
      <c r="K371" s="55" t="s">
        <v>20</v>
      </c>
      <c r="L371" s="57" t="str">
        <f>HYPERLINK("https://nycdoe.sharepoint.com/:w:/s/BAP/EQQmrZTbx3RFmpbTswz4eMsBh_5GIQVfWhiR_JpOI8ZQxw", "2 out of 10")</f>
        <v>2 out of 10</v>
      </c>
      <c r="M371" t="s">
        <v>5448</v>
      </c>
    </row>
    <row r="372" spans="2:13">
      <c r="B372" s="55" t="s">
        <v>1043</v>
      </c>
      <c r="C372" s="55" t="s">
        <v>1044</v>
      </c>
      <c r="D372" s="55" t="s">
        <v>1057</v>
      </c>
      <c r="E372" s="55" t="s">
        <v>1057</v>
      </c>
      <c r="F372" s="55" t="s">
        <v>5449</v>
      </c>
      <c r="G372" s="55" t="s">
        <v>5450</v>
      </c>
      <c r="H372" s="55" t="s">
        <v>17</v>
      </c>
      <c r="I372" s="55" t="s">
        <v>18</v>
      </c>
      <c r="J372" s="55" t="s">
        <v>5451</v>
      </c>
      <c r="K372" s="55" t="s">
        <v>20</v>
      </c>
      <c r="L372" s="57" t="str">
        <f>HYPERLINK("https://nycdoe.sharepoint.com/:w:/s/BAP/EZGObMatBHxJsEGHqNSf96UBYEIqf2ZhNMA5X5g8dP6Zmg", "5 out of 10")</f>
        <v>5 out of 10</v>
      </c>
      <c r="M372" t="s">
        <v>5452</v>
      </c>
    </row>
    <row r="373" spans="2:13">
      <c r="B373" s="55" t="s">
        <v>1043</v>
      </c>
      <c r="C373" s="55" t="s">
        <v>1044</v>
      </c>
      <c r="D373" s="55" t="s">
        <v>1057</v>
      </c>
      <c r="E373" s="55" t="s">
        <v>1061</v>
      </c>
      <c r="F373" s="55" t="s">
        <v>5453</v>
      </c>
      <c r="G373" s="55" t="s">
        <v>5454</v>
      </c>
      <c r="H373" s="55" t="s">
        <v>52</v>
      </c>
      <c r="I373" s="55"/>
      <c r="J373" s="55" t="s">
        <v>5451</v>
      </c>
      <c r="K373" s="55" t="s">
        <v>20</v>
      </c>
      <c r="L373" s="57" t="str">
        <f>HYPERLINK("https://nycdoe.sharepoint.com/:w:/s/BAP/EZGObMatBHxJsEGHqNSf96UBYEIqf2ZhNMA5X5g8dP6Zmg", "5 out of 10")</f>
        <v>5 out of 10</v>
      </c>
      <c r="M373" t="s">
        <v>5452</v>
      </c>
    </row>
    <row r="374" spans="2:13">
      <c r="B374" s="55" t="s">
        <v>1043</v>
      </c>
      <c r="C374" s="55" t="s">
        <v>1044</v>
      </c>
      <c r="D374" s="55" t="s">
        <v>1057</v>
      </c>
      <c r="E374" s="55" t="s">
        <v>1064</v>
      </c>
      <c r="F374" s="55" t="s">
        <v>5455</v>
      </c>
      <c r="G374" s="55" t="s">
        <v>5456</v>
      </c>
      <c r="H374" s="55" t="s">
        <v>43</v>
      </c>
      <c r="I374" s="55"/>
      <c r="J374" s="55" t="s">
        <v>5451</v>
      </c>
      <c r="K374" s="55" t="s">
        <v>20</v>
      </c>
      <c r="L374" s="57" t="str">
        <f>HYPERLINK("https://nycdoe.sharepoint.com/:w:/s/BAP/EZGObMatBHxJsEGHqNSf96UBYEIqf2ZhNMA5X5g8dP6Zmg", "5 out of 10")</f>
        <v>5 out of 10</v>
      </c>
      <c r="M374" t="s">
        <v>5452</v>
      </c>
    </row>
    <row r="375" spans="2:13">
      <c r="B375" s="55" t="s">
        <v>1043</v>
      </c>
      <c r="C375" s="55" t="s">
        <v>1044</v>
      </c>
      <c r="D375" s="55" t="s">
        <v>1067</v>
      </c>
      <c r="E375" s="55" t="s">
        <v>1067</v>
      </c>
      <c r="F375" s="55" t="s">
        <v>5457</v>
      </c>
      <c r="G375" s="55" t="s">
        <v>5458</v>
      </c>
      <c r="H375" s="55" t="s">
        <v>52</v>
      </c>
      <c r="I375" s="55"/>
      <c r="J375" s="55" t="s">
        <v>5459</v>
      </c>
      <c r="K375" s="55" t="s">
        <v>20</v>
      </c>
      <c r="L375" s="57" t="str">
        <f>HYPERLINK("https://nycdoe.sharepoint.com/:w:/s/BAP/ESHJmIPi5SdCgxqrtDAVZrEB29f2FbAHClBEd1CaOokosw", "8 out of 10")</f>
        <v>8 out of 10</v>
      </c>
      <c r="M375" t="s">
        <v>5460</v>
      </c>
    </row>
    <row r="376" spans="2:13">
      <c r="B376" s="55" t="s">
        <v>1043</v>
      </c>
      <c r="C376" s="55" t="s">
        <v>1044</v>
      </c>
      <c r="D376" s="55" t="s">
        <v>1067</v>
      </c>
      <c r="E376" s="55" t="s">
        <v>1071</v>
      </c>
      <c r="F376" s="55" t="s">
        <v>5461</v>
      </c>
      <c r="G376" s="55" t="s">
        <v>5462</v>
      </c>
      <c r="H376" s="55" t="s">
        <v>24</v>
      </c>
      <c r="I376" s="55"/>
      <c r="J376" s="55" t="s">
        <v>5459</v>
      </c>
      <c r="K376" s="55" t="s">
        <v>20</v>
      </c>
      <c r="L376" s="57" t="str">
        <f>HYPERLINK("https://nycdoe.sharepoint.com/:w:/s/BAP/ESHJmIPi5SdCgxqrtDAVZrEB29f2FbAHClBEd1CaOokosw", "8 out of 10")</f>
        <v>8 out of 10</v>
      </c>
      <c r="M376" t="s">
        <v>5460</v>
      </c>
    </row>
    <row r="377" spans="2:13">
      <c r="B377" s="55" t="s">
        <v>1043</v>
      </c>
      <c r="C377" s="55" t="s">
        <v>1044</v>
      </c>
      <c r="D377" s="55" t="s">
        <v>1067</v>
      </c>
      <c r="E377" s="55" t="s">
        <v>1074</v>
      </c>
      <c r="F377" s="55" t="s">
        <v>5463</v>
      </c>
      <c r="G377" s="55" t="s">
        <v>5464</v>
      </c>
      <c r="H377" s="55" t="s">
        <v>17</v>
      </c>
      <c r="I377" s="55" t="s">
        <v>18</v>
      </c>
      <c r="J377" s="55" t="s">
        <v>5459</v>
      </c>
      <c r="K377" s="55" t="s">
        <v>20</v>
      </c>
      <c r="L377" s="57" t="str">
        <f>HYPERLINK("https://nycdoe.sharepoint.com/:w:/s/BAP/ESHJmIPi5SdCgxqrtDAVZrEB29f2FbAHClBEd1CaOokosw", "8 out of 10")</f>
        <v>8 out of 10</v>
      </c>
      <c r="M377" t="s">
        <v>5460</v>
      </c>
    </row>
    <row r="378" spans="2:13">
      <c r="B378" s="55" t="s">
        <v>1043</v>
      </c>
      <c r="C378" s="55" t="s">
        <v>1044</v>
      </c>
      <c r="D378" s="55" t="s">
        <v>5465</v>
      </c>
      <c r="E378" s="55" t="s">
        <v>5465</v>
      </c>
      <c r="F378" s="55" t="s">
        <v>5466</v>
      </c>
      <c r="G378" s="55" t="s">
        <v>5467</v>
      </c>
      <c r="H378" s="55" t="s">
        <v>17</v>
      </c>
      <c r="I378" s="55" t="s">
        <v>18</v>
      </c>
      <c r="J378" s="55" t="s">
        <v>5468</v>
      </c>
      <c r="K378" s="55" t="s">
        <v>20</v>
      </c>
      <c r="L378" s="57" t="str">
        <f>HYPERLINK("https://nycdoe.sharepoint.com/:w:/s/BAP/EW3aJg10QF9EiyTOtGbx7XUBQ7Xb3WrvRGQQQp1ZJLVIig", "3 out of 10")</f>
        <v>3 out of 10</v>
      </c>
      <c r="M378" t="s">
        <v>5469</v>
      </c>
    </row>
    <row r="379" spans="2:13">
      <c r="B379" s="55" t="s">
        <v>1043</v>
      </c>
      <c r="C379" s="55" t="s">
        <v>1044</v>
      </c>
      <c r="D379" s="55" t="s">
        <v>5465</v>
      </c>
      <c r="E379" s="55" t="s">
        <v>5470</v>
      </c>
      <c r="F379" s="55" t="s">
        <v>5471</v>
      </c>
      <c r="G379" s="55" t="s">
        <v>5472</v>
      </c>
      <c r="H379" s="55" t="s">
        <v>24</v>
      </c>
      <c r="I379" s="55" t="s">
        <v>18</v>
      </c>
      <c r="J379" s="55" t="s">
        <v>5468</v>
      </c>
      <c r="K379" s="55" t="s">
        <v>20</v>
      </c>
      <c r="L379" s="57" t="str">
        <f>HYPERLINK("https://nycdoe.sharepoint.com/:w:/s/BAP/EW3aJg10QF9EiyTOtGbx7XUBQ7Xb3WrvRGQQQp1ZJLVIig", "3 out of 10")</f>
        <v>3 out of 10</v>
      </c>
      <c r="M379" t="s">
        <v>5469</v>
      </c>
    </row>
    <row r="380" spans="2:13">
      <c r="B380" s="55" t="s">
        <v>1043</v>
      </c>
      <c r="C380" s="55" t="s">
        <v>1044</v>
      </c>
      <c r="D380" s="55" t="s">
        <v>1077</v>
      </c>
      <c r="E380" s="55" t="s">
        <v>1078</v>
      </c>
      <c r="F380" s="55" t="s">
        <v>5473</v>
      </c>
      <c r="G380" s="55" t="s">
        <v>1080</v>
      </c>
      <c r="H380" s="55" t="s">
        <v>24</v>
      </c>
      <c r="I380" s="55"/>
      <c r="J380" s="55" t="s">
        <v>5474</v>
      </c>
      <c r="K380" s="55" t="s">
        <v>62</v>
      </c>
      <c r="L380" s="57" t="str">
        <f>HYPERLINK("https://nycdoe.sharepoint.com/:w:/s/BAP/EYZ9RJxRDfpBgufk_2GmcMABzzNsII641d7T-j_U6gXvFA", "9 out of 10")</f>
        <v>9 out of 10</v>
      </c>
      <c r="M380" t="s">
        <v>5475</v>
      </c>
    </row>
    <row r="381" spans="2:13">
      <c r="B381" s="55" t="s">
        <v>1043</v>
      </c>
      <c r="C381" s="55" t="s">
        <v>1044</v>
      </c>
      <c r="D381" s="55" t="s">
        <v>1077</v>
      </c>
      <c r="E381" s="55" t="s">
        <v>1082</v>
      </c>
      <c r="F381" s="55" t="s">
        <v>5476</v>
      </c>
      <c r="G381" s="55" t="s">
        <v>5477</v>
      </c>
      <c r="H381" s="55" t="s">
        <v>43</v>
      </c>
      <c r="I381" s="55"/>
      <c r="J381" s="55" t="s">
        <v>5474</v>
      </c>
      <c r="K381" s="55" t="s">
        <v>62</v>
      </c>
      <c r="L381" s="57" t="str">
        <f>HYPERLINK("https://nycdoe.sharepoint.com/:w:/s/BAP/EYZ9RJxRDfpBgufk_2GmcMABzzNsII641d7T-j_U6gXvFA", "9 out of 10")</f>
        <v>9 out of 10</v>
      </c>
      <c r="M381" t="s">
        <v>5475</v>
      </c>
    </row>
    <row r="382" spans="2:13">
      <c r="B382" s="55" t="s">
        <v>1043</v>
      </c>
      <c r="C382" s="55" t="s">
        <v>1044</v>
      </c>
      <c r="D382" s="55" t="s">
        <v>5478</v>
      </c>
      <c r="E382" s="55" t="s">
        <v>5478</v>
      </c>
      <c r="F382" s="55" t="s">
        <v>5479</v>
      </c>
      <c r="G382" s="55" t="s">
        <v>5480</v>
      </c>
      <c r="H382" s="55" t="s">
        <v>17</v>
      </c>
      <c r="I382" s="55" t="s">
        <v>18</v>
      </c>
      <c r="J382" s="55" t="s">
        <v>5481</v>
      </c>
      <c r="K382" s="55" t="s">
        <v>20</v>
      </c>
      <c r="L382" s="57" t="str">
        <f>HYPERLINK("https://nycdoe.sharepoint.com/:w:/s/BAP/EbSnR5S_U0tDjLWNG6YOovsBbxSc-Fytj_1Lx2c27JmpKw", "1 out of 10")</f>
        <v>1 out of 10</v>
      </c>
      <c r="M382" t="s">
        <v>5482</v>
      </c>
    </row>
    <row r="383" spans="2:13">
      <c r="B383" s="55" t="s">
        <v>1043</v>
      </c>
      <c r="C383" s="55" t="s">
        <v>1044</v>
      </c>
      <c r="D383" s="55" t="s">
        <v>5478</v>
      </c>
      <c r="E383" s="55" t="s">
        <v>5470</v>
      </c>
      <c r="F383" s="55" t="s">
        <v>5471</v>
      </c>
      <c r="G383" s="55" t="s">
        <v>5472</v>
      </c>
      <c r="H383" s="55" t="s">
        <v>24</v>
      </c>
      <c r="I383" s="55" t="s">
        <v>18</v>
      </c>
      <c r="J383" s="55" t="s">
        <v>5481</v>
      </c>
      <c r="K383" s="55" t="s">
        <v>20</v>
      </c>
      <c r="L383" s="57" t="str">
        <f>HYPERLINK("https://nycdoe.sharepoint.com/:w:/s/BAP/EbSnR5S_U0tDjLWNG6YOovsBbxSc-Fytj_1Lx2c27JmpKw", "1 out of 10")</f>
        <v>1 out of 10</v>
      </c>
      <c r="M383" t="s">
        <v>5482</v>
      </c>
    </row>
    <row r="384" spans="2:13">
      <c r="B384" s="55" t="s">
        <v>1043</v>
      </c>
      <c r="C384" s="55" t="s">
        <v>1044</v>
      </c>
      <c r="D384" s="55" t="s">
        <v>1085</v>
      </c>
      <c r="E384" s="55" t="s">
        <v>1085</v>
      </c>
      <c r="F384" s="55" t="s">
        <v>5483</v>
      </c>
      <c r="G384" s="55" t="s">
        <v>5484</v>
      </c>
      <c r="H384" s="55" t="s">
        <v>17</v>
      </c>
      <c r="I384" s="55" t="s">
        <v>18</v>
      </c>
      <c r="J384" s="55" t="s">
        <v>5485</v>
      </c>
      <c r="K384" s="55" t="s">
        <v>20</v>
      </c>
      <c r="L384" s="57" t="str">
        <f>HYPERLINK("https://nycdoe.sharepoint.com/:w:/s/BAP/EYEw2ZTQqHROjv-VIX-ssJIB1Hf-vwy9POrRi2LrsXGA1A", "1 out of 10")</f>
        <v>1 out of 10</v>
      </c>
      <c r="M384" t="s">
        <v>5486</v>
      </c>
    </row>
    <row r="385" spans="2:13">
      <c r="B385" s="55" t="s">
        <v>1043</v>
      </c>
      <c r="C385" s="55" t="s">
        <v>1044</v>
      </c>
      <c r="D385" s="55" t="s">
        <v>5487</v>
      </c>
      <c r="E385" s="55" t="s">
        <v>5488</v>
      </c>
      <c r="F385" s="55" t="s">
        <v>5489</v>
      </c>
      <c r="G385" s="55" t="s">
        <v>5490</v>
      </c>
      <c r="H385" s="55" t="s">
        <v>24</v>
      </c>
      <c r="I385" s="55" t="s">
        <v>18</v>
      </c>
      <c r="J385" s="55" t="s">
        <v>5491</v>
      </c>
      <c r="K385" s="55" t="s">
        <v>20</v>
      </c>
      <c r="L385" s="57" t="str">
        <f>HYPERLINK("https://nycdoe.sharepoint.com/:w:/s/BAP/EXBRTXjDrQlOt6o7lZd4ivUBl5CS6JDaGyV1p6Ik8Z6yog", "3 out of 10")</f>
        <v>3 out of 10</v>
      </c>
      <c r="M385" t="s">
        <v>5492</v>
      </c>
    </row>
    <row r="386" spans="2:13">
      <c r="B386" s="55" t="s">
        <v>1043</v>
      </c>
      <c r="C386" s="55" t="s">
        <v>1044</v>
      </c>
      <c r="D386" s="55" t="s">
        <v>1089</v>
      </c>
      <c r="E386" s="55" t="s">
        <v>1064</v>
      </c>
      <c r="F386" s="55" t="s">
        <v>5455</v>
      </c>
      <c r="G386" s="55" t="s">
        <v>5456</v>
      </c>
      <c r="H386" s="55" t="s">
        <v>43</v>
      </c>
      <c r="I386" s="55"/>
      <c r="J386" s="55" t="s">
        <v>5493</v>
      </c>
      <c r="K386" s="55" t="s">
        <v>62</v>
      </c>
      <c r="L386" s="57" t="str">
        <f>HYPERLINK("https://nycdoe.sharepoint.com/:w:/s/BAP/Ed-OF_7GtJdGsICupGsFGQ0BTK1sK4USwTU1j4Jc2caqzA", "10 out of 10")</f>
        <v>10 out of 10</v>
      </c>
      <c r="M386" t="s">
        <v>5494</v>
      </c>
    </row>
    <row r="387" spans="2:13">
      <c r="B387" s="55" t="s">
        <v>1043</v>
      </c>
      <c r="C387" s="55" t="s">
        <v>1044</v>
      </c>
      <c r="D387" s="55" t="s">
        <v>1089</v>
      </c>
      <c r="E387" s="55" t="s">
        <v>1091</v>
      </c>
      <c r="F387" s="55" t="s">
        <v>5495</v>
      </c>
      <c r="G387" s="55" t="s">
        <v>5496</v>
      </c>
      <c r="H387" s="55" t="s">
        <v>56</v>
      </c>
      <c r="I387" s="55"/>
      <c r="J387" s="55" t="s">
        <v>5493</v>
      </c>
      <c r="K387" s="55" t="s">
        <v>62</v>
      </c>
      <c r="L387" s="57" t="str">
        <f>HYPERLINK("https://nycdoe.sharepoint.com/:w:/s/BAP/Ed-OF_7GtJdGsICupGsFGQ0BTK1sK4USwTU1j4Jc2caqzA", "10 out of 10")</f>
        <v>10 out of 10</v>
      </c>
      <c r="M387" t="s">
        <v>5494</v>
      </c>
    </row>
    <row r="388" spans="2:13">
      <c r="B388" s="55" t="s">
        <v>1043</v>
      </c>
      <c r="C388" s="55" t="s">
        <v>1044</v>
      </c>
      <c r="D388" s="55" t="s">
        <v>1089</v>
      </c>
      <c r="E388" s="55" t="s">
        <v>1094</v>
      </c>
      <c r="F388" s="55" t="s">
        <v>5497</v>
      </c>
      <c r="G388" s="55" t="s">
        <v>5498</v>
      </c>
      <c r="H388" s="55" t="s">
        <v>84</v>
      </c>
      <c r="I388" s="55"/>
      <c r="J388" s="55" t="s">
        <v>5493</v>
      </c>
      <c r="K388" s="55" t="s">
        <v>62</v>
      </c>
      <c r="L388" s="57" t="str">
        <f>HYPERLINK("https://nycdoe.sharepoint.com/:w:/s/BAP/Ed-OF_7GtJdGsICupGsFGQ0BTK1sK4USwTU1j4Jc2caqzA", "10 out of 10")</f>
        <v>10 out of 10</v>
      </c>
      <c r="M388" t="s">
        <v>5494</v>
      </c>
    </row>
    <row r="389" spans="2:13">
      <c r="B389" s="55" t="s">
        <v>1043</v>
      </c>
      <c r="C389" s="55" t="s">
        <v>1044</v>
      </c>
      <c r="D389" s="55" t="s">
        <v>1097</v>
      </c>
      <c r="E389" s="55" t="s">
        <v>1098</v>
      </c>
      <c r="F389" s="55" t="s">
        <v>5499</v>
      </c>
      <c r="G389" s="55" t="s">
        <v>5500</v>
      </c>
      <c r="H389" s="55" t="s">
        <v>17</v>
      </c>
      <c r="I389" s="55" t="s">
        <v>18</v>
      </c>
      <c r="J389" s="55" t="s">
        <v>5501</v>
      </c>
      <c r="K389" s="55" t="s">
        <v>62</v>
      </c>
      <c r="L389" s="57" t="str">
        <f>HYPERLINK("https://nycdoe.sharepoint.com/:w:/s/BAP/EWtBT9_017xErhvZlExBoZIBtzQpsEr_usIWeb8cgs89BQ", "10 out of 10")</f>
        <v>10 out of 10</v>
      </c>
      <c r="M389" t="s">
        <v>5502</v>
      </c>
    </row>
    <row r="390" spans="2:13">
      <c r="B390" s="55" t="s">
        <v>1043</v>
      </c>
      <c r="C390" s="55" t="s">
        <v>1044</v>
      </c>
      <c r="D390" s="55" t="s">
        <v>1097</v>
      </c>
      <c r="E390" s="55" t="s">
        <v>1064</v>
      </c>
      <c r="F390" s="55" t="s">
        <v>5455</v>
      </c>
      <c r="G390" s="55" t="s">
        <v>5456</v>
      </c>
      <c r="H390" s="55" t="s">
        <v>43</v>
      </c>
      <c r="I390" s="55"/>
      <c r="J390" s="55" t="s">
        <v>5501</v>
      </c>
      <c r="K390" s="55" t="s">
        <v>62</v>
      </c>
      <c r="L390" s="57" t="str">
        <f>HYPERLINK("https://nycdoe.sharepoint.com/:w:/s/BAP/EWtBT9_017xErhvZlExBoZIBtzQpsEr_usIWeb8cgs89BQ", "10 out of 10")</f>
        <v>10 out of 10</v>
      </c>
      <c r="M390" t="s">
        <v>5502</v>
      </c>
    </row>
    <row r="391" spans="2:13">
      <c r="B391" s="55" t="s">
        <v>1043</v>
      </c>
      <c r="C391" s="55" t="s">
        <v>1044</v>
      </c>
      <c r="D391" s="55" t="s">
        <v>1102</v>
      </c>
      <c r="E391" s="55" t="s">
        <v>1102</v>
      </c>
      <c r="F391" s="55" t="s">
        <v>5503</v>
      </c>
      <c r="G391" s="55" t="s">
        <v>5504</v>
      </c>
      <c r="H391" s="55" t="s">
        <v>56</v>
      </c>
      <c r="I391" s="55"/>
      <c r="J391" s="55" t="s">
        <v>5505</v>
      </c>
      <c r="K391" s="55" t="s">
        <v>20</v>
      </c>
      <c r="L391" s="57" t="str">
        <f>HYPERLINK("https://nycdoe.sharepoint.com/:w:/s/BAP/EeP1DPepMZRPq3B5_IPfbz0BoNBj8Ela9hSIqERYOFiCww", "8 out of 10")</f>
        <v>8 out of 10</v>
      </c>
      <c r="M391" t="s">
        <v>5506</v>
      </c>
    </row>
    <row r="392" spans="2:13">
      <c r="B392" s="55" t="s">
        <v>1043</v>
      </c>
      <c r="C392" s="55" t="s">
        <v>1044</v>
      </c>
      <c r="D392" s="55" t="s">
        <v>1106</v>
      </c>
      <c r="E392" s="55" t="s">
        <v>1107</v>
      </c>
      <c r="F392" s="55" t="s">
        <v>5507</v>
      </c>
      <c r="G392" s="55" t="s">
        <v>5508</v>
      </c>
      <c r="H392" s="55" t="s">
        <v>56</v>
      </c>
      <c r="I392" s="55"/>
      <c r="J392" s="55" t="s">
        <v>5509</v>
      </c>
      <c r="K392" s="55" t="s">
        <v>62</v>
      </c>
      <c r="L392" s="57" t="str">
        <f>HYPERLINK("https://nycdoe.sharepoint.com/:w:/s/BAP/ET2fjjR_A7tBr0kZPUzxeFcBwbhXr6vAkB59GeJAl2iXUA", "9 out of 10")</f>
        <v>9 out of 10</v>
      </c>
      <c r="M392" t="s">
        <v>5510</v>
      </c>
    </row>
    <row r="393" spans="2:13">
      <c r="B393" s="55" t="s">
        <v>1043</v>
      </c>
      <c r="C393" s="55" t="s">
        <v>1044</v>
      </c>
      <c r="D393" s="55" t="s">
        <v>1106</v>
      </c>
      <c r="E393" s="55" t="s">
        <v>1082</v>
      </c>
      <c r="F393" s="55" t="s">
        <v>5476</v>
      </c>
      <c r="G393" s="55" t="s">
        <v>5477</v>
      </c>
      <c r="H393" s="55" t="s">
        <v>43</v>
      </c>
      <c r="I393" s="55"/>
      <c r="J393" s="55" t="s">
        <v>5509</v>
      </c>
      <c r="K393" s="55" t="s">
        <v>62</v>
      </c>
      <c r="L393" s="57" t="str">
        <f>HYPERLINK("https://nycdoe.sharepoint.com/:w:/s/BAP/ET2fjjR_A7tBr0kZPUzxeFcBwbhXr6vAkB59GeJAl2iXUA", "9 out of 10")</f>
        <v>9 out of 10</v>
      </c>
      <c r="M393" t="s">
        <v>5510</v>
      </c>
    </row>
    <row r="394" spans="2:13">
      <c r="B394" s="55" t="s">
        <v>1043</v>
      </c>
      <c r="C394" s="55" t="s">
        <v>1044</v>
      </c>
      <c r="D394" s="55" t="s">
        <v>1106</v>
      </c>
      <c r="E394" s="55" t="s">
        <v>1111</v>
      </c>
      <c r="F394" s="55" t="s">
        <v>5511</v>
      </c>
      <c r="G394" s="55" t="s">
        <v>5512</v>
      </c>
      <c r="H394" s="55" t="s">
        <v>56</v>
      </c>
      <c r="I394" s="55"/>
      <c r="J394" s="55" t="s">
        <v>5509</v>
      </c>
      <c r="K394" s="55" t="s">
        <v>62</v>
      </c>
      <c r="L394" s="57" t="str">
        <f>HYPERLINK("https://nycdoe.sharepoint.com/:w:/s/BAP/ET2fjjR_A7tBr0kZPUzxeFcBwbhXr6vAkB59GeJAl2iXUA", "9 out of 10")</f>
        <v>9 out of 10</v>
      </c>
      <c r="M394" t="s">
        <v>5510</v>
      </c>
    </row>
    <row r="395" spans="2:13">
      <c r="B395" s="55" t="s">
        <v>1043</v>
      </c>
      <c r="C395" s="55" t="s">
        <v>1044</v>
      </c>
      <c r="D395" s="55" t="s">
        <v>1106</v>
      </c>
      <c r="E395" s="55" t="s">
        <v>4490</v>
      </c>
      <c r="F395" s="55" t="s">
        <v>4491</v>
      </c>
      <c r="G395" s="55" t="s">
        <v>4492</v>
      </c>
      <c r="H395" s="55" t="s">
        <v>56</v>
      </c>
      <c r="I395" s="55"/>
      <c r="J395" s="55" t="s">
        <v>5509</v>
      </c>
      <c r="K395" s="55" t="s">
        <v>62</v>
      </c>
      <c r="L395" s="57" t="str">
        <f>HYPERLINK("https://nycdoe.sharepoint.com/:w:/s/BAP/ET2fjjR_A7tBr0kZPUzxeFcBwbhXr6vAkB59GeJAl2iXUA", "9 out of 10")</f>
        <v>9 out of 10</v>
      </c>
      <c r="M395" t="s">
        <v>5510</v>
      </c>
    </row>
    <row r="396" spans="2:13">
      <c r="B396" s="55" t="s">
        <v>1043</v>
      </c>
      <c r="C396" s="55" t="s">
        <v>1044</v>
      </c>
      <c r="D396" s="55" t="s">
        <v>1114</v>
      </c>
      <c r="E396" s="55" t="s">
        <v>1064</v>
      </c>
      <c r="F396" s="55" t="s">
        <v>5455</v>
      </c>
      <c r="G396" s="55" t="s">
        <v>5456</v>
      </c>
      <c r="H396" s="55" t="s">
        <v>43</v>
      </c>
      <c r="I396" s="55"/>
      <c r="J396" s="55" t="s">
        <v>5513</v>
      </c>
      <c r="K396" s="55" t="s">
        <v>20</v>
      </c>
      <c r="L396" s="57" t="str">
        <f>HYPERLINK("https://nycdoe.sharepoint.com/:w:/s/BAP/EYd63Fvxr5RJhOyTtkuu5mwB6jH4z0T-jwEVi6xRaRGcPQ", "7 out of 10")</f>
        <v>7 out of 10</v>
      </c>
      <c r="M396" t="s">
        <v>5514</v>
      </c>
    </row>
    <row r="397" spans="2:13">
      <c r="B397" s="55" t="s">
        <v>1043</v>
      </c>
      <c r="C397" s="55" t="s">
        <v>1044</v>
      </c>
      <c r="D397" s="55" t="s">
        <v>1114</v>
      </c>
      <c r="E397" s="55" t="s">
        <v>1116</v>
      </c>
      <c r="F397" s="55" t="s">
        <v>5515</v>
      </c>
      <c r="G397" s="55" t="s">
        <v>5516</v>
      </c>
      <c r="H397" s="55" t="s">
        <v>56</v>
      </c>
      <c r="I397" s="55"/>
      <c r="J397" s="55" t="s">
        <v>5513</v>
      </c>
      <c r="K397" s="55" t="s">
        <v>20</v>
      </c>
      <c r="L397" s="57" t="str">
        <f>HYPERLINK("https://nycdoe.sharepoint.com/:w:/s/BAP/EYd63Fvxr5RJhOyTtkuu5mwB6jH4z0T-jwEVi6xRaRGcPQ", "7 out of 10")</f>
        <v>7 out of 10</v>
      </c>
      <c r="M397" t="s">
        <v>5514</v>
      </c>
    </row>
    <row r="398" spans="2:13">
      <c r="B398" s="55" t="s">
        <v>1043</v>
      </c>
      <c r="C398" s="55" t="s">
        <v>1044</v>
      </c>
      <c r="D398" s="55" t="s">
        <v>1114</v>
      </c>
      <c r="E398" s="55" t="s">
        <v>1119</v>
      </c>
      <c r="F398" s="55" t="s">
        <v>5517</v>
      </c>
      <c r="G398" s="55" t="s">
        <v>5518</v>
      </c>
      <c r="H398" s="55" t="s">
        <v>56</v>
      </c>
      <c r="I398" s="55"/>
      <c r="J398" s="55" t="s">
        <v>5513</v>
      </c>
      <c r="K398" s="55" t="s">
        <v>20</v>
      </c>
      <c r="L398" s="57" t="str">
        <f>HYPERLINK("https://nycdoe.sharepoint.com/:w:/s/BAP/EYd63Fvxr5RJhOyTtkuu5mwB6jH4z0T-jwEVi6xRaRGcPQ", "7 out of 10")</f>
        <v>7 out of 10</v>
      </c>
      <c r="M398" t="s">
        <v>5514</v>
      </c>
    </row>
    <row r="399" spans="2:13">
      <c r="B399" s="55" t="s">
        <v>1043</v>
      </c>
      <c r="C399" s="55" t="s">
        <v>1044</v>
      </c>
      <c r="D399" s="55" t="s">
        <v>1125</v>
      </c>
      <c r="E399" s="55" t="s">
        <v>1089</v>
      </c>
      <c r="F399" s="55" t="s">
        <v>5519</v>
      </c>
      <c r="G399" s="55" t="s">
        <v>5520</v>
      </c>
      <c r="H399" s="55" t="s">
        <v>52</v>
      </c>
      <c r="I399" s="55"/>
      <c r="J399" s="55" t="s">
        <v>5521</v>
      </c>
      <c r="K399" s="55" t="s">
        <v>62</v>
      </c>
      <c r="L399" s="57" t="str">
        <f>HYPERLINK("https://nycdoe.sharepoint.com/:w:/s/BAP/EeBGbBuPyUNHmpXu3_xl-EgBjgX-rELNkNZoIyPiNsK0bA", "10 out of 10")</f>
        <v>10 out of 10</v>
      </c>
      <c r="M399" t="s">
        <v>5522</v>
      </c>
    </row>
    <row r="400" spans="2:13">
      <c r="B400" s="55" t="s">
        <v>1043</v>
      </c>
      <c r="C400" s="55" t="s">
        <v>1044</v>
      </c>
      <c r="D400" s="55" t="s">
        <v>5523</v>
      </c>
      <c r="E400" s="55" t="s">
        <v>1064</v>
      </c>
      <c r="F400" s="55" t="s">
        <v>5455</v>
      </c>
      <c r="G400" s="55" t="s">
        <v>5456</v>
      </c>
      <c r="H400" s="55" t="s">
        <v>43</v>
      </c>
      <c r="I400" s="55"/>
      <c r="J400" s="55" t="s">
        <v>5524</v>
      </c>
      <c r="K400" s="55" t="s">
        <v>62</v>
      </c>
      <c r="L400" s="57" t="str">
        <f>HYPERLINK("https://nycdoe.sharepoint.com/:w:/s/BAP/EcHRIZXLS3JBhW0fSL8ml7EBsspCOlefxPyvbjFZo36zog", "10 out of 10")</f>
        <v>10 out of 10</v>
      </c>
      <c r="M400" t="s">
        <v>5525</v>
      </c>
    </row>
    <row r="401" spans="2:13">
      <c r="B401" s="55" t="s">
        <v>1043</v>
      </c>
      <c r="C401" s="55" t="s">
        <v>1044</v>
      </c>
      <c r="D401" s="55" t="s">
        <v>5523</v>
      </c>
      <c r="E401" s="55" t="s">
        <v>1122</v>
      </c>
      <c r="F401" s="55" t="s">
        <v>5526</v>
      </c>
      <c r="G401" s="55" t="s">
        <v>5527</v>
      </c>
      <c r="H401" s="55" t="s">
        <v>52</v>
      </c>
      <c r="I401" s="55"/>
      <c r="J401" s="55" t="s">
        <v>5524</v>
      </c>
      <c r="K401" s="55" t="s">
        <v>62</v>
      </c>
      <c r="L401" s="57" t="str">
        <f>HYPERLINK("https://nycdoe.sharepoint.com/:w:/s/BAP/EcHRIZXLS3JBhW0fSL8ml7EBsspCOlefxPyvbjFZo36zog", "10 out of 10")</f>
        <v>10 out of 10</v>
      </c>
      <c r="M401" t="s">
        <v>5525</v>
      </c>
    </row>
    <row r="402" spans="2:13">
      <c r="B402" s="55" t="s">
        <v>1043</v>
      </c>
      <c r="C402" s="55" t="s">
        <v>1044</v>
      </c>
      <c r="D402" s="55" t="s">
        <v>5523</v>
      </c>
      <c r="E402" s="55" t="s">
        <v>5528</v>
      </c>
      <c r="F402" s="55" t="s">
        <v>5529</v>
      </c>
      <c r="G402" s="55" t="s">
        <v>5530</v>
      </c>
      <c r="H402" s="55" t="s">
        <v>56</v>
      </c>
      <c r="I402" s="55"/>
      <c r="J402" s="55" t="s">
        <v>5524</v>
      </c>
      <c r="K402" s="55" t="s">
        <v>62</v>
      </c>
      <c r="L402" s="57" t="str">
        <f>HYPERLINK("https://nycdoe.sharepoint.com/:w:/s/BAP/EcHRIZXLS3JBhW0fSL8ml7EBsspCOlefxPyvbjFZo36zog", "10 out of 10")</f>
        <v>10 out of 10</v>
      </c>
      <c r="M402" t="s">
        <v>5525</v>
      </c>
    </row>
    <row r="403" spans="2:13">
      <c r="B403" s="55" t="s">
        <v>1043</v>
      </c>
      <c r="C403" s="55" t="s">
        <v>1044</v>
      </c>
      <c r="D403" s="55" t="s">
        <v>5531</v>
      </c>
      <c r="E403" s="55" t="s">
        <v>5532</v>
      </c>
      <c r="F403" s="55" t="s">
        <v>5533</v>
      </c>
      <c r="G403" s="55" t="s">
        <v>5534</v>
      </c>
      <c r="H403" s="55" t="s">
        <v>17</v>
      </c>
      <c r="I403" s="55" t="s">
        <v>18</v>
      </c>
      <c r="J403" s="55" t="s">
        <v>5535</v>
      </c>
      <c r="K403" s="55" t="s">
        <v>62</v>
      </c>
      <c r="L403" s="57" t="str">
        <f>HYPERLINK("https://nycdoe.sharepoint.com/:w:/s/BAP/ESBYWxWGUqJAvLsPLQoa1jwBY1vk9K6aatssIHe-32WBVQ", "10 out of 10")</f>
        <v>10 out of 10</v>
      </c>
      <c r="M403" t="s">
        <v>5536</v>
      </c>
    </row>
    <row r="404" spans="2:13">
      <c r="B404" s="55" t="s">
        <v>1043</v>
      </c>
      <c r="C404" s="55" t="s">
        <v>1044</v>
      </c>
      <c r="D404" s="55" t="s">
        <v>1129</v>
      </c>
      <c r="E404" s="55" t="s">
        <v>1130</v>
      </c>
      <c r="F404" s="55" t="s">
        <v>5537</v>
      </c>
      <c r="G404" s="55" t="s">
        <v>5538</v>
      </c>
      <c r="H404" s="55" t="s">
        <v>24</v>
      </c>
      <c r="I404" s="55"/>
      <c r="J404" s="55" t="s">
        <v>5539</v>
      </c>
      <c r="K404" s="55" t="s">
        <v>62</v>
      </c>
      <c r="L404" s="57" t="str">
        <f>HYPERLINK("https://nycdoe.sharepoint.com/:w:/s/BAP/EdGTJQFXWA9CnQSUQNCWKPYBm-00RCY8T_QcLHcxyGBK1g", "9 out of 10")</f>
        <v>9 out of 10</v>
      </c>
      <c r="M404" t="s">
        <v>5540</v>
      </c>
    </row>
    <row r="405" spans="2:13">
      <c r="B405" s="55" t="s">
        <v>1043</v>
      </c>
      <c r="C405" s="55" t="s">
        <v>1044</v>
      </c>
      <c r="D405" s="55" t="s">
        <v>1134</v>
      </c>
      <c r="E405" s="55" t="s">
        <v>1135</v>
      </c>
      <c r="F405" s="55" t="s">
        <v>5541</v>
      </c>
      <c r="G405" s="55" t="s">
        <v>5542</v>
      </c>
      <c r="H405" s="55" t="s">
        <v>56</v>
      </c>
      <c r="I405" s="55"/>
      <c r="J405" s="55" t="s">
        <v>5543</v>
      </c>
      <c r="K405" s="55" t="s">
        <v>62</v>
      </c>
      <c r="L405" s="57" t="str">
        <f>HYPERLINK("https://nycdoe.sharepoint.com/:w:/s/BAP/EXcijHX1lsNAmN65TFX9mKABHT92WxJ-ZBBLGzhWGi1qkg", "9 out of 10")</f>
        <v>9 out of 10</v>
      </c>
      <c r="M405" t="s">
        <v>5544</v>
      </c>
    </row>
    <row r="406" spans="2:13">
      <c r="B406" s="55" t="s">
        <v>1043</v>
      </c>
      <c r="C406" s="55" t="s">
        <v>1044</v>
      </c>
      <c r="D406" s="55" t="s">
        <v>1134</v>
      </c>
      <c r="E406" s="55" t="s">
        <v>1139</v>
      </c>
      <c r="F406" s="55" t="s">
        <v>5545</v>
      </c>
      <c r="G406" s="55" t="s">
        <v>5546</v>
      </c>
      <c r="H406" s="55" t="s">
        <v>56</v>
      </c>
      <c r="I406" s="55"/>
      <c r="J406" s="55" t="s">
        <v>5543</v>
      </c>
      <c r="K406" s="55" t="s">
        <v>62</v>
      </c>
      <c r="L406" s="57" t="str">
        <f>HYPERLINK("https://nycdoe.sharepoint.com/:w:/s/BAP/EXcijHX1lsNAmN65TFX9mKABHT92WxJ-ZBBLGzhWGi1qkg", "9 out of 10")</f>
        <v>9 out of 10</v>
      </c>
      <c r="M406" t="s">
        <v>5544</v>
      </c>
    </row>
    <row r="407" spans="2:13">
      <c r="B407" s="55" t="s">
        <v>1043</v>
      </c>
      <c r="C407" s="55" t="s">
        <v>1044</v>
      </c>
      <c r="D407" s="55" t="s">
        <v>1134</v>
      </c>
      <c r="E407" s="55" t="s">
        <v>1142</v>
      </c>
      <c r="F407" s="55" t="s">
        <v>5547</v>
      </c>
      <c r="G407" s="55" t="s">
        <v>5548</v>
      </c>
      <c r="H407" s="55" t="s">
        <v>56</v>
      </c>
      <c r="I407" s="55"/>
      <c r="J407" s="55" t="s">
        <v>5543</v>
      </c>
      <c r="K407" s="55" t="s">
        <v>62</v>
      </c>
      <c r="L407" s="57" t="str">
        <f>HYPERLINK("https://nycdoe.sharepoint.com/:w:/s/BAP/EXcijHX1lsNAmN65TFX9mKABHT92WxJ-ZBBLGzhWGi1qkg", "9 out of 10")</f>
        <v>9 out of 10</v>
      </c>
      <c r="M407" t="s">
        <v>5544</v>
      </c>
    </row>
    <row r="408" spans="2:13">
      <c r="B408" s="55" t="s">
        <v>1043</v>
      </c>
      <c r="C408" s="55" t="s">
        <v>1044</v>
      </c>
      <c r="D408" s="55" t="s">
        <v>1145</v>
      </c>
      <c r="E408" s="55" t="s">
        <v>1146</v>
      </c>
      <c r="F408" s="55" t="s">
        <v>5549</v>
      </c>
      <c r="G408" s="55" t="s">
        <v>5550</v>
      </c>
      <c r="H408" s="55" t="s">
        <v>56</v>
      </c>
      <c r="I408" s="55"/>
      <c r="J408" s="55" t="s">
        <v>5551</v>
      </c>
      <c r="K408" s="55" t="s">
        <v>62</v>
      </c>
      <c r="L408" s="57" t="str">
        <f>HYPERLINK("https://nycdoe.sharepoint.com/:w:/s/BAP/EdXZ-4ivOYBIuvXGy5kpsCYBekzIsIID88sBNaCKL86-vg", "10 out of 10")</f>
        <v>10 out of 10</v>
      </c>
      <c r="M408" t="s">
        <v>5552</v>
      </c>
    </row>
    <row r="409" spans="2:13">
      <c r="B409" s="55" t="s">
        <v>1043</v>
      </c>
      <c r="C409" s="55" t="s">
        <v>1044</v>
      </c>
      <c r="D409" s="55" t="s">
        <v>1150</v>
      </c>
      <c r="E409" s="55" t="s">
        <v>1151</v>
      </c>
      <c r="F409" s="55" t="s">
        <v>5553</v>
      </c>
      <c r="G409" s="55" t="s">
        <v>5554</v>
      </c>
      <c r="H409" s="55" t="s">
        <v>56</v>
      </c>
      <c r="I409" s="55"/>
      <c r="J409" s="55" t="s">
        <v>5555</v>
      </c>
      <c r="K409" s="55" t="s">
        <v>62</v>
      </c>
      <c r="L409" s="57" t="str">
        <f>HYPERLINK("https://nycdoe.sharepoint.com/:w:/s/BAP/Eb4TP64C6NdFkaGKumQHgvIBMJFPGz4_Fghau0BMvGl3EA", "10 out of 10")</f>
        <v>10 out of 10</v>
      </c>
      <c r="M409" t="s">
        <v>5556</v>
      </c>
    </row>
    <row r="410" spans="2:13">
      <c r="B410" s="55" t="s">
        <v>1155</v>
      </c>
      <c r="C410" s="55" t="s">
        <v>1044</v>
      </c>
      <c r="D410" s="55" t="s">
        <v>5557</v>
      </c>
      <c r="E410" s="55" t="s">
        <v>5557</v>
      </c>
      <c r="F410" s="55" t="s">
        <v>5558</v>
      </c>
      <c r="G410" s="55" t="s">
        <v>5559</v>
      </c>
      <c r="H410" s="55" t="s">
        <v>17</v>
      </c>
      <c r="I410" s="55" t="s">
        <v>18</v>
      </c>
      <c r="J410" s="55" t="s">
        <v>5560</v>
      </c>
      <c r="K410" s="55" t="s">
        <v>20</v>
      </c>
      <c r="L410" s="57" t="str">
        <f>HYPERLINK("https://nycdoe.sharepoint.com/:w:/s/BAP/EdDP3H7_InRKtTFPPsZqqKYBzgrSzlHaRbSXmgUdHcURYA", "3 out of 10")</f>
        <v>3 out of 10</v>
      </c>
      <c r="M410" t="s">
        <v>5561</v>
      </c>
    </row>
    <row r="411" spans="2:13">
      <c r="B411" s="55" t="s">
        <v>1155</v>
      </c>
      <c r="C411" s="55" t="s">
        <v>1044</v>
      </c>
      <c r="D411" s="55" t="s">
        <v>5557</v>
      </c>
      <c r="E411" s="55" t="s">
        <v>5562</v>
      </c>
      <c r="F411" s="55" t="s">
        <v>5563</v>
      </c>
      <c r="G411" s="55" t="s">
        <v>5564</v>
      </c>
      <c r="H411" s="55" t="s">
        <v>52</v>
      </c>
      <c r="I411" s="55"/>
      <c r="J411" s="55" t="s">
        <v>5560</v>
      </c>
      <c r="K411" s="55" t="s">
        <v>20</v>
      </c>
      <c r="L411" s="57" t="str">
        <f>HYPERLINK("https://nycdoe.sharepoint.com/:w:/s/BAP/EdDP3H7_InRKtTFPPsZqqKYBzgrSzlHaRbSXmgUdHcURYA", "3 out of 10")</f>
        <v>3 out of 10</v>
      </c>
      <c r="M411" t="s">
        <v>5561</v>
      </c>
    </row>
    <row r="412" spans="2:13">
      <c r="B412" s="55" t="s">
        <v>1155</v>
      </c>
      <c r="C412" s="55" t="s">
        <v>1044</v>
      </c>
      <c r="D412" s="55" t="s">
        <v>5565</v>
      </c>
      <c r="E412" s="55" t="s">
        <v>5565</v>
      </c>
      <c r="F412" s="55" t="s">
        <v>5566</v>
      </c>
      <c r="G412" s="55" t="s">
        <v>5567</v>
      </c>
      <c r="H412" s="55" t="s">
        <v>17</v>
      </c>
      <c r="I412" s="55" t="s">
        <v>18</v>
      </c>
      <c r="J412" s="55" t="s">
        <v>5568</v>
      </c>
      <c r="K412" s="55" t="s">
        <v>20</v>
      </c>
      <c r="L412" s="57" t="str">
        <f>HYPERLINK("https://nycdoe.sharepoint.com/:w:/s/BAP/EbdEQg66eVlLoEGTvt0KZrgBtcgD71Cmbm_aVUPawsxKKg", "2 out of 10")</f>
        <v>2 out of 10</v>
      </c>
      <c r="M412" t="s">
        <v>5569</v>
      </c>
    </row>
    <row r="413" spans="2:13">
      <c r="B413" s="55" t="s">
        <v>1155</v>
      </c>
      <c r="C413" s="55" t="s">
        <v>1044</v>
      </c>
      <c r="D413" s="55" t="s">
        <v>5570</v>
      </c>
      <c r="E413" s="55" t="s">
        <v>5571</v>
      </c>
      <c r="F413" s="55" t="s">
        <v>5572</v>
      </c>
      <c r="G413" s="55" t="s">
        <v>5573</v>
      </c>
      <c r="H413" s="55" t="s">
        <v>17</v>
      </c>
      <c r="I413" s="55" t="s">
        <v>18</v>
      </c>
      <c r="J413" s="55" t="s">
        <v>5574</v>
      </c>
      <c r="K413" s="55" t="s">
        <v>20</v>
      </c>
      <c r="L413" s="57" t="str">
        <f>HYPERLINK("https://nycdoe.sharepoint.com/:w:/s/BAP/EViU3UzljMBIt52sKS1S6XcB_f9ZtQj13aXgGSX_ars5DQ", "3 out of 10")</f>
        <v>3 out of 10</v>
      </c>
      <c r="M413" t="s">
        <v>5575</v>
      </c>
    </row>
    <row r="414" spans="2:13">
      <c r="B414" s="55" t="s">
        <v>1155</v>
      </c>
      <c r="C414" s="55" t="s">
        <v>1044</v>
      </c>
      <c r="D414" s="55" t="s">
        <v>1156</v>
      </c>
      <c r="E414" s="55" t="s">
        <v>1156</v>
      </c>
      <c r="F414" s="55" t="s">
        <v>5576</v>
      </c>
      <c r="G414" s="55" t="s">
        <v>5577</v>
      </c>
      <c r="H414" s="55" t="s">
        <v>17</v>
      </c>
      <c r="I414" s="55" t="s">
        <v>18</v>
      </c>
      <c r="J414" s="55" t="s">
        <v>5578</v>
      </c>
      <c r="K414" s="55" t="s">
        <v>20</v>
      </c>
      <c r="L414" s="57" t="str">
        <f>HYPERLINK("https://nycdoe.sharepoint.com/:w:/s/BAP/EfoHm3YOr8NJuQyAPQMrTqUBRXIaEct1NGAu4TehibwnIg", "3 out of 10")</f>
        <v>3 out of 10</v>
      </c>
      <c r="M414" t="s">
        <v>5579</v>
      </c>
    </row>
    <row r="415" spans="2:13">
      <c r="B415" s="55" t="s">
        <v>1155</v>
      </c>
      <c r="C415" s="55" t="s">
        <v>1044</v>
      </c>
      <c r="D415" s="55" t="s">
        <v>1156</v>
      </c>
      <c r="E415" s="55" t="s">
        <v>1160</v>
      </c>
      <c r="F415" s="55" t="s">
        <v>5580</v>
      </c>
      <c r="G415" s="55" t="s">
        <v>5581</v>
      </c>
      <c r="H415" s="55" t="s">
        <v>17</v>
      </c>
      <c r="I415" s="55"/>
      <c r="J415" s="55" t="s">
        <v>5578</v>
      </c>
      <c r="K415" s="55" t="s">
        <v>20</v>
      </c>
      <c r="L415" s="57" t="str">
        <f>HYPERLINK("https://nycdoe.sharepoint.com/:w:/s/BAP/EfoHm3YOr8NJuQyAPQMrTqUBRXIaEct1NGAu4TehibwnIg", "3 out of 10")</f>
        <v>3 out of 10</v>
      </c>
      <c r="M415" t="s">
        <v>5579</v>
      </c>
    </row>
    <row r="416" spans="2:13">
      <c r="B416" s="55" t="s">
        <v>1155</v>
      </c>
      <c r="C416" s="55" t="s">
        <v>1044</v>
      </c>
      <c r="D416" s="55" t="s">
        <v>1163</v>
      </c>
      <c r="E416" s="55" t="s">
        <v>1164</v>
      </c>
      <c r="F416" s="55" t="s">
        <v>5582</v>
      </c>
      <c r="G416" s="55" t="s">
        <v>5583</v>
      </c>
      <c r="H416" s="55" t="s">
        <v>24</v>
      </c>
      <c r="I416" s="55"/>
      <c r="J416" s="55" t="s">
        <v>5584</v>
      </c>
      <c r="K416" s="55" t="s">
        <v>20</v>
      </c>
      <c r="L416" s="57" t="str">
        <f>HYPERLINK("https://nycdoe.sharepoint.com/:w:/s/BAP/EU3LBxNy1n9AlgE2D46rIeIBp1MKz9nusk7kiV3eXns9Lw", "1 out of 10")</f>
        <v>1 out of 10</v>
      </c>
      <c r="M416" t="s">
        <v>5585</v>
      </c>
    </row>
    <row r="417" spans="2:13">
      <c r="B417" s="55" t="s">
        <v>1155</v>
      </c>
      <c r="C417" s="55" t="s">
        <v>1044</v>
      </c>
      <c r="D417" s="55" t="s">
        <v>1163</v>
      </c>
      <c r="E417" s="55" t="s">
        <v>1168</v>
      </c>
      <c r="F417" s="55" t="s">
        <v>5586</v>
      </c>
      <c r="G417" s="55" t="s">
        <v>1170</v>
      </c>
      <c r="H417" s="55" t="s">
        <v>43</v>
      </c>
      <c r="I417" s="55" t="s">
        <v>18</v>
      </c>
      <c r="J417" s="55" t="s">
        <v>5584</v>
      </c>
      <c r="K417" s="55" t="s">
        <v>20</v>
      </c>
      <c r="L417" s="57" t="str">
        <f>HYPERLINK("https://nycdoe.sharepoint.com/:w:/s/BAP/EU3LBxNy1n9AlgE2D46rIeIBp1MKz9nusk7kiV3eXns9Lw", "1 out of 10")</f>
        <v>1 out of 10</v>
      </c>
      <c r="M417" t="s">
        <v>5585</v>
      </c>
    </row>
    <row r="418" spans="2:13">
      <c r="B418" s="55" t="s">
        <v>1155</v>
      </c>
      <c r="C418" s="55" t="s">
        <v>1044</v>
      </c>
      <c r="D418" s="55" t="s">
        <v>1171</v>
      </c>
      <c r="E418" s="55" t="s">
        <v>1172</v>
      </c>
      <c r="F418" s="55" t="s">
        <v>5587</v>
      </c>
      <c r="G418" s="55" t="s">
        <v>5588</v>
      </c>
      <c r="H418" s="55" t="s">
        <v>24</v>
      </c>
      <c r="I418" s="55"/>
      <c r="J418" s="55" t="s">
        <v>5589</v>
      </c>
      <c r="K418" s="55" t="s">
        <v>20</v>
      </c>
      <c r="L418" s="57" t="str">
        <f>HYPERLINK("https://nycdoe.sharepoint.com/:w:/s/BAP/ET-lZQ8DOTlMlqFH5v_0_2IBmku0QWHqW6lIvQW53pFwnQ", "1 out of 10")</f>
        <v>1 out of 10</v>
      </c>
      <c r="M418" t="s">
        <v>5590</v>
      </c>
    </row>
    <row r="419" spans="2:13">
      <c r="B419" s="55" t="s">
        <v>1155</v>
      </c>
      <c r="C419" s="55" t="s">
        <v>1044</v>
      </c>
      <c r="D419" s="55" t="s">
        <v>1171</v>
      </c>
      <c r="E419" s="55" t="s">
        <v>1171</v>
      </c>
      <c r="F419" s="55" t="s">
        <v>5591</v>
      </c>
      <c r="G419" s="55" t="s">
        <v>5592</v>
      </c>
      <c r="H419" s="55" t="s">
        <v>84</v>
      </c>
      <c r="I419" s="55"/>
      <c r="J419" s="55" t="s">
        <v>5589</v>
      </c>
      <c r="K419" s="55" t="s">
        <v>20</v>
      </c>
      <c r="L419" s="57" t="str">
        <f>HYPERLINK("https://nycdoe.sharepoint.com/:w:/s/BAP/ET-lZQ8DOTlMlqFH5v_0_2IBmku0QWHqW6lIvQW53pFwnQ", "1 out of 10")</f>
        <v>1 out of 10</v>
      </c>
      <c r="M419" t="s">
        <v>5590</v>
      </c>
    </row>
    <row r="420" spans="2:13">
      <c r="B420" s="55" t="s">
        <v>1155</v>
      </c>
      <c r="C420" s="55" t="s">
        <v>1044</v>
      </c>
      <c r="D420" s="55" t="s">
        <v>1171</v>
      </c>
      <c r="E420" s="55" t="s">
        <v>1178</v>
      </c>
      <c r="F420" s="55" t="s">
        <v>5593</v>
      </c>
      <c r="G420" s="55" t="s">
        <v>1180</v>
      </c>
      <c r="H420" s="55" t="s">
        <v>43</v>
      </c>
      <c r="I420" s="55" t="s">
        <v>18</v>
      </c>
      <c r="J420" s="55" t="s">
        <v>5589</v>
      </c>
      <c r="K420" s="55" t="s">
        <v>20</v>
      </c>
      <c r="L420" s="57" t="str">
        <f>HYPERLINK("https://nycdoe.sharepoint.com/:w:/s/BAP/ET-lZQ8DOTlMlqFH5v_0_2IBmku0QWHqW6lIvQW53pFwnQ", "1 out of 10")</f>
        <v>1 out of 10</v>
      </c>
      <c r="M420" t="s">
        <v>5590</v>
      </c>
    </row>
    <row r="421" spans="2:13">
      <c r="B421" s="55" t="s">
        <v>1155</v>
      </c>
      <c r="C421" s="55" t="s">
        <v>1044</v>
      </c>
      <c r="D421" s="55" t="s">
        <v>1181</v>
      </c>
      <c r="E421" s="55" t="s">
        <v>1181</v>
      </c>
      <c r="F421" s="55" t="s">
        <v>5594</v>
      </c>
      <c r="G421" s="55" t="s">
        <v>5595</v>
      </c>
      <c r="H421" s="55" t="s">
        <v>24</v>
      </c>
      <c r="I421" s="55" t="s">
        <v>18</v>
      </c>
      <c r="J421" s="55" t="s">
        <v>5596</v>
      </c>
      <c r="K421" s="55" t="s">
        <v>20</v>
      </c>
      <c r="L421" s="57" t="str">
        <f>HYPERLINK("https://nycdoe.sharepoint.com/:w:/s/BAP/EY_p49TPRFZAvk6P0zO2SMEBJFJ5o3pOYo4ZcwvMUEY9wg", "2 out of 10")</f>
        <v>2 out of 10</v>
      </c>
      <c r="M421" t="s">
        <v>5597</v>
      </c>
    </row>
    <row r="422" spans="2:13">
      <c r="B422" s="55" t="s">
        <v>1155</v>
      </c>
      <c r="C422" s="55" t="s">
        <v>1044</v>
      </c>
      <c r="D422" s="55" t="s">
        <v>1185</v>
      </c>
      <c r="E422" s="55" t="s">
        <v>1185</v>
      </c>
      <c r="F422" s="55" t="s">
        <v>5598</v>
      </c>
      <c r="G422" s="55" t="s">
        <v>5599</v>
      </c>
      <c r="H422" s="55" t="s">
        <v>17</v>
      </c>
      <c r="I422" s="55" t="s">
        <v>18</v>
      </c>
      <c r="J422" s="55" t="s">
        <v>5600</v>
      </c>
      <c r="K422" s="55" t="s">
        <v>62</v>
      </c>
      <c r="L422" s="57" t="str">
        <f>HYPERLINK("https://nycdoe.sharepoint.com/:w:/s/BAP/Eb1yYgEfWbxEnmrSsm1mjHIBD9nNXB_NaRoZwScGrJ5cbQ", "9 out of 10")</f>
        <v>9 out of 10</v>
      </c>
      <c r="M422" t="s">
        <v>5601</v>
      </c>
    </row>
    <row r="423" spans="2:13">
      <c r="B423" s="55" t="s">
        <v>1155</v>
      </c>
      <c r="C423" s="55" t="s">
        <v>1044</v>
      </c>
      <c r="D423" s="55" t="s">
        <v>1189</v>
      </c>
      <c r="E423" s="55" t="s">
        <v>1189</v>
      </c>
      <c r="F423" s="55" t="s">
        <v>5602</v>
      </c>
      <c r="G423" s="55" t="s">
        <v>5603</v>
      </c>
      <c r="H423" s="55" t="s">
        <v>17</v>
      </c>
      <c r="I423" s="55" t="s">
        <v>18</v>
      </c>
      <c r="J423" s="55" t="s">
        <v>5604</v>
      </c>
      <c r="K423" s="55" t="s">
        <v>20</v>
      </c>
      <c r="L423" s="57" t="str">
        <f>HYPERLINK("https://nycdoe.sharepoint.com/:w:/s/BAP/EXUi4aj8_7ZNtHYTWcDmYtEB_WASI79GOaT6SofWJdgkCg", "4 out of 10")</f>
        <v>4 out of 10</v>
      </c>
      <c r="M423" t="s">
        <v>5605</v>
      </c>
    </row>
    <row r="424" spans="2:13">
      <c r="B424" s="55" t="s">
        <v>1155</v>
      </c>
      <c r="C424" s="55" t="s">
        <v>1044</v>
      </c>
      <c r="D424" s="55" t="s">
        <v>1189</v>
      </c>
      <c r="E424" s="55" t="s">
        <v>1168</v>
      </c>
      <c r="F424" s="55" t="s">
        <v>5586</v>
      </c>
      <c r="G424" s="55" t="s">
        <v>1170</v>
      </c>
      <c r="H424" s="55" t="s">
        <v>43</v>
      </c>
      <c r="I424" s="55" t="s">
        <v>18</v>
      </c>
      <c r="J424" s="55" t="s">
        <v>5604</v>
      </c>
      <c r="K424" s="55" t="s">
        <v>20</v>
      </c>
      <c r="L424" s="57" t="str">
        <f>HYPERLINK("https://nycdoe.sharepoint.com/:w:/s/BAP/EXUi4aj8_7ZNtHYTWcDmYtEB_WASI79GOaT6SofWJdgkCg", "4 out of 10")</f>
        <v>4 out of 10</v>
      </c>
      <c r="M424" t="s">
        <v>5605</v>
      </c>
    </row>
    <row r="425" spans="2:13">
      <c r="B425" s="55" t="s">
        <v>1155</v>
      </c>
      <c r="C425" s="55" t="s">
        <v>1044</v>
      </c>
      <c r="D425" s="55" t="s">
        <v>1193</v>
      </c>
      <c r="E425" s="55" t="s">
        <v>1193</v>
      </c>
      <c r="F425" s="55" t="s">
        <v>5606</v>
      </c>
      <c r="G425" s="55" t="s">
        <v>5607</v>
      </c>
      <c r="H425" s="55" t="s">
        <v>52</v>
      </c>
      <c r="I425" s="55"/>
      <c r="J425" s="55" t="s">
        <v>5608</v>
      </c>
      <c r="K425" s="55" t="s">
        <v>62</v>
      </c>
      <c r="L425" s="57" t="str">
        <f>HYPERLINK("https://nycdoe.sharepoint.com/:w:/s/BAP/ETw-TkGQnatJi03-pzbjeucBRMdThCL9O3diWAR2iklQuQ", "9 out of 10")</f>
        <v>9 out of 10</v>
      </c>
      <c r="M425" t="s">
        <v>5609</v>
      </c>
    </row>
    <row r="426" spans="2:13">
      <c r="B426" s="55" t="s">
        <v>1155</v>
      </c>
      <c r="C426" s="55" t="s">
        <v>1044</v>
      </c>
      <c r="D426" s="55" t="s">
        <v>1193</v>
      </c>
      <c r="E426" s="55" t="s">
        <v>1197</v>
      </c>
      <c r="F426" s="55" t="s">
        <v>5610</v>
      </c>
      <c r="G426" s="55" t="s">
        <v>5611</v>
      </c>
      <c r="H426" s="55" t="s">
        <v>56</v>
      </c>
      <c r="I426" s="55"/>
      <c r="J426" s="55" t="s">
        <v>5608</v>
      </c>
      <c r="K426" s="55" t="s">
        <v>62</v>
      </c>
      <c r="L426" s="57" t="str">
        <f>HYPERLINK("https://nycdoe.sharepoint.com/:w:/s/BAP/ETw-TkGQnatJi03-pzbjeucBRMdThCL9O3diWAR2iklQuQ", "9 out of 10")</f>
        <v>9 out of 10</v>
      </c>
      <c r="M426" t="s">
        <v>5609</v>
      </c>
    </row>
    <row r="427" spans="2:13">
      <c r="B427" s="55" t="s">
        <v>1155</v>
      </c>
      <c r="C427" s="55" t="s">
        <v>1044</v>
      </c>
      <c r="D427" s="55" t="s">
        <v>1200</v>
      </c>
      <c r="E427" s="55" t="s">
        <v>1200</v>
      </c>
      <c r="F427" s="55" t="s">
        <v>5612</v>
      </c>
      <c r="G427" s="55" t="s">
        <v>5613</v>
      </c>
      <c r="H427" s="55" t="s">
        <v>17</v>
      </c>
      <c r="I427" s="55" t="s">
        <v>18</v>
      </c>
      <c r="J427" s="55" t="s">
        <v>5614</v>
      </c>
      <c r="K427" s="55" t="s">
        <v>62</v>
      </c>
      <c r="L427" s="57" t="str">
        <f>HYPERLINK("https://nycdoe.sharepoint.com/:w:/s/BAP/EecYr2dDzelKsR6dFBb0lqoB7vqCqTn5VjTxTuGqGPhEUA", "9 out of 10")</f>
        <v>9 out of 10</v>
      </c>
      <c r="M427" t="s">
        <v>5615</v>
      </c>
    </row>
    <row r="428" spans="2:13">
      <c r="B428" s="55" t="s">
        <v>1155</v>
      </c>
      <c r="C428" s="55" t="s">
        <v>1044</v>
      </c>
      <c r="D428" s="55" t="s">
        <v>5616</v>
      </c>
      <c r="E428" s="55" t="s">
        <v>5616</v>
      </c>
      <c r="F428" s="55" t="s">
        <v>5617</v>
      </c>
      <c r="G428" s="55" t="s">
        <v>5618</v>
      </c>
      <c r="H428" s="55" t="s">
        <v>17</v>
      </c>
      <c r="I428" s="55" t="s">
        <v>18</v>
      </c>
      <c r="J428" s="55" t="s">
        <v>5619</v>
      </c>
      <c r="K428" s="55" t="s">
        <v>20</v>
      </c>
      <c r="L428" s="57" t="str">
        <f>HYPERLINK("https://nycdoe.sharepoint.com/:w:/s/BAP/EVxLTc3cmtpArwFbm7gCqmQBTa4xTm9TQrBYjZTQXA_dTw", "1 out of 10")</f>
        <v>1 out of 10</v>
      </c>
      <c r="M428" t="s">
        <v>5620</v>
      </c>
    </row>
    <row r="429" spans="2:13">
      <c r="B429" s="55" t="s">
        <v>1155</v>
      </c>
      <c r="C429" s="55" t="s">
        <v>1044</v>
      </c>
      <c r="D429" s="55" t="s">
        <v>5616</v>
      </c>
      <c r="E429" s="55" t="s">
        <v>5621</v>
      </c>
      <c r="F429" s="55" t="s">
        <v>5622</v>
      </c>
      <c r="G429" s="55" t="s">
        <v>5623</v>
      </c>
      <c r="H429" s="55" t="s">
        <v>84</v>
      </c>
      <c r="I429" s="55"/>
      <c r="J429" s="55" t="s">
        <v>5619</v>
      </c>
      <c r="K429" s="55" t="s">
        <v>20</v>
      </c>
      <c r="L429" s="57" t="str">
        <f>HYPERLINK("https://nycdoe.sharepoint.com/:w:/s/BAP/EVxLTc3cmtpArwFbm7gCqmQBTa4xTm9TQrBYjZTQXA_dTw", "1 out of 10")</f>
        <v>1 out of 10</v>
      </c>
      <c r="M429" t="s">
        <v>5620</v>
      </c>
    </row>
    <row r="430" spans="2:13">
      <c r="B430" s="55" t="s">
        <v>1155</v>
      </c>
      <c r="C430" s="55" t="s">
        <v>1044</v>
      </c>
      <c r="D430" s="55" t="s">
        <v>5624</v>
      </c>
      <c r="E430" s="55" t="s">
        <v>5624</v>
      </c>
      <c r="F430" s="55" t="s">
        <v>5625</v>
      </c>
      <c r="G430" s="55" t="s">
        <v>5626</v>
      </c>
      <c r="H430" s="55" t="s">
        <v>17</v>
      </c>
      <c r="I430" s="55" t="s">
        <v>18</v>
      </c>
      <c r="J430" s="55" t="s">
        <v>5627</v>
      </c>
      <c r="K430" s="55" t="s">
        <v>20</v>
      </c>
      <c r="L430" s="57" t="str">
        <f>HYPERLINK("https://nycdoe.sharepoint.com/:w:/s/BAP/EXG9dffrvOJBjg7IumjdXKUBuZf2jFBkexyNpK_Hdwo0KQ", "1 out of 10")</f>
        <v>1 out of 10</v>
      </c>
      <c r="M430" t="s">
        <v>5628</v>
      </c>
    </row>
    <row r="431" spans="2:13">
      <c r="B431" s="55" t="s">
        <v>1155</v>
      </c>
      <c r="C431" s="55" t="s">
        <v>1044</v>
      </c>
      <c r="D431" s="55" t="s">
        <v>5624</v>
      </c>
      <c r="E431" s="55" t="s">
        <v>5629</v>
      </c>
      <c r="F431" s="55" t="s">
        <v>5630</v>
      </c>
      <c r="G431" s="55" t="s">
        <v>5631</v>
      </c>
      <c r="H431" s="55" t="s">
        <v>52</v>
      </c>
      <c r="I431" s="55"/>
      <c r="J431" s="55" t="s">
        <v>5627</v>
      </c>
      <c r="K431" s="55" t="s">
        <v>20</v>
      </c>
      <c r="L431" s="57" t="str">
        <f>HYPERLINK("https://nycdoe.sharepoint.com/:w:/s/BAP/EXG9dffrvOJBjg7IumjdXKUBuZf2jFBkexyNpK_Hdwo0KQ", "1 out of 10")</f>
        <v>1 out of 10</v>
      </c>
      <c r="M431" t="s">
        <v>5628</v>
      </c>
    </row>
    <row r="432" spans="2:13">
      <c r="B432" s="55" t="s">
        <v>1155</v>
      </c>
      <c r="C432" s="55" t="s">
        <v>1044</v>
      </c>
      <c r="D432" s="55" t="s">
        <v>5632</v>
      </c>
      <c r="E432" s="55" t="s">
        <v>5632</v>
      </c>
      <c r="F432" s="55" t="s">
        <v>5633</v>
      </c>
      <c r="G432" s="55" t="s">
        <v>5634</v>
      </c>
      <c r="H432" s="55" t="s">
        <v>17</v>
      </c>
      <c r="I432" s="55" t="s">
        <v>18</v>
      </c>
      <c r="J432" s="55" t="s">
        <v>5635</v>
      </c>
      <c r="K432" s="55" t="s">
        <v>20</v>
      </c>
      <c r="L432" s="57" t="str">
        <f>HYPERLINK("https://nycdoe.sharepoint.com/:w:/s/BAP/EcA0eVEB8whFriD3yKxtc8EBqJAj2fJFO1_mxCqZoQHSyA", "2 out of 10")</f>
        <v>2 out of 10</v>
      </c>
      <c r="M432" t="s">
        <v>5636</v>
      </c>
    </row>
    <row r="433" spans="2:13">
      <c r="B433" s="55" t="s">
        <v>1155</v>
      </c>
      <c r="C433" s="55" t="s">
        <v>1044</v>
      </c>
      <c r="D433" s="55" t="s">
        <v>1204</v>
      </c>
      <c r="E433" s="55" t="s">
        <v>1204</v>
      </c>
      <c r="F433" s="55" t="s">
        <v>5637</v>
      </c>
      <c r="G433" s="55" t="s">
        <v>5638</v>
      </c>
      <c r="H433" s="55" t="s">
        <v>17</v>
      </c>
      <c r="I433" s="55" t="s">
        <v>18</v>
      </c>
      <c r="J433" s="55" t="s">
        <v>5639</v>
      </c>
      <c r="K433" s="55" t="s">
        <v>20</v>
      </c>
      <c r="L433" s="57" t="str">
        <f>HYPERLINK("https://nycdoe.sharepoint.com/:w:/s/BAP/EYc5JQ-RpV9HrnDN2yX6DAkBy-FXYT0ywRKJNE3nAFlFkA", "3 out of 10")</f>
        <v>3 out of 10</v>
      </c>
      <c r="M433" t="s">
        <v>5640</v>
      </c>
    </row>
    <row r="434" spans="2:13">
      <c r="B434" s="55" t="s">
        <v>1155</v>
      </c>
      <c r="C434" s="55" t="s">
        <v>1044</v>
      </c>
      <c r="D434" s="55" t="s">
        <v>1208</v>
      </c>
      <c r="E434" s="55" t="s">
        <v>1208</v>
      </c>
      <c r="F434" s="55" t="s">
        <v>5641</v>
      </c>
      <c r="G434" s="55" t="s">
        <v>5642</v>
      </c>
      <c r="H434" s="55" t="s">
        <v>52</v>
      </c>
      <c r="I434" s="55"/>
      <c r="J434" s="55" t="s">
        <v>5643</v>
      </c>
      <c r="K434" s="55" t="s">
        <v>20</v>
      </c>
      <c r="L434" s="57" t="str">
        <f>HYPERLINK("https://nycdoe.sharepoint.com/:w:/s/BAP/EQnwFe5AoWJDjDfJZJuypC8BvTcn2v0AvKlNNHIxt-gWxQ", "3 out of 10")</f>
        <v>3 out of 10</v>
      </c>
      <c r="M434" t="s">
        <v>5644</v>
      </c>
    </row>
    <row r="435" spans="2:13">
      <c r="B435" s="55" t="s">
        <v>1155</v>
      </c>
      <c r="C435" s="55" t="s">
        <v>1044</v>
      </c>
      <c r="D435" s="55" t="s">
        <v>1208</v>
      </c>
      <c r="E435" s="55" t="s">
        <v>4564</v>
      </c>
      <c r="F435" s="55" t="s">
        <v>4565</v>
      </c>
      <c r="G435" s="55" t="s">
        <v>4566</v>
      </c>
      <c r="H435" s="55" t="s">
        <v>52</v>
      </c>
      <c r="I435" s="55"/>
      <c r="J435" s="55" t="s">
        <v>5643</v>
      </c>
      <c r="K435" s="55" t="s">
        <v>20</v>
      </c>
      <c r="L435" s="57" t="str">
        <f>HYPERLINK("https://nycdoe.sharepoint.com/:w:/s/BAP/EQnwFe5AoWJDjDfJZJuypC8BvTcn2v0AvKlNNHIxt-gWxQ", "3 out of 10")</f>
        <v>3 out of 10</v>
      </c>
      <c r="M435" t="s">
        <v>5644</v>
      </c>
    </row>
    <row r="436" spans="2:13">
      <c r="B436" s="55" t="s">
        <v>1155</v>
      </c>
      <c r="C436" s="55" t="s">
        <v>1044</v>
      </c>
      <c r="D436" s="55" t="s">
        <v>1212</v>
      </c>
      <c r="E436" s="55" t="s">
        <v>1212</v>
      </c>
      <c r="F436" s="55" t="s">
        <v>5645</v>
      </c>
      <c r="G436" s="55" t="s">
        <v>1214</v>
      </c>
      <c r="H436" s="55" t="s">
        <v>553</v>
      </c>
      <c r="I436" s="55" t="s">
        <v>18</v>
      </c>
      <c r="J436" s="55" t="s">
        <v>5646</v>
      </c>
      <c r="K436" s="55" t="s">
        <v>20</v>
      </c>
      <c r="L436" s="57" t="str">
        <f>HYPERLINK("https://nycdoe.sharepoint.com/:w:/s/BAP/Ect7sJYaA6tFnI0kwWSEpdwBSMMWRigZV1BF7UzWz-PnFA", "1 out of 10")</f>
        <v>1 out of 10</v>
      </c>
      <c r="M436" t="s">
        <v>5647</v>
      </c>
    </row>
    <row r="437" spans="2:13">
      <c r="B437" s="55" t="s">
        <v>1155</v>
      </c>
      <c r="C437" s="55" t="s">
        <v>1044</v>
      </c>
      <c r="D437" s="55" t="s">
        <v>1216</v>
      </c>
      <c r="E437" s="55" t="s">
        <v>1178</v>
      </c>
      <c r="F437" s="55" t="s">
        <v>5593</v>
      </c>
      <c r="G437" s="55" t="s">
        <v>1180</v>
      </c>
      <c r="H437" s="55" t="s">
        <v>43</v>
      </c>
      <c r="I437" s="55" t="s">
        <v>18</v>
      </c>
      <c r="J437" s="55" t="s">
        <v>5648</v>
      </c>
      <c r="K437" s="55" t="s">
        <v>20</v>
      </c>
      <c r="L437" s="57" t="str">
        <f>HYPERLINK("https://nycdoe.sharepoint.com/:w:/s/BAP/EfqZ5sVOW4ZEosGQEK5vbe4Bf6wffl1SxmK1Haw65eD8og", "3 out of 10")</f>
        <v>3 out of 10</v>
      </c>
      <c r="M437" t="s">
        <v>5649</v>
      </c>
    </row>
    <row r="438" spans="2:13">
      <c r="B438" s="55" t="s">
        <v>1155</v>
      </c>
      <c r="C438" s="55" t="s">
        <v>1044</v>
      </c>
      <c r="D438" s="55" t="s">
        <v>1216</v>
      </c>
      <c r="E438" s="55" t="s">
        <v>1216</v>
      </c>
      <c r="F438" s="55" t="s">
        <v>5650</v>
      </c>
      <c r="G438" s="55" t="s">
        <v>5651</v>
      </c>
      <c r="H438" s="55" t="s">
        <v>17</v>
      </c>
      <c r="I438" s="55" t="s">
        <v>18</v>
      </c>
      <c r="J438" s="55" t="s">
        <v>5648</v>
      </c>
      <c r="K438" s="55" t="s">
        <v>20</v>
      </c>
      <c r="L438" s="57" t="str">
        <f>HYPERLINK("https://nycdoe.sharepoint.com/:w:/s/BAP/EfqZ5sVOW4ZEosGQEK5vbe4Bf6wffl1SxmK1Haw65eD8og", "3 out of 10")</f>
        <v>3 out of 10</v>
      </c>
      <c r="M438" t="s">
        <v>5649</v>
      </c>
    </row>
    <row r="439" spans="2:13">
      <c r="B439" s="55" t="s">
        <v>1155</v>
      </c>
      <c r="C439" s="55" t="s">
        <v>1044</v>
      </c>
      <c r="D439" s="55" t="s">
        <v>1220</v>
      </c>
      <c r="E439" s="55" t="s">
        <v>1221</v>
      </c>
      <c r="F439" s="55" t="s">
        <v>5652</v>
      </c>
      <c r="G439" s="55" t="s">
        <v>5653</v>
      </c>
      <c r="H439" s="55" t="s">
        <v>56</v>
      </c>
      <c r="I439" s="55"/>
      <c r="J439" s="55" t="s">
        <v>5654</v>
      </c>
      <c r="K439" s="55" t="s">
        <v>62</v>
      </c>
      <c r="L439" s="57" t="str">
        <f>HYPERLINK("https://nycdoe.sharepoint.com/:w:/s/BAP/ETzQAVqDc4NHpyal7fLpEOQBbULP_j9q9RwUu1xq5DA0Kw", "9 out of 10")</f>
        <v>9 out of 10</v>
      </c>
      <c r="M439" t="s">
        <v>5655</v>
      </c>
    </row>
    <row r="440" spans="2:13">
      <c r="B440" s="55" t="s">
        <v>1155</v>
      </c>
      <c r="C440" s="55" t="s">
        <v>1044</v>
      </c>
      <c r="D440" s="55" t="s">
        <v>1220</v>
      </c>
      <c r="E440" s="55" t="s">
        <v>1225</v>
      </c>
      <c r="F440" s="55" t="s">
        <v>5656</v>
      </c>
      <c r="G440" s="55" t="s">
        <v>5657</v>
      </c>
      <c r="H440" s="55" t="s">
        <v>56</v>
      </c>
      <c r="I440" s="55"/>
      <c r="J440" s="55" t="s">
        <v>5654</v>
      </c>
      <c r="K440" s="55" t="s">
        <v>62</v>
      </c>
      <c r="L440" s="57" t="str">
        <f>HYPERLINK("https://nycdoe.sharepoint.com/:w:/s/BAP/ETzQAVqDc4NHpyal7fLpEOQBbULP_j9q9RwUu1xq5DA0Kw", "9 out of 10")</f>
        <v>9 out of 10</v>
      </c>
      <c r="M440" t="s">
        <v>5655</v>
      </c>
    </row>
    <row r="441" spans="2:13">
      <c r="B441" s="55" t="s">
        <v>1155</v>
      </c>
      <c r="C441" s="55" t="s">
        <v>1044</v>
      </c>
      <c r="D441" s="55" t="s">
        <v>1220</v>
      </c>
      <c r="E441" s="55" t="s">
        <v>1228</v>
      </c>
      <c r="F441" s="55" t="s">
        <v>5658</v>
      </c>
      <c r="G441" s="55" t="s">
        <v>5659</v>
      </c>
      <c r="H441" s="55" t="s">
        <v>56</v>
      </c>
      <c r="I441" s="55"/>
      <c r="J441" s="55" t="s">
        <v>5654</v>
      </c>
      <c r="K441" s="55" t="s">
        <v>62</v>
      </c>
      <c r="L441" s="57" t="str">
        <f>HYPERLINK("https://nycdoe.sharepoint.com/:w:/s/BAP/ETzQAVqDc4NHpyal7fLpEOQBbULP_j9q9RwUu1xq5DA0Kw", "9 out of 10")</f>
        <v>9 out of 10</v>
      </c>
      <c r="M441" t="s">
        <v>5655</v>
      </c>
    </row>
    <row r="442" spans="2:13">
      <c r="B442" s="55" t="s">
        <v>1155</v>
      </c>
      <c r="C442" s="55" t="s">
        <v>1044</v>
      </c>
      <c r="D442" s="55" t="s">
        <v>1231</v>
      </c>
      <c r="E442" s="55" t="s">
        <v>1231</v>
      </c>
      <c r="F442" s="55" t="s">
        <v>5660</v>
      </c>
      <c r="G442" s="55" t="s">
        <v>5661</v>
      </c>
      <c r="H442" s="55" t="s">
        <v>56</v>
      </c>
      <c r="I442" s="55"/>
      <c r="J442" s="55" t="s">
        <v>5662</v>
      </c>
      <c r="K442" s="55" t="s">
        <v>20</v>
      </c>
      <c r="L442" s="57" t="str">
        <f>HYPERLINK("https://nycdoe.sharepoint.com/:w:/s/BAP/EeolikCxqjZHpa0F1YanxZIBgAAyzPQvqZneTsKPMV7B9A", "1 out of 10")</f>
        <v>1 out of 10</v>
      </c>
      <c r="M442" t="s">
        <v>5663</v>
      </c>
    </row>
    <row r="443" spans="2:13">
      <c r="B443" s="55" t="s">
        <v>1155</v>
      </c>
      <c r="C443" s="55" t="s">
        <v>1044</v>
      </c>
      <c r="D443" s="55" t="s">
        <v>1235</v>
      </c>
      <c r="E443" s="55" t="s">
        <v>1236</v>
      </c>
      <c r="F443" s="55" t="s">
        <v>5664</v>
      </c>
      <c r="G443" s="55" t="s">
        <v>5665</v>
      </c>
      <c r="H443" s="55" t="s">
        <v>56</v>
      </c>
      <c r="I443" s="55"/>
      <c r="J443" s="55" t="s">
        <v>5666</v>
      </c>
      <c r="K443" s="55" t="s">
        <v>20</v>
      </c>
      <c r="L443" s="57" t="str">
        <f>HYPERLINK("https://nycdoe.sharepoint.com/:w:/s/BAP/EdRPShyEjOZEv31bwgGHfa4BGO7UMqSvn5GEVxkGMJsGdA", "6 out of 10")</f>
        <v>6 out of 10</v>
      </c>
      <c r="M443" t="s">
        <v>5667</v>
      </c>
    </row>
    <row r="444" spans="2:13">
      <c r="B444" s="55" t="s">
        <v>1155</v>
      </c>
      <c r="C444" s="55" t="s">
        <v>1044</v>
      </c>
      <c r="D444" s="55" t="s">
        <v>1235</v>
      </c>
      <c r="E444" s="55" t="s">
        <v>1240</v>
      </c>
      <c r="F444" s="55" t="s">
        <v>5668</v>
      </c>
      <c r="G444" s="55" t="s">
        <v>5669</v>
      </c>
      <c r="H444" s="55" t="s">
        <v>56</v>
      </c>
      <c r="I444" s="55"/>
      <c r="J444" s="55" t="s">
        <v>5666</v>
      </c>
      <c r="K444" s="55" t="s">
        <v>20</v>
      </c>
      <c r="L444" s="57" t="str">
        <f>HYPERLINK("https://nycdoe.sharepoint.com/:w:/s/BAP/EdRPShyEjOZEv31bwgGHfa4BGO7UMqSvn5GEVxkGMJsGdA", "6 out of 10")</f>
        <v>6 out of 10</v>
      </c>
      <c r="M444" t="s">
        <v>5667</v>
      </c>
    </row>
    <row r="445" spans="2:13">
      <c r="B445" s="55" t="s">
        <v>1155</v>
      </c>
      <c r="C445" s="55" t="s">
        <v>1044</v>
      </c>
      <c r="D445" s="55" t="s">
        <v>1235</v>
      </c>
      <c r="E445" s="55" t="s">
        <v>1243</v>
      </c>
      <c r="F445" s="55" t="s">
        <v>5670</v>
      </c>
      <c r="G445" s="55" t="s">
        <v>5671</v>
      </c>
      <c r="H445" s="55" t="s">
        <v>56</v>
      </c>
      <c r="I445" s="55"/>
      <c r="J445" s="55" t="s">
        <v>5666</v>
      </c>
      <c r="K445" s="55" t="s">
        <v>20</v>
      </c>
      <c r="L445" s="57" t="str">
        <f>HYPERLINK("https://nycdoe.sharepoint.com/:w:/s/BAP/EdRPShyEjOZEv31bwgGHfa4BGO7UMqSvn5GEVxkGMJsGdA", "6 out of 10")</f>
        <v>6 out of 10</v>
      </c>
      <c r="M445" t="s">
        <v>5667</v>
      </c>
    </row>
    <row r="446" spans="2:13">
      <c r="B446" s="55" t="s">
        <v>1246</v>
      </c>
      <c r="C446" s="55" t="s">
        <v>1044</v>
      </c>
      <c r="D446" s="55" t="s">
        <v>1247</v>
      </c>
      <c r="E446" s="55" t="s">
        <v>1247</v>
      </c>
      <c r="F446" s="55" t="s">
        <v>5672</v>
      </c>
      <c r="G446" s="55" t="s">
        <v>5673</v>
      </c>
      <c r="H446" s="55" t="s">
        <v>17</v>
      </c>
      <c r="I446" s="55" t="s">
        <v>18</v>
      </c>
      <c r="J446" s="55" t="s">
        <v>5674</v>
      </c>
      <c r="K446" s="55" t="s">
        <v>20</v>
      </c>
      <c r="L446" s="57" t="str">
        <f>HYPERLINK("https://nycdoe.sharepoint.com/:w:/s/BAP/Ebs-bh8RaCJOmSxBGdowP8oBjsLaa3CpyDVRZs5j_AAC6w", "3 out of 10")</f>
        <v>3 out of 10</v>
      </c>
      <c r="M446" t="s">
        <v>5675</v>
      </c>
    </row>
    <row r="447" spans="2:13">
      <c r="B447" s="55" t="s">
        <v>1246</v>
      </c>
      <c r="C447" s="55" t="s">
        <v>1044</v>
      </c>
      <c r="D447" s="55" t="s">
        <v>5676</v>
      </c>
      <c r="E447" s="55" t="s">
        <v>5676</v>
      </c>
      <c r="F447" s="55" t="s">
        <v>5677</v>
      </c>
      <c r="G447" s="55" t="s">
        <v>5678</v>
      </c>
      <c r="H447" s="55" t="s">
        <v>17</v>
      </c>
      <c r="I447" s="55" t="s">
        <v>18</v>
      </c>
      <c r="J447" s="55" t="s">
        <v>5679</v>
      </c>
      <c r="K447" s="55" t="s">
        <v>20</v>
      </c>
      <c r="L447" s="57" t="str">
        <f>HYPERLINK("https://nycdoe.sharepoint.com/:w:/s/BAP/ETyE_UFaTYdGg4zbJRzd4NUBng5Be2WRbNM8Bi0l2WQRQw", "4 out of 10")</f>
        <v>4 out of 10</v>
      </c>
      <c r="M447" t="s">
        <v>5680</v>
      </c>
    </row>
    <row r="448" spans="2:13">
      <c r="B448" s="55" t="s">
        <v>1246</v>
      </c>
      <c r="C448" s="55" t="s">
        <v>1044</v>
      </c>
      <c r="D448" s="55" t="s">
        <v>1251</v>
      </c>
      <c r="E448" s="55" t="s">
        <v>1251</v>
      </c>
      <c r="F448" s="55" t="s">
        <v>5681</v>
      </c>
      <c r="G448" s="55" t="s">
        <v>1253</v>
      </c>
      <c r="H448" s="55" t="s">
        <v>17</v>
      </c>
      <c r="I448" s="55" t="s">
        <v>18</v>
      </c>
      <c r="J448" s="55" t="s">
        <v>5682</v>
      </c>
      <c r="K448" s="55" t="s">
        <v>62</v>
      </c>
      <c r="L448" s="57" t="str">
        <f>HYPERLINK("https://nycdoe.sharepoint.com/:w:/s/BAP/EU7b-p9QMjNJn4tR3Pg9XEEBGescFqNb_lr0ElPgnT3sjQ", "10 out of 10")</f>
        <v>10 out of 10</v>
      </c>
      <c r="M448" t="s">
        <v>5683</v>
      </c>
    </row>
    <row r="449" spans="2:13">
      <c r="B449" s="55" t="s">
        <v>1246</v>
      </c>
      <c r="C449" s="55" t="s">
        <v>1044</v>
      </c>
      <c r="D449" s="55" t="s">
        <v>1255</v>
      </c>
      <c r="E449" s="55" t="s">
        <v>1255</v>
      </c>
      <c r="F449" s="55" t="s">
        <v>5684</v>
      </c>
      <c r="G449" s="55" t="s">
        <v>5685</v>
      </c>
      <c r="H449" s="55" t="s">
        <v>17</v>
      </c>
      <c r="I449" s="55" t="s">
        <v>18</v>
      </c>
      <c r="J449" s="55" t="s">
        <v>5686</v>
      </c>
      <c r="K449" s="55" t="s">
        <v>62</v>
      </c>
      <c r="L449" s="57" t="str">
        <f>HYPERLINK("https://nycdoe.sharepoint.com/:w:/s/BAP/EWklPzO42sNEloQEb4UHZ10BL_yKJARNPyz2Qr-u5XwmGQ", "9 out of 10")</f>
        <v>9 out of 10</v>
      </c>
      <c r="M449" t="s">
        <v>5687</v>
      </c>
    </row>
    <row r="450" spans="2:13">
      <c r="B450" s="55" t="s">
        <v>1246</v>
      </c>
      <c r="C450" s="55" t="s">
        <v>1044</v>
      </c>
      <c r="D450" s="55" t="s">
        <v>1259</v>
      </c>
      <c r="E450" s="55" t="s">
        <v>1259</v>
      </c>
      <c r="F450" s="55" t="s">
        <v>5688</v>
      </c>
      <c r="G450" s="55" t="s">
        <v>5689</v>
      </c>
      <c r="H450" s="55" t="s">
        <v>52</v>
      </c>
      <c r="I450" s="55"/>
      <c r="J450" s="55" t="s">
        <v>5690</v>
      </c>
      <c r="K450" s="55" t="s">
        <v>20</v>
      </c>
      <c r="L450" s="57" t="str">
        <f>HYPERLINK("https://nycdoe.sharepoint.com/:w:/s/BAP/Eb6V_haPNWNHpYC_0Dui564B-YIjpCOw4SZLNeRV5fcIyA", "6 out of 10")</f>
        <v>6 out of 10</v>
      </c>
      <c r="M450" t="s">
        <v>5691</v>
      </c>
    </row>
    <row r="451" spans="2:13">
      <c r="B451" s="55" t="s">
        <v>1246</v>
      </c>
      <c r="C451" s="55" t="s">
        <v>1044</v>
      </c>
      <c r="D451" s="55" t="s">
        <v>5692</v>
      </c>
      <c r="E451" s="55" t="s">
        <v>5692</v>
      </c>
      <c r="F451" s="55" t="s">
        <v>5693</v>
      </c>
      <c r="G451" s="55" t="s">
        <v>5694</v>
      </c>
      <c r="H451" s="55" t="s">
        <v>17</v>
      </c>
      <c r="I451" s="55" t="s">
        <v>18</v>
      </c>
      <c r="J451" s="55" t="s">
        <v>5695</v>
      </c>
      <c r="K451" s="55" t="s">
        <v>20</v>
      </c>
      <c r="L451" s="57" t="str">
        <f>HYPERLINK("https://nycdoe.sharepoint.com/:w:/s/BAP/EVmz2w52CYlIqWD1WmymrMgB5WCeiRQ3FiwrZUd2dOIevA", "3 out of 10")</f>
        <v>3 out of 10</v>
      </c>
      <c r="M451" t="s">
        <v>5696</v>
      </c>
    </row>
    <row r="452" spans="2:13">
      <c r="B452" s="55" t="s">
        <v>1246</v>
      </c>
      <c r="C452" s="55" t="s">
        <v>1044</v>
      </c>
      <c r="D452" s="55" t="s">
        <v>1263</v>
      </c>
      <c r="E452" s="55" t="s">
        <v>1264</v>
      </c>
      <c r="F452" s="55" t="s">
        <v>5697</v>
      </c>
      <c r="G452" s="55" t="s">
        <v>1266</v>
      </c>
      <c r="H452" s="55" t="s">
        <v>43</v>
      </c>
      <c r="I452" s="55"/>
      <c r="J452" s="55" t="s">
        <v>5698</v>
      </c>
      <c r="K452" s="55" t="s">
        <v>62</v>
      </c>
      <c r="L452" s="57" t="str">
        <f>HYPERLINK("https://nycdoe.sharepoint.com/:w:/s/BAP/EYSrSjjfJHVOmllBWGG_-JIB2sqthd7zjsLhhdjmCZw7xw", "9 out of 10")</f>
        <v>9 out of 10</v>
      </c>
      <c r="M452" t="s">
        <v>5699</v>
      </c>
    </row>
    <row r="453" spans="2:13">
      <c r="B453" s="55" t="s">
        <v>1246</v>
      </c>
      <c r="C453" s="55" t="s">
        <v>1044</v>
      </c>
      <c r="D453" s="55" t="s">
        <v>1263</v>
      </c>
      <c r="E453" s="55" t="s">
        <v>1263</v>
      </c>
      <c r="F453" s="55" t="s">
        <v>5700</v>
      </c>
      <c r="G453" s="55" t="s">
        <v>5701</v>
      </c>
      <c r="H453" s="55" t="s">
        <v>52</v>
      </c>
      <c r="I453" s="55"/>
      <c r="J453" s="55" t="s">
        <v>5698</v>
      </c>
      <c r="K453" s="55" t="s">
        <v>62</v>
      </c>
      <c r="L453" s="57" t="str">
        <f>HYPERLINK("https://nycdoe.sharepoint.com/:w:/s/BAP/EYSrSjjfJHVOmllBWGG_-JIB2sqthd7zjsLhhdjmCZw7xw", "9 out of 10")</f>
        <v>9 out of 10</v>
      </c>
      <c r="M453" t="s">
        <v>5699</v>
      </c>
    </row>
    <row r="454" spans="2:13">
      <c r="B454" s="55" t="s">
        <v>1246</v>
      </c>
      <c r="C454" s="55" t="s">
        <v>1044</v>
      </c>
      <c r="D454" s="55" t="s">
        <v>1263</v>
      </c>
      <c r="E454" s="55" t="s">
        <v>4564</v>
      </c>
      <c r="F454" s="55" t="s">
        <v>4565</v>
      </c>
      <c r="G454" s="55" t="s">
        <v>4566</v>
      </c>
      <c r="H454" s="55" t="s">
        <v>52</v>
      </c>
      <c r="I454" s="55"/>
      <c r="J454" s="55" t="s">
        <v>5698</v>
      </c>
      <c r="K454" s="55" t="s">
        <v>62</v>
      </c>
      <c r="L454" s="57" t="str">
        <f>HYPERLINK("https://nycdoe.sharepoint.com/:w:/s/BAP/EYSrSjjfJHVOmllBWGG_-JIB2sqthd7zjsLhhdjmCZw7xw", "9 out of 10")</f>
        <v>9 out of 10</v>
      </c>
      <c r="M454" t="s">
        <v>5699</v>
      </c>
    </row>
    <row r="455" spans="2:13">
      <c r="B455" s="55" t="s">
        <v>1246</v>
      </c>
      <c r="C455" s="55" t="s">
        <v>1044</v>
      </c>
      <c r="D455" s="55" t="s">
        <v>5702</v>
      </c>
      <c r="E455" s="55" t="s">
        <v>5702</v>
      </c>
      <c r="F455" s="55" t="s">
        <v>5703</v>
      </c>
      <c r="G455" s="55" t="s">
        <v>5704</v>
      </c>
      <c r="H455" s="55" t="s">
        <v>17</v>
      </c>
      <c r="I455" s="55" t="s">
        <v>18</v>
      </c>
      <c r="J455" s="55" t="s">
        <v>5705</v>
      </c>
      <c r="K455" s="55" t="s">
        <v>20</v>
      </c>
      <c r="L455" s="57" t="str">
        <f>HYPERLINK("https://nycdoe.sharepoint.com/:w:/s/BAP/EXAEBhtfdDpBt-g1NUe6sswB93zhO83opQoI71dy2h8JUQ", "2 out of 10")</f>
        <v>2 out of 10</v>
      </c>
      <c r="M455" t="s">
        <v>5706</v>
      </c>
    </row>
    <row r="456" spans="2:13">
      <c r="B456" s="55" t="s">
        <v>1246</v>
      </c>
      <c r="C456" s="55" t="s">
        <v>1044</v>
      </c>
      <c r="D456" s="55" t="s">
        <v>1270</v>
      </c>
      <c r="E456" s="55" t="s">
        <v>1270</v>
      </c>
      <c r="F456" s="55" t="s">
        <v>5707</v>
      </c>
      <c r="G456" s="55" t="s">
        <v>5708</v>
      </c>
      <c r="H456" s="55" t="s">
        <v>17</v>
      </c>
      <c r="I456" s="55" t="s">
        <v>18</v>
      </c>
      <c r="J456" s="55" t="s">
        <v>5709</v>
      </c>
      <c r="K456" s="55" t="s">
        <v>20</v>
      </c>
      <c r="L456" s="57" t="str">
        <f>HYPERLINK("https://nycdoe.sharepoint.com/:w:/s/BAP/EdHqSfnemqBBrlq6vb6gjEwBoV0axIkkVujISARBYydu1g", "4 out of 10")</f>
        <v>4 out of 10</v>
      </c>
      <c r="M456" t="s">
        <v>5710</v>
      </c>
    </row>
    <row r="457" spans="2:13">
      <c r="B457" s="55" t="s">
        <v>1246</v>
      </c>
      <c r="C457" s="55" t="s">
        <v>1044</v>
      </c>
      <c r="D457" s="55" t="s">
        <v>5711</v>
      </c>
      <c r="E457" s="55" t="s">
        <v>5712</v>
      </c>
      <c r="F457" s="55" t="s">
        <v>5713</v>
      </c>
      <c r="G457" s="55" t="s">
        <v>5714</v>
      </c>
      <c r="H457" s="55" t="s">
        <v>17</v>
      </c>
      <c r="I457" s="55" t="s">
        <v>18</v>
      </c>
      <c r="J457" s="55" t="s">
        <v>5715</v>
      </c>
      <c r="K457" s="55" t="s">
        <v>20</v>
      </c>
      <c r="L457" s="57" t="str">
        <f>HYPERLINK("https://nycdoe.sharepoint.com/:w:/s/BAP/EciBpz7O5v5Cn4EMhuN_oaIBbOtt9p7Eab2v8tZIRCvGgg", "1 out of 10")</f>
        <v>1 out of 10</v>
      </c>
      <c r="M457" t="s">
        <v>5716</v>
      </c>
    </row>
    <row r="458" spans="2:13">
      <c r="B458" s="55" t="s">
        <v>1246</v>
      </c>
      <c r="C458" s="55" t="s">
        <v>1044</v>
      </c>
      <c r="D458" s="55" t="s">
        <v>5711</v>
      </c>
      <c r="E458" s="55" t="s">
        <v>5717</v>
      </c>
      <c r="F458" s="55" t="s">
        <v>5718</v>
      </c>
      <c r="G458" s="55" t="s">
        <v>5719</v>
      </c>
      <c r="H458" s="55" t="s">
        <v>84</v>
      </c>
      <c r="I458" s="55"/>
      <c r="J458" s="55" t="s">
        <v>5715</v>
      </c>
      <c r="K458" s="55" t="s">
        <v>20</v>
      </c>
      <c r="L458" s="57" t="str">
        <f>HYPERLINK("https://nycdoe.sharepoint.com/:w:/s/BAP/EciBpz7O5v5Cn4EMhuN_oaIBbOtt9p7Eab2v8tZIRCvGgg", "1 out of 10")</f>
        <v>1 out of 10</v>
      </c>
      <c r="M458" t="s">
        <v>5716</v>
      </c>
    </row>
    <row r="459" spans="2:13">
      <c r="B459" s="55" t="s">
        <v>1246</v>
      </c>
      <c r="C459" s="55" t="s">
        <v>1044</v>
      </c>
      <c r="D459" s="55" t="s">
        <v>1274</v>
      </c>
      <c r="E459" s="55" t="s">
        <v>1274</v>
      </c>
      <c r="F459" s="55" t="s">
        <v>5720</v>
      </c>
      <c r="G459" s="55" t="s">
        <v>5721</v>
      </c>
      <c r="H459" s="55" t="s">
        <v>17</v>
      </c>
      <c r="I459" s="55" t="s">
        <v>18</v>
      </c>
      <c r="J459" s="55" t="s">
        <v>5722</v>
      </c>
      <c r="K459" s="55" t="s">
        <v>20</v>
      </c>
      <c r="L459" s="57" t="str">
        <f>HYPERLINK("https://nycdoe.sharepoint.com/:w:/s/BAP/EU4XeQ9dvJdKjxZqnblJe2oB1UJA0ri1RibavzbBwuU1ZA", "8 out of 10")</f>
        <v>8 out of 10</v>
      </c>
      <c r="M459" t="s">
        <v>5723</v>
      </c>
    </row>
    <row r="460" spans="2:13">
      <c r="B460" s="55" t="s">
        <v>1246</v>
      </c>
      <c r="C460" s="55" t="s">
        <v>1044</v>
      </c>
      <c r="D460" s="55" t="s">
        <v>1278</v>
      </c>
      <c r="E460" s="55" t="s">
        <v>1278</v>
      </c>
      <c r="F460" s="55" t="s">
        <v>5724</v>
      </c>
      <c r="G460" s="55" t="s">
        <v>5725</v>
      </c>
      <c r="H460" s="55" t="s">
        <v>17</v>
      </c>
      <c r="I460" s="55" t="s">
        <v>18</v>
      </c>
      <c r="J460" s="55" t="s">
        <v>5726</v>
      </c>
      <c r="K460" s="55" t="s">
        <v>20</v>
      </c>
      <c r="L460" s="57" t="str">
        <f>HYPERLINK("https://nycdoe.sharepoint.com/:w:/s/BAP/EdArwNv9BgpCjL3VBEHoilIBMulTuR0EwO85SA56UhdGZg", "3 out of 10")</f>
        <v>3 out of 10</v>
      </c>
      <c r="M460" t="s">
        <v>5727</v>
      </c>
    </row>
    <row r="461" spans="2:13">
      <c r="B461" s="55" t="s">
        <v>1246</v>
      </c>
      <c r="C461" s="55" t="s">
        <v>1044</v>
      </c>
      <c r="D461" s="55" t="s">
        <v>1278</v>
      </c>
      <c r="E461" s="55" t="s">
        <v>1064</v>
      </c>
      <c r="F461" s="55" t="s">
        <v>5455</v>
      </c>
      <c r="G461" s="55" t="s">
        <v>5456</v>
      </c>
      <c r="H461" s="55" t="s">
        <v>43</v>
      </c>
      <c r="I461" s="55"/>
      <c r="J461" s="55" t="s">
        <v>5726</v>
      </c>
      <c r="K461" s="55" t="s">
        <v>20</v>
      </c>
      <c r="L461" s="57" t="str">
        <f>HYPERLINK("https://nycdoe.sharepoint.com/:w:/s/BAP/EdArwNv9BgpCjL3VBEHoilIBMulTuR0EwO85SA56UhdGZg", "3 out of 10")</f>
        <v>3 out of 10</v>
      </c>
      <c r="M461" t="s">
        <v>5727</v>
      </c>
    </row>
    <row r="462" spans="2:13">
      <c r="B462" s="55" t="s">
        <v>1246</v>
      </c>
      <c r="C462" s="55" t="s">
        <v>1044</v>
      </c>
      <c r="D462" s="55" t="s">
        <v>1282</v>
      </c>
      <c r="E462" s="55" t="s">
        <v>1283</v>
      </c>
      <c r="F462" s="55" t="s">
        <v>5728</v>
      </c>
      <c r="G462" s="55" t="s">
        <v>5729</v>
      </c>
      <c r="H462" s="55" t="s">
        <v>52</v>
      </c>
      <c r="I462" s="55"/>
      <c r="J462" s="55" t="s">
        <v>5730</v>
      </c>
      <c r="K462" s="55" t="s">
        <v>20</v>
      </c>
      <c r="L462" s="57" t="str">
        <f>HYPERLINK("https://nycdoe.sharepoint.com/:w:/s/BAP/ETeAz3QGiqFKkxhN9kiJqDUB7l2MBXmavUiYOpzpsG3tMg", "4 out of 10")</f>
        <v>4 out of 10</v>
      </c>
      <c r="M462" t="s">
        <v>5731</v>
      </c>
    </row>
    <row r="463" spans="2:13">
      <c r="B463" s="55" t="s">
        <v>1246</v>
      </c>
      <c r="C463" s="55" t="s">
        <v>1044</v>
      </c>
      <c r="D463" s="55" t="s">
        <v>1287</v>
      </c>
      <c r="E463" s="55" t="s">
        <v>1288</v>
      </c>
      <c r="F463" s="55" t="s">
        <v>5732</v>
      </c>
      <c r="G463" s="55" t="s">
        <v>5733</v>
      </c>
      <c r="H463" s="55" t="s">
        <v>17</v>
      </c>
      <c r="I463" s="55"/>
      <c r="J463" s="55" t="s">
        <v>5734</v>
      </c>
      <c r="K463" s="55" t="s">
        <v>20</v>
      </c>
      <c r="L463" s="57" t="str">
        <f>HYPERLINK("https://nycdoe.sharepoint.com/:w:/s/BAP/EeNn43r3Gc1AtioSIychIe4B4mlwzT4KwWE_ebaOybQe6g", "3 out of 10")</f>
        <v>3 out of 10</v>
      </c>
      <c r="M463" t="s">
        <v>5735</v>
      </c>
    </row>
    <row r="464" spans="2:13">
      <c r="B464" s="55" t="s">
        <v>1246</v>
      </c>
      <c r="C464" s="55" t="s">
        <v>1044</v>
      </c>
      <c r="D464" s="55" t="s">
        <v>1287</v>
      </c>
      <c r="E464" s="55" t="s">
        <v>1168</v>
      </c>
      <c r="F464" s="55" t="s">
        <v>5586</v>
      </c>
      <c r="G464" s="55" t="s">
        <v>1170</v>
      </c>
      <c r="H464" s="55" t="s">
        <v>43</v>
      </c>
      <c r="I464" s="55" t="s">
        <v>18</v>
      </c>
      <c r="J464" s="55" t="s">
        <v>5734</v>
      </c>
      <c r="K464" s="55" t="s">
        <v>20</v>
      </c>
      <c r="L464" s="57" t="str">
        <f>HYPERLINK("https://nycdoe.sharepoint.com/:w:/s/BAP/EeNn43r3Gc1AtioSIychIe4B4mlwzT4KwWE_ebaOybQe6g", "3 out of 10")</f>
        <v>3 out of 10</v>
      </c>
      <c r="M464" t="s">
        <v>5735</v>
      </c>
    </row>
    <row r="465" spans="2:13">
      <c r="B465" s="55" t="s">
        <v>1246</v>
      </c>
      <c r="C465" s="55" t="s">
        <v>1044</v>
      </c>
      <c r="D465" s="55" t="s">
        <v>1287</v>
      </c>
      <c r="E465" s="55" t="s">
        <v>1292</v>
      </c>
      <c r="F465" s="55" t="s">
        <v>5736</v>
      </c>
      <c r="G465" s="55" t="s">
        <v>5737</v>
      </c>
      <c r="H465" s="55" t="s">
        <v>56</v>
      </c>
      <c r="I465" s="55"/>
      <c r="J465" s="55" t="s">
        <v>5734</v>
      </c>
      <c r="K465" s="55" t="s">
        <v>20</v>
      </c>
      <c r="L465" s="57" t="str">
        <f>HYPERLINK("https://nycdoe.sharepoint.com/:w:/s/BAP/EeNn43r3Gc1AtioSIychIe4B4mlwzT4KwWE_ebaOybQe6g", "3 out of 10")</f>
        <v>3 out of 10</v>
      </c>
      <c r="M465" t="s">
        <v>5735</v>
      </c>
    </row>
    <row r="466" spans="2:13">
      <c r="B466" s="55" t="s">
        <v>1246</v>
      </c>
      <c r="C466" s="55" t="s">
        <v>1044</v>
      </c>
      <c r="D466" s="55" t="s">
        <v>1287</v>
      </c>
      <c r="E466" s="55" t="s">
        <v>1295</v>
      </c>
      <c r="F466" s="55" t="s">
        <v>5738</v>
      </c>
      <c r="G466" s="55" t="s">
        <v>5739</v>
      </c>
      <c r="H466" s="55" t="s">
        <v>84</v>
      </c>
      <c r="I466" s="55"/>
      <c r="J466" s="55" t="s">
        <v>5734</v>
      </c>
      <c r="K466" s="55" t="s">
        <v>20</v>
      </c>
      <c r="L466" s="57" t="str">
        <f>HYPERLINK("https://nycdoe.sharepoint.com/:w:/s/BAP/EeNn43r3Gc1AtioSIychIe4B4mlwzT4KwWE_ebaOybQe6g", "3 out of 10")</f>
        <v>3 out of 10</v>
      </c>
      <c r="M466" t="s">
        <v>5735</v>
      </c>
    </row>
    <row r="467" spans="2:13">
      <c r="B467" s="55" t="s">
        <v>1246</v>
      </c>
      <c r="C467" s="55" t="s">
        <v>1044</v>
      </c>
      <c r="D467" s="55" t="s">
        <v>1298</v>
      </c>
      <c r="E467" s="55" t="s">
        <v>1298</v>
      </c>
      <c r="F467" s="55" t="s">
        <v>5740</v>
      </c>
      <c r="G467" s="55" t="s">
        <v>5741</v>
      </c>
      <c r="H467" s="55" t="s">
        <v>17</v>
      </c>
      <c r="I467" s="55" t="s">
        <v>18</v>
      </c>
      <c r="J467" s="55" t="s">
        <v>5742</v>
      </c>
      <c r="K467" s="55" t="s">
        <v>62</v>
      </c>
      <c r="L467" s="57" t="str">
        <f>HYPERLINK("https://nycdoe.sharepoint.com/:w:/s/BAP/Ef7MIi-PPFZMt9z2yMSDqVkBveyz57nVGAkWTXm7Ss1jfA", "9 out of 10")</f>
        <v>9 out of 10</v>
      </c>
      <c r="M467" t="s">
        <v>5743</v>
      </c>
    </row>
    <row r="468" spans="2:13">
      <c r="B468" s="55" t="s">
        <v>1246</v>
      </c>
      <c r="C468" s="55" t="s">
        <v>1044</v>
      </c>
      <c r="D468" s="55" t="s">
        <v>1302</v>
      </c>
      <c r="E468" s="55" t="s">
        <v>1303</v>
      </c>
      <c r="F468" s="55" t="s">
        <v>5744</v>
      </c>
      <c r="G468" s="55" t="s">
        <v>1305</v>
      </c>
      <c r="H468" s="55" t="s">
        <v>17</v>
      </c>
      <c r="I468" s="55" t="s">
        <v>18</v>
      </c>
      <c r="J468" s="55" t="s">
        <v>5745</v>
      </c>
      <c r="K468" s="55" t="s">
        <v>62</v>
      </c>
      <c r="L468" s="57" t="str">
        <f>HYPERLINK("https://nycdoe.sharepoint.com/:w:/s/BAP/EVp0bmp0FERIr93vi4CbydcBD9ZcAfuybKFqE0E5w_n-kw", "10 out of 10")</f>
        <v>10 out of 10</v>
      </c>
      <c r="M468" t="s">
        <v>5746</v>
      </c>
    </row>
    <row r="469" spans="2:13">
      <c r="B469" s="55" t="s">
        <v>1246</v>
      </c>
      <c r="C469" s="55" t="s">
        <v>1044</v>
      </c>
      <c r="D469" s="55" t="s">
        <v>1302</v>
      </c>
      <c r="E469" s="55" t="s">
        <v>1307</v>
      </c>
      <c r="F469" s="55" t="s">
        <v>5747</v>
      </c>
      <c r="G469" s="55" t="s">
        <v>1309</v>
      </c>
      <c r="H469" s="55" t="s">
        <v>52</v>
      </c>
      <c r="I469" s="55"/>
      <c r="J469" s="55" t="s">
        <v>5745</v>
      </c>
      <c r="K469" s="55" t="s">
        <v>62</v>
      </c>
      <c r="L469" s="57" t="str">
        <f>HYPERLINK("https://nycdoe.sharepoint.com/:w:/s/BAP/EVp0bmp0FERIr93vi4CbydcBD9ZcAfuybKFqE0E5w_n-kw", "10 out of 10")</f>
        <v>10 out of 10</v>
      </c>
      <c r="M469" t="s">
        <v>5746</v>
      </c>
    </row>
    <row r="470" spans="2:13">
      <c r="B470" s="55" t="s">
        <v>1246</v>
      </c>
      <c r="C470" s="55" t="s">
        <v>1044</v>
      </c>
      <c r="D470" s="55" t="s">
        <v>5748</v>
      </c>
      <c r="E470" s="55" t="s">
        <v>1298</v>
      </c>
      <c r="F470" s="55" t="s">
        <v>5740</v>
      </c>
      <c r="G470" s="55" t="s">
        <v>5741</v>
      </c>
      <c r="H470" s="55" t="s">
        <v>17</v>
      </c>
      <c r="I470" s="55" t="s">
        <v>18</v>
      </c>
      <c r="J470" s="55" t="s">
        <v>5749</v>
      </c>
      <c r="K470" s="55" t="s">
        <v>20</v>
      </c>
      <c r="L470" s="57" t="str">
        <f>HYPERLINK("https://nycdoe.sharepoint.com/:w:/s/BAP/EbfZfXnoGt5GlsYbTL17aq4BHD7qbv5Q-LUNIeL9WX3pEQ", "2 out of 10")</f>
        <v>2 out of 10</v>
      </c>
      <c r="M470" t="s">
        <v>5750</v>
      </c>
    </row>
    <row r="471" spans="2:13">
      <c r="B471" s="55" t="s">
        <v>1246</v>
      </c>
      <c r="C471" s="55" t="s">
        <v>1044</v>
      </c>
      <c r="D471" s="55" t="s">
        <v>1310</v>
      </c>
      <c r="E471" s="55" t="s">
        <v>1264</v>
      </c>
      <c r="F471" s="55" t="s">
        <v>5697</v>
      </c>
      <c r="G471" s="55" t="s">
        <v>1266</v>
      </c>
      <c r="H471" s="55" t="s">
        <v>43</v>
      </c>
      <c r="I471" s="55"/>
      <c r="J471" s="55" t="s">
        <v>5751</v>
      </c>
      <c r="K471" s="55" t="s">
        <v>62</v>
      </c>
      <c r="L471" s="57" t="str">
        <f>HYPERLINK("https://nycdoe.sharepoint.com/:w:/s/BAP/EesPuxxfSu9Hh7VM4ulRgDUB5oD9-D5uTEk6u6K3VLnhZg", "10 out of 10")</f>
        <v>10 out of 10</v>
      </c>
      <c r="M471" t="s">
        <v>5752</v>
      </c>
    </row>
    <row r="472" spans="2:13">
      <c r="B472" s="55" t="s">
        <v>1246</v>
      </c>
      <c r="C472" s="55" t="s">
        <v>1044</v>
      </c>
      <c r="D472" s="55" t="s">
        <v>1310</v>
      </c>
      <c r="E472" s="55" t="s">
        <v>1270</v>
      </c>
      <c r="F472" s="55" t="s">
        <v>5707</v>
      </c>
      <c r="G472" s="55" t="s">
        <v>5708</v>
      </c>
      <c r="H472" s="55" t="s">
        <v>17</v>
      </c>
      <c r="I472" s="55" t="s">
        <v>18</v>
      </c>
      <c r="J472" s="55" t="s">
        <v>5751</v>
      </c>
      <c r="K472" s="55" t="s">
        <v>62</v>
      </c>
      <c r="L472" s="57" t="str">
        <f>HYPERLINK("https://nycdoe.sharepoint.com/:w:/s/BAP/EesPuxxfSu9Hh7VM4ulRgDUB5oD9-D5uTEk6u6K3VLnhZg", "10 out of 10")</f>
        <v>10 out of 10</v>
      </c>
      <c r="M472" t="s">
        <v>5752</v>
      </c>
    </row>
    <row r="473" spans="2:13">
      <c r="B473" s="55" t="s">
        <v>1246</v>
      </c>
      <c r="C473" s="55" t="s">
        <v>1044</v>
      </c>
      <c r="D473" s="55" t="s">
        <v>1310</v>
      </c>
      <c r="E473" s="55" t="s">
        <v>1312</v>
      </c>
      <c r="F473" s="55" t="s">
        <v>5753</v>
      </c>
      <c r="G473" s="55" t="s">
        <v>1314</v>
      </c>
      <c r="H473" s="55" t="s">
        <v>52</v>
      </c>
      <c r="I473" s="55"/>
      <c r="J473" s="55" t="s">
        <v>5751</v>
      </c>
      <c r="K473" s="55" t="s">
        <v>62</v>
      </c>
      <c r="L473" s="57" t="str">
        <f>HYPERLINK("https://nycdoe.sharepoint.com/:w:/s/BAP/EesPuxxfSu9Hh7VM4ulRgDUB5oD9-D5uTEk6u6K3VLnhZg", "10 out of 10")</f>
        <v>10 out of 10</v>
      </c>
      <c r="M473" t="s">
        <v>5752</v>
      </c>
    </row>
    <row r="474" spans="2:13">
      <c r="B474" s="55" t="s">
        <v>1246</v>
      </c>
      <c r="C474" s="55" t="s">
        <v>1044</v>
      </c>
      <c r="D474" s="55" t="s">
        <v>1315</v>
      </c>
      <c r="E474" s="55" t="s">
        <v>1316</v>
      </c>
      <c r="F474" s="55" t="s">
        <v>5754</v>
      </c>
      <c r="G474" s="55" t="s">
        <v>5755</v>
      </c>
      <c r="H474" s="55" t="s">
        <v>56</v>
      </c>
      <c r="I474" s="55"/>
      <c r="J474" s="55" t="s">
        <v>5756</v>
      </c>
      <c r="K474" s="55" t="s">
        <v>62</v>
      </c>
      <c r="L474" s="57" t="str">
        <f>HYPERLINK("https://nycdoe.sharepoint.com/:w:/s/BAP/EV3R3N7AgTBPi9_GZXkVKkYBBLvKMJ6SK-ZOOPpC90gpzA", "9 out of 10")</f>
        <v>9 out of 10</v>
      </c>
      <c r="M474" t="s">
        <v>5757</v>
      </c>
    </row>
    <row r="475" spans="2:13">
      <c r="B475" s="55" t="s">
        <v>1246</v>
      </c>
      <c r="C475" s="55" t="s">
        <v>1044</v>
      </c>
      <c r="D475" s="55" t="s">
        <v>1315</v>
      </c>
      <c r="E475" s="55" t="s">
        <v>1320</v>
      </c>
      <c r="F475" s="55" t="s">
        <v>5758</v>
      </c>
      <c r="G475" s="55" t="s">
        <v>5759</v>
      </c>
      <c r="H475" s="55" t="s">
        <v>56</v>
      </c>
      <c r="I475" s="55"/>
      <c r="J475" s="55" t="s">
        <v>5756</v>
      </c>
      <c r="K475" s="55" t="s">
        <v>62</v>
      </c>
      <c r="L475" s="57" t="str">
        <f>HYPERLINK("https://nycdoe.sharepoint.com/:w:/s/BAP/EV3R3N7AgTBPi9_GZXkVKkYBBLvKMJ6SK-ZOOPpC90gpzA", "9 out of 10")</f>
        <v>9 out of 10</v>
      </c>
      <c r="M475" t="s">
        <v>5757</v>
      </c>
    </row>
    <row r="476" spans="2:13">
      <c r="B476" s="55" t="s">
        <v>1246</v>
      </c>
      <c r="C476" s="55" t="s">
        <v>1044</v>
      </c>
      <c r="D476" s="55" t="s">
        <v>1315</v>
      </c>
      <c r="E476" s="55" t="s">
        <v>1323</v>
      </c>
      <c r="F476" s="55" t="s">
        <v>5760</v>
      </c>
      <c r="G476" s="55" t="s">
        <v>5761</v>
      </c>
      <c r="H476" s="55" t="s">
        <v>84</v>
      </c>
      <c r="I476" s="55"/>
      <c r="J476" s="55" t="s">
        <v>5756</v>
      </c>
      <c r="K476" s="55" t="s">
        <v>62</v>
      </c>
      <c r="L476" s="57" t="str">
        <f>HYPERLINK("https://nycdoe.sharepoint.com/:w:/s/BAP/EV3R3N7AgTBPi9_GZXkVKkYBBLvKMJ6SK-ZOOPpC90gpzA", "9 out of 10")</f>
        <v>9 out of 10</v>
      </c>
      <c r="M476" t="s">
        <v>5757</v>
      </c>
    </row>
    <row r="477" spans="2:13">
      <c r="B477" s="55" t="s">
        <v>1246</v>
      </c>
      <c r="C477" s="55" t="s">
        <v>1044</v>
      </c>
      <c r="D477" s="55" t="s">
        <v>1315</v>
      </c>
      <c r="E477" s="55" t="s">
        <v>1326</v>
      </c>
      <c r="F477" s="55" t="s">
        <v>5762</v>
      </c>
      <c r="G477" s="55" t="s">
        <v>5763</v>
      </c>
      <c r="H477" s="55" t="s">
        <v>56</v>
      </c>
      <c r="I477" s="55"/>
      <c r="J477" s="55" t="s">
        <v>5756</v>
      </c>
      <c r="K477" s="55" t="s">
        <v>62</v>
      </c>
      <c r="L477" s="57" t="str">
        <f>HYPERLINK("https://nycdoe.sharepoint.com/:w:/s/BAP/EV3R3N7AgTBPi9_GZXkVKkYBBLvKMJ6SK-ZOOPpC90gpzA", "9 out of 10")</f>
        <v>9 out of 10</v>
      </c>
      <c r="M477" t="s">
        <v>5757</v>
      </c>
    </row>
    <row r="478" spans="2:13">
      <c r="B478" s="55" t="s">
        <v>1246</v>
      </c>
      <c r="C478" s="55" t="s">
        <v>1044</v>
      </c>
      <c r="D478" s="55" t="s">
        <v>5764</v>
      </c>
      <c r="E478" s="55" t="s">
        <v>5765</v>
      </c>
      <c r="F478" s="55" t="s">
        <v>5766</v>
      </c>
      <c r="G478" s="55" t="s">
        <v>5767</v>
      </c>
      <c r="H478" s="55" t="s">
        <v>17</v>
      </c>
      <c r="I478" s="55" t="s">
        <v>18</v>
      </c>
      <c r="J478" s="55" t="s">
        <v>5768</v>
      </c>
      <c r="K478" s="55" t="s">
        <v>62</v>
      </c>
      <c r="L478" s="57" t="str">
        <f>HYPERLINK("https://nycdoe.sharepoint.com/:w:/s/BAP/EeApMFujEPJJudcS4TLVyUIBW9y5lgcozJc0VJ78sBatWA", "10 out of 10")</f>
        <v>10 out of 10</v>
      </c>
      <c r="M478" t="s">
        <v>5769</v>
      </c>
    </row>
    <row r="479" spans="2:13">
      <c r="B479" s="55" t="s">
        <v>1246</v>
      </c>
      <c r="C479" s="55" t="s">
        <v>1044</v>
      </c>
      <c r="D479" s="55" t="s">
        <v>1329</v>
      </c>
      <c r="E479" s="55" t="s">
        <v>1107</v>
      </c>
      <c r="F479" s="55" t="s">
        <v>5507</v>
      </c>
      <c r="G479" s="55" t="s">
        <v>5508</v>
      </c>
      <c r="H479" s="55" t="s">
        <v>56</v>
      </c>
      <c r="I479" s="55"/>
      <c r="J479" s="55" t="s">
        <v>5770</v>
      </c>
      <c r="K479" s="55" t="s">
        <v>62</v>
      </c>
      <c r="L479" s="57" t="str">
        <f>HYPERLINK("https://nycdoe.sharepoint.com/:w:/s/BAP/EYNejqIbwZNLoPQ1x-gnJ3sB9Sp4Lh0gkjWQgFutlN_Xfw", "10 out of 10")</f>
        <v>10 out of 10</v>
      </c>
      <c r="M479" t="s">
        <v>5771</v>
      </c>
    </row>
    <row r="480" spans="2:13">
      <c r="B480" s="55" t="s">
        <v>1246</v>
      </c>
      <c r="C480" s="55" t="s">
        <v>1044</v>
      </c>
      <c r="D480" s="55" t="s">
        <v>1329</v>
      </c>
      <c r="E480" s="55" t="s">
        <v>1331</v>
      </c>
      <c r="F480" s="55" t="s">
        <v>5772</v>
      </c>
      <c r="G480" s="55" t="s">
        <v>5773</v>
      </c>
      <c r="H480" s="55" t="s">
        <v>56</v>
      </c>
      <c r="I480" s="55"/>
      <c r="J480" s="55" t="s">
        <v>5770</v>
      </c>
      <c r="K480" s="55" t="s">
        <v>62</v>
      </c>
      <c r="L480" s="57" t="str">
        <f>HYPERLINK("https://nycdoe.sharepoint.com/:w:/s/BAP/EYNejqIbwZNLoPQ1x-gnJ3sB9Sp4Lh0gkjWQgFutlN_Xfw", "10 out of 10")</f>
        <v>10 out of 10</v>
      </c>
      <c r="M480" t="s">
        <v>5771</v>
      </c>
    </row>
    <row r="481" spans="2:13">
      <c r="B481" s="55" t="s">
        <v>1246</v>
      </c>
      <c r="C481" s="55" t="s">
        <v>1044</v>
      </c>
      <c r="D481" s="55" t="s">
        <v>1704</v>
      </c>
      <c r="E481" s="55" t="s">
        <v>5774</v>
      </c>
      <c r="F481" s="55" t="s">
        <v>5775</v>
      </c>
      <c r="G481" s="55" t="s">
        <v>5776</v>
      </c>
      <c r="H481" s="55" t="s">
        <v>17</v>
      </c>
      <c r="I481" s="55" t="s">
        <v>18</v>
      </c>
      <c r="J481" s="55" t="s">
        <v>5777</v>
      </c>
      <c r="K481" s="55" t="s">
        <v>62</v>
      </c>
      <c r="L481" s="57" t="str">
        <f>HYPERLINK("https://nycdoe.sharepoint.com/:w:/s/BAP/Ebklsljc2A9AmRIQGUcr714Bm-TgfVVN6J6DNmcwQLlbzw", "10 out of 10")</f>
        <v>10 out of 10</v>
      </c>
      <c r="M481" t="s">
        <v>5778</v>
      </c>
    </row>
    <row r="482" spans="2:13">
      <c r="B482" s="55" t="s">
        <v>1246</v>
      </c>
      <c r="C482" s="55" t="s">
        <v>1044</v>
      </c>
      <c r="D482" s="55" t="s">
        <v>1704</v>
      </c>
      <c r="E482" s="55" t="s">
        <v>5779</v>
      </c>
      <c r="F482" s="55" t="s">
        <v>5780</v>
      </c>
      <c r="G482" s="55" t="s">
        <v>5781</v>
      </c>
      <c r="H482" s="55" t="s">
        <v>56</v>
      </c>
      <c r="I482" s="55"/>
      <c r="J482" s="55" t="s">
        <v>5782</v>
      </c>
      <c r="K482" s="55" t="s">
        <v>62</v>
      </c>
      <c r="L482" s="57" t="str">
        <f>HYPERLINK("https://nycdoe.sharepoint.com/:w:/s/BAP/Ebklsljc2A9AmRIQGUcr714Bm-TgfVVN6J6DNmcwQLlbzw", "10 out of 10")</f>
        <v>10 out of 10</v>
      </c>
      <c r="M482" t="s">
        <v>5778</v>
      </c>
    </row>
    <row r="483" spans="2:13">
      <c r="B483" s="55" t="s">
        <v>1246</v>
      </c>
      <c r="C483" s="55" t="s">
        <v>1044</v>
      </c>
      <c r="D483" s="55" t="s">
        <v>1704</v>
      </c>
      <c r="E483" s="55" t="s">
        <v>1560</v>
      </c>
      <c r="F483" s="55" t="s">
        <v>5783</v>
      </c>
      <c r="G483" s="55" t="s">
        <v>5784</v>
      </c>
      <c r="H483" s="55" t="s">
        <v>56</v>
      </c>
      <c r="I483" s="55"/>
      <c r="J483" s="55" t="s">
        <v>5777</v>
      </c>
      <c r="K483" s="55" t="s">
        <v>62</v>
      </c>
      <c r="L483" s="57" t="str">
        <f>HYPERLINK("https://nycdoe.sharepoint.com/:w:/s/BAP/Ebklsljc2A9AmRIQGUcr714Bm-TgfVVN6J6DNmcwQLlbzw", "10 out of 10")</f>
        <v>10 out of 10</v>
      </c>
      <c r="M483" t="s">
        <v>5778</v>
      </c>
    </row>
    <row r="484" spans="2:13">
      <c r="B484" s="55" t="s">
        <v>1246</v>
      </c>
      <c r="C484" s="55" t="s">
        <v>1044</v>
      </c>
      <c r="D484" s="55" t="s">
        <v>1334</v>
      </c>
      <c r="E484" s="55" t="s">
        <v>1335</v>
      </c>
      <c r="F484" s="55" t="s">
        <v>5785</v>
      </c>
      <c r="G484" s="55" t="s">
        <v>5786</v>
      </c>
      <c r="H484" s="55" t="s">
        <v>52</v>
      </c>
      <c r="I484" s="55"/>
      <c r="J484" s="55" t="s">
        <v>5787</v>
      </c>
      <c r="K484" s="55" t="s">
        <v>20</v>
      </c>
      <c r="L484" s="57" t="str">
        <f>HYPERLINK("https://nycdoe.sharepoint.com/:w:/s/BAP/Ef6_Gew_2mhIpiQLA9JMiusBhp0Zf1XaRYoc1phgDA7IwA", "6 out of 10")</f>
        <v>6 out of 10</v>
      </c>
      <c r="M484" t="s">
        <v>5788</v>
      </c>
    </row>
    <row r="485" spans="2:13">
      <c r="B485" s="55" t="s">
        <v>1246</v>
      </c>
      <c r="C485" s="55" t="s">
        <v>1044</v>
      </c>
      <c r="D485" s="55" t="s">
        <v>1334</v>
      </c>
      <c r="E485" s="55" t="s">
        <v>1339</v>
      </c>
      <c r="F485" s="55" t="s">
        <v>5789</v>
      </c>
      <c r="G485" s="55" t="s">
        <v>5790</v>
      </c>
      <c r="H485" s="55" t="s">
        <v>56</v>
      </c>
      <c r="I485" s="55"/>
      <c r="J485" s="55" t="s">
        <v>5787</v>
      </c>
      <c r="K485" s="55" t="s">
        <v>20</v>
      </c>
      <c r="L485" s="57" t="str">
        <f>HYPERLINK("https://nycdoe.sharepoint.com/:w:/s/BAP/Ef6_Gew_2mhIpiQLA9JMiusBhp0Zf1XaRYoc1phgDA7IwA", "6 out of 10")</f>
        <v>6 out of 10</v>
      </c>
      <c r="M485" t="s">
        <v>5788</v>
      </c>
    </row>
    <row r="486" spans="2:13">
      <c r="B486" s="55" t="s">
        <v>1246</v>
      </c>
      <c r="C486" s="55" t="s">
        <v>1044</v>
      </c>
      <c r="D486" s="55" t="s">
        <v>1339</v>
      </c>
      <c r="E486" s="55" t="s">
        <v>1339</v>
      </c>
      <c r="F486" s="55" t="s">
        <v>5789</v>
      </c>
      <c r="G486" s="55" t="s">
        <v>5790</v>
      </c>
      <c r="H486" s="55" t="s">
        <v>56</v>
      </c>
      <c r="I486" s="55"/>
      <c r="J486" s="55" t="s">
        <v>5791</v>
      </c>
      <c r="K486" s="55" t="s">
        <v>20</v>
      </c>
      <c r="L486" s="57" t="str">
        <f>HYPERLINK("https://nycdoe.sharepoint.com/:w:/s/BAP/Ea6wTYVpRCNFkfeQhhjg78sBavPdlztKnANh3TerQgakTA", "3 out of 10")</f>
        <v>3 out of 10</v>
      </c>
      <c r="M486" t="s">
        <v>5792</v>
      </c>
    </row>
    <row r="487" spans="2:13">
      <c r="B487" s="55" t="s">
        <v>1246</v>
      </c>
      <c r="C487" s="55" t="s">
        <v>1044</v>
      </c>
      <c r="D487" s="55" t="s">
        <v>1342</v>
      </c>
      <c r="E487" s="55" t="s">
        <v>1343</v>
      </c>
      <c r="F487" s="55" t="s">
        <v>5793</v>
      </c>
      <c r="G487" s="55" t="s">
        <v>1345</v>
      </c>
      <c r="H487" s="55" t="s">
        <v>17</v>
      </c>
      <c r="I487" s="55" t="s">
        <v>18</v>
      </c>
      <c r="J487" s="55" t="s">
        <v>5794</v>
      </c>
      <c r="K487" s="55" t="s">
        <v>62</v>
      </c>
      <c r="L487" s="57" t="str">
        <f>HYPERLINK("https://nycdoe.sharepoint.com/:w:/s/BAP/ESYm0fmnz2lBugH-fz5I2NQBiClYtmZw72zwdC3dxs4_Eg", "10 out of 10")</f>
        <v>10 out of 10</v>
      </c>
      <c r="M487" t="s">
        <v>5795</v>
      </c>
    </row>
    <row r="488" spans="2:13">
      <c r="B488" s="55" t="s">
        <v>1246</v>
      </c>
      <c r="C488" s="55" t="s">
        <v>1044</v>
      </c>
      <c r="D488" s="55" t="s">
        <v>1347</v>
      </c>
      <c r="E488" s="55" t="s">
        <v>1348</v>
      </c>
      <c r="F488" s="55" t="s">
        <v>5796</v>
      </c>
      <c r="G488" s="55" t="s">
        <v>5797</v>
      </c>
      <c r="H488" s="55" t="s">
        <v>17</v>
      </c>
      <c r="I488" s="55" t="s">
        <v>18</v>
      </c>
      <c r="J488" s="55" t="s">
        <v>5798</v>
      </c>
      <c r="K488" s="55" t="s">
        <v>20</v>
      </c>
      <c r="L488" s="57" t="str">
        <f>HYPERLINK("https://nycdoe.sharepoint.com/:w:/s/BAP/EZIQ5F_EmzVFupNxopQENakB1vZtXLNFOkt70iZYR7yH2g", "4 out of 10")</f>
        <v>4 out of 10</v>
      </c>
      <c r="M488" t="s">
        <v>5799</v>
      </c>
    </row>
    <row r="489" spans="2:13">
      <c r="B489" s="55" t="s">
        <v>1246</v>
      </c>
      <c r="C489" s="55" t="s">
        <v>1044</v>
      </c>
      <c r="D489" s="55" t="s">
        <v>5800</v>
      </c>
      <c r="E489" s="55" t="s">
        <v>1071</v>
      </c>
      <c r="F489" s="55" t="s">
        <v>5461</v>
      </c>
      <c r="G489" s="55" t="s">
        <v>5462</v>
      </c>
      <c r="H489" s="55" t="s">
        <v>24</v>
      </c>
      <c r="I489" s="55"/>
      <c r="J489" s="55" t="s">
        <v>5801</v>
      </c>
      <c r="K489" s="55" t="s">
        <v>62</v>
      </c>
      <c r="L489" s="57" t="str">
        <f>HYPERLINK("https://nycdoe.sharepoint.com/:w:/s/BAP/EUi1xj4P9ilPjvKWc5YFJxQB_YZCN3syXJ6afw_KG8Xymw", "10 out of 10")</f>
        <v>10 out of 10</v>
      </c>
      <c r="M489" t="s">
        <v>5802</v>
      </c>
    </row>
    <row r="490" spans="2:13">
      <c r="B490" s="55" t="s">
        <v>1246</v>
      </c>
      <c r="C490" s="55" t="s">
        <v>1044</v>
      </c>
      <c r="D490" s="55" t="s">
        <v>5803</v>
      </c>
      <c r="E490" s="55" t="s">
        <v>1348</v>
      </c>
      <c r="F490" s="55" t="s">
        <v>5796</v>
      </c>
      <c r="G490" s="55" t="s">
        <v>5797</v>
      </c>
      <c r="H490" s="55" t="s">
        <v>17</v>
      </c>
      <c r="I490" s="55" t="s">
        <v>18</v>
      </c>
      <c r="J490" s="55" t="s">
        <v>5804</v>
      </c>
      <c r="K490" s="55" t="s">
        <v>62</v>
      </c>
      <c r="L490" s="57" t="str">
        <f>HYPERLINK("https://nycdoe.sharepoint.com/:w:/s/BAP/EbJj1WzZ0r5FvkNXCrFmSfgBEuHBWo6rgTmBokrO_Gv3OQ", "10 out of 10")</f>
        <v>10 out of 10</v>
      </c>
      <c r="M490" t="s">
        <v>5805</v>
      </c>
    </row>
    <row r="491" spans="2:13">
      <c r="B491" s="55" t="s">
        <v>1246</v>
      </c>
      <c r="C491" s="55" t="s">
        <v>1044</v>
      </c>
      <c r="D491" s="55" t="s">
        <v>1568</v>
      </c>
      <c r="E491" s="55" t="s">
        <v>5692</v>
      </c>
      <c r="F491" s="55" t="s">
        <v>5693</v>
      </c>
      <c r="G491" s="55" t="s">
        <v>5694</v>
      </c>
      <c r="H491" s="55" t="s">
        <v>17</v>
      </c>
      <c r="I491" s="55" t="s">
        <v>18</v>
      </c>
      <c r="J491" s="55" t="s">
        <v>5806</v>
      </c>
      <c r="K491" s="55" t="s">
        <v>62</v>
      </c>
      <c r="L491" s="57" t="str">
        <f>HYPERLINK("https://nycdoe.sharepoint.com/:w:/s/BAP/ERNB0qnGWrZLupUuydgNFKwB_Kq1ejGVby3gaW9hplQHYA", "9 out of 10")</f>
        <v>9 out of 10</v>
      </c>
      <c r="M491" t="s">
        <v>5807</v>
      </c>
    </row>
    <row r="492" spans="2:13">
      <c r="B492" s="55" t="s">
        <v>1246</v>
      </c>
      <c r="C492" s="55" t="s">
        <v>1044</v>
      </c>
      <c r="D492" s="55" t="s">
        <v>1352</v>
      </c>
      <c r="E492" s="55" t="s">
        <v>1353</v>
      </c>
      <c r="F492" s="55" t="s">
        <v>5808</v>
      </c>
      <c r="G492" s="55" t="s">
        <v>5809</v>
      </c>
      <c r="H492" s="55" t="s">
        <v>56</v>
      </c>
      <c r="I492" s="55"/>
      <c r="J492" s="55" t="s">
        <v>5810</v>
      </c>
      <c r="K492" s="55" t="s">
        <v>20</v>
      </c>
      <c r="L492" s="57" t="str">
        <f>HYPERLINK("https://nycdoe.sharepoint.com/:w:/s/BAP/EdOo47S98-JJq4W__khaNEkBYojjCVAXLPc1Xx_ZeoeXyQ", "4 out of 10")</f>
        <v>4 out of 10</v>
      </c>
      <c r="M492" t="s">
        <v>5811</v>
      </c>
    </row>
    <row r="493" spans="2:13">
      <c r="B493" s="55" t="s">
        <v>1246</v>
      </c>
      <c r="C493" s="55" t="s">
        <v>1044</v>
      </c>
      <c r="D493" s="55" t="s">
        <v>1352</v>
      </c>
      <c r="E493" s="55" t="s">
        <v>1357</v>
      </c>
      <c r="F493" s="55" t="s">
        <v>5812</v>
      </c>
      <c r="G493" s="55" t="s">
        <v>5813</v>
      </c>
      <c r="H493" s="55" t="s">
        <v>56</v>
      </c>
      <c r="I493" s="55"/>
      <c r="J493" s="55" t="s">
        <v>5810</v>
      </c>
      <c r="K493" s="55" t="s">
        <v>20</v>
      </c>
      <c r="L493" s="57" t="str">
        <f>HYPERLINK("https://nycdoe.sharepoint.com/:w:/s/BAP/EdOo47S98-JJq4W__khaNEkBYojjCVAXLPc1Xx_ZeoeXyQ", "4 out of 10")</f>
        <v>4 out of 10</v>
      </c>
      <c r="M493" t="s">
        <v>5811</v>
      </c>
    </row>
    <row r="494" spans="2:13">
      <c r="B494" s="55" t="s">
        <v>1246</v>
      </c>
      <c r="C494" s="55" t="s">
        <v>1044</v>
      </c>
      <c r="D494" s="55" t="s">
        <v>1360</v>
      </c>
      <c r="E494" s="55" t="s">
        <v>1361</v>
      </c>
      <c r="F494" s="55" t="s">
        <v>5814</v>
      </c>
      <c r="G494" s="55" t="s">
        <v>5815</v>
      </c>
      <c r="H494" s="55" t="s">
        <v>56</v>
      </c>
      <c r="I494" s="55"/>
      <c r="J494" s="55" t="s">
        <v>5816</v>
      </c>
      <c r="K494" s="55" t="s">
        <v>62</v>
      </c>
      <c r="L494" s="57" t="str">
        <f>HYPERLINK("https://nycdoe.sharepoint.com/:w:/s/BAP/ESFdp3ncXWtMl69EVkMDVgwBIF9Xi_PWBXYXYd8FpcphgA", "9 out of 10")</f>
        <v>9 out of 10</v>
      </c>
      <c r="M494" t="s">
        <v>5817</v>
      </c>
    </row>
    <row r="495" spans="2:13">
      <c r="B495" s="55" t="s">
        <v>1246</v>
      </c>
      <c r="C495" s="55" t="s">
        <v>1044</v>
      </c>
      <c r="D495" s="55" t="s">
        <v>5818</v>
      </c>
      <c r="E495" s="55" t="s">
        <v>4490</v>
      </c>
      <c r="F495" s="55" t="s">
        <v>4491</v>
      </c>
      <c r="G495" s="55" t="s">
        <v>4492</v>
      </c>
      <c r="H495" s="55" t="s">
        <v>56</v>
      </c>
      <c r="I495" s="55"/>
      <c r="J495" s="55" t="s">
        <v>5819</v>
      </c>
      <c r="K495" s="55" t="s">
        <v>62</v>
      </c>
      <c r="L495" s="57" t="str">
        <f>HYPERLINK("https://nycdoe.sharepoint.com/:w:/s/BAP/EbmGCcCCgYBMpAsGkTlw3KIBhBN3H0jS3dEM6dgTA2HY1g", "9 out of 10")</f>
        <v>9 out of 10</v>
      </c>
      <c r="M495" t="s">
        <v>5820</v>
      </c>
    </row>
    <row r="496" spans="2:13">
      <c r="B496" s="55" t="s">
        <v>1246</v>
      </c>
      <c r="C496" s="55" t="s">
        <v>1044</v>
      </c>
      <c r="D496" s="55" t="s">
        <v>5821</v>
      </c>
      <c r="E496" s="55" t="s">
        <v>5822</v>
      </c>
      <c r="F496" s="55" t="s">
        <v>5823</v>
      </c>
      <c r="G496" s="55" t="s">
        <v>5824</v>
      </c>
      <c r="H496" s="55" t="s">
        <v>17</v>
      </c>
      <c r="I496" s="55" t="s">
        <v>18</v>
      </c>
      <c r="J496" s="55" t="s">
        <v>5825</v>
      </c>
      <c r="K496" s="55" t="s">
        <v>20</v>
      </c>
      <c r="L496" s="57" t="str">
        <f>HYPERLINK("https://nycdoe.sharepoint.com/:w:/s/BAP/EfAzUAOXT-BHrWbHE7GzsZwBTwtl9jXuQl1dnAQh1f-1oQ", "1 out of 10")</f>
        <v>1 out of 10</v>
      </c>
      <c r="M496" t="s">
        <v>5826</v>
      </c>
    </row>
    <row r="497" spans="2:13">
      <c r="B497" s="55" t="s">
        <v>1246</v>
      </c>
      <c r="C497" s="55" t="s">
        <v>1044</v>
      </c>
      <c r="D497" s="55" t="s">
        <v>1348</v>
      </c>
      <c r="E497" s="55" t="s">
        <v>1298</v>
      </c>
      <c r="F497" s="55" t="s">
        <v>5740</v>
      </c>
      <c r="G497" s="55" t="s">
        <v>5741</v>
      </c>
      <c r="H497" s="55" t="s">
        <v>17</v>
      </c>
      <c r="I497" s="55" t="s">
        <v>18</v>
      </c>
      <c r="J497" s="55" t="s">
        <v>5742</v>
      </c>
      <c r="K497" s="55" t="s">
        <v>62</v>
      </c>
      <c r="L497" s="57" t="str">
        <f>HYPERLINK("https://nycdoe.sharepoint.com/:w:/s/BAP/EZLOo4vNv6hPuwE8p93w_w4B_CeQRWyjeGUz-q_tqdqNBA", "9 out of 10")</f>
        <v>9 out of 10</v>
      </c>
      <c r="M497" t="s">
        <v>5827</v>
      </c>
    </row>
    <row r="498" spans="2:13">
      <c r="B498" s="55" t="s">
        <v>1246</v>
      </c>
      <c r="C498" s="55" t="s">
        <v>1044</v>
      </c>
      <c r="D498" s="55" t="s">
        <v>5828</v>
      </c>
      <c r="E498" s="55" t="s">
        <v>1274</v>
      </c>
      <c r="F498" s="55" t="s">
        <v>5720</v>
      </c>
      <c r="G498" s="55" t="s">
        <v>5721</v>
      </c>
      <c r="H498" s="55" t="s">
        <v>17</v>
      </c>
      <c r="I498" s="55" t="s">
        <v>18</v>
      </c>
      <c r="J498" s="55" t="s">
        <v>5829</v>
      </c>
      <c r="K498" s="55" t="s">
        <v>62</v>
      </c>
      <c r="L498" s="57" t="str">
        <f>HYPERLINK("https://nycdoe.sharepoint.com/:w:/s/BAP/ET_UWmsjkJBBnWx3UEjXG50Bdi-GUqXXk1oqWNxrIrgGyQ", "10 out of 10")</f>
        <v>10 out of 10</v>
      </c>
      <c r="M498" t="s">
        <v>5830</v>
      </c>
    </row>
    <row r="499" spans="2:13">
      <c r="B499" s="55" t="s">
        <v>1246</v>
      </c>
      <c r="C499" s="55" t="s">
        <v>1044</v>
      </c>
      <c r="D499" s="55" t="s">
        <v>1365</v>
      </c>
      <c r="E499" s="55" t="s">
        <v>1366</v>
      </c>
      <c r="F499" s="55" t="s">
        <v>5831</v>
      </c>
      <c r="G499" s="55" t="s">
        <v>5832</v>
      </c>
      <c r="H499" s="55" t="s">
        <v>56</v>
      </c>
      <c r="I499" s="55"/>
      <c r="J499" s="55" t="s">
        <v>5833</v>
      </c>
      <c r="K499" s="55" t="s">
        <v>62</v>
      </c>
      <c r="L499" s="57" t="str">
        <f>HYPERLINK("https://nycdoe.sharepoint.com/:w:/s/BAP/EaXJLuZuABdBjiB-ToE9SlsB6HuaBVqgwHht3O5czf5hPA", "9 out of 10")</f>
        <v>9 out of 10</v>
      </c>
      <c r="M499" t="s">
        <v>5834</v>
      </c>
    </row>
    <row r="500" spans="2:13">
      <c r="B500" s="55" t="s">
        <v>1246</v>
      </c>
      <c r="C500" s="55" t="s">
        <v>1044</v>
      </c>
      <c r="D500" s="55" t="s">
        <v>1370</v>
      </c>
      <c r="E500" s="55" t="s">
        <v>1371</v>
      </c>
      <c r="F500" s="55" t="s">
        <v>5835</v>
      </c>
      <c r="G500" s="55" t="s">
        <v>5836</v>
      </c>
      <c r="H500" s="55" t="s">
        <v>24</v>
      </c>
      <c r="I500" s="55"/>
      <c r="J500" s="55" t="s">
        <v>5837</v>
      </c>
      <c r="K500" s="55" t="s">
        <v>62</v>
      </c>
      <c r="L500" s="57" t="str">
        <f>HYPERLINK("https://nycdoe.sharepoint.com/:w:/s/BAP/EVoJtJNVeHZFrKvzTpNv13MBFbD4MZIXEqEEShBNRKax4g", "10 out of 10")</f>
        <v>10 out of 10</v>
      </c>
      <c r="M500" t="s">
        <v>5838</v>
      </c>
    </row>
    <row r="501" spans="2:13">
      <c r="B501" s="55" t="s">
        <v>1375</v>
      </c>
      <c r="C501" s="55" t="s">
        <v>1044</v>
      </c>
      <c r="D501" s="55" t="s">
        <v>5839</v>
      </c>
      <c r="E501" s="55" t="s">
        <v>5839</v>
      </c>
      <c r="F501" s="55" t="s">
        <v>5840</v>
      </c>
      <c r="G501" s="55" t="s">
        <v>5841</v>
      </c>
      <c r="H501" s="55" t="s">
        <v>17</v>
      </c>
      <c r="I501" s="55" t="s">
        <v>18</v>
      </c>
      <c r="J501" s="55" t="s">
        <v>5842</v>
      </c>
      <c r="K501" s="55" t="s">
        <v>20</v>
      </c>
      <c r="L501" s="57" t="str">
        <f>HYPERLINK("https://nycdoe.sharepoint.com/:w:/s/BAP/EX_vvqjHb85NjxwUlpxQvksBwf9oiR4VAjk5O6g4uvpgog", "2 out of 10")</f>
        <v>2 out of 10</v>
      </c>
      <c r="M501" t="s">
        <v>5843</v>
      </c>
    </row>
    <row r="502" spans="2:13">
      <c r="B502" s="55" t="s">
        <v>1375</v>
      </c>
      <c r="C502" s="55" t="s">
        <v>1044</v>
      </c>
      <c r="D502" s="55" t="s">
        <v>5839</v>
      </c>
      <c r="E502" s="55" t="s">
        <v>1078</v>
      </c>
      <c r="F502" s="55" t="s">
        <v>5473</v>
      </c>
      <c r="G502" s="55" t="s">
        <v>1080</v>
      </c>
      <c r="H502" s="55" t="s">
        <v>24</v>
      </c>
      <c r="I502" s="55"/>
      <c r="J502" s="55" t="s">
        <v>5842</v>
      </c>
      <c r="K502" s="55" t="s">
        <v>20</v>
      </c>
      <c r="L502" s="57" t="str">
        <f>HYPERLINK("https://nycdoe.sharepoint.com/:w:/s/BAP/EX_vvqjHb85NjxwUlpxQvksBwf9oiR4VAjk5O6g4uvpgog", "2 out of 10")</f>
        <v>2 out of 10</v>
      </c>
      <c r="M502" t="s">
        <v>5843</v>
      </c>
    </row>
    <row r="503" spans="2:13">
      <c r="B503" s="55" t="s">
        <v>1375</v>
      </c>
      <c r="C503" s="55" t="s">
        <v>1044</v>
      </c>
      <c r="D503" s="55" t="s">
        <v>1376</v>
      </c>
      <c r="E503" s="55" t="s">
        <v>1376</v>
      </c>
      <c r="F503" s="55" t="s">
        <v>5844</v>
      </c>
      <c r="G503" s="55" t="s">
        <v>5845</v>
      </c>
      <c r="H503" s="55" t="s">
        <v>17</v>
      </c>
      <c r="I503" s="55" t="s">
        <v>18</v>
      </c>
      <c r="J503" s="55" t="s">
        <v>5846</v>
      </c>
      <c r="K503" s="55" t="s">
        <v>62</v>
      </c>
      <c r="L503" s="57" t="str">
        <f>HYPERLINK("https://nycdoe.sharepoint.com/:w:/s/BAP/EXEMQOf2MX1KpBOwwBWi2z8BpQD3aZDUU2u72uNPXaIz3A", "9 out of 10")</f>
        <v>9 out of 10</v>
      </c>
      <c r="M503" t="s">
        <v>5847</v>
      </c>
    </row>
    <row r="504" spans="2:13">
      <c r="B504" s="55" t="s">
        <v>1375</v>
      </c>
      <c r="C504" s="55" t="s">
        <v>1044</v>
      </c>
      <c r="D504" s="55" t="s">
        <v>1376</v>
      </c>
      <c r="E504" s="55" t="s">
        <v>1078</v>
      </c>
      <c r="F504" s="55" t="s">
        <v>5473</v>
      </c>
      <c r="G504" s="55" t="s">
        <v>1080</v>
      </c>
      <c r="H504" s="55" t="s">
        <v>24</v>
      </c>
      <c r="I504" s="55"/>
      <c r="J504" s="55" t="s">
        <v>5846</v>
      </c>
      <c r="K504" s="55" t="s">
        <v>62</v>
      </c>
      <c r="L504" s="57" t="str">
        <f>HYPERLINK("https://nycdoe.sharepoint.com/:w:/s/BAP/EXEMQOf2MX1KpBOwwBWi2z8BpQD3aZDUU2u72uNPXaIz3A", "9 out of 10")</f>
        <v>9 out of 10</v>
      </c>
      <c r="M504" t="s">
        <v>5847</v>
      </c>
    </row>
    <row r="505" spans="2:13">
      <c r="B505" s="55" t="s">
        <v>1375</v>
      </c>
      <c r="C505" s="55" t="s">
        <v>1044</v>
      </c>
      <c r="D505" s="55" t="s">
        <v>1376</v>
      </c>
      <c r="E505" s="55" t="s">
        <v>1380</v>
      </c>
      <c r="F505" s="55" t="s">
        <v>5848</v>
      </c>
      <c r="G505" s="55" t="s">
        <v>5849</v>
      </c>
      <c r="H505" s="55" t="s">
        <v>52</v>
      </c>
      <c r="I505" s="55"/>
      <c r="J505" s="55" t="s">
        <v>5846</v>
      </c>
      <c r="K505" s="55" t="s">
        <v>62</v>
      </c>
      <c r="L505" s="57" t="str">
        <f>HYPERLINK("https://nycdoe.sharepoint.com/:w:/s/BAP/EXEMQOf2MX1KpBOwwBWi2z8BpQD3aZDUU2u72uNPXaIz3A", "9 out of 10")</f>
        <v>9 out of 10</v>
      </c>
      <c r="M505" t="s">
        <v>5847</v>
      </c>
    </row>
    <row r="506" spans="2:13">
      <c r="B506" s="55" t="s">
        <v>1375</v>
      </c>
      <c r="C506" s="55" t="s">
        <v>1044</v>
      </c>
      <c r="D506" s="55" t="s">
        <v>1383</v>
      </c>
      <c r="E506" s="55" t="s">
        <v>1383</v>
      </c>
      <c r="F506" s="55" t="s">
        <v>5850</v>
      </c>
      <c r="G506" s="55" t="s">
        <v>5851</v>
      </c>
      <c r="H506" s="55" t="s">
        <v>52</v>
      </c>
      <c r="I506" s="55"/>
      <c r="J506" s="55" t="s">
        <v>5852</v>
      </c>
      <c r="K506" s="55" t="s">
        <v>62</v>
      </c>
      <c r="L506" s="57" t="str">
        <f>HYPERLINK("https://nycdoe.sharepoint.com/:w:/s/BAP/EVHZzDJHQvpNtz0qX1yZp74BI7SDqAaWaGpFLK46PnAo_g", "9 out of 10")</f>
        <v>9 out of 10</v>
      </c>
      <c r="M506" t="s">
        <v>5853</v>
      </c>
    </row>
    <row r="507" spans="2:13">
      <c r="B507" s="55" t="s">
        <v>1375</v>
      </c>
      <c r="C507" s="55" t="s">
        <v>1044</v>
      </c>
      <c r="D507" s="55" t="s">
        <v>1383</v>
      </c>
      <c r="E507" s="55" t="s">
        <v>1178</v>
      </c>
      <c r="F507" s="55" t="s">
        <v>5593</v>
      </c>
      <c r="G507" s="55" t="s">
        <v>1180</v>
      </c>
      <c r="H507" s="55" t="s">
        <v>43</v>
      </c>
      <c r="I507" s="55" t="s">
        <v>18</v>
      </c>
      <c r="J507" s="55" t="s">
        <v>5852</v>
      </c>
      <c r="K507" s="55" t="s">
        <v>62</v>
      </c>
      <c r="L507" s="57" t="str">
        <f>HYPERLINK("https://nycdoe.sharepoint.com/:w:/s/BAP/EVHZzDJHQvpNtz0qX1yZp74BI7SDqAaWaGpFLK46PnAo_g", "9 out of 10")</f>
        <v>9 out of 10</v>
      </c>
      <c r="M507" t="s">
        <v>5853</v>
      </c>
    </row>
    <row r="508" spans="2:13">
      <c r="B508" s="55" t="s">
        <v>1375</v>
      </c>
      <c r="C508" s="55" t="s">
        <v>1044</v>
      </c>
      <c r="D508" s="55" t="s">
        <v>1383</v>
      </c>
      <c r="E508" s="55" t="s">
        <v>1387</v>
      </c>
      <c r="F508" s="55" t="s">
        <v>5854</v>
      </c>
      <c r="G508" s="55" t="s">
        <v>5855</v>
      </c>
      <c r="H508" s="55" t="s">
        <v>17</v>
      </c>
      <c r="I508" s="55" t="s">
        <v>18</v>
      </c>
      <c r="J508" s="55" t="s">
        <v>5852</v>
      </c>
      <c r="K508" s="55" t="s">
        <v>62</v>
      </c>
      <c r="L508" s="57" t="str">
        <f>HYPERLINK("https://nycdoe.sharepoint.com/:w:/s/BAP/EVHZzDJHQvpNtz0qX1yZp74BI7SDqAaWaGpFLK46PnAo_g", "9 out of 10")</f>
        <v>9 out of 10</v>
      </c>
      <c r="M508" t="s">
        <v>5853</v>
      </c>
    </row>
    <row r="509" spans="2:13">
      <c r="B509" s="55" t="s">
        <v>1375</v>
      </c>
      <c r="C509" s="55" t="s">
        <v>1044</v>
      </c>
      <c r="D509" s="55" t="s">
        <v>1390</v>
      </c>
      <c r="E509" s="55" t="s">
        <v>1391</v>
      </c>
      <c r="F509" s="55" t="s">
        <v>5856</v>
      </c>
      <c r="G509" s="55" t="s">
        <v>1393</v>
      </c>
      <c r="H509" s="55" t="s">
        <v>17</v>
      </c>
      <c r="I509" s="55" t="s">
        <v>18</v>
      </c>
      <c r="J509" s="55" t="s">
        <v>5857</v>
      </c>
      <c r="K509" s="55" t="s">
        <v>20</v>
      </c>
      <c r="L509" s="57" t="str">
        <f>HYPERLINK("https://nycdoe.sharepoint.com/:w:/s/BAP/Ebf5mmDhs4hHvn3w7qqf9sUBQrGxi_dfZkvbujh3B7Gthw", "3 out of 10")</f>
        <v>3 out of 10</v>
      </c>
      <c r="M509" t="s">
        <v>5858</v>
      </c>
    </row>
    <row r="510" spans="2:13">
      <c r="B510" s="55" t="s">
        <v>1375</v>
      </c>
      <c r="C510" s="55" t="s">
        <v>1044</v>
      </c>
      <c r="D510" s="55" t="s">
        <v>1390</v>
      </c>
      <c r="E510" s="55" t="s">
        <v>1390</v>
      </c>
      <c r="F510" s="55" t="s">
        <v>5859</v>
      </c>
      <c r="G510" s="55" t="s">
        <v>5860</v>
      </c>
      <c r="H510" s="55" t="s">
        <v>17</v>
      </c>
      <c r="I510" s="55" t="s">
        <v>18</v>
      </c>
      <c r="J510" s="55" t="s">
        <v>5857</v>
      </c>
      <c r="K510" s="55" t="s">
        <v>20</v>
      </c>
      <c r="L510" s="57" t="str">
        <f>HYPERLINK("https://nycdoe.sharepoint.com/:w:/s/BAP/Ebf5mmDhs4hHvn3w7qqf9sUBQrGxi_dfZkvbujh3B7Gthw", "3 out of 10")</f>
        <v>3 out of 10</v>
      </c>
      <c r="M510" t="s">
        <v>5858</v>
      </c>
    </row>
    <row r="511" spans="2:13">
      <c r="B511" s="55" t="s">
        <v>1375</v>
      </c>
      <c r="C511" s="55" t="s">
        <v>1044</v>
      </c>
      <c r="D511" s="55" t="s">
        <v>5861</v>
      </c>
      <c r="E511" s="55" t="s">
        <v>5861</v>
      </c>
      <c r="F511" s="55" t="s">
        <v>5862</v>
      </c>
      <c r="G511" s="55" t="s">
        <v>5863</v>
      </c>
      <c r="H511" s="55" t="s">
        <v>17</v>
      </c>
      <c r="I511" s="55" t="s">
        <v>18</v>
      </c>
      <c r="J511" s="55" t="s">
        <v>5864</v>
      </c>
      <c r="K511" s="55" t="s">
        <v>20</v>
      </c>
      <c r="L511" s="57" t="str">
        <f>HYPERLINK("https://nycdoe.sharepoint.com/:w:/s/BAP/ETuPPg6E_H9MrA5yphjBTAkB2kugyW2p342cgTKeZDcqyQ", "4 out of 10")</f>
        <v>4 out of 10</v>
      </c>
      <c r="M511" t="s">
        <v>5865</v>
      </c>
    </row>
    <row r="512" spans="2:13">
      <c r="B512" s="55" t="s">
        <v>1375</v>
      </c>
      <c r="C512" s="55" t="s">
        <v>1044</v>
      </c>
      <c r="D512" s="55" t="s">
        <v>5861</v>
      </c>
      <c r="E512" s="55" t="s">
        <v>1401</v>
      </c>
      <c r="F512" s="55" t="s">
        <v>5866</v>
      </c>
      <c r="G512" s="55" t="s">
        <v>5867</v>
      </c>
      <c r="H512" s="55" t="s">
        <v>24</v>
      </c>
      <c r="I512" s="55"/>
      <c r="J512" s="55" t="s">
        <v>5864</v>
      </c>
      <c r="K512" s="55" t="s">
        <v>20</v>
      </c>
      <c r="L512" s="57" t="str">
        <f>HYPERLINK("https://nycdoe.sharepoint.com/:w:/s/BAP/ETuPPg6E_H9MrA5yphjBTAkB2kugyW2p342cgTKeZDcqyQ", "4 out of 10")</f>
        <v>4 out of 10</v>
      </c>
      <c r="M512" t="s">
        <v>5865</v>
      </c>
    </row>
    <row r="513" spans="2:13">
      <c r="B513" s="55" t="s">
        <v>1375</v>
      </c>
      <c r="C513" s="55" t="s">
        <v>1044</v>
      </c>
      <c r="D513" s="55" t="s">
        <v>1397</v>
      </c>
      <c r="E513" s="55" t="s">
        <v>1397</v>
      </c>
      <c r="F513" s="55" t="s">
        <v>5868</v>
      </c>
      <c r="G513" s="55" t="s">
        <v>5869</v>
      </c>
      <c r="H513" s="55" t="s">
        <v>24</v>
      </c>
      <c r="I513" s="55" t="s">
        <v>18</v>
      </c>
      <c r="J513" s="55" t="s">
        <v>5870</v>
      </c>
      <c r="K513" s="55" t="s">
        <v>20</v>
      </c>
      <c r="L513" s="57" t="str">
        <f>HYPERLINK("https://nycdoe.sharepoint.com/:w:/s/BAP/EYfIKjNeqeJLizMFauo17osBTmNaA9axe3E2mX504JvmhQ", "6 out of 10")</f>
        <v>6 out of 10</v>
      </c>
      <c r="M513" t="s">
        <v>5871</v>
      </c>
    </row>
    <row r="514" spans="2:13">
      <c r="B514" s="55" t="s">
        <v>1375</v>
      </c>
      <c r="C514" s="55" t="s">
        <v>1044</v>
      </c>
      <c r="D514" s="55" t="s">
        <v>1397</v>
      </c>
      <c r="E514" s="55" t="s">
        <v>1401</v>
      </c>
      <c r="F514" s="55" t="s">
        <v>5866</v>
      </c>
      <c r="G514" s="55" t="s">
        <v>5867</v>
      </c>
      <c r="H514" s="55" t="s">
        <v>24</v>
      </c>
      <c r="I514" s="55"/>
      <c r="J514" s="55" t="s">
        <v>5870</v>
      </c>
      <c r="K514" s="55" t="s">
        <v>20</v>
      </c>
      <c r="L514" s="57" t="str">
        <f>HYPERLINK("https://nycdoe.sharepoint.com/:w:/s/BAP/EYfIKjNeqeJLizMFauo17osBTmNaA9axe3E2mX504JvmhQ", "6 out of 10")</f>
        <v>6 out of 10</v>
      </c>
      <c r="M514" t="s">
        <v>5871</v>
      </c>
    </row>
    <row r="515" spans="2:13">
      <c r="B515" s="55" t="s">
        <v>1375</v>
      </c>
      <c r="C515" s="55" t="s">
        <v>1044</v>
      </c>
      <c r="D515" s="55" t="s">
        <v>1404</v>
      </c>
      <c r="E515" s="55" t="s">
        <v>1405</v>
      </c>
      <c r="F515" s="55" t="s">
        <v>5872</v>
      </c>
      <c r="G515" s="55" t="s">
        <v>5873</v>
      </c>
      <c r="H515" s="55" t="s">
        <v>52</v>
      </c>
      <c r="I515" s="55"/>
      <c r="J515" s="55" t="s">
        <v>5874</v>
      </c>
      <c r="K515" s="55" t="s">
        <v>62</v>
      </c>
      <c r="L515" s="57" t="str">
        <f>HYPERLINK("https://nycdoe.sharepoint.com/:w:/s/BAP/EcSit3RVPEFAq-UJ0FgnT64BOURt7pB3YbUVsbnkvlPvVw", "9 out of 10")</f>
        <v>9 out of 10</v>
      </c>
      <c r="M515" t="s">
        <v>5875</v>
      </c>
    </row>
    <row r="516" spans="2:13">
      <c r="B516" s="55" t="s">
        <v>1375</v>
      </c>
      <c r="C516" s="55" t="s">
        <v>1044</v>
      </c>
      <c r="D516" s="55" t="s">
        <v>1404</v>
      </c>
      <c r="E516" s="55" t="s">
        <v>1409</v>
      </c>
      <c r="F516" s="55" t="s">
        <v>5876</v>
      </c>
      <c r="G516" s="55" t="s">
        <v>5877</v>
      </c>
      <c r="H516" s="55" t="s">
        <v>52</v>
      </c>
      <c r="I516" s="55"/>
      <c r="J516" s="55" t="s">
        <v>5874</v>
      </c>
      <c r="K516" s="55" t="s">
        <v>62</v>
      </c>
      <c r="L516" s="57" t="str">
        <f>HYPERLINK("https://nycdoe.sharepoint.com/:w:/s/BAP/EcSit3RVPEFAq-UJ0FgnT64BOURt7pB3YbUVsbnkvlPvVw", "9 out of 10")</f>
        <v>9 out of 10</v>
      </c>
      <c r="M516" t="s">
        <v>5875</v>
      </c>
    </row>
    <row r="517" spans="2:13">
      <c r="B517" s="55" t="s">
        <v>1375</v>
      </c>
      <c r="C517" s="55" t="s">
        <v>1044</v>
      </c>
      <c r="D517" s="55" t="s">
        <v>1404</v>
      </c>
      <c r="E517" s="55" t="s">
        <v>1412</v>
      </c>
      <c r="F517" s="55" t="s">
        <v>5878</v>
      </c>
      <c r="G517" s="55" t="s">
        <v>5879</v>
      </c>
      <c r="H517" s="55" t="s">
        <v>17</v>
      </c>
      <c r="I517" s="55"/>
      <c r="J517" s="55" t="s">
        <v>5874</v>
      </c>
      <c r="K517" s="55" t="s">
        <v>62</v>
      </c>
      <c r="L517" s="57" t="str">
        <f>HYPERLINK("https://nycdoe.sharepoint.com/:w:/s/BAP/EcSit3RVPEFAq-UJ0FgnT64BOURt7pB3YbUVsbnkvlPvVw", "9 out of 10")</f>
        <v>9 out of 10</v>
      </c>
      <c r="M517" t="s">
        <v>5875</v>
      </c>
    </row>
    <row r="518" spans="2:13">
      <c r="B518" s="55" t="s">
        <v>1375</v>
      </c>
      <c r="C518" s="55" t="s">
        <v>1044</v>
      </c>
      <c r="D518" s="55" t="s">
        <v>1415</v>
      </c>
      <c r="E518" s="55" t="s">
        <v>1415</v>
      </c>
      <c r="F518" s="55" t="s">
        <v>5880</v>
      </c>
      <c r="G518" s="55" t="s">
        <v>5881</v>
      </c>
      <c r="H518" s="55" t="s">
        <v>17</v>
      </c>
      <c r="I518" s="55" t="s">
        <v>18</v>
      </c>
      <c r="J518" s="55" t="s">
        <v>5882</v>
      </c>
      <c r="K518" s="55" t="s">
        <v>20</v>
      </c>
      <c r="L518" s="57" t="str">
        <f>HYPERLINK("https://nycdoe.sharepoint.com/:w:/s/BAP/Eds2toLr7HFOuU4QXECSZuABBsznC5ExeAoLwPlEs9p2iw", "4 out of 10")</f>
        <v>4 out of 10</v>
      </c>
      <c r="M518" t="s">
        <v>5883</v>
      </c>
    </row>
    <row r="519" spans="2:13">
      <c r="B519" s="55" t="s">
        <v>1375</v>
      </c>
      <c r="C519" s="55" t="s">
        <v>1044</v>
      </c>
      <c r="D519" s="55" t="s">
        <v>1415</v>
      </c>
      <c r="E519" s="55" t="s">
        <v>1419</v>
      </c>
      <c r="F519" s="55" t="s">
        <v>5884</v>
      </c>
      <c r="G519" s="55" t="s">
        <v>5885</v>
      </c>
      <c r="H519" s="55" t="s">
        <v>52</v>
      </c>
      <c r="I519" s="55"/>
      <c r="J519" s="55" t="s">
        <v>5882</v>
      </c>
      <c r="K519" s="55" t="s">
        <v>20</v>
      </c>
      <c r="L519" s="57" t="str">
        <f>HYPERLINK("https://nycdoe.sharepoint.com/:w:/s/BAP/Eds2toLr7HFOuU4QXECSZuABBsznC5ExeAoLwPlEs9p2iw", "4 out of 10")</f>
        <v>4 out of 10</v>
      </c>
      <c r="M519" t="s">
        <v>5883</v>
      </c>
    </row>
    <row r="520" spans="2:13">
      <c r="B520" s="55" t="s">
        <v>1375</v>
      </c>
      <c r="C520" s="55" t="s">
        <v>1044</v>
      </c>
      <c r="D520" s="55" t="s">
        <v>1422</v>
      </c>
      <c r="E520" s="55" t="s">
        <v>1422</v>
      </c>
      <c r="F520" s="55" t="s">
        <v>5886</v>
      </c>
      <c r="G520" s="55" t="s">
        <v>5887</v>
      </c>
      <c r="H520" s="55" t="s">
        <v>56</v>
      </c>
      <c r="I520" s="55"/>
      <c r="J520" s="55" t="s">
        <v>5888</v>
      </c>
      <c r="K520" s="55" t="s">
        <v>20</v>
      </c>
      <c r="L520" s="57" t="str">
        <f>HYPERLINK("https://nycdoe.sharepoint.com/:w:/s/BAP/EVEB_pd5nntOltQNnjIajsQBvvAyocrWl9NXqgogBZZVDA", "3 out of 10")</f>
        <v>3 out of 10</v>
      </c>
      <c r="M520" t="s">
        <v>5889</v>
      </c>
    </row>
    <row r="521" spans="2:13">
      <c r="B521" s="55" t="s">
        <v>1375</v>
      </c>
      <c r="C521" s="55" t="s">
        <v>1044</v>
      </c>
      <c r="D521" s="55" t="s">
        <v>1422</v>
      </c>
      <c r="E521" s="55" t="s">
        <v>1426</v>
      </c>
      <c r="F521" s="55" t="s">
        <v>5890</v>
      </c>
      <c r="G521" s="55" t="s">
        <v>5891</v>
      </c>
      <c r="H521" s="55" t="s">
        <v>56</v>
      </c>
      <c r="I521" s="55"/>
      <c r="J521" s="55" t="s">
        <v>5888</v>
      </c>
      <c r="K521" s="55" t="s">
        <v>20</v>
      </c>
      <c r="L521" s="57" t="str">
        <f>HYPERLINK("https://nycdoe.sharepoint.com/:w:/s/BAP/EVEB_pd5nntOltQNnjIajsQBvvAyocrWl9NXqgogBZZVDA", "3 out of 10")</f>
        <v>3 out of 10</v>
      </c>
      <c r="M521" t="s">
        <v>5889</v>
      </c>
    </row>
    <row r="522" spans="2:13">
      <c r="B522" s="55" t="s">
        <v>1375</v>
      </c>
      <c r="C522" s="55" t="s">
        <v>1044</v>
      </c>
      <c r="D522" s="55" t="s">
        <v>1422</v>
      </c>
      <c r="E522" s="55" t="s">
        <v>1429</v>
      </c>
      <c r="F522" s="55" t="s">
        <v>5892</v>
      </c>
      <c r="G522" s="55" t="s">
        <v>5893</v>
      </c>
      <c r="H522" s="55" t="s">
        <v>56</v>
      </c>
      <c r="I522" s="55"/>
      <c r="J522" s="55" t="s">
        <v>5888</v>
      </c>
      <c r="K522" s="55" t="s">
        <v>20</v>
      </c>
      <c r="L522" s="57" t="str">
        <f>HYPERLINK("https://nycdoe.sharepoint.com/:w:/s/BAP/EVEB_pd5nntOltQNnjIajsQBvvAyocrWl9NXqgogBZZVDA", "3 out of 10")</f>
        <v>3 out of 10</v>
      </c>
      <c r="M522" t="s">
        <v>5889</v>
      </c>
    </row>
    <row r="523" spans="2:13">
      <c r="B523" s="55" t="s">
        <v>1375</v>
      </c>
      <c r="C523" s="55" t="s">
        <v>1044</v>
      </c>
      <c r="D523" s="55" t="s">
        <v>1422</v>
      </c>
      <c r="E523" s="55" t="s">
        <v>4490</v>
      </c>
      <c r="F523" s="55" t="s">
        <v>4491</v>
      </c>
      <c r="G523" s="55" t="s">
        <v>4492</v>
      </c>
      <c r="H523" s="55" t="s">
        <v>56</v>
      </c>
      <c r="I523" s="55"/>
      <c r="J523" s="55" t="s">
        <v>5888</v>
      </c>
      <c r="K523" s="55" t="s">
        <v>20</v>
      </c>
      <c r="L523" s="57" t="str">
        <f>HYPERLINK("https://nycdoe.sharepoint.com/:w:/s/BAP/EVEB_pd5nntOltQNnjIajsQBvvAyocrWl9NXqgogBZZVDA", "3 out of 10")</f>
        <v>3 out of 10</v>
      </c>
      <c r="M523" t="s">
        <v>5889</v>
      </c>
    </row>
    <row r="524" spans="2:13">
      <c r="B524" s="55" t="s">
        <v>1375</v>
      </c>
      <c r="C524" s="55" t="s">
        <v>1044</v>
      </c>
      <c r="D524" s="55" t="s">
        <v>1432</v>
      </c>
      <c r="E524" s="55" t="s">
        <v>1433</v>
      </c>
      <c r="F524" s="55" t="s">
        <v>5894</v>
      </c>
      <c r="G524" s="55" t="s">
        <v>5895</v>
      </c>
      <c r="H524" s="55" t="s">
        <v>24</v>
      </c>
      <c r="I524" s="55"/>
      <c r="J524" s="55" t="s">
        <v>5896</v>
      </c>
      <c r="K524" s="55" t="s">
        <v>62</v>
      </c>
      <c r="L524" s="57" t="str">
        <f>HYPERLINK("https://nycdoe.sharepoint.com/:w:/s/BAP/EUGZsrcv-_pLh8DOFwA-AjMB-hTPM5puSctk4do7gwGf3g", "9 out of 10")</f>
        <v>9 out of 10</v>
      </c>
      <c r="M524" t="s">
        <v>5897</v>
      </c>
    </row>
    <row r="525" spans="2:13">
      <c r="B525" s="55" t="s">
        <v>1375</v>
      </c>
      <c r="C525" s="55" t="s">
        <v>1044</v>
      </c>
      <c r="D525" s="55" t="s">
        <v>1437</v>
      </c>
      <c r="E525" s="55" t="s">
        <v>1438</v>
      </c>
      <c r="F525" s="55" t="s">
        <v>5898</v>
      </c>
      <c r="G525" s="55" t="s">
        <v>5899</v>
      </c>
      <c r="H525" s="55" t="s">
        <v>56</v>
      </c>
      <c r="I525" s="55"/>
      <c r="J525" s="55" t="s">
        <v>5900</v>
      </c>
      <c r="K525" s="55" t="s">
        <v>62</v>
      </c>
      <c r="L525" s="57" t="str">
        <f>HYPERLINK("https://nycdoe.sharepoint.com/:w:/s/BAP/EUl413Cug55DhdLPHBelkmUBpUzcEayg14Mr_ys8fXFUcQ", "9 out of 10")</f>
        <v>9 out of 10</v>
      </c>
      <c r="M525" t="s">
        <v>5901</v>
      </c>
    </row>
    <row r="526" spans="2:13">
      <c r="B526" s="55" t="s">
        <v>1442</v>
      </c>
      <c r="C526" s="55" t="s">
        <v>1044</v>
      </c>
      <c r="D526" s="55" t="s">
        <v>1443</v>
      </c>
      <c r="E526" s="55" t="s">
        <v>1443</v>
      </c>
      <c r="F526" s="55" t="s">
        <v>5902</v>
      </c>
      <c r="G526" s="55" t="s">
        <v>5903</v>
      </c>
      <c r="H526" s="55" t="s">
        <v>52</v>
      </c>
      <c r="I526" s="55"/>
      <c r="J526" s="55" t="s">
        <v>5904</v>
      </c>
      <c r="K526" s="55" t="s">
        <v>62</v>
      </c>
      <c r="L526" s="57" t="str">
        <f>HYPERLINK("https://nycdoe.sharepoint.com/:w:/s/BAP/ERQlDwTKeYZNu495TGdQELUBVtk0i-g3-zNCTHkYxx3fBA", "10 out of 10")</f>
        <v>10 out of 10</v>
      </c>
      <c r="M526" t="s">
        <v>5905</v>
      </c>
    </row>
    <row r="527" spans="2:13">
      <c r="B527" s="55" t="s">
        <v>1442</v>
      </c>
      <c r="C527" s="55" t="s">
        <v>1044</v>
      </c>
      <c r="D527" s="55" t="s">
        <v>1443</v>
      </c>
      <c r="E527" s="55" t="s">
        <v>1178</v>
      </c>
      <c r="F527" s="55" t="s">
        <v>5593</v>
      </c>
      <c r="G527" s="55" t="s">
        <v>1180</v>
      </c>
      <c r="H527" s="55" t="s">
        <v>43</v>
      </c>
      <c r="I527" s="55" t="s">
        <v>18</v>
      </c>
      <c r="J527" s="55" t="s">
        <v>5904</v>
      </c>
      <c r="K527" s="55" t="s">
        <v>62</v>
      </c>
      <c r="L527" s="57" t="str">
        <f>HYPERLINK("https://nycdoe.sharepoint.com/:w:/s/BAP/ERQlDwTKeYZNu495TGdQELUBVtk0i-g3-zNCTHkYxx3fBA", "10 out of 10")</f>
        <v>10 out of 10</v>
      </c>
      <c r="M527" t="s">
        <v>5905</v>
      </c>
    </row>
    <row r="528" spans="2:13">
      <c r="B528" s="55" t="s">
        <v>1442</v>
      </c>
      <c r="C528" s="55" t="s">
        <v>1044</v>
      </c>
      <c r="D528" s="55" t="s">
        <v>1443</v>
      </c>
      <c r="E528" s="55" t="s">
        <v>1447</v>
      </c>
      <c r="F528" s="55" t="s">
        <v>5906</v>
      </c>
      <c r="G528" s="55" t="s">
        <v>5907</v>
      </c>
      <c r="H528" s="55" t="s">
        <v>24</v>
      </c>
      <c r="I528" s="55"/>
      <c r="J528" s="55" t="s">
        <v>5904</v>
      </c>
      <c r="K528" s="55" t="s">
        <v>62</v>
      </c>
      <c r="L528" s="57" t="str">
        <f>HYPERLINK("https://nycdoe.sharepoint.com/:w:/s/BAP/ERQlDwTKeYZNu495TGdQELUBVtk0i-g3-zNCTHkYxx3fBA", "10 out of 10")</f>
        <v>10 out of 10</v>
      </c>
      <c r="M528" t="s">
        <v>5905</v>
      </c>
    </row>
    <row r="529" spans="2:13">
      <c r="B529" s="55" t="s">
        <v>1442</v>
      </c>
      <c r="C529" s="55" t="s">
        <v>1044</v>
      </c>
      <c r="D529" s="55" t="s">
        <v>1450</v>
      </c>
      <c r="E529" s="55" t="s">
        <v>1450</v>
      </c>
      <c r="F529" s="55" t="s">
        <v>5908</v>
      </c>
      <c r="G529" s="55" t="s">
        <v>5909</v>
      </c>
      <c r="H529" s="55" t="s">
        <v>17</v>
      </c>
      <c r="I529" s="55" t="s">
        <v>18</v>
      </c>
      <c r="J529" s="55" t="s">
        <v>5910</v>
      </c>
      <c r="K529" s="55" t="s">
        <v>62</v>
      </c>
      <c r="L529" s="57" t="str">
        <f>HYPERLINK("https://nycdoe.sharepoint.com/:w:/s/BAP/Ea3P_PBBuxJKiRoHzGXUv6UBDhQApSTiWdYLEEvqjn02uw", "9 out of 10")</f>
        <v>9 out of 10</v>
      </c>
      <c r="M529" t="s">
        <v>5911</v>
      </c>
    </row>
    <row r="530" spans="2:13">
      <c r="B530" s="55" t="s">
        <v>1442</v>
      </c>
      <c r="C530" s="55" t="s">
        <v>1044</v>
      </c>
      <c r="D530" s="55" t="s">
        <v>1454</v>
      </c>
      <c r="E530" s="55" t="s">
        <v>5912</v>
      </c>
      <c r="F530" s="55" t="s">
        <v>5913</v>
      </c>
      <c r="G530" s="55" t="s">
        <v>5914</v>
      </c>
      <c r="H530" s="55" t="s">
        <v>52</v>
      </c>
      <c r="I530" s="55"/>
      <c r="J530" s="55" t="s">
        <v>5915</v>
      </c>
      <c r="K530" s="55" t="s">
        <v>62</v>
      </c>
      <c r="L530" s="57" t="str">
        <f>HYPERLINK("https://nycdoe.sharepoint.com/:w:/s/BAP/ETKWDnLNaKBImU5CAoVasL0BXKl7TKMpe--jk4z57_84Hg", "10 out of 10")</f>
        <v>10 out of 10</v>
      </c>
      <c r="M530" t="s">
        <v>5916</v>
      </c>
    </row>
    <row r="531" spans="2:13">
      <c r="B531" s="55" t="s">
        <v>1442</v>
      </c>
      <c r="C531" s="55" t="s">
        <v>1044</v>
      </c>
      <c r="D531" s="55" t="s">
        <v>1454</v>
      </c>
      <c r="E531" s="55" t="s">
        <v>1459</v>
      </c>
      <c r="F531" s="55" t="s">
        <v>5917</v>
      </c>
      <c r="G531" s="55" t="s">
        <v>5918</v>
      </c>
      <c r="H531" s="55" t="s">
        <v>17</v>
      </c>
      <c r="I531" s="55" t="s">
        <v>18</v>
      </c>
      <c r="J531" s="55" t="s">
        <v>5915</v>
      </c>
      <c r="K531" s="55" t="s">
        <v>62</v>
      </c>
      <c r="L531" s="57" t="str">
        <f>HYPERLINK("https://nycdoe.sharepoint.com/:w:/s/BAP/ETKWDnLNaKBImU5CAoVasL0BXKl7TKMpe--jk4z57_84Hg", "10 out of 10")</f>
        <v>10 out of 10</v>
      </c>
      <c r="M531" t="s">
        <v>5916</v>
      </c>
    </row>
    <row r="532" spans="2:13">
      <c r="B532" s="55" t="s">
        <v>1442</v>
      </c>
      <c r="C532" s="55" t="s">
        <v>1044</v>
      </c>
      <c r="D532" s="55" t="s">
        <v>5919</v>
      </c>
      <c r="E532" s="55" t="s">
        <v>5919</v>
      </c>
      <c r="F532" s="55" t="s">
        <v>5920</v>
      </c>
      <c r="G532" s="55" t="s">
        <v>5921</v>
      </c>
      <c r="H532" s="55" t="s">
        <v>52</v>
      </c>
      <c r="I532" s="55"/>
      <c r="J532" s="55" t="s">
        <v>5922</v>
      </c>
      <c r="K532" s="55" t="s">
        <v>20</v>
      </c>
      <c r="L532" s="57" t="str">
        <f>HYPERLINK("https://nycdoe.sharepoint.com/:w:/s/BAP/EYpgYK6RjtRKuQaSTaiM__gBC3LvcPUQu0gjaGXwhj5jvA", "3 out of 10")</f>
        <v>3 out of 10</v>
      </c>
      <c r="M532" t="s">
        <v>5923</v>
      </c>
    </row>
    <row r="533" spans="2:13">
      <c r="B533" s="55" t="s">
        <v>1442</v>
      </c>
      <c r="C533" s="55" t="s">
        <v>1044</v>
      </c>
      <c r="D533" s="55" t="s">
        <v>5919</v>
      </c>
      <c r="E533" s="55" t="s">
        <v>1560</v>
      </c>
      <c r="F533" s="55" t="s">
        <v>5783</v>
      </c>
      <c r="G533" s="55" t="s">
        <v>5784</v>
      </c>
      <c r="H533" s="55" t="s">
        <v>56</v>
      </c>
      <c r="I533" s="55"/>
      <c r="J533" s="55" t="s">
        <v>5922</v>
      </c>
      <c r="K533" s="55" t="s">
        <v>20</v>
      </c>
      <c r="L533" s="57" t="str">
        <f>HYPERLINK("https://nycdoe.sharepoint.com/:w:/s/BAP/EYpgYK6RjtRKuQaSTaiM__gBC3LvcPUQu0gjaGXwhj5jvA", "3 out of 10")</f>
        <v>3 out of 10</v>
      </c>
      <c r="M533" t="s">
        <v>5923</v>
      </c>
    </row>
    <row r="534" spans="2:13">
      <c r="B534" s="55" t="s">
        <v>1442</v>
      </c>
      <c r="C534" s="55" t="s">
        <v>1044</v>
      </c>
      <c r="D534" s="55" t="s">
        <v>1462</v>
      </c>
      <c r="E534" s="55" t="s">
        <v>1462</v>
      </c>
      <c r="F534" s="55" t="s">
        <v>5924</v>
      </c>
      <c r="G534" s="55" t="s">
        <v>5925</v>
      </c>
      <c r="H534" s="55" t="s">
        <v>17</v>
      </c>
      <c r="I534" s="55" t="s">
        <v>18</v>
      </c>
      <c r="J534" s="55" t="s">
        <v>5926</v>
      </c>
      <c r="K534" s="55" t="s">
        <v>20</v>
      </c>
      <c r="L534" s="57" t="str">
        <f>HYPERLINK("https://nycdoe.sharepoint.com/:w:/s/BAP/ESrHQZEzuRdLhBTRxrJ3zzQBdakuGZ3Jv-eRAqhAjr6yUA", "1 out of 10")</f>
        <v>1 out of 10</v>
      </c>
      <c r="M534" t="s">
        <v>5927</v>
      </c>
    </row>
    <row r="535" spans="2:13">
      <c r="B535" s="55" t="s">
        <v>1442</v>
      </c>
      <c r="C535" s="55" t="s">
        <v>1044</v>
      </c>
      <c r="D535" s="55" t="s">
        <v>1469</v>
      </c>
      <c r="E535" s="55" t="s">
        <v>1469</v>
      </c>
      <c r="F535" s="55" t="s">
        <v>5928</v>
      </c>
      <c r="G535" s="55" t="s">
        <v>5929</v>
      </c>
      <c r="H535" s="55" t="s">
        <v>24</v>
      </c>
      <c r="I535" s="55" t="s">
        <v>18</v>
      </c>
      <c r="J535" s="55" t="s">
        <v>5930</v>
      </c>
      <c r="K535" s="55" t="s">
        <v>20</v>
      </c>
      <c r="L535" s="57" t="str">
        <f>HYPERLINK("https://nycdoe.sharepoint.com/:w:/s/BAP/EZ_lIh64_O9NvHTTdKRsytYBabcXob6kKzkOXeCqPzb7jQ", "4 out of 10")</f>
        <v>4 out of 10</v>
      </c>
      <c r="M535" t="s">
        <v>5931</v>
      </c>
    </row>
    <row r="536" spans="2:13">
      <c r="B536" s="55" t="s">
        <v>1442</v>
      </c>
      <c r="C536" s="55" t="s">
        <v>1044</v>
      </c>
      <c r="D536" s="55" t="s">
        <v>1469</v>
      </c>
      <c r="E536" s="55" t="s">
        <v>1473</v>
      </c>
      <c r="F536" s="55" t="s">
        <v>5932</v>
      </c>
      <c r="G536" s="55" t="s">
        <v>5933</v>
      </c>
      <c r="H536" s="55" t="s">
        <v>24</v>
      </c>
      <c r="I536" s="55"/>
      <c r="J536" s="55" t="s">
        <v>5930</v>
      </c>
      <c r="K536" s="55" t="s">
        <v>20</v>
      </c>
      <c r="L536" s="57" t="str">
        <f>HYPERLINK("https://nycdoe.sharepoint.com/:w:/s/BAP/EZ_lIh64_O9NvHTTdKRsytYBabcXob6kKzkOXeCqPzb7jQ", "4 out of 10")</f>
        <v>4 out of 10</v>
      </c>
      <c r="M536" t="s">
        <v>5931</v>
      </c>
    </row>
    <row r="537" spans="2:13">
      <c r="B537" s="55" t="s">
        <v>1442</v>
      </c>
      <c r="C537" s="55" t="s">
        <v>1044</v>
      </c>
      <c r="D537" s="55" t="s">
        <v>5934</v>
      </c>
      <c r="E537" s="55" t="s">
        <v>1480</v>
      </c>
      <c r="F537" s="55" t="s">
        <v>5935</v>
      </c>
      <c r="G537" s="55" t="s">
        <v>5936</v>
      </c>
      <c r="H537" s="55" t="s">
        <v>24</v>
      </c>
      <c r="I537" s="55"/>
      <c r="J537" s="55" t="s">
        <v>5937</v>
      </c>
      <c r="K537" s="55" t="s">
        <v>20</v>
      </c>
      <c r="L537" s="57" t="str">
        <f>HYPERLINK("https://nycdoe.sharepoint.com/:w:/s/BAP/EdGr9NpJMmJKplpgjCplfVwBvkfRzTtqBZZpv04xlrpa8Q", "1 out of 10")</f>
        <v>1 out of 10</v>
      </c>
      <c r="M537" t="s">
        <v>5938</v>
      </c>
    </row>
    <row r="538" spans="2:13">
      <c r="B538" s="55" t="s">
        <v>1442</v>
      </c>
      <c r="C538" s="55" t="s">
        <v>1044</v>
      </c>
      <c r="D538" s="55" t="s">
        <v>5934</v>
      </c>
      <c r="E538" s="55" t="s">
        <v>5939</v>
      </c>
      <c r="F538" s="55" t="s">
        <v>5940</v>
      </c>
      <c r="G538" s="55" t="s">
        <v>5941</v>
      </c>
      <c r="H538" s="55" t="s">
        <v>17</v>
      </c>
      <c r="I538" s="55" t="s">
        <v>18</v>
      </c>
      <c r="J538" s="55" t="s">
        <v>5937</v>
      </c>
      <c r="K538" s="55" t="s">
        <v>20</v>
      </c>
      <c r="L538" s="57" t="str">
        <f>HYPERLINK("https://nycdoe.sharepoint.com/:w:/s/BAP/EdGr9NpJMmJKplpgjCplfVwBvkfRzTtqBZZpv04xlrpa8Q", "1 out of 10")</f>
        <v>1 out of 10</v>
      </c>
      <c r="M538" t="s">
        <v>5938</v>
      </c>
    </row>
    <row r="539" spans="2:13">
      <c r="B539" s="55" t="s">
        <v>1442</v>
      </c>
      <c r="C539" s="55" t="s">
        <v>1044</v>
      </c>
      <c r="D539" s="55" t="s">
        <v>1476</v>
      </c>
      <c r="E539" s="55" t="s">
        <v>1476</v>
      </c>
      <c r="F539" s="55" t="s">
        <v>5942</v>
      </c>
      <c r="G539" s="55" t="s">
        <v>5943</v>
      </c>
      <c r="H539" s="55" t="s">
        <v>24</v>
      </c>
      <c r="I539" s="55" t="s">
        <v>18</v>
      </c>
      <c r="J539" s="55" t="s">
        <v>5944</v>
      </c>
      <c r="K539" s="55" t="s">
        <v>62</v>
      </c>
      <c r="L539" s="57" t="str">
        <f>HYPERLINK("https://nycdoe.sharepoint.com/:w:/s/BAP/EdyjK9oaLxZAqwdvZFZBCq0BNPEnSjmsO73z6t4ehuZrxw", "9 out of 10")</f>
        <v>9 out of 10</v>
      </c>
      <c r="M539" t="s">
        <v>5945</v>
      </c>
    </row>
    <row r="540" spans="2:13">
      <c r="B540" s="55" t="s">
        <v>1442</v>
      </c>
      <c r="C540" s="55" t="s">
        <v>1044</v>
      </c>
      <c r="D540" s="55" t="s">
        <v>1476</v>
      </c>
      <c r="E540" s="55" t="s">
        <v>1480</v>
      </c>
      <c r="F540" s="55" t="s">
        <v>5935</v>
      </c>
      <c r="G540" s="55" t="s">
        <v>5936</v>
      </c>
      <c r="H540" s="55" t="s">
        <v>24</v>
      </c>
      <c r="I540" s="55"/>
      <c r="J540" s="55" t="s">
        <v>5944</v>
      </c>
      <c r="K540" s="55" t="s">
        <v>62</v>
      </c>
      <c r="L540" s="57" t="str">
        <f>HYPERLINK("https://nycdoe.sharepoint.com/:w:/s/BAP/EdyjK9oaLxZAqwdvZFZBCq0BNPEnSjmsO73z6t4ehuZrxw", "9 out of 10")</f>
        <v>9 out of 10</v>
      </c>
      <c r="M540" t="s">
        <v>5945</v>
      </c>
    </row>
    <row r="541" spans="2:13">
      <c r="B541" s="55" t="s">
        <v>1442</v>
      </c>
      <c r="C541" s="55" t="s">
        <v>1044</v>
      </c>
      <c r="D541" s="55" t="s">
        <v>5946</v>
      </c>
      <c r="E541" s="55" t="s">
        <v>5946</v>
      </c>
      <c r="F541" s="55" t="s">
        <v>5947</v>
      </c>
      <c r="G541" s="55" t="s">
        <v>5948</v>
      </c>
      <c r="H541" s="55" t="s">
        <v>24</v>
      </c>
      <c r="I541" s="55"/>
      <c r="J541" s="55" t="s">
        <v>5949</v>
      </c>
      <c r="K541" s="55" t="s">
        <v>20</v>
      </c>
      <c r="L541" s="57" t="str">
        <f>HYPERLINK("https://nycdoe.sharepoint.com/:w:/s/BAP/ETCW26cZiY5IpY77S1AN0aUBgyn9BuBvvFcgfBTE87HT3g", "4 out of 10")</f>
        <v>4 out of 10</v>
      </c>
      <c r="M541" t="s">
        <v>5950</v>
      </c>
    </row>
    <row r="542" spans="2:13">
      <c r="B542" s="55" t="s">
        <v>1442</v>
      </c>
      <c r="C542" s="55" t="s">
        <v>1044</v>
      </c>
      <c r="D542" s="55" t="s">
        <v>5951</v>
      </c>
      <c r="E542" s="55" t="s">
        <v>5952</v>
      </c>
      <c r="F542" s="55" t="s">
        <v>5953</v>
      </c>
      <c r="G542" s="55" t="s">
        <v>5954</v>
      </c>
      <c r="H542" s="55" t="s">
        <v>24</v>
      </c>
      <c r="I542" s="55" t="s">
        <v>18</v>
      </c>
      <c r="J542" s="55" t="s">
        <v>5955</v>
      </c>
      <c r="K542" s="55" t="s">
        <v>20</v>
      </c>
      <c r="L542" s="57" t="str">
        <f>HYPERLINK("https://nycdoe.sharepoint.com/:w:/s/BAP/EYFJmDhz6IpGrDUpuVvznYcBhsL953ovo0nUkh34XrgfyA", "2 out of 10")</f>
        <v>2 out of 10</v>
      </c>
      <c r="M542" t="s">
        <v>5956</v>
      </c>
    </row>
    <row r="543" spans="2:13">
      <c r="B543" s="55" t="s">
        <v>1442</v>
      </c>
      <c r="C543" s="55" t="s">
        <v>1044</v>
      </c>
      <c r="D543" s="55" t="s">
        <v>5951</v>
      </c>
      <c r="E543" s="55" t="s">
        <v>5957</v>
      </c>
      <c r="F543" s="55" t="s">
        <v>5958</v>
      </c>
      <c r="G543" s="55" t="s">
        <v>5959</v>
      </c>
      <c r="H543" s="55" t="s">
        <v>24</v>
      </c>
      <c r="I543" s="55"/>
      <c r="J543" s="55" t="s">
        <v>5955</v>
      </c>
      <c r="K543" s="55" t="s">
        <v>20</v>
      </c>
      <c r="L543" s="57" t="str">
        <f>HYPERLINK("https://nycdoe.sharepoint.com/:w:/s/BAP/EYFJmDhz6IpGrDUpuVvznYcBhsL953ovo0nUkh34XrgfyA", "2 out of 10")</f>
        <v>2 out of 10</v>
      </c>
      <c r="M543" t="s">
        <v>5956</v>
      </c>
    </row>
    <row r="544" spans="2:13">
      <c r="B544" s="55" t="s">
        <v>1442</v>
      </c>
      <c r="C544" s="55" t="s">
        <v>1044</v>
      </c>
      <c r="D544" s="55" t="s">
        <v>5951</v>
      </c>
      <c r="E544" s="55" t="s">
        <v>5960</v>
      </c>
      <c r="F544" s="55" t="s">
        <v>5961</v>
      </c>
      <c r="G544" s="55" t="s">
        <v>5962</v>
      </c>
      <c r="H544" s="55" t="s">
        <v>24</v>
      </c>
      <c r="I544" s="55"/>
      <c r="J544" s="55" t="s">
        <v>5955</v>
      </c>
      <c r="K544" s="55" t="s">
        <v>20</v>
      </c>
      <c r="L544" s="57" t="str">
        <f>HYPERLINK("https://nycdoe.sharepoint.com/:w:/s/BAP/EYFJmDhz6IpGrDUpuVvznYcBhsL953ovo0nUkh34XrgfyA", "2 out of 10")</f>
        <v>2 out of 10</v>
      </c>
      <c r="M544" t="s">
        <v>5956</v>
      </c>
    </row>
    <row r="545" spans="2:13">
      <c r="B545" s="55" t="s">
        <v>1442</v>
      </c>
      <c r="C545" s="55" t="s">
        <v>1044</v>
      </c>
      <c r="D545" s="55" t="s">
        <v>1483</v>
      </c>
      <c r="E545" s="55" t="s">
        <v>1483</v>
      </c>
      <c r="F545" s="55" t="s">
        <v>5963</v>
      </c>
      <c r="G545" s="55" t="s">
        <v>5964</v>
      </c>
      <c r="H545" s="55" t="s">
        <v>52</v>
      </c>
      <c r="I545" s="55"/>
      <c r="J545" s="55" t="s">
        <v>5965</v>
      </c>
      <c r="K545" s="55" t="s">
        <v>62</v>
      </c>
      <c r="L545" s="57" t="str">
        <f>HYPERLINK("https://nycdoe.sharepoint.com/:w:/s/BAP/EVuRcmB44MdBgySHI5DDoRsBDk7kpVQ16ugYtORUfN-x4Q", "9 out of 10")</f>
        <v>9 out of 10</v>
      </c>
      <c r="M545" t="s">
        <v>5966</v>
      </c>
    </row>
    <row r="546" spans="2:13">
      <c r="B546" s="55" t="s">
        <v>1442</v>
      </c>
      <c r="C546" s="55" t="s">
        <v>1044</v>
      </c>
      <c r="D546" s="55" t="s">
        <v>1483</v>
      </c>
      <c r="E546" s="55" t="s">
        <v>1487</v>
      </c>
      <c r="F546" s="55" t="s">
        <v>5967</v>
      </c>
      <c r="G546" s="55" t="s">
        <v>5968</v>
      </c>
      <c r="H546" s="55" t="s">
        <v>24</v>
      </c>
      <c r="I546" s="55"/>
      <c r="J546" s="55" t="s">
        <v>5965</v>
      </c>
      <c r="K546" s="55" t="s">
        <v>62</v>
      </c>
      <c r="L546" s="57" t="str">
        <f>HYPERLINK("https://nycdoe.sharepoint.com/:w:/s/BAP/EVuRcmB44MdBgySHI5DDoRsBDk7kpVQ16ugYtORUfN-x4Q", "9 out of 10")</f>
        <v>9 out of 10</v>
      </c>
      <c r="M546" t="s">
        <v>5966</v>
      </c>
    </row>
    <row r="547" spans="2:13">
      <c r="B547" s="55" t="s">
        <v>1442</v>
      </c>
      <c r="C547" s="55" t="s">
        <v>1044</v>
      </c>
      <c r="D547" s="55" t="s">
        <v>1483</v>
      </c>
      <c r="E547" s="55" t="s">
        <v>4564</v>
      </c>
      <c r="F547" s="55" t="s">
        <v>4565</v>
      </c>
      <c r="G547" s="55" t="s">
        <v>4566</v>
      </c>
      <c r="H547" s="55" t="s">
        <v>52</v>
      </c>
      <c r="I547" s="55"/>
      <c r="J547" s="55" t="s">
        <v>5965</v>
      </c>
      <c r="K547" s="55" t="s">
        <v>62</v>
      </c>
      <c r="L547" s="57" t="str">
        <f>HYPERLINK("https://nycdoe.sharepoint.com/:w:/s/BAP/EVuRcmB44MdBgySHI5DDoRsBDk7kpVQ16ugYtORUfN-x4Q", "9 out of 10")</f>
        <v>9 out of 10</v>
      </c>
      <c r="M547" t="s">
        <v>5966</v>
      </c>
    </row>
    <row r="548" spans="2:13">
      <c r="B548" s="55" t="s">
        <v>1442</v>
      </c>
      <c r="C548" s="55" t="s">
        <v>1044</v>
      </c>
      <c r="D548" s="55" t="s">
        <v>1490</v>
      </c>
      <c r="E548" s="55" t="s">
        <v>1490</v>
      </c>
      <c r="F548" s="55" t="s">
        <v>5969</v>
      </c>
      <c r="G548" s="55" t="s">
        <v>5970</v>
      </c>
      <c r="H548" s="55" t="s">
        <v>17</v>
      </c>
      <c r="I548" s="55" t="s">
        <v>18</v>
      </c>
      <c r="J548" s="55" t="s">
        <v>5971</v>
      </c>
      <c r="K548" s="55" t="s">
        <v>20</v>
      </c>
      <c r="L548" s="57" t="str">
        <f>HYPERLINK("https://nycdoe.sharepoint.com/:w:/s/BAP/ETIjVE0Cb59NnpNuBEkg3b4B-7sFq2GzTiipuTmoCSy0gA", "1 out of 10")</f>
        <v>1 out of 10</v>
      </c>
      <c r="M548" t="s">
        <v>5972</v>
      </c>
    </row>
    <row r="549" spans="2:13">
      <c r="B549" s="55" t="s">
        <v>1442</v>
      </c>
      <c r="C549" s="55" t="s">
        <v>1044</v>
      </c>
      <c r="D549" s="55" t="s">
        <v>1494</v>
      </c>
      <c r="E549" s="55" t="s">
        <v>1494</v>
      </c>
      <c r="F549" s="55" t="s">
        <v>5973</v>
      </c>
      <c r="G549" s="55" t="s">
        <v>5974</v>
      </c>
      <c r="H549" s="55" t="s">
        <v>17</v>
      </c>
      <c r="I549" s="55" t="s">
        <v>18</v>
      </c>
      <c r="J549" s="55" t="s">
        <v>5975</v>
      </c>
      <c r="K549" s="55" t="s">
        <v>20</v>
      </c>
      <c r="L549" s="57" t="str">
        <f>HYPERLINK("https://nycdoe.sharepoint.com/:w:/s/BAP/EZOS0kDdY09LtCFUSu3RCrkBdZ4EElovHcwyWkOqVg0K0A", "7 out of 10")</f>
        <v>7 out of 10</v>
      </c>
      <c r="M549" t="s">
        <v>5976</v>
      </c>
    </row>
    <row r="550" spans="2:13">
      <c r="B550" s="55" t="s">
        <v>1442</v>
      </c>
      <c r="C550" s="55" t="s">
        <v>1044</v>
      </c>
      <c r="D550" s="55" t="s">
        <v>1494</v>
      </c>
      <c r="E550" s="55" t="s">
        <v>1480</v>
      </c>
      <c r="F550" s="55" t="s">
        <v>5935</v>
      </c>
      <c r="G550" s="55" t="s">
        <v>5936</v>
      </c>
      <c r="H550" s="55" t="s">
        <v>24</v>
      </c>
      <c r="I550" s="55"/>
      <c r="J550" s="55" t="s">
        <v>5975</v>
      </c>
      <c r="K550" s="55" t="s">
        <v>20</v>
      </c>
      <c r="L550" s="57" t="str">
        <f>HYPERLINK("https://nycdoe.sharepoint.com/:w:/s/BAP/EZOS0kDdY09LtCFUSu3RCrkBdZ4EElovHcwyWkOqVg0K0A", "7 out of 10")</f>
        <v>7 out of 10</v>
      </c>
      <c r="M550" t="s">
        <v>5976</v>
      </c>
    </row>
    <row r="551" spans="2:13">
      <c r="B551" s="55" t="s">
        <v>1442</v>
      </c>
      <c r="C551" s="55" t="s">
        <v>1044</v>
      </c>
      <c r="D551" s="55" t="s">
        <v>5977</v>
      </c>
      <c r="E551" s="55" t="s">
        <v>5977</v>
      </c>
      <c r="F551" s="55" t="s">
        <v>5978</v>
      </c>
      <c r="G551" s="55" t="s">
        <v>5979</v>
      </c>
      <c r="H551" s="55" t="s">
        <v>17</v>
      </c>
      <c r="I551" s="55" t="s">
        <v>18</v>
      </c>
      <c r="J551" s="55" t="s">
        <v>5980</v>
      </c>
      <c r="K551" s="55" t="s">
        <v>20</v>
      </c>
      <c r="L551" s="57" t="str">
        <f>HYPERLINK("https://nycdoe.sharepoint.com/:w:/s/BAP/ER8qRyH0TxNKjG5dEWdVuo8B9fWjMrtvEo25Cjho5kegjw", "4 out of 10")</f>
        <v>4 out of 10</v>
      </c>
      <c r="M551" t="s">
        <v>5981</v>
      </c>
    </row>
    <row r="552" spans="2:13">
      <c r="B552" s="55" t="s">
        <v>1442</v>
      </c>
      <c r="C552" s="55" t="s">
        <v>1044</v>
      </c>
      <c r="D552" s="55" t="s">
        <v>5982</v>
      </c>
      <c r="E552" s="55" t="s">
        <v>5983</v>
      </c>
      <c r="F552" s="55" t="s">
        <v>5984</v>
      </c>
      <c r="G552" s="55" t="s">
        <v>5985</v>
      </c>
      <c r="H552" s="55" t="s">
        <v>52</v>
      </c>
      <c r="I552" s="55"/>
      <c r="J552" s="55" t="s">
        <v>5986</v>
      </c>
      <c r="K552" s="55" t="s">
        <v>62</v>
      </c>
      <c r="L552" s="57" t="str">
        <f>HYPERLINK("https://nycdoe.sharepoint.com/:w:/s/BAP/EaBpWz7p7TxOqZObmh1TMeUBZY0o3TdJNla5INb7XVcvCQ", "9 out of 10")</f>
        <v>9 out of 10</v>
      </c>
      <c r="M552" t="s">
        <v>5987</v>
      </c>
    </row>
    <row r="553" spans="2:13">
      <c r="B553" s="55" t="s">
        <v>1442</v>
      </c>
      <c r="C553" s="55" t="s">
        <v>1044</v>
      </c>
      <c r="D553" s="55" t="s">
        <v>5982</v>
      </c>
      <c r="E553" s="55" t="s">
        <v>5988</v>
      </c>
      <c r="F553" s="55" t="s">
        <v>5989</v>
      </c>
      <c r="G553" s="55" t="s">
        <v>5990</v>
      </c>
      <c r="H553" s="55" t="s">
        <v>43</v>
      </c>
      <c r="I553" s="55"/>
      <c r="J553" s="55" t="s">
        <v>5986</v>
      </c>
      <c r="K553" s="55" t="s">
        <v>62</v>
      </c>
      <c r="L553" s="57" t="str">
        <f>HYPERLINK("https://nycdoe.sharepoint.com/:w:/s/BAP/EaBpWz7p7TxOqZObmh1TMeUBZY0o3TdJNla5INb7XVcvCQ", "9 out of 10")</f>
        <v>9 out of 10</v>
      </c>
      <c r="M553" t="s">
        <v>5987</v>
      </c>
    </row>
    <row r="554" spans="2:13">
      <c r="B554" s="55" t="s">
        <v>1442</v>
      </c>
      <c r="C554" s="55" t="s">
        <v>1044</v>
      </c>
      <c r="D554" s="55" t="s">
        <v>1498</v>
      </c>
      <c r="E554" s="55" t="s">
        <v>1499</v>
      </c>
      <c r="F554" s="55" t="s">
        <v>5991</v>
      </c>
      <c r="G554" s="55" t="s">
        <v>5992</v>
      </c>
      <c r="H554" s="55" t="s">
        <v>43</v>
      </c>
      <c r="I554" s="55"/>
      <c r="J554" s="55" t="s">
        <v>5993</v>
      </c>
      <c r="K554" s="55" t="s">
        <v>20</v>
      </c>
      <c r="L554" s="57" t="str">
        <f>HYPERLINK("https://nycdoe.sharepoint.com/:w:/s/BAP/EbdqMDlBGOpItMCL3HIKAJ4BIeLUxysp0QCfdvEPnh5kaA", "3 out of 10")</f>
        <v>3 out of 10</v>
      </c>
      <c r="M554" t="s">
        <v>5994</v>
      </c>
    </row>
    <row r="555" spans="2:13">
      <c r="B555" s="55" t="s">
        <v>1442</v>
      </c>
      <c r="C555" s="55" t="s">
        <v>1044</v>
      </c>
      <c r="D555" s="55" t="s">
        <v>1498</v>
      </c>
      <c r="E555" s="55" t="s">
        <v>1503</v>
      </c>
      <c r="F555" s="55" t="s">
        <v>5995</v>
      </c>
      <c r="G555" s="55" t="s">
        <v>5996</v>
      </c>
      <c r="H555" s="55" t="s">
        <v>52</v>
      </c>
      <c r="I555" s="55"/>
      <c r="J555" s="55" t="s">
        <v>5993</v>
      </c>
      <c r="K555" s="55" t="s">
        <v>20</v>
      </c>
      <c r="L555" s="57" t="str">
        <f>HYPERLINK("https://nycdoe.sharepoint.com/:w:/s/BAP/EbdqMDlBGOpItMCL3HIKAJ4BIeLUxysp0QCfdvEPnh5kaA", "3 out of 10")</f>
        <v>3 out of 10</v>
      </c>
      <c r="M555" t="s">
        <v>5994</v>
      </c>
    </row>
    <row r="556" spans="2:13">
      <c r="B556" s="55" t="s">
        <v>1442</v>
      </c>
      <c r="C556" s="55" t="s">
        <v>1044</v>
      </c>
      <c r="D556" s="55" t="s">
        <v>1506</v>
      </c>
      <c r="E556" s="55" t="s">
        <v>1506</v>
      </c>
      <c r="F556" s="55" t="s">
        <v>5997</v>
      </c>
      <c r="G556" s="55" t="s">
        <v>5998</v>
      </c>
      <c r="H556" s="55" t="s">
        <v>17</v>
      </c>
      <c r="I556" s="55" t="s">
        <v>18</v>
      </c>
      <c r="J556" s="55" t="s">
        <v>5999</v>
      </c>
      <c r="K556" s="55" t="s">
        <v>20</v>
      </c>
      <c r="L556" s="57" t="str">
        <f>HYPERLINK("https://nycdoe.sharepoint.com/:w:/s/BAP/EbtFWUpEztVHqNuuE-ABUskBhQS-zyrTO1B92s3uNb7EBw", "4 out of 10")</f>
        <v>4 out of 10</v>
      </c>
      <c r="M556" t="s">
        <v>6000</v>
      </c>
    </row>
    <row r="557" spans="2:13">
      <c r="B557" s="55" t="s">
        <v>1442</v>
      </c>
      <c r="C557" s="55" t="s">
        <v>1044</v>
      </c>
      <c r="D557" s="55" t="s">
        <v>1510</v>
      </c>
      <c r="E557" s="55" t="s">
        <v>1510</v>
      </c>
      <c r="F557" s="55" t="s">
        <v>6001</v>
      </c>
      <c r="G557" s="55" t="s">
        <v>6002</v>
      </c>
      <c r="H557" s="55" t="s">
        <v>17</v>
      </c>
      <c r="I557" s="55" t="s">
        <v>18</v>
      </c>
      <c r="J557" s="55" t="s">
        <v>6003</v>
      </c>
      <c r="K557" s="55" t="s">
        <v>20</v>
      </c>
      <c r="L557" s="57" t="str">
        <f>HYPERLINK("https://nycdoe.sharepoint.com/:w:/s/BAP/EVTgoxkHpWpDjJy_NHDwOx4BZ8lP6FDUiykLbvRWJrFKeg", "6 out of 10")</f>
        <v>6 out of 10</v>
      </c>
      <c r="M557" t="s">
        <v>6004</v>
      </c>
    </row>
    <row r="558" spans="2:13">
      <c r="B558" s="55" t="s">
        <v>1442</v>
      </c>
      <c r="C558" s="55" t="s">
        <v>1044</v>
      </c>
      <c r="D558" s="55" t="s">
        <v>1510</v>
      </c>
      <c r="E558" s="55" t="s">
        <v>1514</v>
      </c>
      <c r="F558" s="55" t="s">
        <v>6005</v>
      </c>
      <c r="G558" s="55" t="s">
        <v>6006</v>
      </c>
      <c r="H558" s="55" t="s">
        <v>17</v>
      </c>
      <c r="I558" s="55" t="s">
        <v>18</v>
      </c>
      <c r="J558" s="55" t="s">
        <v>6003</v>
      </c>
      <c r="K558" s="55" t="s">
        <v>20</v>
      </c>
      <c r="L558" s="57" t="str">
        <f>HYPERLINK("https://nycdoe.sharepoint.com/:w:/s/BAP/EVTgoxkHpWpDjJy_NHDwOx4BZ8lP6FDUiykLbvRWJrFKeg", "6 out of 10")</f>
        <v>6 out of 10</v>
      </c>
      <c r="M558" t="s">
        <v>6004</v>
      </c>
    </row>
    <row r="559" spans="2:13">
      <c r="B559" s="55" t="s">
        <v>1442</v>
      </c>
      <c r="C559" s="55" t="s">
        <v>1044</v>
      </c>
      <c r="D559" s="55" t="s">
        <v>1510</v>
      </c>
      <c r="E559" s="55" t="s">
        <v>4490</v>
      </c>
      <c r="F559" s="55" t="s">
        <v>4491</v>
      </c>
      <c r="G559" s="55" t="s">
        <v>4492</v>
      </c>
      <c r="H559" s="55" t="s">
        <v>56</v>
      </c>
      <c r="I559" s="55"/>
      <c r="J559" s="55" t="s">
        <v>6003</v>
      </c>
      <c r="K559" s="55" t="s">
        <v>20</v>
      </c>
      <c r="L559" s="57" t="str">
        <f>HYPERLINK("https://nycdoe.sharepoint.com/:w:/s/BAP/EVTgoxkHpWpDjJy_NHDwOx4BZ8lP6FDUiykLbvRWJrFKeg", "6 out of 10")</f>
        <v>6 out of 10</v>
      </c>
      <c r="M559" t="s">
        <v>6004</v>
      </c>
    </row>
    <row r="560" spans="2:13">
      <c r="B560" s="55" t="s">
        <v>1442</v>
      </c>
      <c r="C560" s="55" t="s">
        <v>1044</v>
      </c>
      <c r="D560" s="55" t="s">
        <v>1517</v>
      </c>
      <c r="E560" s="55" t="s">
        <v>1517</v>
      </c>
      <c r="F560" s="55" t="s">
        <v>6007</v>
      </c>
      <c r="G560" s="55" t="s">
        <v>6008</v>
      </c>
      <c r="H560" s="55" t="s">
        <v>17</v>
      </c>
      <c r="I560" s="55"/>
      <c r="J560" s="55" t="s">
        <v>6009</v>
      </c>
      <c r="K560" s="55" t="s">
        <v>20</v>
      </c>
      <c r="L560" s="57" t="str">
        <f>HYPERLINK("https://nycdoe.sharepoint.com/:w:/s/BAP/EeFYpVc5JvZIu7-HGGako8oBUiJLkU9o4uZcjG5RHCJ1TA", "1 out of 10")</f>
        <v>1 out of 10</v>
      </c>
      <c r="M560" t="s">
        <v>6010</v>
      </c>
    </row>
    <row r="561" spans="2:13">
      <c r="B561" s="55" t="s">
        <v>1442</v>
      </c>
      <c r="C561" s="55" t="s">
        <v>1044</v>
      </c>
      <c r="D561" s="55" t="s">
        <v>6011</v>
      </c>
      <c r="E561" s="55" t="s">
        <v>1499</v>
      </c>
      <c r="F561" s="55" t="s">
        <v>5991</v>
      </c>
      <c r="G561" s="55" t="s">
        <v>5992</v>
      </c>
      <c r="H561" s="55" t="s">
        <v>43</v>
      </c>
      <c r="I561" s="55"/>
      <c r="J561" s="55" t="s">
        <v>6012</v>
      </c>
      <c r="K561" s="55" t="s">
        <v>62</v>
      </c>
      <c r="L561" s="57" t="str">
        <f>HYPERLINK("https://nycdoe.sharepoint.com/:w:/s/BAP/EcCqBct4cm1FgKVvMXdTf1MBjbimTTxU-xKMIdqON0oOpQ", "10 out of 10")</f>
        <v>10 out of 10</v>
      </c>
      <c r="M561" t="s">
        <v>6013</v>
      </c>
    </row>
    <row r="562" spans="2:13">
      <c r="B562" s="55" t="s">
        <v>1442</v>
      </c>
      <c r="C562" s="55" t="s">
        <v>1044</v>
      </c>
      <c r="D562" s="55" t="s">
        <v>6011</v>
      </c>
      <c r="E562" s="55" t="s">
        <v>6014</v>
      </c>
      <c r="F562" s="55" t="s">
        <v>6015</v>
      </c>
      <c r="G562" s="55" t="s">
        <v>6016</v>
      </c>
      <c r="H562" s="55" t="s">
        <v>43</v>
      </c>
      <c r="I562" s="55"/>
      <c r="J562" s="55" t="s">
        <v>6012</v>
      </c>
      <c r="K562" s="55" t="s">
        <v>62</v>
      </c>
      <c r="L562" s="57" t="str">
        <f>HYPERLINK("https://nycdoe.sharepoint.com/:w:/s/BAP/EcCqBct4cm1FgKVvMXdTf1MBjbimTTxU-xKMIdqON0oOpQ", "10 out of 10")</f>
        <v>10 out of 10</v>
      </c>
      <c r="M562" t="s">
        <v>6013</v>
      </c>
    </row>
    <row r="563" spans="2:13">
      <c r="B563" s="55" t="s">
        <v>1442</v>
      </c>
      <c r="C563" s="55" t="s">
        <v>1044</v>
      </c>
      <c r="D563" s="55" t="s">
        <v>1521</v>
      </c>
      <c r="E563" s="55" t="s">
        <v>1522</v>
      </c>
      <c r="F563" s="55" t="s">
        <v>6017</v>
      </c>
      <c r="G563" s="55" t="s">
        <v>6018</v>
      </c>
      <c r="H563" s="55" t="s">
        <v>56</v>
      </c>
      <c r="I563" s="55"/>
      <c r="J563" s="55" t="s">
        <v>6019</v>
      </c>
      <c r="K563" s="55" t="s">
        <v>62</v>
      </c>
      <c r="L563" s="57" t="str">
        <f>HYPERLINK("https://nycdoe.sharepoint.com/:w:/s/BAP/ERKRcMdCBV9CnUO5wHX14psB_NI1aVZ34tGywLwAYOSPLQ", "9 out of 10")</f>
        <v>9 out of 10</v>
      </c>
      <c r="M563" t="s">
        <v>6020</v>
      </c>
    </row>
    <row r="564" spans="2:13">
      <c r="B564" s="55" t="s">
        <v>1442</v>
      </c>
      <c r="C564" s="55" t="s">
        <v>1044</v>
      </c>
      <c r="D564" s="55" t="s">
        <v>1521</v>
      </c>
      <c r="E564" s="55" t="s">
        <v>1526</v>
      </c>
      <c r="F564" s="55" t="s">
        <v>6021</v>
      </c>
      <c r="G564" s="55" t="s">
        <v>6022</v>
      </c>
      <c r="H564" s="55" t="s">
        <v>56</v>
      </c>
      <c r="I564" s="55"/>
      <c r="J564" s="55" t="s">
        <v>6019</v>
      </c>
      <c r="K564" s="55" t="s">
        <v>62</v>
      </c>
      <c r="L564" s="57" t="str">
        <f>HYPERLINK("https://nycdoe.sharepoint.com/:w:/s/BAP/ERKRcMdCBV9CnUO5wHX14psB_NI1aVZ34tGywLwAYOSPLQ", "9 out of 10")</f>
        <v>9 out of 10</v>
      </c>
      <c r="M564" t="s">
        <v>6020</v>
      </c>
    </row>
    <row r="565" spans="2:13">
      <c r="B565" s="55" t="s">
        <v>1442</v>
      </c>
      <c r="C565" s="55" t="s">
        <v>1044</v>
      </c>
      <c r="D565" s="55" t="s">
        <v>1521</v>
      </c>
      <c r="E565" s="55" t="s">
        <v>1529</v>
      </c>
      <c r="F565" s="55" t="s">
        <v>6023</v>
      </c>
      <c r="G565" s="55" t="s">
        <v>6024</v>
      </c>
      <c r="H565" s="55" t="s">
        <v>56</v>
      </c>
      <c r="I565" s="55"/>
      <c r="J565" s="55" t="s">
        <v>6019</v>
      </c>
      <c r="K565" s="55" t="s">
        <v>62</v>
      </c>
      <c r="L565" s="57" t="str">
        <f>HYPERLINK("https://nycdoe.sharepoint.com/:w:/s/BAP/ERKRcMdCBV9CnUO5wHX14psB_NI1aVZ34tGywLwAYOSPLQ", "9 out of 10")</f>
        <v>9 out of 10</v>
      </c>
      <c r="M565" t="s">
        <v>6020</v>
      </c>
    </row>
    <row r="566" spans="2:13">
      <c r="B566" s="55" t="s">
        <v>1442</v>
      </c>
      <c r="C566" s="55" t="s">
        <v>1044</v>
      </c>
      <c r="D566" s="55" t="s">
        <v>1521</v>
      </c>
      <c r="E566" s="55" t="s">
        <v>1532</v>
      </c>
      <c r="F566" s="55" t="s">
        <v>6025</v>
      </c>
      <c r="G566" s="55" t="s">
        <v>6026</v>
      </c>
      <c r="H566" s="55" t="s">
        <v>56</v>
      </c>
      <c r="I566" s="55"/>
      <c r="J566" s="55" t="s">
        <v>6019</v>
      </c>
      <c r="K566" s="55" t="s">
        <v>62</v>
      </c>
      <c r="L566" s="57" t="str">
        <f>HYPERLINK("https://nycdoe.sharepoint.com/:w:/s/BAP/ERKRcMdCBV9CnUO5wHX14psB_NI1aVZ34tGywLwAYOSPLQ", "9 out of 10")</f>
        <v>9 out of 10</v>
      </c>
      <c r="M566" t="s">
        <v>6020</v>
      </c>
    </row>
    <row r="567" spans="2:13">
      <c r="B567" s="55" t="s">
        <v>1442</v>
      </c>
      <c r="C567" s="55" t="s">
        <v>1044</v>
      </c>
      <c r="D567" s="55" t="s">
        <v>1535</v>
      </c>
      <c r="E567" s="55" t="s">
        <v>1536</v>
      </c>
      <c r="F567" s="55" t="s">
        <v>6027</v>
      </c>
      <c r="G567" s="55" t="s">
        <v>6028</v>
      </c>
      <c r="H567" s="55" t="s">
        <v>84</v>
      </c>
      <c r="I567" s="55"/>
      <c r="J567" s="55" t="s">
        <v>6029</v>
      </c>
      <c r="K567" s="55" t="s">
        <v>20</v>
      </c>
      <c r="L567" s="57" t="str">
        <f>HYPERLINK("https://nycdoe.sharepoint.com/:w:/s/BAP/EYLP_eUcd9ZOtvc0PLLPGxcBGVbvXlqLby2tP_XeKHIUXg", "8 out of 10")</f>
        <v>8 out of 10</v>
      </c>
      <c r="M567" t="s">
        <v>6030</v>
      </c>
    </row>
    <row r="568" spans="2:13">
      <c r="B568" s="55" t="s">
        <v>1442</v>
      </c>
      <c r="C568" s="55" t="s">
        <v>1044</v>
      </c>
      <c r="D568" s="55" t="s">
        <v>1535</v>
      </c>
      <c r="E568" s="55" t="s">
        <v>1540</v>
      </c>
      <c r="F568" s="55" t="s">
        <v>6031</v>
      </c>
      <c r="G568" s="55" t="s">
        <v>6032</v>
      </c>
      <c r="H568" s="55" t="s">
        <v>56</v>
      </c>
      <c r="I568" s="55"/>
      <c r="J568" s="55" t="s">
        <v>6029</v>
      </c>
      <c r="K568" s="55" t="s">
        <v>20</v>
      </c>
      <c r="L568" s="57" t="str">
        <f>HYPERLINK("https://nycdoe.sharepoint.com/:w:/s/BAP/EYLP_eUcd9ZOtvc0PLLPGxcBGVbvXlqLby2tP_XeKHIUXg", "8 out of 10")</f>
        <v>8 out of 10</v>
      </c>
      <c r="M568" t="s">
        <v>6030</v>
      </c>
    </row>
    <row r="569" spans="2:13">
      <c r="B569" s="55" t="s">
        <v>1442</v>
      </c>
      <c r="C569" s="55" t="s">
        <v>1044</v>
      </c>
      <c r="D569" s="55" t="s">
        <v>1535</v>
      </c>
      <c r="E569" s="55" t="s">
        <v>1543</v>
      </c>
      <c r="F569" s="55" t="s">
        <v>6033</v>
      </c>
      <c r="G569" s="55" t="s">
        <v>6034</v>
      </c>
      <c r="H569" s="55" t="s">
        <v>56</v>
      </c>
      <c r="I569" s="55"/>
      <c r="J569" s="55" t="s">
        <v>6029</v>
      </c>
      <c r="K569" s="55" t="s">
        <v>20</v>
      </c>
      <c r="L569" s="57" t="str">
        <f>HYPERLINK("https://nycdoe.sharepoint.com/:w:/s/BAP/EYLP_eUcd9ZOtvc0PLLPGxcBGVbvXlqLby2tP_XeKHIUXg", "8 out of 10")</f>
        <v>8 out of 10</v>
      </c>
      <c r="M569" t="s">
        <v>6030</v>
      </c>
    </row>
    <row r="570" spans="2:13">
      <c r="B570" s="55" t="s">
        <v>1442</v>
      </c>
      <c r="C570" s="55" t="s">
        <v>1044</v>
      </c>
      <c r="D570" s="55" t="s">
        <v>1535</v>
      </c>
      <c r="E570" s="55" t="s">
        <v>1546</v>
      </c>
      <c r="F570" s="55" t="s">
        <v>6035</v>
      </c>
      <c r="G570" s="55" t="s">
        <v>6036</v>
      </c>
      <c r="H570" s="55" t="s">
        <v>56</v>
      </c>
      <c r="I570" s="55"/>
      <c r="J570" s="55" t="s">
        <v>6029</v>
      </c>
      <c r="K570" s="55" t="s">
        <v>20</v>
      </c>
      <c r="L570" s="57" t="str">
        <f>HYPERLINK("https://nycdoe.sharepoint.com/:w:/s/BAP/EYLP_eUcd9ZOtvc0PLLPGxcBGVbvXlqLby2tP_XeKHIUXg", "8 out of 10")</f>
        <v>8 out of 10</v>
      </c>
      <c r="M570" t="s">
        <v>6030</v>
      </c>
    </row>
    <row r="571" spans="2:13">
      <c r="B571" s="55" t="s">
        <v>1442</v>
      </c>
      <c r="C571" s="55" t="s">
        <v>1044</v>
      </c>
      <c r="D571" s="55" t="s">
        <v>1535</v>
      </c>
      <c r="E571" s="55" t="s">
        <v>1549</v>
      </c>
      <c r="F571" s="55" t="s">
        <v>6037</v>
      </c>
      <c r="G571" s="55" t="s">
        <v>6038</v>
      </c>
      <c r="H571" s="55" t="s">
        <v>84</v>
      </c>
      <c r="I571" s="55"/>
      <c r="J571" s="55" t="s">
        <v>6029</v>
      </c>
      <c r="K571" s="55" t="s">
        <v>20</v>
      </c>
      <c r="L571" s="57" t="str">
        <f>HYPERLINK("https://nycdoe.sharepoint.com/:w:/s/BAP/EYLP_eUcd9ZOtvc0PLLPGxcBGVbvXlqLby2tP_XeKHIUXg", "8 out of 10")</f>
        <v>8 out of 10</v>
      </c>
      <c r="M571" t="s">
        <v>6030</v>
      </c>
    </row>
    <row r="572" spans="2:13">
      <c r="B572" s="55" t="s">
        <v>1442</v>
      </c>
      <c r="C572" s="55" t="s">
        <v>1044</v>
      </c>
      <c r="D572" s="55" t="s">
        <v>6039</v>
      </c>
      <c r="E572" s="55" t="s">
        <v>1721</v>
      </c>
      <c r="F572" s="55" t="s">
        <v>6040</v>
      </c>
      <c r="G572" s="55" t="s">
        <v>1723</v>
      </c>
      <c r="H572" s="55" t="s">
        <v>43</v>
      </c>
      <c r="I572" s="55" t="s">
        <v>18</v>
      </c>
      <c r="J572" s="55" t="s">
        <v>6041</v>
      </c>
      <c r="K572" s="55" t="s">
        <v>20</v>
      </c>
      <c r="L572" s="57" t="str">
        <f>HYPERLINK("https://nycdoe.sharepoint.com/:w:/s/BAP/EYl1nk1VrhxNhyMZ3RB0AqcBdcOpp1eL0QmonwZwQOMuJA", "4 out of 10")</f>
        <v>4 out of 10</v>
      </c>
      <c r="M572" t="s">
        <v>6042</v>
      </c>
    </row>
    <row r="573" spans="2:13">
      <c r="B573" s="55" t="s">
        <v>1442</v>
      </c>
      <c r="C573" s="55" t="s">
        <v>1044</v>
      </c>
      <c r="D573" s="55" t="s">
        <v>6039</v>
      </c>
      <c r="E573" s="55" t="s">
        <v>6043</v>
      </c>
      <c r="F573" s="55" t="s">
        <v>6044</v>
      </c>
      <c r="G573" s="55" t="s">
        <v>6045</v>
      </c>
      <c r="H573" s="55" t="s">
        <v>56</v>
      </c>
      <c r="I573" s="55"/>
      <c r="J573" s="55" t="s">
        <v>6041</v>
      </c>
      <c r="K573" s="55" t="s">
        <v>20</v>
      </c>
      <c r="L573" s="57" t="str">
        <f>HYPERLINK("https://nycdoe.sharepoint.com/:w:/s/BAP/EYl1nk1VrhxNhyMZ3RB0AqcBdcOpp1eL0QmonwZwQOMuJA", "4 out of 10")</f>
        <v>4 out of 10</v>
      </c>
      <c r="M573" t="s">
        <v>6042</v>
      </c>
    </row>
    <row r="574" spans="2:13">
      <c r="B574" s="55" t="s">
        <v>1442</v>
      </c>
      <c r="C574" s="55" t="s">
        <v>1044</v>
      </c>
      <c r="D574" s="55" t="s">
        <v>6039</v>
      </c>
      <c r="E574" s="55" t="s">
        <v>6046</v>
      </c>
      <c r="F574" s="55" t="s">
        <v>6047</v>
      </c>
      <c r="G574" s="55" t="s">
        <v>6048</v>
      </c>
      <c r="H574" s="55" t="s">
        <v>56</v>
      </c>
      <c r="I574" s="55"/>
      <c r="J574" s="55" t="s">
        <v>6041</v>
      </c>
      <c r="K574" s="55" t="s">
        <v>20</v>
      </c>
      <c r="L574" s="57" t="str">
        <f>HYPERLINK("https://nycdoe.sharepoint.com/:w:/s/BAP/EYl1nk1VrhxNhyMZ3RB0AqcBdcOpp1eL0QmonwZwQOMuJA", "4 out of 10")</f>
        <v>4 out of 10</v>
      </c>
      <c r="M574" t="s">
        <v>6042</v>
      </c>
    </row>
    <row r="575" spans="2:13">
      <c r="B575" s="55" t="s">
        <v>1442</v>
      </c>
      <c r="C575" s="55" t="s">
        <v>1044</v>
      </c>
      <c r="D575" s="55" t="s">
        <v>1552</v>
      </c>
      <c r="E575" s="55" t="s">
        <v>1552</v>
      </c>
      <c r="F575" s="55" t="s">
        <v>6049</v>
      </c>
      <c r="G575" s="55" t="s">
        <v>6050</v>
      </c>
      <c r="H575" s="55" t="s">
        <v>84</v>
      </c>
      <c r="I575" s="55"/>
      <c r="J575" s="55" t="s">
        <v>6051</v>
      </c>
      <c r="K575" s="55" t="s">
        <v>62</v>
      </c>
      <c r="L575" s="57" t="str">
        <f>HYPERLINK("https://nycdoe.sharepoint.com/:w:/s/BAP/EbJoaE7icfNPi_aKXn9zTisBnTiro45YWNNhm_DatKp7tw", "9 out of 10")</f>
        <v>9 out of 10</v>
      </c>
      <c r="M575" t="s">
        <v>6052</v>
      </c>
    </row>
    <row r="576" spans="2:13">
      <c r="B576" s="55" t="s">
        <v>1442</v>
      </c>
      <c r="C576" s="55" t="s">
        <v>1044</v>
      </c>
      <c r="D576" s="55" t="s">
        <v>1556</v>
      </c>
      <c r="E576" s="55" t="s">
        <v>1556</v>
      </c>
      <c r="F576" s="55" t="s">
        <v>6053</v>
      </c>
      <c r="G576" s="55" t="s">
        <v>6054</v>
      </c>
      <c r="H576" s="55" t="s">
        <v>56</v>
      </c>
      <c r="I576" s="55"/>
      <c r="J576" s="55" t="s">
        <v>6055</v>
      </c>
      <c r="K576" s="55" t="s">
        <v>62</v>
      </c>
      <c r="L576" s="57" t="str">
        <f>HYPERLINK("https://nycdoe.sharepoint.com/:w:/s/BAP/Eany3iExQXBKogDV3xg22gMBSy4_-WRJ3S1wDgnKe0-yNg", "9 out of 10")</f>
        <v>9 out of 10</v>
      </c>
      <c r="M576" t="s">
        <v>6056</v>
      </c>
    </row>
    <row r="577" spans="2:13">
      <c r="B577" s="55" t="s">
        <v>1442</v>
      </c>
      <c r="C577" s="55" t="s">
        <v>1044</v>
      </c>
      <c r="D577" s="55" t="s">
        <v>1556</v>
      </c>
      <c r="E577" s="55" t="s">
        <v>1560</v>
      </c>
      <c r="F577" s="55" t="s">
        <v>5783</v>
      </c>
      <c r="G577" s="55" t="s">
        <v>5784</v>
      </c>
      <c r="H577" s="55" t="s">
        <v>56</v>
      </c>
      <c r="I577" s="55"/>
      <c r="J577" s="55" t="s">
        <v>6055</v>
      </c>
      <c r="K577" s="55" t="s">
        <v>62</v>
      </c>
      <c r="L577" s="57" t="str">
        <f>HYPERLINK("https://nycdoe.sharepoint.com/:w:/s/BAP/Eany3iExQXBKogDV3xg22gMBSy4_-WRJ3S1wDgnKe0-yNg", "9 out of 10")</f>
        <v>9 out of 10</v>
      </c>
      <c r="M577" t="s">
        <v>6056</v>
      </c>
    </row>
    <row r="578" spans="2:13">
      <c r="B578" s="55" t="s">
        <v>1442</v>
      </c>
      <c r="C578" s="55" t="s">
        <v>1044</v>
      </c>
      <c r="D578" s="55" t="s">
        <v>1563</v>
      </c>
      <c r="E578" s="55" t="s">
        <v>1564</v>
      </c>
      <c r="F578" s="55" t="s">
        <v>6057</v>
      </c>
      <c r="G578" s="55" t="s">
        <v>6058</v>
      </c>
      <c r="H578" s="55" t="s">
        <v>56</v>
      </c>
      <c r="I578" s="55"/>
      <c r="J578" s="55" t="s">
        <v>6059</v>
      </c>
      <c r="K578" s="55" t="s">
        <v>62</v>
      </c>
      <c r="L578" s="57" t="str">
        <f>HYPERLINK("https://nycdoe.sharepoint.com/:w:/s/BAP/ESUnVDMvftBOluoslGtlRjMBnNdhLXq2eUQcHNoehiG4jw", "9 out of 10")</f>
        <v>9 out of 10</v>
      </c>
      <c r="M578" t="s">
        <v>6060</v>
      </c>
    </row>
    <row r="579" spans="2:13">
      <c r="B579" s="55" t="s">
        <v>1442</v>
      </c>
      <c r="C579" s="55" t="s">
        <v>1044</v>
      </c>
      <c r="D579" s="55" t="s">
        <v>1563</v>
      </c>
      <c r="E579" s="55" t="s">
        <v>1568</v>
      </c>
      <c r="F579" s="55" t="s">
        <v>6061</v>
      </c>
      <c r="G579" s="55" t="s">
        <v>6062</v>
      </c>
      <c r="H579" s="55" t="s">
        <v>56</v>
      </c>
      <c r="I579" s="55"/>
      <c r="J579" s="55" t="s">
        <v>6059</v>
      </c>
      <c r="K579" s="55" t="s">
        <v>62</v>
      </c>
      <c r="L579" s="57" t="str">
        <f>HYPERLINK("https://nycdoe.sharepoint.com/:w:/s/BAP/ESUnVDMvftBOluoslGtlRjMBnNdhLXq2eUQcHNoehiG4jw", "9 out of 10")</f>
        <v>9 out of 10</v>
      </c>
      <c r="M579" t="s">
        <v>6060</v>
      </c>
    </row>
    <row r="580" spans="2:13">
      <c r="B580" s="55" t="s">
        <v>1442</v>
      </c>
      <c r="C580" s="55" t="s">
        <v>1044</v>
      </c>
      <c r="D580" s="55" t="s">
        <v>6063</v>
      </c>
      <c r="E580" s="55" t="s">
        <v>1353</v>
      </c>
      <c r="F580" s="55" t="s">
        <v>5808</v>
      </c>
      <c r="G580" s="55" t="s">
        <v>5809</v>
      </c>
      <c r="H580" s="55" t="s">
        <v>56</v>
      </c>
      <c r="I580" s="55"/>
      <c r="J580" s="55" t="s">
        <v>6064</v>
      </c>
      <c r="K580" s="55" t="s">
        <v>20</v>
      </c>
      <c r="L580" s="57" t="str">
        <f>HYPERLINK("https://nycdoe.sharepoint.com/:w:/s/BAP/ERrFT3myWzNOlt3nLzn6jDUB8JJ6YZFddtMkxEpDyT2txA", "1 out of 10")</f>
        <v>1 out of 10</v>
      </c>
      <c r="M580" t="s">
        <v>6065</v>
      </c>
    </row>
    <row r="581" spans="2:13">
      <c r="B581" s="55" t="s">
        <v>1442</v>
      </c>
      <c r="C581" s="55" t="s">
        <v>1044</v>
      </c>
      <c r="D581" s="55" t="s">
        <v>1576</v>
      </c>
      <c r="E581" s="55" t="s">
        <v>1581</v>
      </c>
      <c r="F581" s="55" t="s">
        <v>6066</v>
      </c>
      <c r="G581" s="55" t="s">
        <v>6067</v>
      </c>
      <c r="H581" s="55" t="s">
        <v>56</v>
      </c>
      <c r="I581" s="55"/>
      <c r="J581" s="55" t="s">
        <v>6068</v>
      </c>
      <c r="K581" s="55" t="s">
        <v>62</v>
      </c>
      <c r="L581" s="57" t="str">
        <f>HYPERLINK("https://nycdoe.sharepoint.com/:w:/s/BAP/EUIzK-t04DZEsx3CRs1Xq84BJdrxB6UfYJW8asvbkAHUAQ", "9 out of 10")</f>
        <v>9 out of 10</v>
      </c>
      <c r="M581" t="s">
        <v>6069</v>
      </c>
    </row>
    <row r="582" spans="2:13">
      <c r="B582" s="55" t="s">
        <v>1442</v>
      </c>
      <c r="C582" s="55" t="s">
        <v>1044</v>
      </c>
      <c r="D582" s="55" t="s">
        <v>1576</v>
      </c>
      <c r="E582" s="55" t="s">
        <v>1572</v>
      </c>
      <c r="F582" s="55" t="s">
        <v>6070</v>
      </c>
      <c r="G582" s="55" t="s">
        <v>6071</v>
      </c>
      <c r="H582" s="55" t="s">
        <v>56</v>
      </c>
      <c r="I582" s="55"/>
      <c r="J582" s="55" t="s">
        <v>6068</v>
      </c>
      <c r="K582" s="55" t="s">
        <v>62</v>
      </c>
      <c r="L582" s="57" t="str">
        <f>HYPERLINK("https://nycdoe.sharepoint.com/:w:/s/BAP/EUIzK-t04DZEsx3CRs1Xq84BJdrxB6UfYJW8asvbkAHUAQ", "9 out of 10")</f>
        <v>9 out of 10</v>
      </c>
      <c r="M582" t="s">
        <v>6069</v>
      </c>
    </row>
    <row r="583" spans="2:13">
      <c r="B583" s="55" t="s">
        <v>1442</v>
      </c>
      <c r="C583" s="55" t="s">
        <v>1044</v>
      </c>
      <c r="D583" s="55" t="s">
        <v>1584</v>
      </c>
      <c r="E583" s="55" t="s">
        <v>1353</v>
      </c>
      <c r="F583" s="55" t="s">
        <v>5808</v>
      </c>
      <c r="G583" s="55" t="s">
        <v>5809</v>
      </c>
      <c r="H583" s="55" t="s">
        <v>56</v>
      </c>
      <c r="I583" s="55"/>
      <c r="J583" s="55" t="s">
        <v>6072</v>
      </c>
      <c r="K583" s="55" t="s">
        <v>62</v>
      </c>
      <c r="L583" s="57" t="str">
        <f>HYPERLINK("https://nycdoe.sharepoint.com/:w:/s/BAP/ERVfQLolTZxMoh5e1kP7BeYBxNYSqeqQUVqzf98nAU5Zaw", "9 out of 10")</f>
        <v>9 out of 10</v>
      </c>
      <c r="M583" t="s">
        <v>6073</v>
      </c>
    </row>
    <row r="584" spans="2:13">
      <c r="B584" s="55" t="s">
        <v>1442</v>
      </c>
      <c r="C584" s="55" t="s">
        <v>1044</v>
      </c>
      <c r="D584" s="55" t="s">
        <v>1584</v>
      </c>
      <c r="E584" s="55" t="s">
        <v>1586</v>
      </c>
      <c r="F584" s="55" t="s">
        <v>6074</v>
      </c>
      <c r="G584" s="55" t="s">
        <v>6075</v>
      </c>
      <c r="H584" s="55" t="s">
        <v>56</v>
      </c>
      <c r="I584" s="55"/>
      <c r="J584" s="55" t="s">
        <v>6072</v>
      </c>
      <c r="K584" s="55" t="s">
        <v>62</v>
      </c>
      <c r="L584" s="57" t="str">
        <f>HYPERLINK("https://nycdoe.sharepoint.com/:w:/s/BAP/ERVfQLolTZxMoh5e1kP7BeYBxNYSqeqQUVqzf98nAU5Zaw", "9 out of 10")</f>
        <v>9 out of 10</v>
      </c>
      <c r="M584" t="s">
        <v>6073</v>
      </c>
    </row>
    <row r="585" spans="2:13">
      <c r="B585" s="55" t="s">
        <v>1589</v>
      </c>
      <c r="C585" s="55" t="s">
        <v>1044</v>
      </c>
      <c r="D585" s="55" t="s">
        <v>1590</v>
      </c>
      <c r="E585" s="55" t="s">
        <v>1590</v>
      </c>
      <c r="F585" s="55" t="s">
        <v>6076</v>
      </c>
      <c r="G585" s="55" t="s">
        <v>1592</v>
      </c>
      <c r="H585" s="55" t="s">
        <v>24</v>
      </c>
      <c r="I585" s="55" t="s">
        <v>18</v>
      </c>
      <c r="J585" s="55" t="s">
        <v>6077</v>
      </c>
      <c r="K585" s="55" t="s">
        <v>62</v>
      </c>
      <c r="L585" s="57" t="str">
        <f>HYPERLINK("https://nycdoe.sharepoint.com/:w:/s/BAP/EUe1Ki0WRf1MgLdSNF4cKZ8BPL8MLN1K45m0rPOze5haAA", "10 out of 10")</f>
        <v>10 out of 10</v>
      </c>
      <c r="M585" t="s">
        <v>6078</v>
      </c>
    </row>
    <row r="586" spans="2:13">
      <c r="B586" s="55" t="s">
        <v>1589</v>
      </c>
      <c r="C586" s="55" t="s">
        <v>1044</v>
      </c>
      <c r="D586" s="55" t="s">
        <v>1590</v>
      </c>
      <c r="E586" s="55" t="s">
        <v>1594</v>
      </c>
      <c r="F586" s="55" t="s">
        <v>6079</v>
      </c>
      <c r="G586" s="55" t="s">
        <v>1596</v>
      </c>
      <c r="H586" s="55" t="s">
        <v>43</v>
      </c>
      <c r="I586" s="55"/>
      <c r="J586" s="55" t="s">
        <v>6077</v>
      </c>
      <c r="K586" s="55" t="s">
        <v>62</v>
      </c>
      <c r="L586" s="57" t="str">
        <f>HYPERLINK("https://nycdoe.sharepoint.com/:w:/s/BAP/EUe1Ki0WRf1MgLdSNF4cKZ8BPL8MLN1K45m0rPOze5haAA", "10 out of 10")</f>
        <v>10 out of 10</v>
      </c>
      <c r="M586" t="s">
        <v>6078</v>
      </c>
    </row>
    <row r="587" spans="2:13">
      <c r="B587" s="55" t="s">
        <v>1589</v>
      </c>
      <c r="C587" s="55" t="s">
        <v>1044</v>
      </c>
      <c r="D587" s="55" t="s">
        <v>1597</v>
      </c>
      <c r="E587" s="55" t="s">
        <v>1597</v>
      </c>
      <c r="F587" s="55" t="s">
        <v>6080</v>
      </c>
      <c r="G587" s="55" t="s">
        <v>6081</v>
      </c>
      <c r="H587" s="55" t="s">
        <v>17</v>
      </c>
      <c r="I587" s="55" t="s">
        <v>18</v>
      </c>
      <c r="J587" s="55" t="s">
        <v>6082</v>
      </c>
      <c r="K587" s="55" t="s">
        <v>62</v>
      </c>
      <c r="L587" s="57" t="str">
        <f>HYPERLINK("https://nycdoe.sharepoint.com/:w:/s/BAP/ETbt3QLY8lhMsT2wR_92WrUBEb8nFT6JU8caqz4W8nJ2vw", "9 out of 10")</f>
        <v>9 out of 10</v>
      </c>
      <c r="M587" t="s">
        <v>6083</v>
      </c>
    </row>
    <row r="588" spans="2:13">
      <c r="B588" s="55" t="s">
        <v>1589</v>
      </c>
      <c r="C588" s="55" t="s">
        <v>1044</v>
      </c>
      <c r="D588" s="55" t="s">
        <v>1597</v>
      </c>
      <c r="E588" s="55" t="s">
        <v>1601</v>
      </c>
      <c r="F588" s="55" t="s">
        <v>6084</v>
      </c>
      <c r="G588" s="55" t="s">
        <v>6085</v>
      </c>
      <c r="H588" s="55" t="s">
        <v>24</v>
      </c>
      <c r="I588" s="55"/>
      <c r="J588" s="55" t="s">
        <v>6082</v>
      </c>
      <c r="K588" s="55" t="s">
        <v>62</v>
      </c>
      <c r="L588" s="57" t="str">
        <f>HYPERLINK("https://nycdoe.sharepoint.com/:w:/s/BAP/ETbt3QLY8lhMsT2wR_92WrUBEb8nFT6JU8caqz4W8nJ2vw", "9 out of 10")</f>
        <v>9 out of 10</v>
      </c>
      <c r="M588" t="s">
        <v>6083</v>
      </c>
    </row>
    <row r="589" spans="2:13">
      <c r="B589" s="55" t="s">
        <v>1589</v>
      </c>
      <c r="C589" s="55" t="s">
        <v>1044</v>
      </c>
      <c r="D589" s="55" t="s">
        <v>1604</v>
      </c>
      <c r="E589" s="55" t="s">
        <v>1604</v>
      </c>
      <c r="F589" s="55" t="s">
        <v>6086</v>
      </c>
      <c r="G589" s="55" t="s">
        <v>6087</v>
      </c>
      <c r="H589" s="55" t="s">
        <v>17</v>
      </c>
      <c r="I589" s="55" t="s">
        <v>18</v>
      </c>
      <c r="J589" s="55" t="s">
        <v>6088</v>
      </c>
      <c r="K589" s="55" t="s">
        <v>62</v>
      </c>
      <c r="L589" s="57" t="str">
        <f>HYPERLINK("https://nycdoe.sharepoint.com/:w:/s/BAP/EcrmvlFTTGpCubob1icX31IBnBDO0CbJgc7Yb7m6arsz1A", "9 out of 10")</f>
        <v>9 out of 10</v>
      </c>
      <c r="M589" t="s">
        <v>6089</v>
      </c>
    </row>
    <row r="590" spans="2:13">
      <c r="B590" s="55" t="s">
        <v>1589</v>
      </c>
      <c r="C590" s="55" t="s">
        <v>1044</v>
      </c>
      <c r="D590" s="55" t="s">
        <v>6090</v>
      </c>
      <c r="E590" s="55" t="s">
        <v>6090</v>
      </c>
      <c r="F590" s="55" t="s">
        <v>6091</v>
      </c>
      <c r="G590" s="55" t="s">
        <v>6092</v>
      </c>
      <c r="H590" s="55" t="s">
        <v>17</v>
      </c>
      <c r="I590" s="55" t="s">
        <v>18</v>
      </c>
      <c r="J590" s="55" t="s">
        <v>6093</v>
      </c>
      <c r="K590" s="55" t="s">
        <v>20</v>
      </c>
      <c r="L590" s="57" t="str">
        <f>HYPERLINK("https://nycdoe.sharepoint.com/:w:/s/BAP/EUNdOwfDfYFBkYTEplicTBkB-dMKMWTfuqE4lBDDj-IEvA", "1 out of 10")</f>
        <v>1 out of 10</v>
      </c>
      <c r="M590" t="s">
        <v>6094</v>
      </c>
    </row>
    <row r="591" spans="2:13">
      <c r="B591" s="55" t="s">
        <v>1589</v>
      </c>
      <c r="C591" s="55" t="s">
        <v>1044</v>
      </c>
      <c r="D591" s="55" t="s">
        <v>6095</v>
      </c>
      <c r="E591" s="55" t="s">
        <v>1721</v>
      </c>
      <c r="F591" s="55" t="s">
        <v>6040</v>
      </c>
      <c r="G591" s="55" t="s">
        <v>1723</v>
      </c>
      <c r="H591" s="55" t="s">
        <v>43</v>
      </c>
      <c r="I591" s="55" t="s">
        <v>18</v>
      </c>
      <c r="J591" s="55" t="s">
        <v>6096</v>
      </c>
      <c r="K591" s="55" t="s">
        <v>20</v>
      </c>
      <c r="L591" s="57" t="str">
        <f>HYPERLINK("https://nycdoe.sharepoint.com/:w:/s/BAP/Ece-fVJ8elxCljFc2LfuJGkBomo53qPJs1ZQKe6vHwtUDQ", "1 out of 10")</f>
        <v>1 out of 10</v>
      </c>
      <c r="M591" t="s">
        <v>6097</v>
      </c>
    </row>
    <row r="592" spans="2:13">
      <c r="B592" s="55" t="s">
        <v>1589</v>
      </c>
      <c r="C592" s="55" t="s">
        <v>1044</v>
      </c>
      <c r="D592" s="55" t="s">
        <v>6095</v>
      </c>
      <c r="E592" s="55" t="s">
        <v>6095</v>
      </c>
      <c r="F592" s="55" t="s">
        <v>6098</v>
      </c>
      <c r="G592" s="55" t="s">
        <v>6099</v>
      </c>
      <c r="H592" s="55" t="s">
        <v>17</v>
      </c>
      <c r="I592" s="55" t="s">
        <v>18</v>
      </c>
      <c r="J592" s="55" t="s">
        <v>6096</v>
      </c>
      <c r="K592" s="55" t="s">
        <v>20</v>
      </c>
      <c r="L592" s="57" t="str">
        <f>HYPERLINK("https://nycdoe.sharepoint.com/:w:/s/BAP/Ece-fVJ8elxCljFc2LfuJGkBomo53qPJs1ZQKe6vHwtUDQ", "1 out of 10")</f>
        <v>1 out of 10</v>
      </c>
      <c r="M592" t="s">
        <v>6097</v>
      </c>
    </row>
    <row r="593" spans="2:13">
      <c r="B593" s="55" t="s">
        <v>1589</v>
      </c>
      <c r="C593" s="55" t="s">
        <v>1044</v>
      </c>
      <c r="D593" s="55" t="s">
        <v>1608</v>
      </c>
      <c r="E593" s="55" t="s">
        <v>1608</v>
      </c>
      <c r="F593" s="55" t="s">
        <v>6100</v>
      </c>
      <c r="G593" s="55" t="s">
        <v>6101</v>
      </c>
      <c r="H593" s="55" t="s">
        <v>52</v>
      </c>
      <c r="I593" s="55"/>
      <c r="J593" s="55" t="s">
        <v>6102</v>
      </c>
      <c r="K593" s="55" t="s">
        <v>20</v>
      </c>
      <c r="L593" s="57" t="str">
        <f>HYPERLINK("https://nycdoe.sharepoint.com/:w:/s/BAP/EdKdW6Az5OJGn0kW0fyMH5IBqIgUea2nySa6LEk6SfsEVQ", "8 out of 10")</f>
        <v>8 out of 10</v>
      </c>
      <c r="M593" t="s">
        <v>6103</v>
      </c>
    </row>
    <row r="594" spans="2:13">
      <c r="B594" s="55" t="s">
        <v>1589</v>
      </c>
      <c r="C594" s="55" t="s">
        <v>1044</v>
      </c>
      <c r="D594" s="55" t="s">
        <v>1608</v>
      </c>
      <c r="E594" s="55" t="s">
        <v>1612</v>
      </c>
      <c r="F594" s="55" t="s">
        <v>6104</v>
      </c>
      <c r="G594" s="55" t="s">
        <v>6105</v>
      </c>
      <c r="H594" s="55" t="s">
        <v>24</v>
      </c>
      <c r="I594" s="55"/>
      <c r="J594" s="55" t="s">
        <v>6102</v>
      </c>
      <c r="K594" s="55" t="s">
        <v>20</v>
      </c>
      <c r="L594" s="57" t="str">
        <f>HYPERLINK("https://nycdoe.sharepoint.com/:w:/s/BAP/EdKdW6Az5OJGn0kW0fyMH5IBqIgUea2nySa6LEk6SfsEVQ", "8 out of 10")</f>
        <v>8 out of 10</v>
      </c>
      <c r="M594" t="s">
        <v>6103</v>
      </c>
    </row>
    <row r="595" spans="2:13">
      <c r="B595" s="55" t="s">
        <v>1589</v>
      </c>
      <c r="C595" s="55" t="s">
        <v>1044</v>
      </c>
      <c r="D595" s="55" t="s">
        <v>6106</v>
      </c>
      <c r="E595" s="55" t="s">
        <v>6106</v>
      </c>
      <c r="F595" s="55" t="s">
        <v>6107</v>
      </c>
      <c r="G595" s="55" t="s">
        <v>6108</v>
      </c>
      <c r="H595" s="55" t="s">
        <v>17</v>
      </c>
      <c r="I595" s="55" t="s">
        <v>18</v>
      </c>
      <c r="J595" s="55" t="s">
        <v>6109</v>
      </c>
      <c r="K595" s="55" t="s">
        <v>20</v>
      </c>
      <c r="L595" s="57" t="str">
        <f>HYPERLINK("https://nycdoe.sharepoint.com/:w:/s/BAP/EY3I24rVP85JiPQNG9612-ABMS_51_2zVnPBrxcp0OAc6g", "3 out of 10")</f>
        <v>3 out of 10</v>
      </c>
      <c r="M595" t="s">
        <v>6110</v>
      </c>
    </row>
    <row r="596" spans="2:13">
      <c r="B596" s="55" t="s">
        <v>1589</v>
      </c>
      <c r="C596" s="55" t="s">
        <v>1044</v>
      </c>
      <c r="D596" s="55" t="s">
        <v>6106</v>
      </c>
      <c r="E596" s="55" t="s">
        <v>6111</v>
      </c>
      <c r="F596" s="55" t="s">
        <v>6112</v>
      </c>
      <c r="G596" s="55" t="s">
        <v>6113</v>
      </c>
      <c r="H596" s="55" t="s">
        <v>52</v>
      </c>
      <c r="I596" s="55"/>
      <c r="J596" s="55" t="s">
        <v>6109</v>
      </c>
      <c r="K596" s="55" t="s">
        <v>20</v>
      </c>
      <c r="L596" s="57" t="str">
        <f>HYPERLINK("https://nycdoe.sharepoint.com/:w:/s/BAP/EY3I24rVP85JiPQNG9612-ABMS_51_2zVnPBrxcp0OAc6g", "3 out of 10")</f>
        <v>3 out of 10</v>
      </c>
      <c r="M596" t="s">
        <v>6110</v>
      </c>
    </row>
    <row r="597" spans="2:13">
      <c r="B597" s="55" t="s">
        <v>1589</v>
      </c>
      <c r="C597" s="55" t="s">
        <v>1044</v>
      </c>
      <c r="D597" s="55" t="s">
        <v>6114</v>
      </c>
      <c r="E597" s="55" t="s">
        <v>6115</v>
      </c>
      <c r="F597" s="55" t="s">
        <v>6116</v>
      </c>
      <c r="G597" s="55" t="s">
        <v>6117</v>
      </c>
      <c r="H597" s="55" t="s">
        <v>52</v>
      </c>
      <c r="I597" s="55"/>
      <c r="J597" s="55" t="s">
        <v>6118</v>
      </c>
      <c r="K597" s="55" t="s">
        <v>20</v>
      </c>
      <c r="L597" s="57" t="str">
        <f>HYPERLINK("https://nycdoe.sharepoint.com/:w:/s/BAP/EV_YfRYmW01FohJCUPe9Bf0B_h7JN8HBkmnlE9-QtzgaEw", "3 out of 10")</f>
        <v>3 out of 10</v>
      </c>
      <c r="M597" t="s">
        <v>6119</v>
      </c>
    </row>
    <row r="598" spans="2:13">
      <c r="B598" s="55" t="s">
        <v>1589</v>
      </c>
      <c r="C598" s="55" t="s">
        <v>1044</v>
      </c>
      <c r="D598" s="55" t="s">
        <v>6114</v>
      </c>
      <c r="E598" s="55" t="s">
        <v>1638</v>
      </c>
      <c r="F598" s="55" t="s">
        <v>6120</v>
      </c>
      <c r="G598" s="55" t="s">
        <v>6121</v>
      </c>
      <c r="H598" s="55" t="s">
        <v>43</v>
      </c>
      <c r="I598" s="55"/>
      <c r="J598" s="55" t="s">
        <v>6118</v>
      </c>
      <c r="K598" s="55" t="s">
        <v>20</v>
      </c>
      <c r="L598" s="57" t="str">
        <f>HYPERLINK("https://nycdoe.sharepoint.com/:w:/s/BAP/EV_YfRYmW01FohJCUPe9Bf0B_h7JN8HBkmnlE9-QtzgaEw", "3 out of 10")</f>
        <v>3 out of 10</v>
      </c>
      <c r="M598" t="s">
        <v>6119</v>
      </c>
    </row>
    <row r="599" spans="2:13">
      <c r="B599" s="55" t="s">
        <v>1589</v>
      </c>
      <c r="C599" s="55" t="s">
        <v>1044</v>
      </c>
      <c r="D599" s="55" t="s">
        <v>6114</v>
      </c>
      <c r="E599" s="55" t="s">
        <v>1560</v>
      </c>
      <c r="F599" s="55" t="s">
        <v>5783</v>
      </c>
      <c r="G599" s="55" t="s">
        <v>5784</v>
      </c>
      <c r="H599" s="55" t="s">
        <v>56</v>
      </c>
      <c r="I599" s="55"/>
      <c r="J599" s="55" t="s">
        <v>6118</v>
      </c>
      <c r="K599" s="55" t="s">
        <v>20</v>
      </c>
      <c r="L599" s="57" t="str">
        <f>HYPERLINK("https://nycdoe.sharepoint.com/:w:/s/BAP/EV_YfRYmW01FohJCUPe9Bf0B_h7JN8HBkmnlE9-QtzgaEw", "3 out of 10")</f>
        <v>3 out of 10</v>
      </c>
      <c r="M599" t="s">
        <v>6119</v>
      </c>
    </row>
    <row r="600" spans="2:13">
      <c r="B600" s="55" t="s">
        <v>1589</v>
      </c>
      <c r="C600" s="55" t="s">
        <v>1044</v>
      </c>
      <c r="D600" s="55" t="s">
        <v>1615</v>
      </c>
      <c r="E600" s="55" t="s">
        <v>1615</v>
      </c>
      <c r="F600" s="55" t="s">
        <v>6122</v>
      </c>
      <c r="G600" s="55" t="s">
        <v>6123</v>
      </c>
      <c r="H600" s="55" t="s">
        <v>17</v>
      </c>
      <c r="I600" s="55" t="s">
        <v>18</v>
      </c>
      <c r="J600" s="55" t="s">
        <v>6124</v>
      </c>
      <c r="K600" s="55" t="s">
        <v>20</v>
      </c>
      <c r="L600" s="57" t="str">
        <f>HYPERLINK("https://nycdoe.sharepoint.com/:w:/s/BAP/EQKLLJG4Ud1EkJpDzzFDEIwBm0LKuovc5rTMoiog6TZdMA", "7 out of 10")</f>
        <v>7 out of 10</v>
      </c>
      <c r="M600" t="s">
        <v>6125</v>
      </c>
    </row>
    <row r="601" spans="2:13">
      <c r="B601" s="55" t="s">
        <v>1589</v>
      </c>
      <c r="C601" s="55" t="s">
        <v>1044</v>
      </c>
      <c r="D601" s="55" t="s">
        <v>1615</v>
      </c>
      <c r="E601" s="55" t="s">
        <v>1619</v>
      </c>
      <c r="F601" s="55" t="s">
        <v>6126</v>
      </c>
      <c r="G601" s="55" t="s">
        <v>6127</v>
      </c>
      <c r="H601" s="55" t="s">
        <v>17</v>
      </c>
      <c r="I601" s="55"/>
      <c r="J601" s="55" t="s">
        <v>6124</v>
      </c>
      <c r="K601" s="55" t="s">
        <v>20</v>
      </c>
      <c r="L601" s="57" t="str">
        <f>HYPERLINK("https://nycdoe.sharepoint.com/:w:/s/BAP/EQKLLJG4Ud1EkJpDzzFDEIwBm0LKuovc5rTMoiog6TZdMA", "7 out of 10")</f>
        <v>7 out of 10</v>
      </c>
      <c r="M601" t="s">
        <v>6125</v>
      </c>
    </row>
    <row r="602" spans="2:13">
      <c r="B602" s="55" t="s">
        <v>1589</v>
      </c>
      <c r="C602" s="55" t="s">
        <v>1044</v>
      </c>
      <c r="D602" s="55" t="s">
        <v>1622</v>
      </c>
      <c r="E602" s="55" t="s">
        <v>1622</v>
      </c>
      <c r="F602" s="55" t="s">
        <v>6128</v>
      </c>
      <c r="G602" s="55" t="s">
        <v>6129</v>
      </c>
      <c r="H602" s="55" t="s">
        <v>17</v>
      </c>
      <c r="I602" s="55" t="s">
        <v>18</v>
      </c>
      <c r="J602" s="55" t="s">
        <v>6130</v>
      </c>
      <c r="K602" s="55" t="s">
        <v>20</v>
      </c>
      <c r="L602" s="57" t="str">
        <f>HYPERLINK("https://nycdoe.sharepoint.com/:w:/s/BAP/EZ7Aryk9DvZChsqRFLUFw7UBjd862CDRx-dNniuhK9U0VA", "3 out of 10")</f>
        <v>3 out of 10</v>
      </c>
      <c r="M602" t="s">
        <v>6131</v>
      </c>
    </row>
    <row r="603" spans="2:13">
      <c r="B603" s="55" t="s">
        <v>1589</v>
      </c>
      <c r="C603" s="55" t="s">
        <v>1044</v>
      </c>
      <c r="D603" s="55" t="s">
        <v>1626</v>
      </c>
      <c r="E603" s="55" t="s">
        <v>1626</v>
      </c>
      <c r="F603" s="55" t="s">
        <v>6132</v>
      </c>
      <c r="G603" s="55" t="s">
        <v>6133</v>
      </c>
      <c r="H603" s="55" t="s">
        <v>17</v>
      </c>
      <c r="I603" s="55" t="s">
        <v>18</v>
      </c>
      <c r="J603" s="55" t="s">
        <v>6134</v>
      </c>
      <c r="K603" s="55" t="s">
        <v>62</v>
      </c>
      <c r="L603" s="57" t="str">
        <f>HYPERLINK("https://nycdoe.sharepoint.com/:w:/s/BAP/EQy2jGYIzE1KhOZHHxrjTw8B2KGmpWJRgaTlF5JCAYjdtQ", "9 out of 10")</f>
        <v>9 out of 10</v>
      </c>
      <c r="M603" t="s">
        <v>6135</v>
      </c>
    </row>
    <row r="604" spans="2:13">
      <c r="B604" s="55" t="s">
        <v>1589</v>
      </c>
      <c r="C604" s="55" t="s">
        <v>1044</v>
      </c>
      <c r="D604" s="55" t="s">
        <v>1626</v>
      </c>
      <c r="E604" s="55" t="s">
        <v>1630</v>
      </c>
      <c r="F604" s="55" t="s">
        <v>6136</v>
      </c>
      <c r="G604" s="55" t="s">
        <v>6137</v>
      </c>
      <c r="H604" s="55" t="s">
        <v>52</v>
      </c>
      <c r="I604" s="55"/>
      <c r="J604" s="55" t="s">
        <v>6134</v>
      </c>
      <c r="K604" s="55" t="s">
        <v>62</v>
      </c>
      <c r="L604" s="57" t="str">
        <f>HYPERLINK("https://nycdoe.sharepoint.com/:w:/s/BAP/EQy2jGYIzE1KhOZHHxrjTw8B2KGmpWJRgaTlF5JCAYjdtQ", "9 out of 10")</f>
        <v>9 out of 10</v>
      </c>
      <c r="M604" t="s">
        <v>6135</v>
      </c>
    </row>
    <row r="605" spans="2:13">
      <c r="B605" s="55" t="s">
        <v>1589</v>
      </c>
      <c r="C605" s="55" t="s">
        <v>1044</v>
      </c>
      <c r="D605" s="55" t="s">
        <v>1633</v>
      </c>
      <c r="E605" s="55" t="s">
        <v>1634</v>
      </c>
      <c r="F605" s="55" t="s">
        <v>6138</v>
      </c>
      <c r="G605" s="55" t="s">
        <v>6139</v>
      </c>
      <c r="H605" s="55" t="s">
        <v>52</v>
      </c>
      <c r="I605" s="55"/>
      <c r="J605" s="55" t="s">
        <v>6140</v>
      </c>
      <c r="K605" s="55" t="s">
        <v>20</v>
      </c>
      <c r="L605" s="57" t="str">
        <f>HYPERLINK("https://nycdoe.sharepoint.com/:w:/s/BAP/EYUoORoyvrhEqMKmYAID87QBIgGcDk_cwXUV2eBzz3dqLA", "4 out of 10")</f>
        <v>4 out of 10</v>
      </c>
      <c r="M605" t="s">
        <v>6141</v>
      </c>
    </row>
    <row r="606" spans="2:13">
      <c r="B606" s="55" t="s">
        <v>1589</v>
      </c>
      <c r="C606" s="55" t="s">
        <v>1044</v>
      </c>
      <c r="D606" s="55" t="s">
        <v>1633</v>
      </c>
      <c r="E606" s="55" t="s">
        <v>1638</v>
      </c>
      <c r="F606" s="55" t="s">
        <v>6120</v>
      </c>
      <c r="G606" s="55" t="s">
        <v>6121</v>
      </c>
      <c r="H606" s="55" t="s">
        <v>43</v>
      </c>
      <c r="I606" s="55"/>
      <c r="J606" s="55" t="s">
        <v>6140</v>
      </c>
      <c r="K606" s="55" t="s">
        <v>20</v>
      </c>
      <c r="L606" s="57" t="str">
        <f>HYPERLINK("https://nycdoe.sharepoint.com/:w:/s/BAP/EYUoORoyvrhEqMKmYAID87QBIgGcDk_cwXUV2eBzz3dqLA", "4 out of 10")</f>
        <v>4 out of 10</v>
      </c>
      <c r="M606" t="s">
        <v>6141</v>
      </c>
    </row>
    <row r="607" spans="2:13">
      <c r="B607" s="55" t="s">
        <v>1589</v>
      </c>
      <c r="C607" s="55" t="s">
        <v>1044</v>
      </c>
      <c r="D607" s="55" t="s">
        <v>6142</v>
      </c>
      <c r="E607" s="55" t="s">
        <v>6142</v>
      </c>
      <c r="F607" s="55" t="s">
        <v>6143</v>
      </c>
      <c r="G607" s="55" t="s">
        <v>6144</v>
      </c>
      <c r="H607" s="55" t="s">
        <v>17</v>
      </c>
      <c r="I607" s="55" t="s">
        <v>18</v>
      </c>
      <c r="J607" s="55" t="s">
        <v>6145</v>
      </c>
      <c r="K607" s="55" t="s">
        <v>20</v>
      </c>
      <c r="L607" s="57" t="str">
        <f>HYPERLINK("https://nycdoe.sharepoint.com/:w:/s/BAP/EVbZ6DYe2pxLvr0eguBQsWMBxuQ4F3BGsM-eRz2DR8QKPw", "4 out of 10")</f>
        <v>4 out of 10</v>
      </c>
      <c r="M607" t="s">
        <v>6146</v>
      </c>
    </row>
    <row r="608" spans="2:13">
      <c r="B608" s="55" t="s">
        <v>1589</v>
      </c>
      <c r="C608" s="55" t="s">
        <v>1044</v>
      </c>
      <c r="D608" s="55" t="s">
        <v>6147</v>
      </c>
      <c r="E608" s="55" t="s">
        <v>6147</v>
      </c>
      <c r="F608" s="55" t="s">
        <v>6148</v>
      </c>
      <c r="G608" s="55" t="s">
        <v>6149</v>
      </c>
      <c r="H608" s="55" t="s">
        <v>17</v>
      </c>
      <c r="I608" s="55" t="s">
        <v>18</v>
      </c>
      <c r="J608" s="55" t="s">
        <v>6150</v>
      </c>
      <c r="K608" s="55" t="s">
        <v>20</v>
      </c>
      <c r="L608" s="57" t="str">
        <f>HYPERLINK("https://nycdoe.sharepoint.com/:w:/s/BAP/EZ_zefYNSFlPrTULdDDioGUBaEFriAvzasNk8jiQoskx7w", "4 out of 10")</f>
        <v>4 out of 10</v>
      </c>
      <c r="M608" t="s">
        <v>6151</v>
      </c>
    </row>
    <row r="609" spans="2:13">
      <c r="B609" s="55" t="s">
        <v>1589</v>
      </c>
      <c r="C609" s="55" t="s">
        <v>1044</v>
      </c>
      <c r="D609" s="55" t="s">
        <v>1644</v>
      </c>
      <c r="E609" s="55" t="s">
        <v>1644</v>
      </c>
      <c r="F609" s="55" t="s">
        <v>6152</v>
      </c>
      <c r="G609" s="55" t="s">
        <v>6153</v>
      </c>
      <c r="H609" s="55" t="s">
        <v>17</v>
      </c>
      <c r="I609" s="55" t="s">
        <v>18</v>
      </c>
      <c r="J609" s="55" t="s">
        <v>6154</v>
      </c>
      <c r="K609" s="55" t="s">
        <v>62</v>
      </c>
      <c r="L609" s="57" t="str">
        <f>HYPERLINK("https://nycdoe.sharepoint.com/:w:/s/BAP/EQ9uUT_rZcJEjEJUbBNzEVIBhazSWknBZKlrYppt-YjHuQ", "9 out of 10")</f>
        <v>9 out of 10</v>
      </c>
      <c r="M609" t="s">
        <v>6155</v>
      </c>
    </row>
    <row r="610" spans="2:13">
      <c r="B610" s="55" t="s">
        <v>1589</v>
      </c>
      <c r="C610" s="55" t="s">
        <v>1044</v>
      </c>
      <c r="D610" s="55" t="s">
        <v>1644</v>
      </c>
      <c r="E610" s="55" t="s">
        <v>1612</v>
      </c>
      <c r="F610" s="55" t="s">
        <v>6104</v>
      </c>
      <c r="G610" s="55" t="s">
        <v>6105</v>
      </c>
      <c r="H610" s="55" t="s">
        <v>24</v>
      </c>
      <c r="I610" s="55"/>
      <c r="J610" s="55" t="s">
        <v>6154</v>
      </c>
      <c r="K610" s="55" t="s">
        <v>62</v>
      </c>
      <c r="L610" s="57" t="str">
        <f>HYPERLINK("https://nycdoe.sharepoint.com/:w:/s/BAP/EQ9uUT_rZcJEjEJUbBNzEVIBhazSWknBZKlrYppt-YjHuQ", "9 out of 10")</f>
        <v>9 out of 10</v>
      </c>
      <c r="M610" t="s">
        <v>6155</v>
      </c>
    </row>
    <row r="611" spans="2:13">
      <c r="B611" s="55" t="s">
        <v>1589</v>
      </c>
      <c r="C611" s="55" t="s">
        <v>1044</v>
      </c>
      <c r="D611" s="55" t="s">
        <v>1648</v>
      </c>
      <c r="E611" s="55" t="s">
        <v>1648</v>
      </c>
      <c r="F611" s="55" t="s">
        <v>6156</v>
      </c>
      <c r="G611" s="55" t="s">
        <v>6157</v>
      </c>
      <c r="H611" s="55" t="s">
        <v>52</v>
      </c>
      <c r="I611" s="55"/>
      <c r="J611" s="55" t="s">
        <v>6158</v>
      </c>
      <c r="K611" s="55" t="s">
        <v>62</v>
      </c>
      <c r="L611" s="57" t="str">
        <f>HYPERLINK("https://nycdoe.sharepoint.com/:w:/s/BAP/EVfwtg26QixNnkaeQgifOvMBKH19oeuMIO5ooJPWeB4_qw", "10 out of 10")</f>
        <v>10 out of 10</v>
      </c>
      <c r="M611" t="s">
        <v>6159</v>
      </c>
    </row>
    <row r="612" spans="2:13">
      <c r="B612" s="55" t="s">
        <v>1589</v>
      </c>
      <c r="C612" s="55" t="s">
        <v>1044</v>
      </c>
      <c r="D612" s="55" t="s">
        <v>1652</v>
      </c>
      <c r="E612" s="55" t="s">
        <v>1653</v>
      </c>
      <c r="F612" s="55" t="s">
        <v>6160</v>
      </c>
      <c r="G612" s="55" t="s">
        <v>6161</v>
      </c>
      <c r="H612" s="55" t="s">
        <v>56</v>
      </c>
      <c r="I612" s="55"/>
      <c r="J612" s="55" t="s">
        <v>6162</v>
      </c>
      <c r="K612" s="55" t="s">
        <v>62</v>
      </c>
      <c r="L612" s="57" t="str">
        <f>HYPERLINK("https://nycdoe.sharepoint.com/:w:/s/BAP/EbVBYxcKmthAg2DJWANXLwkBYQ-gLHi9UzWfjysMYRLRWA", "9 out of 10")</f>
        <v>9 out of 10</v>
      </c>
      <c r="M612" t="s">
        <v>6163</v>
      </c>
    </row>
    <row r="613" spans="2:13">
      <c r="B613" s="55" t="s">
        <v>1589</v>
      </c>
      <c r="C613" s="55" t="s">
        <v>1044</v>
      </c>
      <c r="D613" s="55" t="s">
        <v>1652</v>
      </c>
      <c r="E613" s="55" t="s">
        <v>1657</v>
      </c>
      <c r="F613" s="55" t="s">
        <v>6164</v>
      </c>
      <c r="G613" s="55" t="s">
        <v>6165</v>
      </c>
      <c r="H613" s="55" t="s">
        <v>56</v>
      </c>
      <c r="I613" s="55"/>
      <c r="J613" s="55" t="s">
        <v>6162</v>
      </c>
      <c r="K613" s="55" t="s">
        <v>62</v>
      </c>
      <c r="L613" s="57" t="str">
        <f>HYPERLINK("https://nycdoe.sharepoint.com/:w:/s/BAP/EbVBYxcKmthAg2DJWANXLwkBYQ-gLHi9UzWfjysMYRLRWA", "9 out of 10")</f>
        <v>9 out of 10</v>
      </c>
      <c r="M613" t="s">
        <v>6163</v>
      </c>
    </row>
    <row r="614" spans="2:13">
      <c r="B614" s="55" t="s">
        <v>1589</v>
      </c>
      <c r="C614" s="55" t="s">
        <v>1044</v>
      </c>
      <c r="D614" s="55" t="s">
        <v>1652</v>
      </c>
      <c r="E614" s="55" t="s">
        <v>1660</v>
      </c>
      <c r="F614" s="55" t="s">
        <v>6166</v>
      </c>
      <c r="G614" s="55" t="s">
        <v>6167</v>
      </c>
      <c r="H614" s="55" t="s">
        <v>56</v>
      </c>
      <c r="I614" s="55"/>
      <c r="J614" s="55" t="s">
        <v>6162</v>
      </c>
      <c r="K614" s="55" t="s">
        <v>62</v>
      </c>
      <c r="L614" s="57" t="str">
        <f>HYPERLINK("https://nycdoe.sharepoint.com/:w:/s/BAP/EbVBYxcKmthAg2DJWANXLwkBYQ-gLHi9UzWfjysMYRLRWA", "9 out of 10")</f>
        <v>9 out of 10</v>
      </c>
      <c r="M614" t="s">
        <v>6163</v>
      </c>
    </row>
    <row r="615" spans="2:13">
      <c r="B615" s="55" t="s">
        <v>1589</v>
      </c>
      <c r="C615" s="55" t="s">
        <v>1044</v>
      </c>
      <c r="D615" s="55" t="s">
        <v>1652</v>
      </c>
      <c r="E615" s="55" t="s">
        <v>1560</v>
      </c>
      <c r="F615" s="55" t="s">
        <v>5783</v>
      </c>
      <c r="G615" s="55" t="s">
        <v>5784</v>
      </c>
      <c r="H615" s="55" t="s">
        <v>56</v>
      </c>
      <c r="I615" s="55"/>
      <c r="J615" s="55" t="s">
        <v>6162</v>
      </c>
      <c r="K615" s="55" t="s">
        <v>62</v>
      </c>
      <c r="L615" s="57" t="str">
        <f>HYPERLINK("https://nycdoe.sharepoint.com/:w:/s/BAP/EbVBYxcKmthAg2DJWANXLwkBYQ-gLHi9UzWfjysMYRLRWA", "9 out of 10")</f>
        <v>9 out of 10</v>
      </c>
      <c r="M615" t="s">
        <v>6163</v>
      </c>
    </row>
    <row r="616" spans="2:13">
      <c r="B616" s="55" t="s">
        <v>1589</v>
      </c>
      <c r="C616" s="55" t="s">
        <v>1044</v>
      </c>
      <c r="D616" s="55" t="s">
        <v>6168</v>
      </c>
      <c r="E616" s="55" t="s">
        <v>6169</v>
      </c>
      <c r="F616" s="55" t="s">
        <v>6170</v>
      </c>
      <c r="G616" s="55" t="s">
        <v>6171</v>
      </c>
      <c r="H616" s="55" t="s">
        <v>56</v>
      </c>
      <c r="I616" s="55"/>
      <c r="J616" s="55" t="s">
        <v>6172</v>
      </c>
      <c r="K616" s="55" t="s">
        <v>20</v>
      </c>
      <c r="L616" s="57" t="str">
        <f>HYPERLINK("https://nycdoe.sharepoint.com/:w:/s/BAP/EcMHXyseaaBKrFTihNPdeqABMADnSATgj22vtKruYTG4Fw", "1 out of 10")</f>
        <v>1 out of 10</v>
      </c>
      <c r="M616" t="s">
        <v>6173</v>
      </c>
    </row>
    <row r="617" spans="2:13">
      <c r="B617" s="55" t="s">
        <v>1589</v>
      </c>
      <c r="C617" s="55" t="s">
        <v>1044</v>
      </c>
      <c r="D617" s="55" t="s">
        <v>6168</v>
      </c>
      <c r="E617" s="55" t="s">
        <v>6174</v>
      </c>
      <c r="F617" s="55" t="s">
        <v>6175</v>
      </c>
      <c r="G617" s="55" t="s">
        <v>6176</v>
      </c>
      <c r="H617" s="55" t="s">
        <v>56</v>
      </c>
      <c r="I617" s="55"/>
      <c r="J617" s="55" t="s">
        <v>6172</v>
      </c>
      <c r="K617" s="55" t="s">
        <v>20</v>
      </c>
      <c r="L617" s="57" t="str">
        <f>HYPERLINK("https://nycdoe.sharepoint.com/:w:/s/BAP/EcMHXyseaaBKrFTihNPdeqABMADnSATgj22vtKruYTG4Fw", "1 out of 10")</f>
        <v>1 out of 10</v>
      </c>
      <c r="M617" t="s">
        <v>6173</v>
      </c>
    </row>
    <row r="618" spans="2:13">
      <c r="B618" s="55" t="s">
        <v>1589</v>
      </c>
      <c r="C618" s="55" t="s">
        <v>1044</v>
      </c>
      <c r="D618" s="55" t="s">
        <v>6168</v>
      </c>
      <c r="E618" s="55" t="s">
        <v>6177</v>
      </c>
      <c r="F618" s="55" t="s">
        <v>6178</v>
      </c>
      <c r="G618" s="55" t="s">
        <v>6179</v>
      </c>
      <c r="H618" s="55" t="s">
        <v>56</v>
      </c>
      <c r="I618" s="55"/>
      <c r="J618" s="55" t="s">
        <v>6172</v>
      </c>
      <c r="K618" s="55" t="s">
        <v>20</v>
      </c>
      <c r="L618" s="57" t="str">
        <f>HYPERLINK("https://nycdoe.sharepoint.com/:w:/s/BAP/EcMHXyseaaBKrFTihNPdeqABMADnSATgj22vtKruYTG4Fw", "1 out of 10")</f>
        <v>1 out of 10</v>
      </c>
      <c r="M618" t="s">
        <v>6173</v>
      </c>
    </row>
    <row r="619" spans="2:13">
      <c r="B619" s="55" t="s">
        <v>1589</v>
      </c>
      <c r="C619" s="55" t="s">
        <v>1044</v>
      </c>
      <c r="D619" s="55" t="s">
        <v>6168</v>
      </c>
      <c r="E619" s="55" t="s">
        <v>1560</v>
      </c>
      <c r="F619" s="55" t="s">
        <v>5783</v>
      </c>
      <c r="G619" s="55" t="s">
        <v>5784</v>
      </c>
      <c r="H619" s="55" t="s">
        <v>56</v>
      </c>
      <c r="I619" s="55"/>
      <c r="J619" s="55" t="s">
        <v>6172</v>
      </c>
      <c r="K619" s="55" t="s">
        <v>20</v>
      </c>
      <c r="L619" s="57" t="str">
        <f>HYPERLINK("https://nycdoe.sharepoint.com/:w:/s/BAP/EcMHXyseaaBKrFTihNPdeqABMADnSATgj22vtKruYTG4Fw", "1 out of 10")</f>
        <v>1 out of 10</v>
      </c>
      <c r="M619" t="s">
        <v>6173</v>
      </c>
    </row>
    <row r="620" spans="2:13">
      <c r="B620" s="55" t="s">
        <v>1589</v>
      </c>
      <c r="C620" s="55" t="s">
        <v>1044</v>
      </c>
      <c r="D620" s="55" t="s">
        <v>1663</v>
      </c>
      <c r="E620" s="55" t="s">
        <v>1664</v>
      </c>
      <c r="F620" s="55" t="s">
        <v>6180</v>
      </c>
      <c r="G620" s="55" t="s">
        <v>6181</v>
      </c>
      <c r="H620" s="55" t="s">
        <v>56</v>
      </c>
      <c r="I620" s="55"/>
      <c r="J620" s="55" t="s">
        <v>6182</v>
      </c>
      <c r="K620" s="55" t="s">
        <v>20</v>
      </c>
      <c r="L620" s="57" t="str">
        <f>HYPERLINK("https://nycdoe.sharepoint.com/:w:/s/BAP/ERc4IXOPBIlIvZftfJJSNHEBaIZxde_ONg7Nuja7CjMlKg", "6 out of 10")</f>
        <v>6 out of 10</v>
      </c>
      <c r="M620" t="s">
        <v>6183</v>
      </c>
    </row>
    <row r="621" spans="2:13">
      <c r="B621" s="55" t="s">
        <v>1589</v>
      </c>
      <c r="C621" s="55" t="s">
        <v>1044</v>
      </c>
      <c r="D621" s="55" t="s">
        <v>1663</v>
      </c>
      <c r="E621" s="55" t="s">
        <v>1668</v>
      </c>
      <c r="F621" s="55" t="s">
        <v>6184</v>
      </c>
      <c r="G621" s="55" t="s">
        <v>6185</v>
      </c>
      <c r="H621" s="55" t="s">
        <v>56</v>
      </c>
      <c r="I621" s="55"/>
      <c r="J621" s="55" t="s">
        <v>6182</v>
      </c>
      <c r="K621" s="55" t="s">
        <v>20</v>
      </c>
      <c r="L621" s="57" t="str">
        <f>HYPERLINK("https://nycdoe.sharepoint.com/:w:/s/BAP/ERc4IXOPBIlIvZftfJJSNHEBaIZxde_ONg7Nuja7CjMlKg", "6 out of 10")</f>
        <v>6 out of 10</v>
      </c>
      <c r="M621" t="s">
        <v>6183</v>
      </c>
    </row>
    <row r="622" spans="2:13">
      <c r="B622" s="55" t="s">
        <v>1589</v>
      </c>
      <c r="C622" s="55" t="s">
        <v>1044</v>
      </c>
      <c r="D622" s="55" t="s">
        <v>1663</v>
      </c>
      <c r="E622" s="55" t="s">
        <v>1671</v>
      </c>
      <c r="F622" s="55" t="s">
        <v>6186</v>
      </c>
      <c r="G622" s="55" t="s">
        <v>6187</v>
      </c>
      <c r="H622" s="55" t="s">
        <v>56</v>
      </c>
      <c r="I622" s="55"/>
      <c r="J622" s="55" t="s">
        <v>6182</v>
      </c>
      <c r="K622" s="55" t="s">
        <v>20</v>
      </c>
      <c r="L622" s="57" t="str">
        <f>HYPERLINK("https://nycdoe.sharepoint.com/:w:/s/BAP/ERc4IXOPBIlIvZftfJJSNHEBaIZxde_ONg7Nuja7CjMlKg", "6 out of 10")</f>
        <v>6 out of 10</v>
      </c>
      <c r="M622" t="s">
        <v>6183</v>
      </c>
    </row>
    <row r="623" spans="2:13">
      <c r="B623" s="55" t="s">
        <v>1589</v>
      </c>
      <c r="C623" s="55" t="s">
        <v>1044</v>
      </c>
      <c r="D623" s="55" t="s">
        <v>1663</v>
      </c>
      <c r="E623" s="55" t="s">
        <v>1674</v>
      </c>
      <c r="F623" s="55" t="s">
        <v>6188</v>
      </c>
      <c r="G623" s="55" t="s">
        <v>6189</v>
      </c>
      <c r="H623" s="55" t="s">
        <v>56</v>
      </c>
      <c r="I623" s="55"/>
      <c r="J623" s="55" t="s">
        <v>6182</v>
      </c>
      <c r="K623" s="55" t="s">
        <v>20</v>
      </c>
      <c r="L623" s="57" t="str">
        <f>HYPERLINK("https://nycdoe.sharepoint.com/:w:/s/BAP/ERc4IXOPBIlIvZftfJJSNHEBaIZxde_ONg7Nuja7CjMlKg", "6 out of 10")</f>
        <v>6 out of 10</v>
      </c>
      <c r="M623" t="s">
        <v>6183</v>
      </c>
    </row>
    <row r="624" spans="2:13">
      <c r="B624" s="55" t="s">
        <v>1589</v>
      </c>
      <c r="C624" s="55" t="s">
        <v>1044</v>
      </c>
      <c r="D624" s="55" t="s">
        <v>1663</v>
      </c>
      <c r="E624" s="55" t="s">
        <v>1677</v>
      </c>
      <c r="F624" s="55" t="s">
        <v>6190</v>
      </c>
      <c r="G624" s="55" t="s">
        <v>6191</v>
      </c>
      <c r="H624" s="55" t="s">
        <v>56</v>
      </c>
      <c r="I624" s="55"/>
      <c r="J624" s="55" t="s">
        <v>6182</v>
      </c>
      <c r="K624" s="55" t="s">
        <v>20</v>
      </c>
      <c r="L624" s="57" t="str">
        <f>HYPERLINK("https://nycdoe.sharepoint.com/:w:/s/BAP/ERc4IXOPBIlIvZftfJJSNHEBaIZxde_ONg7Nuja7CjMlKg", "6 out of 10")</f>
        <v>6 out of 10</v>
      </c>
      <c r="M624" t="s">
        <v>6183</v>
      </c>
    </row>
    <row r="625" spans="2:13">
      <c r="B625" s="55" t="s">
        <v>1589</v>
      </c>
      <c r="C625" s="55" t="s">
        <v>1044</v>
      </c>
      <c r="D625" s="55" t="s">
        <v>1663</v>
      </c>
      <c r="E625" s="55" t="s">
        <v>1680</v>
      </c>
      <c r="F625" s="55" t="s">
        <v>6192</v>
      </c>
      <c r="G625" s="55" t="s">
        <v>6193</v>
      </c>
      <c r="H625" s="55" t="s">
        <v>43</v>
      </c>
      <c r="I625" s="55"/>
      <c r="J625" s="55" t="s">
        <v>6182</v>
      </c>
      <c r="K625" s="55" t="s">
        <v>20</v>
      </c>
      <c r="L625" s="57" t="str">
        <f>HYPERLINK("https://nycdoe.sharepoint.com/:w:/s/BAP/ERc4IXOPBIlIvZftfJJSNHEBaIZxde_ONg7Nuja7CjMlKg", "6 out of 10")</f>
        <v>6 out of 10</v>
      </c>
      <c r="M625" t="s">
        <v>6183</v>
      </c>
    </row>
    <row r="626" spans="2:13">
      <c r="B626" s="55" t="s">
        <v>1589</v>
      </c>
      <c r="C626" s="55" t="s">
        <v>1044</v>
      </c>
      <c r="D626" s="55" t="s">
        <v>1663</v>
      </c>
      <c r="E626" s="55" t="s">
        <v>4490</v>
      </c>
      <c r="F626" s="55" t="s">
        <v>4491</v>
      </c>
      <c r="G626" s="55" t="s">
        <v>4492</v>
      </c>
      <c r="H626" s="55" t="s">
        <v>56</v>
      </c>
      <c r="I626" s="55"/>
      <c r="J626" s="55" t="s">
        <v>6182</v>
      </c>
      <c r="K626" s="55" t="s">
        <v>20</v>
      </c>
      <c r="L626" s="57" t="str">
        <f>HYPERLINK("https://nycdoe.sharepoint.com/:w:/s/BAP/ERc4IXOPBIlIvZftfJJSNHEBaIZxde_ONg7Nuja7CjMlKg", "6 out of 10")</f>
        <v>6 out of 10</v>
      </c>
      <c r="M626" t="s">
        <v>6183</v>
      </c>
    </row>
    <row r="627" spans="2:13">
      <c r="B627" s="55" t="s">
        <v>1589</v>
      </c>
      <c r="C627" s="55" t="s">
        <v>1044</v>
      </c>
      <c r="D627" s="55" t="s">
        <v>6194</v>
      </c>
      <c r="E627" s="55" t="s">
        <v>1622</v>
      </c>
      <c r="F627" s="55" t="s">
        <v>6128</v>
      </c>
      <c r="G627" s="55" t="s">
        <v>6129</v>
      </c>
      <c r="H627" s="55" t="s">
        <v>17</v>
      </c>
      <c r="I627" s="55" t="s">
        <v>18</v>
      </c>
      <c r="J627" s="55" t="s">
        <v>6130</v>
      </c>
      <c r="K627" s="55" t="s">
        <v>62</v>
      </c>
      <c r="L627" s="57" t="str">
        <f>HYPERLINK("https://nycdoe.sharepoint.com/:w:/s/BAP/Eb0Q5zKAXh5AnkXHTlZm3FkB23pgF-a7a91mzl6e88S6jQ", "9 out of 10")</f>
        <v>9 out of 10</v>
      </c>
      <c r="M627" t="s">
        <v>6195</v>
      </c>
    </row>
    <row r="628" spans="2:13">
      <c r="B628" s="55" t="s">
        <v>1683</v>
      </c>
      <c r="C628" s="55" t="s">
        <v>1044</v>
      </c>
      <c r="D628" s="55" t="s">
        <v>1684</v>
      </c>
      <c r="E628" s="55" t="s">
        <v>1684</v>
      </c>
      <c r="F628" s="55" t="s">
        <v>6196</v>
      </c>
      <c r="G628" s="55" t="s">
        <v>6197</v>
      </c>
      <c r="H628" s="55" t="s">
        <v>17</v>
      </c>
      <c r="I628" s="55" t="s">
        <v>18</v>
      </c>
      <c r="J628" s="55" t="s">
        <v>6198</v>
      </c>
      <c r="K628" s="55" t="s">
        <v>62</v>
      </c>
      <c r="L628" s="57" t="str">
        <f>HYPERLINK("https://nycdoe.sharepoint.com/:w:/s/BAP/ES2EbSMoiZVCj67TLmX8_wcBynLlDpVlninta8q6e4hF9g", "10 out of 10")</f>
        <v>10 out of 10</v>
      </c>
      <c r="M628" t="s">
        <v>6199</v>
      </c>
    </row>
    <row r="629" spans="2:13">
      <c r="B629" s="55" t="s">
        <v>1683</v>
      </c>
      <c r="C629" s="55" t="s">
        <v>1044</v>
      </c>
      <c r="D629" s="55" t="s">
        <v>1688</v>
      </c>
      <c r="E629" s="55" t="s">
        <v>1688</v>
      </c>
      <c r="F629" s="55" t="s">
        <v>6200</v>
      </c>
      <c r="G629" s="55" t="s">
        <v>6201</v>
      </c>
      <c r="H629" s="55" t="s">
        <v>17</v>
      </c>
      <c r="I629" s="55" t="s">
        <v>18</v>
      </c>
      <c r="J629" s="55" t="s">
        <v>6202</v>
      </c>
      <c r="K629" s="55" t="s">
        <v>20</v>
      </c>
      <c r="L629" s="57" t="str">
        <f>HYPERLINK("https://nycdoe.sharepoint.com/:w:/s/BAP/EW5YpGQ8Sh5KusRa2Pj0CS4BsdIjCg8xMLnvFAiHa5B0kg", "6 out of 10")</f>
        <v>6 out of 10</v>
      </c>
      <c r="M629" t="s">
        <v>6203</v>
      </c>
    </row>
    <row r="630" spans="2:13">
      <c r="B630" s="55" t="s">
        <v>1683</v>
      </c>
      <c r="C630" s="55" t="s">
        <v>1044</v>
      </c>
      <c r="D630" s="55" t="s">
        <v>1688</v>
      </c>
      <c r="E630" s="55" t="s">
        <v>1692</v>
      </c>
      <c r="F630" s="55" t="s">
        <v>6204</v>
      </c>
      <c r="G630" s="55" t="s">
        <v>6205</v>
      </c>
      <c r="H630" s="55" t="s">
        <v>43</v>
      </c>
      <c r="I630" s="55"/>
      <c r="J630" s="55" t="s">
        <v>6202</v>
      </c>
      <c r="K630" s="55" t="s">
        <v>20</v>
      </c>
      <c r="L630" s="57" t="str">
        <f>HYPERLINK("https://nycdoe.sharepoint.com/:w:/s/BAP/EW5YpGQ8Sh5KusRa2Pj0CS4BsdIjCg8xMLnvFAiHa5B0kg", "6 out of 10")</f>
        <v>6 out of 10</v>
      </c>
      <c r="M630" t="s">
        <v>6203</v>
      </c>
    </row>
    <row r="631" spans="2:13">
      <c r="B631" s="55" t="s">
        <v>1683</v>
      </c>
      <c r="C631" s="55" t="s">
        <v>1044</v>
      </c>
      <c r="D631" s="55" t="s">
        <v>1688</v>
      </c>
      <c r="E631" s="55" t="s">
        <v>4490</v>
      </c>
      <c r="F631" s="55" t="s">
        <v>4491</v>
      </c>
      <c r="G631" s="55" t="s">
        <v>4492</v>
      </c>
      <c r="H631" s="55" t="s">
        <v>56</v>
      </c>
      <c r="I631" s="55"/>
      <c r="J631" s="55" t="s">
        <v>6206</v>
      </c>
      <c r="K631" s="55" t="s">
        <v>20</v>
      </c>
      <c r="L631" s="57" t="str">
        <f>HYPERLINK("https://nycdoe.sharepoint.com/:w:/s/BAP/EW5YpGQ8Sh5KusRa2Pj0CS4BsdIjCg8xMLnvFAiHa5B0kg", "6 out of 10")</f>
        <v>6 out of 10</v>
      </c>
      <c r="M631" t="s">
        <v>6203</v>
      </c>
    </row>
    <row r="632" spans="2:13">
      <c r="B632" s="55" t="s">
        <v>1683</v>
      </c>
      <c r="C632" s="55" t="s">
        <v>1044</v>
      </c>
      <c r="D632" s="55" t="s">
        <v>1695</v>
      </c>
      <c r="E632" s="55" t="s">
        <v>1391</v>
      </c>
      <c r="F632" s="55" t="s">
        <v>5856</v>
      </c>
      <c r="G632" s="55" t="s">
        <v>1393</v>
      </c>
      <c r="H632" s="55" t="s">
        <v>17</v>
      </c>
      <c r="I632" s="55" t="s">
        <v>18</v>
      </c>
      <c r="J632" s="55" t="s">
        <v>6207</v>
      </c>
      <c r="K632" s="55" t="s">
        <v>20</v>
      </c>
      <c r="L632" s="57" t="str">
        <f>HYPERLINK("https://nycdoe.sharepoint.com/:w:/s/BAP/EQM0WH042ctAgYGIMgXKWO4BtH5fznWMYEfMm8B4e4fDYQ", "5 out of 10")</f>
        <v>5 out of 10</v>
      </c>
      <c r="M632" t="s">
        <v>6208</v>
      </c>
    </row>
    <row r="633" spans="2:13">
      <c r="B633" s="55" t="s">
        <v>1683</v>
      </c>
      <c r="C633" s="55" t="s">
        <v>1044</v>
      </c>
      <c r="D633" s="55" t="s">
        <v>1695</v>
      </c>
      <c r="E633" s="55" t="s">
        <v>1697</v>
      </c>
      <c r="F633" s="55" t="s">
        <v>6209</v>
      </c>
      <c r="G633" s="55" t="s">
        <v>6210</v>
      </c>
      <c r="H633" s="55" t="s">
        <v>17</v>
      </c>
      <c r="I633" s="55" t="s">
        <v>18</v>
      </c>
      <c r="J633" s="55" t="s">
        <v>6207</v>
      </c>
      <c r="K633" s="55" t="s">
        <v>20</v>
      </c>
      <c r="L633" s="57" t="str">
        <f>HYPERLINK("https://nycdoe.sharepoint.com/:w:/s/BAP/EQM0WH042ctAgYGIMgXKWO4BtH5fznWMYEfMm8B4e4fDYQ", "5 out of 10")</f>
        <v>5 out of 10</v>
      </c>
      <c r="M633" t="s">
        <v>6208</v>
      </c>
    </row>
    <row r="634" spans="2:13">
      <c r="B634" s="55" t="s">
        <v>1683</v>
      </c>
      <c r="C634" s="55" t="s">
        <v>1044</v>
      </c>
      <c r="D634" s="55" t="s">
        <v>1695</v>
      </c>
      <c r="E634" s="55" t="s">
        <v>1700</v>
      </c>
      <c r="F634" s="55" t="s">
        <v>6211</v>
      </c>
      <c r="G634" s="55" t="s">
        <v>6212</v>
      </c>
      <c r="H634" s="55" t="s">
        <v>52</v>
      </c>
      <c r="I634" s="55"/>
      <c r="J634" s="55" t="s">
        <v>6207</v>
      </c>
      <c r="K634" s="55" t="s">
        <v>20</v>
      </c>
      <c r="L634" s="57" t="str">
        <f>HYPERLINK("https://nycdoe.sharepoint.com/:w:/s/BAP/EQM0WH042ctAgYGIMgXKWO4BtH5fznWMYEfMm8B4e4fDYQ", "5 out of 10")</f>
        <v>5 out of 10</v>
      </c>
      <c r="M634" t="s">
        <v>6208</v>
      </c>
    </row>
    <row r="635" spans="2:13">
      <c r="B635" s="55" t="s">
        <v>1683</v>
      </c>
      <c r="C635" s="55" t="s">
        <v>1044</v>
      </c>
      <c r="D635" s="55" t="s">
        <v>6213</v>
      </c>
      <c r="E635" s="55" t="s">
        <v>6213</v>
      </c>
      <c r="F635" s="55" t="s">
        <v>6214</v>
      </c>
      <c r="G635" s="55" t="s">
        <v>6215</v>
      </c>
      <c r="H635" s="55" t="s">
        <v>17</v>
      </c>
      <c r="I635" s="55" t="s">
        <v>18</v>
      </c>
      <c r="J635" s="55" t="s">
        <v>6216</v>
      </c>
      <c r="K635" s="55" t="s">
        <v>20</v>
      </c>
      <c r="L635" s="57" t="str">
        <f>HYPERLINK("https://nycdoe.sharepoint.com/:w:/s/BAP/EXjmwSMtyaxCq4mq-ENOY2oB2nOpaSiONSlK6dNjso6_Kg", "2 out of 10")</f>
        <v>2 out of 10</v>
      </c>
      <c r="M635" t="s">
        <v>6217</v>
      </c>
    </row>
    <row r="636" spans="2:13">
      <c r="B636" s="55" t="s">
        <v>1683</v>
      </c>
      <c r="C636" s="55" t="s">
        <v>1044</v>
      </c>
      <c r="D636" s="55" t="s">
        <v>1703</v>
      </c>
      <c r="E636" s="55" t="s">
        <v>1704</v>
      </c>
      <c r="F636" s="55" t="s">
        <v>6218</v>
      </c>
      <c r="G636" s="55" t="s">
        <v>6219</v>
      </c>
      <c r="H636" s="55" t="s">
        <v>52</v>
      </c>
      <c r="I636" s="55"/>
      <c r="J636" s="55" t="s">
        <v>6220</v>
      </c>
      <c r="K636" s="55" t="s">
        <v>62</v>
      </c>
      <c r="L636" s="57" t="str">
        <f>HYPERLINK("https://nycdoe.sharepoint.com/:w:/s/BAP/EZpRkPYwK0ZJqcs2jjAGDB8B2ogn0pIbD3MUHnCQV9XHzA", "9 out of 10")</f>
        <v>9 out of 10</v>
      </c>
      <c r="M636" t="s">
        <v>6221</v>
      </c>
    </row>
    <row r="637" spans="2:13">
      <c r="B637" s="55" t="s">
        <v>1683</v>
      </c>
      <c r="C637" s="55" t="s">
        <v>1044</v>
      </c>
      <c r="D637" s="55" t="s">
        <v>1703</v>
      </c>
      <c r="E637" s="55" t="s">
        <v>1708</v>
      </c>
      <c r="F637" s="55" t="s">
        <v>6222</v>
      </c>
      <c r="G637" s="55" t="s">
        <v>6223</v>
      </c>
      <c r="H637" s="55" t="s">
        <v>24</v>
      </c>
      <c r="I637" s="55"/>
      <c r="J637" s="55" t="s">
        <v>6220</v>
      </c>
      <c r="K637" s="55" t="s">
        <v>62</v>
      </c>
      <c r="L637" s="57" t="str">
        <f>HYPERLINK("https://nycdoe.sharepoint.com/:w:/s/BAP/EZpRkPYwK0ZJqcs2jjAGDB8B2ogn0pIbD3MUHnCQV9XHzA", "9 out of 10")</f>
        <v>9 out of 10</v>
      </c>
      <c r="M637" t="s">
        <v>6221</v>
      </c>
    </row>
    <row r="638" spans="2:13">
      <c r="B638" s="55" t="s">
        <v>1683</v>
      </c>
      <c r="C638" s="55" t="s">
        <v>1044</v>
      </c>
      <c r="D638" s="55" t="s">
        <v>1703</v>
      </c>
      <c r="E638" s="55" t="s">
        <v>1711</v>
      </c>
      <c r="F638" s="55" t="s">
        <v>6224</v>
      </c>
      <c r="G638" s="55" t="s">
        <v>6225</v>
      </c>
      <c r="H638" s="55" t="s">
        <v>56</v>
      </c>
      <c r="I638" s="55"/>
      <c r="J638" s="55" t="s">
        <v>6220</v>
      </c>
      <c r="K638" s="55" t="s">
        <v>62</v>
      </c>
      <c r="L638" s="57" t="str">
        <f>HYPERLINK("https://nycdoe.sharepoint.com/:w:/s/BAP/EZpRkPYwK0ZJqcs2jjAGDB8B2ogn0pIbD3MUHnCQV9XHzA", "9 out of 10")</f>
        <v>9 out of 10</v>
      </c>
      <c r="M638" t="s">
        <v>6221</v>
      </c>
    </row>
    <row r="639" spans="2:13">
      <c r="B639" s="55" t="s">
        <v>1683</v>
      </c>
      <c r="C639" s="55" t="s">
        <v>1044</v>
      </c>
      <c r="D639" s="55" t="s">
        <v>1714</v>
      </c>
      <c r="E639" s="55" t="s">
        <v>1714</v>
      </c>
      <c r="F639" s="55" t="s">
        <v>6226</v>
      </c>
      <c r="G639" s="55" t="s">
        <v>6227</v>
      </c>
      <c r="H639" s="55" t="s">
        <v>17</v>
      </c>
      <c r="I639" s="55" t="s">
        <v>18</v>
      </c>
      <c r="J639" s="55" t="s">
        <v>6228</v>
      </c>
      <c r="K639" s="55" t="s">
        <v>62</v>
      </c>
      <c r="L639" s="57" t="str">
        <f>HYPERLINK("https://nycdoe.sharepoint.com/:w:/s/BAP/ER97onv6_MxFobYAANsWfikB7zAm_8xe1zYJTREUZQK_vg", "9 out of 10")</f>
        <v>9 out of 10</v>
      </c>
      <c r="M639" t="s">
        <v>6229</v>
      </c>
    </row>
    <row r="640" spans="2:13">
      <c r="B640" s="55" t="s">
        <v>1683</v>
      </c>
      <c r="C640" s="55" t="s">
        <v>1044</v>
      </c>
      <c r="D640" s="55" t="s">
        <v>1714</v>
      </c>
      <c r="E640" s="55" t="s">
        <v>1576</v>
      </c>
      <c r="F640" s="55" t="s">
        <v>6230</v>
      </c>
      <c r="G640" s="55" t="s">
        <v>6231</v>
      </c>
      <c r="H640" s="55" t="s">
        <v>52</v>
      </c>
      <c r="I640" s="55"/>
      <c r="J640" s="55" t="s">
        <v>6228</v>
      </c>
      <c r="K640" s="55" t="s">
        <v>62</v>
      </c>
      <c r="L640" s="57" t="str">
        <f>HYPERLINK("https://nycdoe.sharepoint.com/:w:/s/BAP/ER97onv6_MxFobYAANsWfikB7zAm_8xe1zYJTREUZQK_vg", "9 out of 10")</f>
        <v>9 out of 10</v>
      </c>
      <c r="M640" t="s">
        <v>6229</v>
      </c>
    </row>
    <row r="641" spans="2:13">
      <c r="B641" s="55" t="s">
        <v>1683</v>
      </c>
      <c r="C641" s="55" t="s">
        <v>1044</v>
      </c>
      <c r="D641" s="55" t="s">
        <v>6232</v>
      </c>
      <c r="E641" s="55" t="s">
        <v>6232</v>
      </c>
      <c r="F641" s="55" t="s">
        <v>6233</v>
      </c>
      <c r="G641" s="55" t="s">
        <v>6234</v>
      </c>
      <c r="H641" s="55" t="s">
        <v>17</v>
      </c>
      <c r="I641" s="55" t="s">
        <v>18</v>
      </c>
      <c r="J641" s="55" t="s">
        <v>6235</v>
      </c>
      <c r="K641" s="55" t="s">
        <v>20</v>
      </c>
      <c r="L641" s="57" t="str">
        <f>HYPERLINK("https://nycdoe.sharepoint.com/:w:/s/BAP/EZ1yT2yKteBNqZhsDQ3TSsABi8Fzy-fd0RuiO5GCPuZQXg", "2 out of 10")</f>
        <v>2 out of 10</v>
      </c>
      <c r="M641" t="s">
        <v>6236</v>
      </c>
    </row>
    <row r="642" spans="2:13">
      <c r="B642" s="55" t="s">
        <v>1683</v>
      </c>
      <c r="C642" s="55" t="s">
        <v>1044</v>
      </c>
      <c r="D642" s="55" t="s">
        <v>6232</v>
      </c>
      <c r="E642" s="55" t="s">
        <v>6237</v>
      </c>
      <c r="F642" s="55" t="s">
        <v>6238</v>
      </c>
      <c r="G642" s="55" t="s">
        <v>6239</v>
      </c>
      <c r="H642" s="55" t="s">
        <v>24</v>
      </c>
      <c r="I642" s="55"/>
      <c r="J642" s="55" t="s">
        <v>6235</v>
      </c>
      <c r="K642" s="55" t="s">
        <v>20</v>
      </c>
      <c r="L642" s="57" t="str">
        <f>HYPERLINK("https://nycdoe.sharepoint.com/:w:/s/BAP/EZ1yT2yKteBNqZhsDQ3TSsABi8Fzy-fd0RuiO5GCPuZQXg", "2 out of 10")</f>
        <v>2 out of 10</v>
      </c>
      <c r="M642" t="s">
        <v>6236</v>
      </c>
    </row>
    <row r="643" spans="2:13">
      <c r="B643" s="55" t="s">
        <v>1683</v>
      </c>
      <c r="C643" s="55" t="s">
        <v>1044</v>
      </c>
      <c r="D643" s="55" t="s">
        <v>6240</v>
      </c>
      <c r="E643" s="55" t="s">
        <v>6240</v>
      </c>
      <c r="F643" s="55" t="s">
        <v>6241</v>
      </c>
      <c r="G643" s="55" t="s">
        <v>6242</v>
      </c>
      <c r="H643" s="55" t="s">
        <v>52</v>
      </c>
      <c r="I643" s="55"/>
      <c r="J643" s="55" t="s">
        <v>6243</v>
      </c>
      <c r="K643" s="55" t="s">
        <v>20</v>
      </c>
      <c r="L643" s="57" t="str">
        <f>HYPERLINK("https://nycdoe.sharepoint.com/:w:/s/BAP/EU-4d5-L5UZOoUGmCsfoBMQBv7gLkWKwRe-y2vaA7BYugA", "1 out of 10")</f>
        <v>1 out of 10</v>
      </c>
      <c r="M643" t="s">
        <v>6244</v>
      </c>
    </row>
    <row r="644" spans="2:13">
      <c r="B644" s="55" t="s">
        <v>1683</v>
      </c>
      <c r="C644" s="55" t="s">
        <v>1044</v>
      </c>
      <c r="D644" s="55" t="s">
        <v>6240</v>
      </c>
      <c r="E644" s="55" t="s">
        <v>6245</v>
      </c>
      <c r="F644" s="55" t="s">
        <v>6246</v>
      </c>
      <c r="G644" s="55" t="s">
        <v>6247</v>
      </c>
      <c r="H644" s="55" t="s">
        <v>56</v>
      </c>
      <c r="I644" s="55"/>
      <c r="J644" s="55" t="s">
        <v>6243</v>
      </c>
      <c r="K644" s="55" t="s">
        <v>20</v>
      </c>
      <c r="L644" s="57" t="str">
        <f>HYPERLINK("https://nycdoe.sharepoint.com/:w:/s/BAP/EU-4d5-L5UZOoUGmCsfoBMQBv7gLkWKwRe-y2vaA7BYugA", "1 out of 10")</f>
        <v>1 out of 10</v>
      </c>
      <c r="M644" t="s">
        <v>6244</v>
      </c>
    </row>
    <row r="645" spans="2:13">
      <c r="B645" s="55" t="s">
        <v>1683</v>
      </c>
      <c r="C645" s="55" t="s">
        <v>1044</v>
      </c>
      <c r="D645" s="55" t="s">
        <v>6240</v>
      </c>
      <c r="E645" s="55" t="s">
        <v>1560</v>
      </c>
      <c r="F645" s="55" t="s">
        <v>5783</v>
      </c>
      <c r="G645" s="55" t="s">
        <v>5784</v>
      </c>
      <c r="H645" s="55" t="s">
        <v>56</v>
      </c>
      <c r="I645" s="55"/>
      <c r="J645" s="55" t="s">
        <v>6243</v>
      </c>
      <c r="K645" s="55" t="s">
        <v>20</v>
      </c>
      <c r="L645" s="57" t="str">
        <f>HYPERLINK("https://nycdoe.sharepoint.com/:w:/s/BAP/EU-4d5-L5UZOoUGmCsfoBMQBv7gLkWKwRe-y2vaA7BYugA", "1 out of 10")</f>
        <v>1 out of 10</v>
      </c>
      <c r="M645" t="s">
        <v>6244</v>
      </c>
    </row>
    <row r="646" spans="2:13">
      <c r="B646" s="55" t="s">
        <v>1683</v>
      </c>
      <c r="C646" s="55" t="s">
        <v>1044</v>
      </c>
      <c r="D646" s="55" t="s">
        <v>1720</v>
      </c>
      <c r="E646" s="55" t="s">
        <v>1721</v>
      </c>
      <c r="F646" s="55" t="s">
        <v>6040</v>
      </c>
      <c r="G646" s="55" t="s">
        <v>1723</v>
      </c>
      <c r="H646" s="55" t="s">
        <v>43</v>
      </c>
      <c r="I646" s="55" t="s">
        <v>18</v>
      </c>
      <c r="J646" s="55" t="s">
        <v>6248</v>
      </c>
      <c r="K646" s="55" t="s">
        <v>62</v>
      </c>
      <c r="L646" s="57" t="str">
        <f>HYPERLINK("https://nycdoe.sharepoint.com/:w:/s/BAP/EUEgPKhFR3NHkc8LtS8ugOMBjLp38tFCi_H-8edHEV3MvQ", "9 out of 10")</f>
        <v>9 out of 10</v>
      </c>
      <c r="M646" t="s">
        <v>6249</v>
      </c>
    </row>
    <row r="647" spans="2:13">
      <c r="B647" s="55" t="s">
        <v>1683</v>
      </c>
      <c r="C647" s="55" t="s">
        <v>1044</v>
      </c>
      <c r="D647" s="55" t="s">
        <v>1720</v>
      </c>
      <c r="E647" s="55" t="s">
        <v>1720</v>
      </c>
      <c r="F647" s="55" t="s">
        <v>6250</v>
      </c>
      <c r="G647" s="55" t="s">
        <v>6251</v>
      </c>
      <c r="H647" s="55" t="s">
        <v>17</v>
      </c>
      <c r="I647" s="55" t="s">
        <v>18</v>
      </c>
      <c r="J647" s="55" t="s">
        <v>6248</v>
      </c>
      <c r="K647" s="55" t="s">
        <v>62</v>
      </c>
      <c r="L647" s="57" t="str">
        <f>HYPERLINK("https://nycdoe.sharepoint.com/:w:/s/BAP/EUEgPKhFR3NHkc8LtS8ugOMBjLp38tFCi_H-8edHEV3MvQ", "9 out of 10")</f>
        <v>9 out of 10</v>
      </c>
      <c r="M647" t="s">
        <v>6249</v>
      </c>
    </row>
    <row r="648" spans="2:13">
      <c r="B648" s="55" t="s">
        <v>1683</v>
      </c>
      <c r="C648" s="55" t="s">
        <v>1044</v>
      </c>
      <c r="D648" s="55" t="s">
        <v>1727</v>
      </c>
      <c r="E648" s="55" t="s">
        <v>1727</v>
      </c>
      <c r="F648" s="55" t="s">
        <v>6252</v>
      </c>
      <c r="G648" s="55" t="s">
        <v>6253</v>
      </c>
      <c r="H648" s="55" t="s">
        <v>17</v>
      </c>
      <c r="I648" s="55" t="s">
        <v>18</v>
      </c>
      <c r="J648" s="55" t="s">
        <v>6254</v>
      </c>
      <c r="K648" s="55" t="s">
        <v>20</v>
      </c>
      <c r="L648" s="57" t="str">
        <f>HYPERLINK("https://nycdoe.sharepoint.com/:w:/s/BAP/EW3Kwos6yw1IjxHxah3XdHQB9tYoLszdkY-EVGz_MbfUpg", "5 out of 10")</f>
        <v>5 out of 10</v>
      </c>
      <c r="M648" t="s">
        <v>6255</v>
      </c>
    </row>
    <row r="649" spans="2:13">
      <c r="B649" s="55" t="s">
        <v>1683</v>
      </c>
      <c r="C649" s="55" t="s">
        <v>1044</v>
      </c>
      <c r="D649" s="55" t="s">
        <v>1731</v>
      </c>
      <c r="E649" s="55" t="s">
        <v>1732</v>
      </c>
      <c r="F649" s="55" t="s">
        <v>6256</v>
      </c>
      <c r="G649" s="55" t="s">
        <v>6257</v>
      </c>
      <c r="H649" s="55" t="s">
        <v>52</v>
      </c>
      <c r="I649" s="55"/>
      <c r="J649" s="55" t="s">
        <v>6258</v>
      </c>
      <c r="K649" s="55" t="s">
        <v>20</v>
      </c>
      <c r="L649" s="57" t="str">
        <f>HYPERLINK("https://nycdoe.sharepoint.com/:w:/s/BAP/EV0aoTKjKLRDsHnZQaYslW4BYPvTlGegNrjCR7-pbyttVw", "5 out of 10")</f>
        <v>5 out of 10</v>
      </c>
      <c r="M649" t="s">
        <v>6259</v>
      </c>
    </row>
    <row r="650" spans="2:13">
      <c r="B650" s="55" t="s">
        <v>1683</v>
      </c>
      <c r="C650" s="55" t="s">
        <v>1044</v>
      </c>
      <c r="D650" s="55" t="s">
        <v>1731</v>
      </c>
      <c r="E650" s="55" t="s">
        <v>1736</v>
      </c>
      <c r="F650" s="55" t="s">
        <v>6260</v>
      </c>
      <c r="G650" s="55" t="s">
        <v>6261</v>
      </c>
      <c r="H650" s="55" t="s">
        <v>52</v>
      </c>
      <c r="I650" s="55"/>
      <c r="J650" s="55" t="s">
        <v>6258</v>
      </c>
      <c r="K650" s="55" t="s">
        <v>20</v>
      </c>
      <c r="L650" s="57" t="str">
        <f>HYPERLINK("https://nycdoe.sharepoint.com/:w:/s/BAP/EV0aoTKjKLRDsHnZQaYslW4BYPvTlGegNrjCR7-pbyttVw", "5 out of 10")</f>
        <v>5 out of 10</v>
      </c>
      <c r="M650" t="s">
        <v>6259</v>
      </c>
    </row>
    <row r="651" spans="2:13">
      <c r="B651" s="55" t="s">
        <v>1683</v>
      </c>
      <c r="C651" s="55" t="s">
        <v>1044</v>
      </c>
      <c r="D651" s="55" t="s">
        <v>1731</v>
      </c>
      <c r="E651" s="55" t="s">
        <v>1739</v>
      </c>
      <c r="F651" s="55" t="s">
        <v>6262</v>
      </c>
      <c r="G651" s="55" t="s">
        <v>6263</v>
      </c>
      <c r="H651" s="55" t="s">
        <v>24</v>
      </c>
      <c r="I651" s="55"/>
      <c r="J651" s="55" t="s">
        <v>6258</v>
      </c>
      <c r="K651" s="55" t="s">
        <v>20</v>
      </c>
      <c r="L651" s="57" t="str">
        <f>HYPERLINK("https://nycdoe.sharepoint.com/:w:/s/BAP/EV0aoTKjKLRDsHnZQaYslW4BYPvTlGegNrjCR7-pbyttVw", "5 out of 10")</f>
        <v>5 out of 10</v>
      </c>
      <c r="M651" t="s">
        <v>6259</v>
      </c>
    </row>
    <row r="652" spans="2:13">
      <c r="B652" s="55" t="s">
        <v>1683</v>
      </c>
      <c r="C652" s="55" t="s">
        <v>1044</v>
      </c>
      <c r="D652" s="55" t="s">
        <v>6264</v>
      </c>
      <c r="E652" s="55" t="s">
        <v>1721</v>
      </c>
      <c r="F652" s="55" t="s">
        <v>6040</v>
      </c>
      <c r="G652" s="55" t="s">
        <v>1723</v>
      </c>
      <c r="H652" s="55" t="s">
        <v>43</v>
      </c>
      <c r="I652" s="55" t="s">
        <v>18</v>
      </c>
      <c r="J652" s="55" t="s">
        <v>6265</v>
      </c>
      <c r="K652" s="55" t="s">
        <v>20</v>
      </c>
      <c r="L652" s="57" t="str">
        <f>HYPERLINK("https://nycdoe.sharepoint.com/:w:/s/BAP/ETKxR0qHTQpJmLNR4SqY0wgBvFVN3vi2S2gWqXyUIVoiBg", "4 out of 10")</f>
        <v>4 out of 10</v>
      </c>
      <c r="M652" t="s">
        <v>6266</v>
      </c>
    </row>
    <row r="653" spans="2:13">
      <c r="B653" s="55" t="s">
        <v>1683</v>
      </c>
      <c r="C653" s="55" t="s">
        <v>1044</v>
      </c>
      <c r="D653" s="55" t="s">
        <v>6264</v>
      </c>
      <c r="E653" s="55" t="s">
        <v>6264</v>
      </c>
      <c r="F653" s="55" t="s">
        <v>6267</v>
      </c>
      <c r="G653" s="55" t="s">
        <v>6268</v>
      </c>
      <c r="H653" s="55" t="s">
        <v>17</v>
      </c>
      <c r="I653" s="55" t="s">
        <v>18</v>
      </c>
      <c r="J653" s="55" t="s">
        <v>6265</v>
      </c>
      <c r="K653" s="55" t="s">
        <v>20</v>
      </c>
      <c r="L653" s="57" t="str">
        <f>HYPERLINK("https://nycdoe.sharepoint.com/:w:/s/BAP/ETKxR0qHTQpJmLNR4SqY0wgBvFVN3vi2S2gWqXyUIVoiBg", "4 out of 10")</f>
        <v>4 out of 10</v>
      </c>
      <c r="M653" t="s">
        <v>6266</v>
      </c>
    </row>
    <row r="654" spans="2:13">
      <c r="B654" s="55" t="s">
        <v>1683</v>
      </c>
      <c r="C654" s="55" t="s">
        <v>1044</v>
      </c>
      <c r="D654" s="55" t="s">
        <v>1742</v>
      </c>
      <c r="E654" s="55" t="s">
        <v>1742</v>
      </c>
      <c r="F654" s="55" t="s">
        <v>6269</v>
      </c>
      <c r="G654" s="55" t="s">
        <v>6270</v>
      </c>
      <c r="H654" s="55" t="s">
        <v>17</v>
      </c>
      <c r="I654" s="55" t="s">
        <v>18</v>
      </c>
      <c r="J654" s="55" t="s">
        <v>6271</v>
      </c>
      <c r="K654" s="55" t="s">
        <v>62</v>
      </c>
      <c r="L654" s="57" t="str">
        <f>HYPERLINK("https://nycdoe.sharepoint.com/:w:/s/BAP/Ec0valYF_RxJrV0ohSI4nKwBGFeZdMmBXMpWujtL6FaZcQ", "9 out of 10")</f>
        <v>9 out of 10</v>
      </c>
      <c r="M654" t="s">
        <v>6272</v>
      </c>
    </row>
    <row r="655" spans="2:13">
      <c r="B655" s="55" t="s">
        <v>1683</v>
      </c>
      <c r="C655" s="55" t="s">
        <v>1044</v>
      </c>
      <c r="D655" s="55" t="s">
        <v>1742</v>
      </c>
      <c r="E655" s="55" t="s">
        <v>1746</v>
      </c>
      <c r="F655" s="55" t="s">
        <v>6273</v>
      </c>
      <c r="G655" s="55" t="s">
        <v>6274</v>
      </c>
      <c r="H655" s="55" t="s">
        <v>52</v>
      </c>
      <c r="I655" s="55"/>
      <c r="J655" s="55" t="s">
        <v>6271</v>
      </c>
      <c r="K655" s="55" t="s">
        <v>62</v>
      </c>
      <c r="L655" s="57" t="str">
        <f>HYPERLINK("https://nycdoe.sharepoint.com/:w:/s/BAP/Ec0valYF_RxJrV0ohSI4nKwBGFeZdMmBXMpWujtL6FaZcQ", "9 out of 10")</f>
        <v>9 out of 10</v>
      </c>
      <c r="M655" t="s">
        <v>6272</v>
      </c>
    </row>
    <row r="656" spans="2:13">
      <c r="B656" s="55" t="s">
        <v>1683</v>
      </c>
      <c r="C656" s="55" t="s">
        <v>1044</v>
      </c>
      <c r="D656" s="55" t="s">
        <v>1749</v>
      </c>
      <c r="E656" s="55" t="s">
        <v>1750</v>
      </c>
      <c r="F656" s="55" t="s">
        <v>6275</v>
      </c>
      <c r="G656" s="55" t="s">
        <v>6276</v>
      </c>
      <c r="H656" s="55" t="s">
        <v>56</v>
      </c>
      <c r="I656" s="55"/>
      <c r="J656" s="55" t="s">
        <v>6277</v>
      </c>
      <c r="K656" s="55" t="s">
        <v>20</v>
      </c>
      <c r="L656" s="57" t="str">
        <f>HYPERLINK("https://nycdoe.sharepoint.com/:w:/s/BAP/EcxONJLKVYJEvfM_V2Su4ZcBVLt3TygyXlTze8W2HOhfVQ", "8 out of 10")</f>
        <v>8 out of 10</v>
      </c>
      <c r="M656" t="s">
        <v>6278</v>
      </c>
    </row>
    <row r="657" spans="2:13">
      <c r="B657" s="55" t="s">
        <v>1683</v>
      </c>
      <c r="C657" s="55" t="s">
        <v>1044</v>
      </c>
      <c r="D657" s="55" t="s">
        <v>1749</v>
      </c>
      <c r="E657" s="55" t="s">
        <v>1638</v>
      </c>
      <c r="F657" s="55" t="s">
        <v>6120</v>
      </c>
      <c r="G657" s="55" t="s">
        <v>6121</v>
      </c>
      <c r="H657" s="55" t="s">
        <v>43</v>
      </c>
      <c r="I657" s="55"/>
      <c r="J657" s="55" t="s">
        <v>6277</v>
      </c>
      <c r="K657" s="55" t="s">
        <v>20</v>
      </c>
      <c r="L657" s="57" t="str">
        <f>HYPERLINK("https://nycdoe.sharepoint.com/:w:/s/BAP/EcxONJLKVYJEvfM_V2Su4ZcBVLt3TygyXlTze8W2HOhfVQ", "8 out of 10")</f>
        <v>8 out of 10</v>
      </c>
      <c r="M657" t="s">
        <v>6278</v>
      </c>
    </row>
    <row r="658" spans="2:13">
      <c r="B658" s="55" t="s">
        <v>1683</v>
      </c>
      <c r="C658" s="55" t="s">
        <v>1044</v>
      </c>
      <c r="D658" s="55" t="s">
        <v>1749</v>
      </c>
      <c r="E658" s="55" t="s">
        <v>1754</v>
      </c>
      <c r="F658" s="55" t="s">
        <v>6279</v>
      </c>
      <c r="G658" s="55" t="s">
        <v>6280</v>
      </c>
      <c r="H658" s="55" t="s">
        <v>56</v>
      </c>
      <c r="I658" s="55"/>
      <c r="J658" s="55" t="s">
        <v>6277</v>
      </c>
      <c r="K658" s="55" t="s">
        <v>20</v>
      </c>
      <c r="L658" s="57" t="str">
        <f>HYPERLINK("https://nycdoe.sharepoint.com/:w:/s/BAP/EcxONJLKVYJEvfM_V2Su4ZcBVLt3TygyXlTze8W2HOhfVQ", "8 out of 10")</f>
        <v>8 out of 10</v>
      </c>
      <c r="M658" t="s">
        <v>6278</v>
      </c>
    </row>
    <row r="659" spans="2:13">
      <c r="B659" s="55" t="s">
        <v>1683</v>
      </c>
      <c r="C659" s="55" t="s">
        <v>1044</v>
      </c>
      <c r="D659" s="55" t="s">
        <v>1749</v>
      </c>
      <c r="E659" s="55" t="s">
        <v>1757</v>
      </c>
      <c r="F659" s="55" t="s">
        <v>6281</v>
      </c>
      <c r="G659" s="55" t="s">
        <v>6282</v>
      </c>
      <c r="H659" s="55" t="s">
        <v>56</v>
      </c>
      <c r="I659" s="55"/>
      <c r="J659" s="55" t="s">
        <v>6277</v>
      </c>
      <c r="K659" s="55" t="s">
        <v>20</v>
      </c>
      <c r="L659" s="57" t="str">
        <f>HYPERLINK("https://nycdoe.sharepoint.com/:w:/s/BAP/EcxONJLKVYJEvfM_V2Su4ZcBVLt3TygyXlTze8W2HOhfVQ", "8 out of 10")</f>
        <v>8 out of 10</v>
      </c>
      <c r="M659" t="s">
        <v>6278</v>
      </c>
    </row>
    <row r="660" spans="2:13">
      <c r="B660" s="55" t="s">
        <v>1683</v>
      </c>
      <c r="C660" s="55" t="s">
        <v>1044</v>
      </c>
      <c r="D660" s="55" t="s">
        <v>1749</v>
      </c>
      <c r="E660" s="55" t="s">
        <v>1760</v>
      </c>
      <c r="F660" s="55" t="s">
        <v>6283</v>
      </c>
      <c r="G660" s="55" t="s">
        <v>6284</v>
      </c>
      <c r="H660" s="55" t="s">
        <v>56</v>
      </c>
      <c r="I660" s="55"/>
      <c r="J660" s="55" t="s">
        <v>6277</v>
      </c>
      <c r="K660" s="55" t="s">
        <v>20</v>
      </c>
      <c r="L660" s="57" t="str">
        <f>HYPERLINK("https://nycdoe.sharepoint.com/:w:/s/BAP/EcxONJLKVYJEvfM_V2Su4ZcBVLt3TygyXlTze8W2HOhfVQ", "8 out of 10")</f>
        <v>8 out of 10</v>
      </c>
      <c r="M660" t="s">
        <v>6278</v>
      </c>
    </row>
    <row r="661" spans="2:13">
      <c r="B661" s="55" t="s">
        <v>1683</v>
      </c>
      <c r="C661" s="55" t="s">
        <v>1044</v>
      </c>
      <c r="D661" s="55" t="s">
        <v>1749</v>
      </c>
      <c r="E661" s="55" t="s">
        <v>1763</v>
      </c>
      <c r="F661" s="55" t="s">
        <v>6285</v>
      </c>
      <c r="G661" s="55" t="s">
        <v>6286</v>
      </c>
      <c r="H661" s="55" t="s">
        <v>56</v>
      </c>
      <c r="I661" s="55"/>
      <c r="J661" s="55" t="s">
        <v>6277</v>
      </c>
      <c r="K661" s="55" t="s">
        <v>20</v>
      </c>
      <c r="L661" s="57" t="str">
        <f>HYPERLINK("https://nycdoe.sharepoint.com/:w:/s/BAP/EcxONJLKVYJEvfM_V2Su4ZcBVLt3TygyXlTze8W2HOhfVQ", "8 out of 10")</f>
        <v>8 out of 10</v>
      </c>
      <c r="M661" t="s">
        <v>6278</v>
      </c>
    </row>
    <row r="662" spans="2:13">
      <c r="B662" s="55" t="s">
        <v>1683</v>
      </c>
      <c r="C662" s="55" t="s">
        <v>1044</v>
      </c>
      <c r="D662" s="55" t="s">
        <v>1766</v>
      </c>
      <c r="E662" s="55" t="s">
        <v>1264</v>
      </c>
      <c r="F662" s="55" t="s">
        <v>5697</v>
      </c>
      <c r="G662" s="55" t="s">
        <v>1266</v>
      </c>
      <c r="H662" s="55" t="s">
        <v>43</v>
      </c>
      <c r="I662" s="55"/>
      <c r="J662" s="55" t="s">
        <v>6287</v>
      </c>
      <c r="K662" s="55" t="s">
        <v>62</v>
      </c>
      <c r="L662" s="57" t="str">
        <f>HYPERLINK("https://nycdoe.sharepoint.com/:w:/s/BAP/Eeixrz858TlIop78YPPGscMBogfJseCf6Gp12KjzdHzWqA", "10 out of 10")</f>
        <v>10 out of 10</v>
      </c>
      <c r="M662" t="s">
        <v>6288</v>
      </c>
    </row>
    <row r="663" spans="2:13">
      <c r="B663" s="55" t="s">
        <v>1683</v>
      </c>
      <c r="C663" s="55" t="s">
        <v>1044</v>
      </c>
      <c r="D663" s="55" t="s">
        <v>1766</v>
      </c>
      <c r="E663" s="55" t="s">
        <v>1768</v>
      </c>
      <c r="F663" s="55" t="s">
        <v>6289</v>
      </c>
      <c r="G663" s="55" t="s">
        <v>6290</v>
      </c>
      <c r="H663" s="55" t="s">
        <v>84</v>
      </c>
      <c r="I663" s="55"/>
      <c r="J663" s="55" t="s">
        <v>6287</v>
      </c>
      <c r="K663" s="55" t="s">
        <v>62</v>
      </c>
      <c r="L663" s="57" t="str">
        <f>HYPERLINK("https://nycdoe.sharepoint.com/:w:/s/BAP/Eeixrz858TlIop78YPPGscMBogfJseCf6Gp12KjzdHzWqA", "10 out of 10")</f>
        <v>10 out of 10</v>
      </c>
      <c r="M663" t="s">
        <v>6288</v>
      </c>
    </row>
    <row r="664" spans="2:13">
      <c r="B664" s="55" t="s">
        <v>1683</v>
      </c>
      <c r="C664" s="55" t="s">
        <v>1044</v>
      </c>
      <c r="D664" s="55" t="s">
        <v>1766</v>
      </c>
      <c r="E664" s="55" t="s">
        <v>1766</v>
      </c>
      <c r="F664" s="55" t="s">
        <v>6291</v>
      </c>
      <c r="G664" s="55" t="s">
        <v>6292</v>
      </c>
      <c r="H664" s="55" t="s">
        <v>84</v>
      </c>
      <c r="I664" s="55"/>
      <c r="J664" s="55" t="s">
        <v>6287</v>
      </c>
      <c r="K664" s="55" t="s">
        <v>62</v>
      </c>
      <c r="L664" s="57" t="str">
        <f>HYPERLINK("https://nycdoe.sharepoint.com/:w:/s/BAP/Eeixrz858TlIop78YPPGscMBogfJseCf6Gp12KjzdHzWqA", "10 out of 10")</f>
        <v>10 out of 10</v>
      </c>
      <c r="M664" t="s">
        <v>6288</v>
      </c>
    </row>
    <row r="665" spans="2:13">
      <c r="B665" s="55" t="s">
        <v>1683</v>
      </c>
      <c r="C665" s="55" t="s">
        <v>1044</v>
      </c>
      <c r="D665" s="55" t="s">
        <v>1773</v>
      </c>
      <c r="E665" s="55" t="s">
        <v>1774</v>
      </c>
      <c r="F665" s="55" t="s">
        <v>6293</v>
      </c>
      <c r="G665" s="55" t="s">
        <v>1776</v>
      </c>
      <c r="H665" s="55" t="s">
        <v>43</v>
      </c>
      <c r="I665" s="55"/>
      <c r="J665" s="55" t="s">
        <v>6294</v>
      </c>
      <c r="K665" s="55" t="s">
        <v>62</v>
      </c>
      <c r="L665" s="57" t="str">
        <f>HYPERLINK("https://nycdoe.sharepoint.com/:w:/s/BAP/EYewSkCifNBAgooZSLY5tlgB3tlM4fZmJKAnM_43AzGZBw", "10 out of 10")</f>
        <v>10 out of 10</v>
      </c>
      <c r="M665" t="s">
        <v>6295</v>
      </c>
    </row>
    <row r="666" spans="2:13">
      <c r="B666" s="55" t="s">
        <v>1683</v>
      </c>
      <c r="C666" s="55" t="s">
        <v>1044</v>
      </c>
      <c r="D666" s="55" t="s">
        <v>1773</v>
      </c>
      <c r="E666" s="55" t="s">
        <v>1778</v>
      </c>
      <c r="F666" s="55" t="s">
        <v>6296</v>
      </c>
      <c r="G666" s="55" t="s">
        <v>6297</v>
      </c>
      <c r="H666" s="55" t="s">
        <v>84</v>
      </c>
      <c r="I666" s="55"/>
      <c r="J666" s="55" t="s">
        <v>6294</v>
      </c>
      <c r="K666" s="55" t="s">
        <v>62</v>
      </c>
      <c r="L666" s="57" t="str">
        <f>HYPERLINK("https://nycdoe.sharepoint.com/:w:/s/BAP/EYewSkCifNBAgooZSLY5tlgB3tlM4fZmJKAnM_43AzGZBw", "10 out of 10")</f>
        <v>10 out of 10</v>
      </c>
      <c r="M666" t="s">
        <v>6295</v>
      </c>
    </row>
    <row r="667" spans="2:13">
      <c r="B667" s="55" t="s">
        <v>1683</v>
      </c>
      <c r="C667" s="55" t="s">
        <v>1044</v>
      </c>
      <c r="D667" s="55" t="s">
        <v>1781</v>
      </c>
      <c r="E667" s="55" t="s">
        <v>1781</v>
      </c>
      <c r="F667" s="55" t="s">
        <v>6298</v>
      </c>
      <c r="G667" s="55" t="s">
        <v>6299</v>
      </c>
      <c r="H667" s="55" t="s">
        <v>56</v>
      </c>
      <c r="I667" s="55"/>
      <c r="J667" s="55" t="s">
        <v>6300</v>
      </c>
      <c r="K667" s="55" t="s">
        <v>20</v>
      </c>
      <c r="L667" s="57" t="str">
        <f>HYPERLINK("https://nycdoe.sharepoint.com/:w:/s/BAP/ERN8I_IwVU5NpvsGeBQoi8MBx-Fni6D_2oEaXJLFzmMWjw", "6 out of 10")</f>
        <v>6 out of 10</v>
      </c>
      <c r="M667" t="s">
        <v>6301</v>
      </c>
    </row>
    <row r="668" spans="2:13">
      <c r="B668" s="55" t="s">
        <v>1683</v>
      </c>
      <c r="C668" s="55" t="s">
        <v>1044</v>
      </c>
      <c r="D668" s="55" t="s">
        <v>1785</v>
      </c>
      <c r="E668" s="55" t="s">
        <v>1785</v>
      </c>
      <c r="F668" s="55" t="s">
        <v>6302</v>
      </c>
      <c r="G668" s="55" t="s">
        <v>6303</v>
      </c>
      <c r="H668" s="55" t="s">
        <v>56</v>
      </c>
      <c r="I668" s="55"/>
      <c r="J668" s="55" t="s">
        <v>6304</v>
      </c>
      <c r="K668" s="55" t="s">
        <v>62</v>
      </c>
      <c r="L668" s="57" t="str">
        <f>HYPERLINK("https://nycdoe.sharepoint.com/:w:/s/BAP/ESevf_3TWc5FhspFiID2KSYBaLsMZqGEPKWKeuZWLVs3oA", "9 out of 10")</f>
        <v>9 out of 10</v>
      </c>
      <c r="M668" t="s">
        <v>6305</v>
      </c>
    </row>
    <row r="669" spans="2:13">
      <c r="B669" s="55" t="s">
        <v>1683</v>
      </c>
      <c r="C669" s="55" t="s">
        <v>1044</v>
      </c>
      <c r="D669" s="55" t="s">
        <v>1785</v>
      </c>
      <c r="E669" s="55" t="s">
        <v>1560</v>
      </c>
      <c r="F669" s="55" t="s">
        <v>5783</v>
      </c>
      <c r="G669" s="55" t="s">
        <v>5784</v>
      </c>
      <c r="H669" s="55" t="s">
        <v>56</v>
      </c>
      <c r="I669" s="55"/>
      <c r="J669" s="55" t="s">
        <v>6304</v>
      </c>
      <c r="K669" s="55" t="s">
        <v>62</v>
      </c>
      <c r="L669" s="57" t="str">
        <f>HYPERLINK("https://nycdoe.sharepoint.com/:w:/s/BAP/ESevf_3TWc5FhspFiID2KSYBaLsMZqGEPKWKeuZWLVs3oA", "9 out of 10")</f>
        <v>9 out of 10</v>
      </c>
      <c r="M669" t="s">
        <v>6305</v>
      </c>
    </row>
    <row r="670" spans="2:13">
      <c r="B670" s="55" t="s">
        <v>1683</v>
      </c>
      <c r="C670" s="55" t="s">
        <v>1044</v>
      </c>
      <c r="D670" s="55" t="s">
        <v>1331</v>
      </c>
      <c r="E670" s="55" t="s">
        <v>1391</v>
      </c>
      <c r="F670" s="55" t="s">
        <v>5856</v>
      </c>
      <c r="G670" s="55" t="s">
        <v>1393</v>
      </c>
      <c r="H670" s="55" t="s">
        <v>17</v>
      </c>
      <c r="I670" s="55" t="s">
        <v>18</v>
      </c>
      <c r="J670" s="55" t="s">
        <v>6306</v>
      </c>
      <c r="K670" s="55" t="s">
        <v>62</v>
      </c>
      <c r="L670" s="57" t="str">
        <f>HYPERLINK("https://nycdoe.sharepoint.com/:w:/s/BAP/EaWJP9Q9ERZHnu5jFp4hKcsBHtg0Ezyb5qBSfUXPA2VkuQ", "10 out of 10")</f>
        <v>10 out of 10</v>
      </c>
      <c r="M670" t="s">
        <v>6307</v>
      </c>
    </row>
    <row r="671" spans="2:13">
      <c r="B671" s="55" t="s">
        <v>1683</v>
      </c>
      <c r="C671" s="55" t="s">
        <v>1044</v>
      </c>
      <c r="D671" s="55" t="s">
        <v>1331</v>
      </c>
      <c r="E671" s="55" t="s">
        <v>1790</v>
      </c>
      <c r="F671" s="55" t="s">
        <v>6308</v>
      </c>
      <c r="G671" s="55" t="s">
        <v>1792</v>
      </c>
      <c r="H671" s="55" t="s">
        <v>52</v>
      </c>
      <c r="I671" s="55"/>
      <c r="J671" s="55" t="s">
        <v>6306</v>
      </c>
      <c r="K671" s="55" t="s">
        <v>62</v>
      </c>
      <c r="L671" s="57" t="str">
        <f>HYPERLINK("https://nycdoe.sharepoint.com/:w:/s/BAP/EaWJP9Q9ERZHnu5jFp4hKcsBHtg0Ezyb5qBSfUXPA2VkuQ", "10 out of 10")</f>
        <v>10 out of 10</v>
      </c>
      <c r="M671" t="s">
        <v>6307</v>
      </c>
    </row>
    <row r="672" spans="2:13">
      <c r="B672" s="55" t="s">
        <v>1683</v>
      </c>
      <c r="C672" s="55" t="s">
        <v>1044</v>
      </c>
      <c r="D672" s="55" t="s">
        <v>1331</v>
      </c>
      <c r="E672" s="55" t="s">
        <v>1793</v>
      </c>
      <c r="F672" s="55" t="s">
        <v>6309</v>
      </c>
      <c r="G672" s="55" t="s">
        <v>1795</v>
      </c>
      <c r="H672" s="55" t="s">
        <v>17</v>
      </c>
      <c r="I672" s="55" t="s">
        <v>18</v>
      </c>
      <c r="J672" s="55" t="s">
        <v>6306</v>
      </c>
      <c r="K672" s="55" t="s">
        <v>62</v>
      </c>
      <c r="L672" s="57" t="str">
        <f>HYPERLINK("https://nycdoe.sharepoint.com/:w:/s/BAP/EaWJP9Q9ERZHnu5jFp4hKcsBHtg0Ezyb5qBSfUXPA2VkuQ", "10 out of 10")</f>
        <v>10 out of 10</v>
      </c>
      <c r="M672" t="s">
        <v>6307</v>
      </c>
    </row>
    <row r="673" spans="2:13">
      <c r="B673" s="55" t="s">
        <v>1683</v>
      </c>
      <c r="C673" s="55" t="s">
        <v>1044</v>
      </c>
      <c r="D673" s="55" t="s">
        <v>1796</v>
      </c>
      <c r="E673" s="55" t="s">
        <v>1391</v>
      </c>
      <c r="F673" s="55" t="s">
        <v>5856</v>
      </c>
      <c r="G673" s="55" t="s">
        <v>1393</v>
      </c>
      <c r="H673" s="55" t="s">
        <v>17</v>
      </c>
      <c r="I673" s="55" t="s">
        <v>18</v>
      </c>
      <c r="J673" s="55" t="s">
        <v>6310</v>
      </c>
      <c r="K673" s="55" t="s">
        <v>62</v>
      </c>
      <c r="L673" s="57" t="str">
        <f>HYPERLINK("https://nycdoe.sharepoint.com/:w:/s/BAP/EdUEHx9RtRlPpJBCPm8qOzQBo1Kf0qQFYh7eLgT3_NEDNA", "10 out of 10")</f>
        <v>10 out of 10</v>
      </c>
      <c r="M673" t="s">
        <v>6311</v>
      </c>
    </row>
    <row r="674" spans="2:13">
      <c r="B674" s="55" t="s">
        <v>1683</v>
      </c>
      <c r="C674" s="55" t="s">
        <v>1044</v>
      </c>
      <c r="D674" s="55" t="s">
        <v>1796</v>
      </c>
      <c r="E674" s="55" t="s">
        <v>1798</v>
      </c>
      <c r="F674" s="55" t="s">
        <v>6312</v>
      </c>
      <c r="G674" s="55" t="s">
        <v>1800</v>
      </c>
      <c r="H674" s="55" t="s">
        <v>17</v>
      </c>
      <c r="I674" s="55" t="s">
        <v>18</v>
      </c>
      <c r="J674" s="55" t="s">
        <v>6310</v>
      </c>
      <c r="K674" s="55" t="s">
        <v>62</v>
      </c>
      <c r="L674" s="57" t="str">
        <f>HYPERLINK("https://nycdoe.sharepoint.com/:w:/s/BAP/EdUEHx9RtRlPpJBCPm8qOzQBo1Kf0qQFYh7eLgT3_NEDNA", "10 out of 10")</f>
        <v>10 out of 10</v>
      </c>
      <c r="M674" t="s">
        <v>6311</v>
      </c>
    </row>
    <row r="675" spans="2:13">
      <c r="B675" s="55" t="s">
        <v>1683</v>
      </c>
      <c r="C675" s="55" t="s">
        <v>1044</v>
      </c>
      <c r="D675" s="55" t="s">
        <v>1801</v>
      </c>
      <c r="E675" s="55" t="s">
        <v>1802</v>
      </c>
      <c r="F675" s="55" t="s">
        <v>6313</v>
      </c>
      <c r="G675" s="55" t="s">
        <v>6314</v>
      </c>
      <c r="H675" s="55" t="s">
        <v>24</v>
      </c>
      <c r="I675" s="55" t="s">
        <v>18</v>
      </c>
      <c r="J675" s="55" t="s">
        <v>6315</v>
      </c>
      <c r="K675" s="55" t="s">
        <v>62</v>
      </c>
      <c r="L675" s="57" t="str">
        <f>HYPERLINK("https://nycdoe.sharepoint.com/:w:/s/BAP/ETlU8tqJTYNMt1F7luwB81oBV24ke8L3IHnW9ZjKgXp64A", "10 out of 10")</f>
        <v>10 out of 10</v>
      </c>
      <c r="M675" t="s">
        <v>6316</v>
      </c>
    </row>
    <row r="676" spans="2:13">
      <c r="B676" s="55" t="s">
        <v>1683</v>
      </c>
      <c r="C676" s="55" t="s">
        <v>1044</v>
      </c>
      <c r="D676" s="55" t="s">
        <v>1806</v>
      </c>
      <c r="E676" s="55" t="s">
        <v>1721</v>
      </c>
      <c r="F676" s="55" t="s">
        <v>6040</v>
      </c>
      <c r="G676" s="55" t="s">
        <v>1723</v>
      </c>
      <c r="H676" s="55" t="s">
        <v>43</v>
      </c>
      <c r="I676" s="55" t="s">
        <v>18</v>
      </c>
      <c r="J676" s="55" t="s">
        <v>6317</v>
      </c>
      <c r="K676" s="55" t="s">
        <v>20</v>
      </c>
      <c r="L676" s="57" t="str">
        <f>HYPERLINK("https://nycdoe.sharepoint.com/:w:/s/BAP/EW9Vr3MM68lGgKOqyoqCh_wB7U39G832LtmRqimPalorXA", "1 out of 10")</f>
        <v>1 out of 10</v>
      </c>
      <c r="M676" t="s">
        <v>6318</v>
      </c>
    </row>
    <row r="677" spans="2:13">
      <c r="B677" s="55" t="s">
        <v>1683</v>
      </c>
      <c r="C677" s="55" t="s">
        <v>1044</v>
      </c>
      <c r="D677" s="55" t="s">
        <v>6319</v>
      </c>
      <c r="E677" s="55" t="s">
        <v>4490</v>
      </c>
      <c r="F677" s="55" t="s">
        <v>4491</v>
      </c>
      <c r="G677" s="55" t="s">
        <v>4492</v>
      </c>
      <c r="H677" s="55" t="s">
        <v>56</v>
      </c>
      <c r="I677" s="55"/>
      <c r="J677" s="55" t="s">
        <v>6320</v>
      </c>
      <c r="K677" s="55" t="s">
        <v>62</v>
      </c>
      <c r="L677" s="57" t="str">
        <f>HYPERLINK("https://nycdoe.sharepoint.com/:w:/s/BAP/EXFUneKrY41LgW6ggTAvlDMB4rlpi3XIBtKf9r4gCNrcsg", "9 out of 10")</f>
        <v>9 out of 10</v>
      </c>
      <c r="M677" t="s">
        <v>6321</v>
      </c>
    </row>
    <row r="678" spans="2:13">
      <c r="B678" s="55" t="s">
        <v>1808</v>
      </c>
      <c r="C678" s="55" t="s">
        <v>1044</v>
      </c>
      <c r="D678" s="55" t="s">
        <v>1264</v>
      </c>
      <c r="E678" s="55" t="s">
        <v>6322</v>
      </c>
      <c r="F678" s="55" t="s">
        <v>6323</v>
      </c>
      <c r="G678" s="55" t="s">
        <v>6324</v>
      </c>
      <c r="H678" s="55" t="s">
        <v>17</v>
      </c>
      <c r="I678" s="55"/>
      <c r="J678" s="55" t="s">
        <v>6325</v>
      </c>
      <c r="K678" s="55" t="s">
        <v>62</v>
      </c>
      <c r="L678" s="57" t="str">
        <f>HYPERLINK("https://nycdoe.sharepoint.com/:w:/s/BAP/EXJL-WsFSkFLsfSnID0-LpsBkb1LEcOgjZ0PlnXkbb2YvA", "10 out of 10")</f>
        <v>10 out of 10</v>
      </c>
      <c r="M678" t="s">
        <v>6326</v>
      </c>
    </row>
    <row r="679" spans="2:13">
      <c r="B679" s="55" t="s">
        <v>1808</v>
      </c>
      <c r="C679" s="55" t="s">
        <v>1044</v>
      </c>
      <c r="D679" s="55" t="s">
        <v>1809</v>
      </c>
      <c r="E679" s="55" t="s">
        <v>1809</v>
      </c>
      <c r="F679" s="55" t="s">
        <v>6327</v>
      </c>
      <c r="G679" s="55" t="s">
        <v>6328</v>
      </c>
      <c r="H679" s="55" t="s">
        <v>52</v>
      </c>
      <c r="I679" s="55"/>
      <c r="J679" s="55" t="s">
        <v>6329</v>
      </c>
      <c r="K679" s="55" t="s">
        <v>20</v>
      </c>
      <c r="L679" s="57" t="str">
        <f>HYPERLINK("https://nycdoe.sharepoint.com/:w:/s/BAP/Eb-wZ4wgn19PkNVgrzxOvBYBaV_sF3r_X8kpeZkZB8C4fw", "4 out of 10")</f>
        <v>4 out of 10</v>
      </c>
      <c r="M679" t="s">
        <v>6330</v>
      </c>
    </row>
    <row r="680" spans="2:13">
      <c r="B680" s="55" t="s">
        <v>1808</v>
      </c>
      <c r="C680" s="55" t="s">
        <v>1044</v>
      </c>
      <c r="D680" s="55" t="s">
        <v>1809</v>
      </c>
      <c r="E680" s="55" t="s">
        <v>1889</v>
      </c>
      <c r="F680" s="55" t="s">
        <v>6331</v>
      </c>
      <c r="G680" s="55" t="s">
        <v>1891</v>
      </c>
      <c r="H680" s="55" t="s">
        <v>43</v>
      </c>
      <c r="I680" s="55"/>
      <c r="J680" s="55" t="s">
        <v>6329</v>
      </c>
      <c r="K680" s="55" t="s">
        <v>20</v>
      </c>
      <c r="L680" s="57" t="str">
        <f>HYPERLINK("https://nycdoe.sharepoint.com/:w:/s/BAP/Eb-wZ4wgn19PkNVgrzxOvBYBaV_sF3r_X8kpeZkZB8C4fw", "4 out of 10")</f>
        <v>4 out of 10</v>
      </c>
      <c r="M680" t="s">
        <v>6330</v>
      </c>
    </row>
    <row r="681" spans="2:13">
      <c r="B681" s="55" t="s">
        <v>1808</v>
      </c>
      <c r="C681" s="55" t="s">
        <v>1044</v>
      </c>
      <c r="D681" s="55" t="s">
        <v>1809</v>
      </c>
      <c r="E681" s="55" t="s">
        <v>4564</v>
      </c>
      <c r="F681" s="55" t="s">
        <v>4565</v>
      </c>
      <c r="G681" s="55" t="s">
        <v>4566</v>
      </c>
      <c r="H681" s="55" t="s">
        <v>52</v>
      </c>
      <c r="I681" s="55"/>
      <c r="J681" s="55" t="s">
        <v>6329</v>
      </c>
      <c r="K681" s="55" t="s">
        <v>20</v>
      </c>
      <c r="L681" s="57" t="str">
        <f>HYPERLINK("https://nycdoe.sharepoint.com/:w:/s/BAP/Eb-wZ4wgn19PkNVgrzxOvBYBaV_sF3r_X8kpeZkZB8C4fw", "4 out of 10")</f>
        <v>4 out of 10</v>
      </c>
      <c r="M681" t="s">
        <v>6330</v>
      </c>
    </row>
    <row r="682" spans="2:13">
      <c r="B682" s="55" t="s">
        <v>1808</v>
      </c>
      <c r="C682" s="55" t="s">
        <v>1044</v>
      </c>
      <c r="D682" s="55" t="s">
        <v>1813</v>
      </c>
      <c r="E682" s="55" t="s">
        <v>1813</v>
      </c>
      <c r="F682" s="55" t="s">
        <v>6332</v>
      </c>
      <c r="G682" s="55" t="s">
        <v>6333</v>
      </c>
      <c r="H682" s="55" t="s">
        <v>17</v>
      </c>
      <c r="I682" s="55"/>
      <c r="J682" s="55" t="s">
        <v>6334</v>
      </c>
      <c r="K682" s="55" t="s">
        <v>62</v>
      </c>
      <c r="L682" s="57" t="str">
        <f>HYPERLINK("https://nycdoe.sharepoint.com/:w:/s/BAP/ESL-8dbpFllDgVpG88XGJoEBwPxdODSoVx03hlaq7zvfDg", "10 out of 10")</f>
        <v>10 out of 10</v>
      </c>
      <c r="M682" t="s">
        <v>6335</v>
      </c>
    </row>
    <row r="683" spans="2:13">
      <c r="B683" s="55" t="s">
        <v>1808</v>
      </c>
      <c r="C683" s="55" t="s">
        <v>1044</v>
      </c>
      <c r="D683" s="55" t="s">
        <v>6336</v>
      </c>
      <c r="E683" s="55" t="s">
        <v>6336</v>
      </c>
      <c r="F683" s="55" t="s">
        <v>6337</v>
      </c>
      <c r="G683" s="55" t="s">
        <v>6338</v>
      </c>
      <c r="H683" s="55" t="s">
        <v>17</v>
      </c>
      <c r="I683" s="55"/>
      <c r="J683" s="55" t="s">
        <v>6339</v>
      </c>
      <c r="K683" s="55" t="s">
        <v>20</v>
      </c>
      <c r="L683" s="57" t="str">
        <f>HYPERLINK("https://nycdoe.sharepoint.com/:w:/s/BAP/EW6CYgoXcxBCoZpdO7c_sAsBFQHyVCAc17OJ5C0tYa4zKw", "3 out of 10")</f>
        <v>3 out of 10</v>
      </c>
      <c r="M683" t="s">
        <v>6340</v>
      </c>
    </row>
    <row r="684" spans="2:13">
      <c r="B684" s="55" t="s">
        <v>1808</v>
      </c>
      <c r="C684" s="55" t="s">
        <v>1044</v>
      </c>
      <c r="D684" s="55" t="s">
        <v>6341</v>
      </c>
      <c r="E684" s="55" t="s">
        <v>6341</v>
      </c>
      <c r="F684" s="55" t="s">
        <v>6342</v>
      </c>
      <c r="G684" s="55" t="s">
        <v>6343</v>
      </c>
      <c r="H684" s="55" t="s">
        <v>24</v>
      </c>
      <c r="I684" s="55"/>
      <c r="J684" s="55" t="s">
        <v>6344</v>
      </c>
      <c r="K684" s="55" t="s">
        <v>20</v>
      </c>
      <c r="L684" s="57" t="str">
        <f>HYPERLINK("https://nycdoe.sharepoint.com/:w:/s/BAP/Eb8K0TD47gNMt05q04M1kYMB3FnKnTBbUzP3bUPRr95d7w", "1 out of 10")</f>
        <v>1 out of 10</v>
      </c>
      <c r="M684" t="s">
        <v>6345</v>
      </c>
    </row>
    <row r="685" spans="2:13">
      <c r="B685" s="55" t="s">
        <v>1808</v>
      </c>
      <c r="C685" s="55" t="s">
        <v>1044</v>
      </c>
      <c r="D685" s="55" t="s">
        <v>1817</v>
      </c>
      <c r="E685" s="55" t="s">
        <v>1817</v>
      </c>
      <c r="F685" s="55" t="s">
        <v>6346</v>
      </c>
      <c r="G685" s="55" t="s">
        <v>6347</v>
      </c>
      <c r="H685" s="55" t="s">
        <v>17</v>
      </c>
      <c r="I685" s="55"/>
      <c r="J685" s="55" t="s">
        <v>6348</v>
      </c>
      <c r="K685" s="55" t="s">
        <v>62</v>
      </c>
      <c r="L685" s="57" t="str">
        <f>HYPERLINK("https://nycdoe.sharepoint.com/:w:/s/BAP/EStc0MTE99NDtb51guyr0E8BQcbqls2CNhybH-orMqlBMA", "9 out of 10")</f>
        <v>9 out of 10</v>
      </c>
      <c r="M685" t="s">
        <v>6349</v>
      </c>
    </row>
    <row r="686" spans="2:13">
      <c r="B686" s="55" t="s">
        <v>1808</v>
      </c>
      <c r="C686" s="55" t="s">
        <v>1044</v>
      </c>
      <c r="D686" s="55" t="s">
        <v>1821</v>
      </c>
      <c r="E686" s="55" t="s">
        <v>1821</v>
      </c>
      <c r="F686" s="55" t="s">
        <v>6350</v>
      </c>
      <c r="G686" s="55" t="s">
        <v>6351</v>
      </c>
      <c r="H686" s="55" t="s">
        <v>17</v>
      </c>
      <c r="I686" s="55"/>
      <c r="J686" s="55" t="s">
        <v>6352</v>
      </c>
      <c r="K686" s="55" t="s">
        <v>20</v>
      </c>
      <c r="L686" s="57" t="str">
        <f>HYPERLINK("https://nycdoe.sharepoint.com/:w:/s/BAP/EWxPXy_5ItdOhNMLn8yZBzsBOGzfxRxFiSNkXE01pQus4w", "8 out of 10")</f>
        <v>8 out of 10</v>
      </c>
      <c r="M686" t="s">
        <v>6353</v>
      </c>
    </row>
    <row r="687" spans="2:13">
      <c r="B687" s="55" t="s">
        <v>1808</v>
      </c>
      <c r="C687" s="55" t="s">
        <v>1044</v>
      </c>
      <c r="D687" s="55" t="s">
        <v>1825</v>
      </c>
      <c r="E687" s="55" t="s">
        <v>1825</v>
      </c>
      <c r="F687" s="55" t="s">
        <v>6354</v>
      </c>
      <c r="G687" s="55" t="s">
        <v>6355</v>
      </c>
      <c r="H687" s="55" t="s">
        <v>17</v>
      </c>
      <c r="I687" s="55"/>
      <c r="J687" s="55" t="s">
        <v>6356</v>
      </c>
      <c r="K687" s="55" t="s">
        <v>62</v>
      </c>
      <c r="L687" s="57" t="str">
        <f>HYPERLINK("https://nycdoe.sharepoint.com/:w:/s/BAP/EUtqMhcL82BKhN7FzVkp0JsBa9iCv8T38jQvhn0PYLlsyw", "9 out of 10")</f>
        <v>9 out of 10</v>
      </c>
      <c r="M687" t="s">
        <v>6357</v>
      </c>
    </row>
    <row r="688" spans="2:13">
      <c r="B688" s="55" t="s">
        <v>1808</v>
      </c>
      <c r="C688" s="55" t="s">
        <v>1044</v>
      </c>
      <c r="D688" s="55" t="s">
        <v>1829</v>
      </c>
      <c r="E688" s="55" t="s">
        <v>1829</v>
      </c>
      <c r="F688" s="55" t="s">
        <v>6358</v>
      </c>
      <c r="G688" s="55" t="s">
        <v>6359</v>
      </c>
      <c r="H688" s="55" t="s">
        <v>17</v>
      </c>
      <c r="I688" s="55"/>
      <c r="J688" s="55" t="s">
        <v>6360</v>
      </c>
      <c r="K688" s="55" t="s">
        <v>20</v>
      </c>
      <c r="L688" s="57" t="str">
        <f>HYPERLINK("https://nycdoe.sharepoint.com/:w:/s/BAP/EdJ74Go2MwlNhuGhrEjUVaMBNjKat77vEvP6MWw4PmZMnQ", "7 out of 10")</f>
        <v>7 out of 10</v>
      </c>
      <c r="M688" t="s">
        <v>6361</v>
      </c>
    </row>
    <row r="689" spans="2:13">
      <c r="B689" s="55" t="s">
        <v>1808</v>
      </c>
      <c r="C689" s="55" t="s">
        <v>1044</v>
      </c>
      <c r="D689" s="55" t="s">
        <v>6362</v>
      </c>
      <c r="E689" s="55" t="s">
        <v>1721</v>
      </c>
      <c r="F689" s="55" t="s">
        <v>6040</v>
      </c>
      <c r="G689" s="55" t="s">
        <v>1723</v>
      </c>
      <c r="H689" s="55" t="s">
        <v>43</v>
      </c>
      <c r="I689" s="55" t="s">
        <v>18</v>
      </c>
      <c r="J689" s="55" t="s">
        <v>6363</v>
      </c>
      <c r="K689" s="55" t="s">
        <v>20</v>
      </c>
      <c r="L689" s="57" t="str">
        <f>HYPERLINK("https://nycdoe.sharepoint.com/:w:/s/BAP/EaGOH6k5tQxOtln5a2r3cGQB23KE-mOp7iBCRq68UgRVjg", "1 out of 10")</f>
        <v>1 out of 10</v>
      </c>
      <c r="M689" t="s">
        <v>6364</v>
      </c>
    </row>
    <row r="690" spans="2:13">
      <c r="B690" s="55" t="s">
        <v>1808</v>
      </c>
      <c r="C690" s="55" t="s">
        <v>1044</v>
      </c>
      <c r="D690" s="55" t="s">
        <v>6362</v>
      </c>
      <c r="E690" s="55" t="s">
        <v>6362</v>
      </c>
      <c r="F690" s="55" t="s">
        <v>6365</v>
      </c>
      <c r="G690" s="55" t="s">
        <v>6366</v>
      </c>
      <c r="H690" s="55" t="s">
        <v>24</v>
      </c>
      <c r="I690" s="55" t="s">
        <v>18</v>
      </c>
      <c r="J690" s="55" t="s">
        <v>6363</v>
      </c>
      <c r="K690" s="55" t="s">
        <v>20</v>
      </c>
      <c r="L690" s="57" t="str">
        <f>HYPERLINK("https://nycdoe.sharepoint.com/:w:/s/BAP/EaGOH6k5tQxOtln5a2r3cGQB23KE-mOp7iBCRq68UgRVjg", "1 out of 10")</f>
        <v>1 out of 10</v>
      </c>
      <c r="M690" t="s">
        <v>6364</v>
      </c>
    </row>
    <row r="691" spans="2:13">
      <c r="B691" s="55" t="s">
        <v>1808</v>
      </c>
      <c r="C691" s="55" t="s">
        <v>1044</v>
      </c>
      <c r="D691" s="55" t="s">
        <v>6367</v>
      </c>
      <c r="E691" s="55" t="s">
        <v>6367</v>
      </c>
      <c r="F691" s="55" t="s">
        <v>6368</v>
      </c>
      <c r="G691" s="55" t="s">
        <v>6369</v>
      </c>
      <c r="H691" s="55" t="s">
        <v>17</v>
      </c>
      <c r="I691" s="55" t="s">
        <v>18</v>
      </c>
      <c r="J691" s="55" t="s">
        <v>6370</v>
      </c>
      <c r="K691" s="55" t="s">
        <v>20</v>
      </c>
      <c r="L691" s="57" t="str">
        <f>HYPERLINK("https://nycdoe.sharepoint.com/:w:/s/BAP/ET1ZGkytoVdKgBSdNsCAvOoBLaeqsuyQCsnx-Fex9dOtkw", "1 out of 10")</f>
        <v>1 out of 10</v>
      </c>
      <c r="M691" t="s">
        <v>6371</v>
      </c>
    </row>
    <row r="692" spans="2:13">
      <c r="B692" s="55" t="s">
        <v>1808</v>
      </c>
      <c r="C692" s="55" t="s">
        <v>1044</v>
      </c>
      <c r="D692" s="55" t="s">
        <v>1833</v>
      </c>
      <c r="E692" s="55" t="s">
        <v>1833</v>
      </c>
      <c r="F692" s="55" t="s">
        <v>6372</v>
      </c>
      <c r="G692" s="55" t="s">
        <v>6373</v>
      </c>
      <c r="H692" s="55" t="s">
        <v>52</v>
      </c>
      <c r="I692" s="55"/>
      <c r="J692" s="55" t="s">
        <v>6374</v>
      </c>
      <c r="K692" s="55" t="s">
        <v>20</v>
      </c>
      <c r="L692" s="57" t="str">
        <f>HYPERLINK("https://nycdoe.sharepoint.com/:w:/s/BAP/Ef2E-D3m5dRChF-PVeQFcwgB3_QicvkfIDKuuiCWKU0Kxw", "8 out of 10")</f>
        <v>8 out of 10</v>
      </c>
      <c r="M692" t="s">
        <v>6375</v>
      </c>
    </row>
    <row r="693" spans="2:13">
      <c r="B693" s="55" t="s">
        <v>1808</v>
      </c>
      <c r="C693" s="55" t="s">
        <v>1044</v>
      </c>
      <c r="D693" s="55" t="s">
        <v>1837</v>
      </c>
      <c r="E693" s="55" t="s">
        <v>1837</v>
      </c>
      <c r="F693" s="55" t="s">
        <v>6376</v>
      </c>
      <c r="G693" s="55" t="s">
        <v>6377</v>
      </c>
      <c r="H693" s="55" t="s">
        <v>17</v>
      </c>
      <c r="I693" s="55" t="s">
        <v>18</v>
      </c>
      <c r="J693" s="55" t="s">
        <v>6378</v>
      </c>
      <c r="K693" s="55" t="s">
        <v>20</v>
      </c>
      <c r="L693" s="57" t="str">
        <f>HYPERLINK("https://nycdoe.sharepoint.com/:w:/s/BAP/EWWkHgSFaH1EnefFt3QzQRwBswXSEdsbfllDlNlfAoe_gw", "6 out of 10")</f>
        <v>6 out of 10</v>
      </c>
      <c r="M693" t="s">
        <v>6379</v>
      </c>
    </row>
    <row r="694" spans="2:13">
      <c r="B694" s="55" t="s">
        <v>1808</v>
      </c>
      <c r="C694" s="55" t="s">
        <v>1044</v>
      </c>
      <c r="D694" s="55" t="s">
        <v>1841</v>
      </c>
      <c r="E694" s="55" t="s">
        <v>1841</v>
      </c>
      <c r="F694" s="55" t="s">
        <v>6380</v>
      </c>
      <c r="G694" s="55" t="s">
        <v>6381</v>
      </c>
      <c r="H694" s="55" t="s">
        <v>17</v>
      </c>
      <c r="I694" s="55" t="s">
        <v>18</v>
      </c>
      <c r="J694" s="55" t="s">
        <v>6382</v>
      </c>
      <c r="K694" s="55" t="s">
        <v>62</v>
      </c>
      <c r="L694" s="57" t="str">
        <f>HYPERLINK("https://nycdoe.sharepoint.com/:w:/s/BAP/EcrAxGJJpeZIv2L-_LBvMFcBJaaYPdx2mmRkpZzQLugCNw", "9 out of 10")</f>
        <v>9 out of 10</v>
      </c>
      <c r="M694" t="s">
        <v>6383</v>
      </c>
    </row>
    <row r="695" spans="2:13">
      <c r="B695" s="55" t="s">
        <v>1808</v>
      </c>
      <c r="C695" s="55" t="s">
        <v>1044</v>
      </c>
      <c r="D695" s="55" t="s">
        <v>1845</v>
      </c>
      <c r="E695" s="55" t="s">
        <v>1845</v>
      </c>
      <c r="F695" s="55" t="s">
        <v>6384</v>
      </c>
      <c r="G695" s="55" t="s">
        <v>6385</v>
      </c>
      <c r="H695" s="55" t="s">
        <v>52</v>
      </c>
      <c r="I695" s="55"/>
      <c r="J695" s="55" t="s">
        <v>6386</v>
      </c>
      <c r="K695" s="55" t="s">
        <v>20</v>
      </c>
      <c r="L695" s="57" t="str">
        <f>HYPERLINK("https://nycdoe.sharepoint.com/:w:/s/BAP/ETDrhxkfINJJvgII5EyUCMABLY8m-3uzfljf8ZRXPQRIzw", "7 out of 10")</f>
        <v>7 out of 10</v>
      </c>
      <c r="M695" t="s">
        <v>6387</v>
      </c>
    </row>
    <row r="696" spans="2:13">
      <c r="B696" s="55" t="s">
        <v>1808</v>
      </c>
      <c r="C696" s="55" t="s">
        <v>1044</v>
      </c>
      <c r="D696" s="55" t="s">
        <v>1845</v>
      </c>
      <c r="E696" s="55" t="s">
        <v>1849</v>
      </c>
      <c r="F696" s="55" t="s">
        <v>6388</v>
      </c>
      <c r="G696" s="55" t="s">
        <v>6389</v>
      </c>
      <c r="H696" s="55" t="s">
        <v>84</v>
      </c>
      <c r="I696" s="55"/>
      <c r="J696" s="55" t="s">
        <v>6386</v>
      </c>
      <c r="K696" s="55" t="s">
        <v>20</v>
      </c>
      <c r="L696" s="57" t="str">
        <f>HYPERLINK("https://nycdoe.sharepoint.com/:w:/s/BAP/ETDrhxkfINJJvgII5EyUCMABLY8m-3uzfljf8ZRXPQRIzw", "7 out of 10")</f>
        <v>7 out of 10</v>
      </c>
      <c r="M696" t="s">
        <v>6387</v>
      </c>
    </row>
    <row r="697" spans="2:13">
      <c r="B697" s="55" t="s">
        <v>1808</v>
      </c>
      <c r="C697" s="55" t="s">
        <v>1044</v>
      </c>
      <c r="D697" s="55" t="s">
        <v>1852</v>
      </c>
      <c r="E697" s="55" t="s">
        <v>1852</v>
      </c>
      <c r="F697" s="55" t="s">
        <v>6390</v>
      </c>
      <c r="G697" s="55" t="s">
        <v>6391</v>
      </c>
      <c r="H697" s="55" t="s">
        <v>52</v>
      </c>
      <c r="I697" s="55"/>
      <c r="J697" s="55" t="s">
        <v>6392</v>
      </c>
      <c r="K697" s="55" t="s">
        <v>20</v>
      </c>
      <c r="L697" s="57" t="str">
        <f>HYPERLINK("https://nycdoe.sharepoint.com/:w:/s/BAP/ERZAoTscMF5KhQEbyWSDwpUBRNui9yV5r1bp7W6c9Tm2vg", "7 out of 10")</f>
        <v>7 out of 10</v>
      </c>
      <c r="M697" t="s">
        <v>6393</v>
      </c>
    </row>
    <row r="698" spans="2:13">
      <c r="B698" s="55" t="s">
        <v>1808</v>
      </c>
      <c r="C698" s="55" t="s">
        <v>1044</v>
      </c>
      <c r="D698" s="55" t="s">
        <v>1856</v>
      </c>
      <c r="E698" s="55" t="s">
        <v>1856</v>
      </c>
      <c r="F698" s="55" t="s">
        <v>6394</v>
      </c>
      <c r="G698" s="55" t="s">
        <v>6395</v>
      </c>
      <c r="H698" s="55" t="s">
        <v>24</v>
      </c>
      <c r="I698" s="55" t="s">
        <v>18</v>
      </c>
      <c r="J698" s="55" t="s">
        <v>6396</v>
      </c>
      <c r="K698" s="55" t="s">
        <v>62</v>
      </c>
      <c r="L698" s="57" t="str">
        <f>HYPERLINK("https://nycdoe.sharepoint.com/:w:/s/BAP/Eauqy4Z2tyVCvpyRB-LnsHgBev2zSQQfgqcNE6EeYaUyWg", "9 out of 10")</f>
        <v>9 out of 10</v>
      </c>
      <c r="M698" t="s">
        <v>6397</v>
      </c>
    </row>
    <row r="699" spans="2:13">
      <c r="B699" s="55" t="s">
        <v>1808</v>
      </c>
      <c r="C699" s="55" t="s">
        <v>1044</v>
      </c>
      <c r="D699" s="55" t="s">
        <v>6398</v>
      </c>
      <c r="E699" s="55" t="s">
        <v>6398</v>
      </c>
      <c r="F699" s="55" t="s">
        <v>6399</v>
      </c>
      <c r="G699" s="55" t="s">
        <v>6400</v>
      </c>
      <c r="H699" s="55" t="s">
        <v>17</v>
      </c>
      <c r="I699" s="55"/>
      <c r="J699" s="55" t="s">
        <v>6401</v>
      </c>
      <c r="K699" s="55" t="s">
        <v>20</v>
      </c>
      <c r="L699" s="57" t="str">
        <f>HYPERLINK("https://nycdoe.sharepoint.com/:w:/s/BAP/EX_vjkypPL1MsnWMmXuqBQsBJAzHpOs8m-DPWIV3EXhB-w", "4 out of 10")</f>
        <v>4 out of 10</v>
      </c>
      <c r="M699" t="s">
        <v>6402</v>
      </c>
    </row>
    <row r="700" spans="2:13">
      <c r="B700" s="55" t="s">
        <v>1808</v>
      </c>
      <c r="C700" s="55" t="s">
        <v>1044</v>
      </c>
      <c r="D700" s="55" t="s">
        <v>1860</v>
      </c>
      <c r="E700" s="55" t="s">
        <v>1860</v>
      </c>
      <c r="F700" s="55" t="s">
        <v>6403</v>
      </c>
      <c r="G700" s="55" t="s">
        <v>6404</v>
      </c>
      <c r="H700" s="55" t="s">
        <v>52</v>
      </c>
      <c r="I700" s="55"/>
      <c r="J700" s="55" t="s">
        <v>6405</v>
      </c>
      <c r="K700" s="55" t="s">
        <v>62</v>
      </c>
      <c r="L700" s="57" t="str">
        <f>HYPERLINK("https://nycdoe.sharepoint.com/:w:/s/BAP/Ea_V0P3812dNjqwHqjOLntYBvZf0a_w0d1vrvVej6Gom6g", "9 out of 10")</f>
        <v>9 out of 10</v>
      </c>
      <c r="M700" t="s">
        <v>6406</v>
      </c>
    </row>
    <row r="701" spans="2:13">
      <c r="B701" s="55" t="s">
        <v>1808</v>
      </c>
      <c r="C701" s="55" t="s">
        <v>1044</v>
      </c>
      <c r="D701" s="55" t="s">
        <v>1864</v>
      </c>
      <c r="E701" s="55" t="s">
        <v>1865</v>
      </c>
      <c r="F701" s="55" t="s">
        <v>6407</v>
      </c>
      <c r="G701" s="55" t="s">
        <v>1867</v>
      </c>
      <c r="H701" s="55" t="s">
        <v>24</v>
      </c>
      <c r="I701" s="55"/>
      <c r="J701" s="55" t="s">
        <v>6408</v>
      </c>
      <c r="K701" s="55" t="s">
        <v>62</v>
      </c>
      <c r="L701" s="57" t="str">
        <f>HYPERLINK("https://nycdoe.sharepoint.com/:w:/s/BAP/EVOh3BjEDC5HqGZJeoo6UpgBW2Yc2wwgES47lI_9QHYVew", "10 out of 10")</f>
        <v>10 out of 10</v>
      </c>
      <c r="M701" t="s">
        <v>6409</v>
      </c>
    </row>
    <row r="702" spans="2:13">
      <c r="B702" s="55" t="s">
        <v>1808</v>
      </c>
      <c r="C702" s="55" t="s">
        <v>1044</v>
      </c>
      <c r="D702" s="55" t="s">
        <v>1864</v>
      </c>
      <c r="E702" s="55" t="s">
        <v>1864</v>
      </c>
      <c r="F702" s="55" t="s">
        <v>6410</v>
      </c>
      <c r="G702" s="55" t="s">
        <v>6411</v>
      </c>
      <c r="H702" s="55" t="s">
        <v>17</v>
      </c>
      <c r="I702" s="55"/>
      <c r="J702" s="55" t="s">
        <v>6408</v>
      </c>
      <c r="K702" s="55" t="s">
        <v>62</v>
      </c>
      <c r="L702" s="57" t="str">
        <f>HYPERLINK("https://nycdoe.sharepoint.com/:w:/s/BAP/EVOh3BjEDC5HqGZJeoo6UpgBW2Yc2wwgES47lI_9QHYVew", "10 out of 10")</f>
        <v>10 out of 10</v>
      </c>
      <c r="M702" t="s">
        <v>6409</v>
      </c>
    </row>
    <row r="703" spans="2:13">
      <c r="B703" s="55" t="s">
        <v>1808</v>
      </c>
      <c r="C703" s="55" t="s">
        <v>1044</v>
      </c>
      <c r="D703" s="55" t="s">
        <v>1871</v>
      </c>
      <c r="E703" s="55" t="s">
        <v>1871</v>
      </c>
      <c r="F703" s="55" t="s">
        <v>6412</v>
      </c>
      <c r="G703" s="55" t="s">
        <v>6413</v>
      </c>
      <c r="H703" s="55" t="s">
        <v>17</v>
      </c>
      <c r="I703" s="55"/>
      <c r="J703" s="55" t="s">
        <v>6414</v>
      </c>
      <c r="K703" s="55" t="s">
        <v>62</v>
      </c>
      <c r="L703" s="57" t="str">
        <f>HYPERLINK("https://nycdoe.sharepoint.com/:w:/s/BAP/ER_yeO1ORntCuR5IxcThSTQBCGHWqiFZSi18-tBHPFw53w", "10 out of 10")</f>
        <v>10 out of 10</v>
      </c>
      <c r="M703" t="s">
        <v>6415</v>
      </c>
    </row>
    <row r="704" spans="2:13">
      <c r="B704" s="55" t="s">
        <v>1808</v>
      </c>
      <c r="C704" s="55" t="s">
        <v>1044</v>
      </c>
      <c r="D704" s="55" t="s">
        <v>1875</v>
      </c>
      <c r="E704" s="55" t="s">
        <v>1876</v>
      </c>
      <c r="F704" s="55" t="s">
        <v>6416</v>
      </c>
      <c r="G704" s="55" t="s">
        <v>6417</v>
      </c>
      <c r="H704" s="55" t="s">
        <v>17</v>
      </c>
      <c r="I704" s="55"/>
      <c r="J704" s="55" t="s">
        <v>6418</v>
      </c>
      <c r="K704" s="55" t="s">
        <v>62</v>
      </c>
      <c r="L704" s="57" t="str">
        <f>HYPERLINK("https://nycdoe.sharepoint.com/:w:/s/BAP/EWJt3c5TI5FHrOjwCMIAItMB6WOKCtQLLNdqQlAX2u2hlw", "9 out of 10")</f>
        <v>9 out of 10</v>
      </c>
      <c r="M704" t="s">
        <v>6419</v>
      </c>
    </row>
    <row r="705" spans="2:13">
      <c r="B705" s="55" t="s">
        <v>1808</v>
      </c>
      <c r="C705" s="55" t="s">
        <v>1044</v>
      </c>
      <c r="D705" s="55" t="s">
        <v>1875</v>
      </c>
      <c r="E705" s="55" t="s">
        <v>1880</v>
      </c>
      <c r="F705" s="55" t="s">
        <v>6420</v>
      </c>
      <c r="G705" s="55" t="s">
        <v>6421</v>
      </c>
      <c r="H705" s="55" t="s">
        <v>17</v>
      </c>
      <c r="I705" s="55"/>
      <c r="J705" s="55" t="s">
        <v>6418</v>
      </c>
      <c r="K705" s="55" t="s">
        <v>62</v>
      </c>
      <c r="L705" s="57" t="str">
        <f>HYPERLINK("https://nycdoe.sharepoint.com/:w:/s/BAP/EWJt3c5TI5FHrOjwCMIAItMB6WOKCtQLLNdqQlAX2u2hlw", "9 out of 10")</f>
        <v>9 out of 10</v>
      </c>
      <c r="M705" t="s">
        <v>6419</v>
      </c>
    </row>
    <row r="706" spans="2:13">
      <c r="B706" s="55" t="s">
        <v>1808</v>
      </c>
      <c r="C706" s="55" t="s">
        <v>1044</v>
      </c>
      <c r="D706" s="55" t="s">
        <v>6422</v>
      </c>
      <c r="E706" s="55" t="s">
        <v>1865</v>
      </c>
      <c r="F706" s="55" t="s">
        <v>6407</v>
      </c>
      <c r="G706" s="55" t="s">
        <v>1867</v>
      </c>
      <c r="H706" s="55" t="s">
        <v>24</v>
      </c>
      <c r="I706" s="55"/>
      <c r="J706" s="55" t="s">
        <v>6423</v>
      </c>
      <c r="K706" s="55" t="s">
        <v>62</v>
      </c>
      <c r="L706" s="57" t="str">
        <f>HYPERLINK("https://nycdoe.sharepoint.com/:w:/s/BAP/EZ5OwGImICVLt0vRHDUaDzwBxnRVruf67FkLOn22TZgumA", "10 out of 10")</f>
        <v>10 out of 10</v>
      </c>
      <c r="M706" t="s">
        <v>6424</v>
      </c>
    </row>
    <row r="707" spans="2:13">
      <c r="B707" s="55" t="s">
        <v>1808</v>
      </c>
      <c r="C707" s="55" t="s">
        <v>1044</v>
      </c>
      <c r="D707" s="55" t="s">
        <v>6422</v>
      </c>
      <c r="E707" s="55" t="s">
        <v>6425</v>
      </c>
      <c r="F707" s="55" t="s">
        <v>6426</v>
      </c>
      <c r="G707" s="55" t="s">
        <v>6427</v>
      </c>
      <c r="H707" s="55" t="s">
        <v>52</v>
      </c>
      <c r="I707" s="55"/>
      <c r="J707" s="55" t="s">
        <v>6423</v>
      </c>
      <c r="K707" s="55" t="s">
        <v>62</v>
      </c>
      <c r="L707" s="57" t="str">
        <f>HYPERLINK("https://nycdoe.sharepoint.com/:w:/s/BAP/EZ5OwGImICVLt0vRHDUaDzwBxnRVruf67FkLOn22TZgumA", "10 out of 10")</f>
        <v>10 out of 10</v>
      </c>
      <c r="M707" t="s">
        <v>6424</v>
      </c>
    </row>
    <row r="708" spans="2:13">
      <c r="B708" s="55" t="s">
        <v>1808</v>
      </c>
      <c r="C708" s="55" t="s">
        <v>1044</v>
      </c>
      <c r="D708" s="55" t="s">
        <v>1883</v>
      </c>
      <c r="E708" s="55" t="s">
        <v>1884</v>
      </c>
      <c r="F708" s="55" t="s">
        <v>6428</v>
      </c>
      <c r="G708" s="55" t="s">
        <v>6429</v>
      </c>
      <c r="H708" s="55" t="s">
        <v>24</v>
      </c>
      <c r="I708" s="55"/>
      <c r="J708" s="55" t="s">
        <v>6430</v>
      </c>
      <c r="K708" s="55" t="s">
        <v>62</v>
      </c>
      <c r="L708" s="57" t="str">
        <f>HYPERLINK("https://nycdoe.sharepoint.com/:w:/s/BAP/EXhDqTmP0ttInIxlrBGgwcMBn3Yt0TKEa97LCTNtLn1yiw", "10 out of 10")</f>
        <v>10 out of 10</v>
      </c>
      <c r="M708" t="s">
        <v>6431</v>
      </c>
    </row>
    <row r="709" spans="2:13">
      <c r="B709" s="55" t="s">
        <v>1808</v>
      </c>
      <c r="C709" s="55" t="s">
        <v>1044</v>
      </c>
      <c r="D709" s="55" t="s">
        <v>1883</v>
      </c>
      <c r="E709" s="55" t="s">
        <v>1865</v>
      </c>
      <c r="F709" s="55" t="s">
        <v>6407</v>
      </c>
      <c r="G709" s="55" t="s">
        <v>1867</v>
      </c>
      <c r="H709" s="55" t="s">
        <v>24</v>
      </c>
      <c r="I709" s="55"/>
      <c r="J709" s="55" t="s">
        <v>6430</v>
      </c>
      <c r="K709" s="55" t="s">
        <v>62</v>
      </c>
      <c r="L709" s="57" t="str">
        <f>HYPERLINK("https://nycdoe.sharepoint.com/:w:/s/BAP/EXhDqTmP0ttInIxlrBGgwcMBn3Yt0TKEa97LCTNtLn1yiw", "10 out of 10")</f>
        <v>10 out of 10</v>
      </c>
      <c r="M709" t="s">
        <v>6431</v>
      </c>
    </row>
    <row r="710" spans="2:13">
      <c r="B710" s="55" t="s">
        <v>1808</v>
      </c>
      <c r="C710" s="55" t="s">
        <v>1044</v>
      </c>
      <c r="D710" s="55" t="s">
        <v>1768</v>
      </c>
      <c r="E710" s="55" t="s">
        <v>1865</v>
      </c>
      <c r="F710" s="55" t="s">
        <v>6407</v>
      </c>
      <c r="G710" s="55" t="s">
        <v>1867</v>
      </c>
      <c r="H710" s="55" t="s">
        <v>24</v>
      </c>
      <c r="I710" s="55"/>
      <c r="J710" s="55" t="s">
        <v>6432</v>
      </c>
      <c r="K710" s="55" t="s">
        <v>20</v>
      </c>
      <c r="L710" s="57" t="str">
        <f>HYPERLINK("https://nycdoe.sharepoint.com/:w:/s/BAP/EVAwry42wP1KtznEQP4C7wMBU8TBP7TU7eGat3iAo9_Pew", "1 out of 10")</f>
        <v>1 out of 10</v>
      </c>
      <c r="M710" t="s">
        <v>6433</v>
      </c>
    </row>
    <row r="711" spans="2:13">
      <c r="B711" s="55" t="s">
        <v>1808</v>
      </c>
      <c r="C711" s="55" t="s">
        <v>1044</v>
      </c>
      <c r="D711" s="55" t="s">
        <v>1888</v>
      </c>
      <c r="E711" s="55" t="s">
        <v>1889</v>
      </c>
      <c r="F711" s="55" t="s">
        <v>6331</v>
      </c>
      <c r="G711" s="55" t="s">
        <v>1891</v>
      </c>
      <c r="H711" s="55" t="s">
        <v>43</v>
      </c>
      <c r="I711" s="55"/>
      <c r="J711" s="55" t="s">
        <v>6434</v>
      </c>
      <c r="K711" s="55" t="s">
        <v>20</v>
      </c>
      <c r="L711" s="57" t="str">
        <f>HYPERLINK("https://nycdoe.sharepoint.com/:w:/s/BAP/EWLeiTfldhpHlDcRIBRn6VgBRoQcEqavSXJViftAS6OvAg", "8 out of 10")</f>
        <v>8 out of 10</v>
      </c>
      <c r="M711" t="s">
        <v>6435</v>
      </c>
    </row>
    <row r="712" spans="2:13">
      <c r="B712" s="55" t="s">
        <v>1808</v>
      </c>
      <c r="C712" s="55" t="s">
        <v>1044</v>
      </c>
      <c r="D712" s="55" t="s">
        <v>1888</v>
      </c>
      <c r="E712" s="55" t="s">
        <v>1888</v>
      </c>
      <c r="F712" s="55" t="s">
        <v>6436</v>
      </c>
      <c r="G712" s="55" t="s">
        <v>6437</v>
      </c>
      <c r="H712" s="55" t="s">
        <v>56</v>
      </c>
      <c r="I712" s="55"/>
      <c r="J712" s="55" t="s">
        <v>6434</v>
      </c>
      <c r="K712" s="55" t="s">
        <v>20</v>
      </c>
      <c r="L712" s="57" t="str">
        <f>HYPERLINK("https://nycdoe.sharepoint.com/:w:/s/BAP/EWLeiTfldhpHlDcRIBRn6VgBRoQcEqavSXJViftAS6OvAg", "8 out of 10")</f>
        <v>8 out of 10</v>
      </c>
      <c r="M712" t="s">
        <v>6435</v>
      </c>
    </row>
    <row r="713" spans="2:13">
      <c r="B713" s="55" t="s">
        <v>1808</v>
      </c>
      <c r="C713" s="55" t="s">
        <v>1044</v>
      </c>
      <c r="D713" s="55" t="s">
        <v>1323</v>
      </c>
      <c r="E713" s="55" t="s">
        <v>1865</v>
      </c>
      <c r="F713" s="55" t="s">
        <v>6407</v>
      </c>
      <c r="G713" s="55" t="s">
        <v>1867</v>
      </c>
      <c r="H713" s="55" t="s">
        <v>24</v>
      </c>
      <c r="I713" s="55"/>
      <c r="J713" s="55" t="s">
        <v>6438</v>
      </c>
      <c r="K713" s="55" t="s">
        <v>20</v>
      </c>
      <c r="L713" s="57" t="str">
        <f>HYPERLINK("https://nycdoe.sharepoint.com/:w:/s/BAP/EW-5qurd_U9Gh6A-St4ky-wBnlGv-yf3XXQyvM8cGZaJ-Q", "2 out of 10")</f>
        <v>2 out of 10</v>
      </c>
      <c r="M713" t="s">
        <v>6439</v>
      </c>
    </row>
    <row r="714" spans="2:13">
      <c r="B714" s="55" t="s">
        <v>1808</v>
      </c>
      <c r="C714" s="55" t="s">
        <v>1044</v>
      </c>
      <c r="D714" s="55" t="s">
        <v>1895</v>
      </c>
      <c r="E714" s="55" t="s">
        <v>1107</v>
      </c>
      <c r="F714" s="55" t="s">
        <v>5507</v>
      </c>
      <c r="G714" s="55" t="s">
        <v>5508</v>
      </c>
      <c r="H714" s="55" t="s">
        <v>56</v>
      </c>
      <c r="I714" s="55"/>
      <c r="J714" s="55" t="s">
        <v>6440</v>
      </c>
      <c r="K714" s="55" t="s">
        <v>62</v>
      </c>
      <c r="L714" s="57" t="str">
        <f>HYPERLINK("https://nycdoe.sharepoint.com/:w:/s/BAP/EUEzohI0dHRIhsnUA9gAqaEBN_XSQtKBAV3XdcZcPR9JzA", "9 out of 10")</f>
        <v>9 out of 10</v>
      </c>
      <c r="M714" t="s">
        <v>6441</v>
      </c>
    </row>
    <row r="715" spans="2:13">
      <c r="B715" s="55" t="s">
        <v>1808</v>
      </c>
      <c r="C715" s="55" t="s">
        <v>1044</v>
      </c>
      <c r="D715" s="55" t="s">
        <v>1895</v>
      </c>
      <c r="E715" s="55" t="s">
        <v>1895</v>
      </c>
      <c r="F715" s="55" t="s">
        <v>6442</v>
      </c>
      <c r="G715" s="55" t="s">
        <v>6443</v>
      </c>
      <c r="H715" s="55" t="s">
        <v>56</v>
      </c>
      <c r="I715" s="55"/>
      <c r="J715" s="55" t="s">
        <v>6440</v>
      </c>
      <c r="K715" s="55" t="s">
        <v>62</v>
      </c>
      <c r="L715" s="57" t="str">
        <f>HYPERLINK("https://nycdoe.sharepoint.com/:w:/s/BAP/EUEzohI0dHRIhsnUA9gAqaEBN_XSQtKBAV3XdcZcPR9JzA", "9 out of 10")</f>
        <v>9 out of 10</v>
      </c>
      <c r="M715" t="s">
        <v>6441</v>
      </c>
    </row>
    <row r="716" spans="2:13">
      <c r="B716" s="55" t="s">
        <v>1808</v>
      </c>
      <c r="C716" s="55" t="s">
        <v>1044</v>
      </c>
      <c r="D716" s="55" t="s">
        <v>1899</v>
      </c>
      <c r="E716" s="55" t="s">
        <v>1899</v>
      </c>
      <c r="F716" s="55" t="s">
        <v>6444</v>
      </c>
      <c r="G716" s="55" t="s">
        <v>6445</v>
      </c>
      <c r="H716" s="55" t="s">
        <v>56</v>
      </c>
      <c r="I716" s="55"/>
      <c r="J716" s="55" t="s">
        <v>6446</v>
      </c>
      <c r="K716" s="55" t="s">
        <v>20</v>
      </c>
      <c r="L716" s="57" t="str">
        <f>HYPERLINK("https://nycdoe.sharepoint.com/:w:/s/BAP/EQws6F14bdJLlHjxOCxq0nsBKYIUTHMnV_AonEgnEX3y7Q", "7 out of 10")</f>
        <v>7 out of 10</v>
      </c>
      <c r="M716" t="s">
        <v>6447</v>
      </c>
    </row>
    <row r="717" spans="2:13">
      <c r="B717" s="55" t="s">
        <v>1808</v>
      </c>
      <c r="C717" s="55" t="s">
        <v>1044</v>
      </c>
      <c r="D717" s="55" t="s">
        <v>6448</v>
      </c>
      <c r="E717" s="55" t="s">
        <v>1821</v>
      </c>
      <c r="F717" s="55" t="s">
        <v>6350</v>
      </c>
      <c r="G717" s="55" t="s">
        <v>6351</v>
      </c>
      <c r="H717" s="55" t="s">
        <v>17</v>
      </c>
      <c r="I717" s="55"/>
      <c r="J717" s="55" t="s">
        <v>6449</v>
      </c>
      <c r="K717" s="55" t="s">
        <v>62</v>
      </c>
      <c r="L717" s="57" t="str">
        <f>HYPERLINK("https://nycdoe.sharepoint.com/:w:/s/BAP/EZ7xiiBX9-BPmYE0zIrLFtUB9jpf173lI0r-3erzkmSlNQ", "10 out of 10")</f>
        <v>10 out of 10</v>
      </c>
      <c r="M717" t="s">
        <v>6450</v>
      </c>
    </row>
    <row r="718" spans="2:13">
      <c r="B718" s="55" t="s">
        <v>1808</v>
      </c>
      <c r="C718" s="55" t="s">
        <v>1044</v>
      </c>
      <c r="D718" s="55" t="s">
        <v>6451</v>
      </c>
      <c r="E718" s="55" t="s">
        <v>1883</v>
      </c>
      <c r="F718" s="55" t="s">
        <v>6452</v>
      </c>
      <c r="G718" s="55" t="s">
        <v>6453</v>
      </c>
      <c r="H718" s="55" t="s">
        <v>17</v>
      </c>
      <c r="I718" s="55"/>
      <c r="J718" s="55" t="s">
        <v>6454</v>
      </c>
      <c r="K718" s="55" t="s">
        <v>62</v>
      </c>
      <c r="L718" s="57" t="str">
        <f>HYPERLINK("https://nycdoe.sharepoint.com/:w:/s/BAP/EXzupsEqv7tJuSSS4B_E0NYB8AwsuxsGjKl7Eb71n_oVlQ", "10 out of 10")</f>
        <v>10 out of 10</v>
      </c>
      <c r="M718" t="s">
        <v>6455</v>
      </c>
    </row>
    <row r="719" spans="2:13">
      <c r="B719" s="55" t="s">
        <v>1808</v>
      </c>
      <c r="C719" s="55" t="s">
        <v>1044</v>
      </c>
      <c r="D719" s="55" t="s">
        <v>6451</v>
      </c>
      <c r="E719" s="55" t="s">
        <v>1071</v>
      </c>
      <c r="F719" s="55" t="s">
        <v>5461</v>
      </c>
      <c r="G719" s="55" t="s">
        <v>5462</v>
      </c>
      <c r="H719" s="55" t="s">
        <v>24</v>
      </c>
      <c r="I719" s="55"/>
      <c r="J719" s="55" t="s">
        <v>6454</v>
      </c>
      <c r="K719" s="55" t="s">
        <v>62</v>
      </c>
      <c r="L719" s="57" t="str">
        <f>HYPERLINK("https://nycdoe.sharepoint.com/:w:/s/BAP/EXzupsEqv7tJuSSS4B_E0NYB8AwsuxsGjKl7Eb71n_oVlQ", "10 out of 10")</f>
        <v>10 out of 10</v>
      </c>
      <c r="M719" t="s">
        <v>6455</v>
      </c>
    </row>
    <row r="720" spans="2:13">
      <c r="B720" s="55" t="s">
        <v>1808</v>
      </c>
      <c r="C720" s="55" t="s">
        <v>1044</v>
      </c>
      <c r="D720" s="55" t="s">
        <v>1903</v>
      </c>
      <c r="E720" s="55" t="s">
        <v>1904</v>
      </c>
      <c r="F720" s="55" t="s">
        <v>6456</v>
      </c>
      <c r="G720" s="55" t="s">
        <v>6457</v>
      </c>
      <c r="H720" s="55" t="s">
        <v>52</v>
      </c>
      <c r="I720" s="55"/>
      <c r="J720" s="55" t="s">
        <v>6458</v>
      </c>
      <c r="K720" s="55" t="s">
        <v>62</v>
      </c>
      <c r="L720" s="57" t="str">
        <f>HYPERLINK("https://nycdoe.sharepoint.com/:w:/s/BAP/EYphslRlZTdDvGG1JRzodHABTq-VZk4ZQSWaIzFTB_rRRQ", "10 out of 10")</f>
        <v>10 out of 10</v>
      </c>
      <c r="M720" t="s">
        <v>6459</v>
      </c>
    </row>
    <row r="721" spans="2:13">
      <c r="B721" s="55" t="s">
        <v>1808</v>
      </c>
      <c r="C721" s="55" t="s">
        <v>1044</v>
      </c>
      <c r="D721" s="55" t="s">
        <v>1903</v>
      </c>
      <c r="E721" s="55" t="s">
        <v>1908</v>
      </c>
      <c r="F721" s="55" t="s">
        <v>6460</v>
      </c>
      <c r="G721" s="55" t="s">
        <v>6461</v>
      </c>
      <c r="H721" s="55" t="s">
        <v>17</v>
      </c>
      <c r="I721" s="55"/>
      <c r="J721" s="55" t="s">
        <v>6458</v>
      </c>
      <c r="K721" s="55" t="s">
        <v>62</v>
      </c>
      <c r="L721" s="57" t="str">
        <f>HYPERLINK("https://nycdoe.sharepoint.com/:w:/s/BAP/EYphslRlZTdDvGG1JRzodHABTq-VZk4ZQSWaIzFTB_rRRQ", "10 out of 10")</f>
        <v>10 out of 10</v>
      </c>
      <c r="M721" t="s">
        <v>6459</v>
      </c>
    </row>
    <row r="722" spans="2:13">
      <c r="B722" s="55" t="s">
        <v>1808</v>
      </c>
      <c r="C722" s="55" t="s">
        <v>1044</v>
      </c>
      <c r="D722" s="55" t="s">
        <v>1911</v>
      </c>
      <c r="E722" s="55" t="s">
        <v>1912</v>
      </c>
      <c r="F722" s="55" t="s">
        <v>6462</v>
      </c>
      <c r="G722" s="55" t="s">
        <v>6463</v>
      </c>
      <c r="H722" s="55" t="s">
        <v>24</v>
      </c>
      <c r="I722" s="55"/>
      <c r="J722" s="55" t="s">
        <v>6464</v>
      </c>
      <c r="K722" s="55" t="s">
        <v>62</v>
      </c>
      <c r="L722" s="57" t="str">
        <f>HYPERLINK("https://nycdoe.sharepoint.com/:w:/s/BAP/EYjTsptH1z5PhF4JUNYlYFMBwPi5ChwMPYm6K8dJZYtLmQ", "10 out of 10")</f>
        <v>10 out of 10</v>
      </c>
      <c r="M722" t="s">
        <v>6465</v>
      </c>
    </row>
    <row r="723" spans="2:13">
      <c r="B723" s="55" t="s">
        <v>1808</v>
      </c>
      <c r="C723" s="55" t="s">
        <v>1044</v>
      </c>
      <c r="D723" s="55" t="s">
        <v>1911</v>
      </c>
      <c r="E723" s="55" t="s">
        <v>1889</v>
      </c>
      <c r="F723" s="55" t="s">
        <v>6331</v>
      </c>
      <c r="G723" s="55" t="s">
        <v>1891</v>
      </c>
      <c r="H723" s="55" t="s">
        <v>43</v>
      </c>
      <c r="I723" s="55"/>
      <c r="J723" s="55" t="s">
        <v>6464</v>
      </c>
      <c r="K723" s="55" t="s">
        <v>62</v>
      </c>
      <c r="L723" s="57" t="str">
        <f>HYPERLINK("https://nycdoe.sharepoint.com/:w:/s/BAP/EYjTsptH1z5PhF4JUNYlYFMBwPi5ChwMPYm6K8dJZYtLmQ", "10 out of 10")</f>
        <v>10 out of 10</v>
      </c>
      <c r="M723" t="s">
        <v>6465</v>
      </c>
    </row>
    <row r="724" spans="2:13">
      <c r="B724" s="55" t="s">
        <v>1808</v>
      </c>
      <c r="C724" s="55" t="s">
        <v>1044</v>
      </c>
      <c r="D724" s="55" t="s">
        <v>1916</v>
      </c>
      <c r="E724" s="55" t="s">
        <v>1916</v>
      </c>
      <c r="F724" s="55" t="s">
        <v>6466</v>
      </c>
      <c r="G724" s="55" t="s">
        <v>6467</v>
      </c>
      <c r="H724" s="55" t="s">
        <v>17</v>
      </c>
      <c r="I724" s="55"/>
      <c r="J724" s="55" t="s">
        <v>6468</v>
      </c>
      <c r="K724" s="55" t="s">
        <v>62</v>
      </c>
      <c r="L724" s="57" t="str">
        <f>HYPERLINK("https://nycdoe.sharepoint.com/:w:/s/BAP/EQA8H7WBVwlBlwakENSJyd8Bww40vdX2jueS1WHe-juaBg", "10 out of 10")</f>
        <v>10 out of 10</v>
      </c>
      <c r="M724" t="s">
        <v>6469</v>
      </c>
    </row>
    <row r="725" spans="2:13">
      <c r="B725" s="55" t="s">
        <v>1920</v>
      </c>
      <c r="C725" s="55" t="s">
        <v>1044</v>
      </c>
      <c r="D725" s="55" t="s">
        <v>6470</v>
      </c>
      <c r="E725" s="55" t="s">
        <v>6471</v>
      </c>
      <c r="F725" s="55" t="s">
        <v>6472</v>
      </c>
      <c r="G725" s="55" t="s">
        <v>6473</v>
      </c>
      <c r="H725" s="55" t="s">
        <v>52</v>
      </c>
      <c r="I725" s="55"/>
      <c r="J725" s="55" t="s">
        <v>6474</v>
      </c>
      <c r="K725" s="55" t="s">
        <v>20</v>
      </c>
      <c r="L725" s="57" t="str">
        <f>HYPERLINK("https://nycdoe.sharepoint.com/:w:/s/BAP/ERne6IMy0AtIjcb9NtoTHPkBDjdRUGwEYd-d3KVdtPJ76Q", "1 out of 10")</f>
        <v>1 out of 10</v>
      </c>
      <c r="M725" t="s">
        <v>6475</v>
      </c>
    </row>
    <row r="726" spans="2:13">
      <c r="B726" s="55" t="s">
        <v>1920</v>
      </c>
      <c r="C726" s="55" t="s">
        <v>1044</v>
      </c>
      <c r="D726" s="55" t="s">
        <v>1921</v>
      </c>
      <c r="E726" s="55" t="s">
        <v>1921</v>
      </c>
      <c r="F726" s="55" t="s">
        <v>6476</v>
      </c>
      <c r="G726" s="55" t="s">
        <v>6477</v>
      </c>
      <c r="H726" s="55" t="s">
        <v>17</v>
      </c>
      <c r="I726" s="55" t="s">
        <v>18</v>
      </c>
      <c r="J726" s="55" t="s">
        <v>6478</v>
      </c>
      <c r="K726" s="55" t="s">
        <v>62</v>
      </c>
      <c r="L726" s="57" t="str">
        <f>HYPERLINK("https://nycdoe.sharepoint.com/:w:/s/BAP/EZmL5nAGI4hGsRdGravcmKsBVu8XIjZIFoJ0WtRtR2h2uQ", "9 out of 10")</f>
        <v>9 out of 10</v>
      </c>
      <c r="M726" t="s">
        <v>6479</v>
      </c>
    </row>
    <row r="727" spans="2:13">
      <c r="B727" s="55" t="s">
        <v>1920</v>
      </c>
      <c r="C727" s="55" t="s">
        <v>1044</v>
      </c>
      <c r="D727" s="55" t="s">
        <v>6480</v>
      </c>
      <c r="E727" s="55" t="s">
        <v>6480</v>
      </c>
      <c r="F727" s="55" t="s">
        <v>6481</v>
      </c>
      <c r="G727" s="55" t="s">
        <v>6482</v>
      </c>
      <c r="H727" s="55" t="s">
        <v>24</v>
      </c>
      <c r="I727" s="55"/>
      <c r="J727" s="55" t="s">
        <v>6483</v>
      </c>
      <c r="K727" s="55" t="s">
        <v>20</v>
      </c>
      <c r="L727" s="57" t="str">
        <f>HYPERLINK("https://nycdoe.sharepoint.com/:w:/s/BAP/ETqlI64EMb9Ll90Fb2Pkzj8BD8t5I5XJTLveq_qRcWVgaw", "3 out of 10")</f>
        <v>3 out of 10</v>
      </c>
      <c r="M727" t="s">
        <v>6484</v>
      </c>
    </row>
    <row r="728" spans="2:13">
      <c r="B728" s="55" t="s">
        <v>1920</v>
      </c>
      <c r="C728" s="55" t="s">
        <v>1044</v>
      </c>
      <c r="D728" s="55" t="s">
        <v>1925</v>
      </c>
      <c r="E728" s="55" t="s">
        <v>1925</v>
      </c>
      <c r="F728" s="55" t="s">
        <v>6485</v>
      </c>
      <c r="G728" s="55" t="s">
        <v>6486</v>
      </c>
      <c r="H728" s="55" t="s">
        <v>52</v>
      </c>
      <c r="I728" s="55"/>
      <c r="J728" s="55" t="s">
        <v>6487</v>
      </c>
      <c r="K728" s="55" t="s">
        <v>62</v>
      </c>
      <c r="L728" s="57" t="str">
        <f>HYPERLINK("https://nycdoe.sharepoint.com/:w:/s/BAP/EbvpaV3IHM9PnRdmr5LtUJsBdCmJVtdyU6UCsLbddw6rKA", "10 out of 10")</f>
        <v>10 out of 10</v>
      </c>
      <c r="M728" t="s">
        <v>6488</v>
      </c>
    </row>
    <row r="729" spans="2:13">
      <c r="B729" s="55" t="s">
        <v>1920</v>
      </c>
      <c r="C729" s="55" t="s">
        <v>1044</v>
      </c>
      <c r="D729" s="55" t="s">
        <v>1925</v>
      </c>
      <c r="E729" s="55" t="s">
        <v>1929</v>
      </c>
      <c r="F729" s="55" t="s">
        <v>6489</v>
      </c>
      <c r="G729" s="55" t="s">
        <v>6490</v>
      </c>
      <c r="H729" s="55" t="s">
        <v>17</v>
      </c>
      <c r="I729" s="55"/>
      <c r="J729" s="55" t="s">
        <v>6487</v>
      </c>
      <c r="K729" s="55" t="s">
        <v>62</v>
      </c>
      <c r="L729" s="57" t="str">
        <f>HYPERLINK("https://nycdoe.sharepoint.com/:w:/s/BAP/EbvpaV3IHM9PnRdmr5LtUJsBdCmJVtdyU6UCsLbddw6rKA", "10 out of 10")</f>
        <v>10 out of 10</v>
      </c>
      <c r="M729" t="s">
        <v>6488</v>
      </c>
    </row>
    <row r="730" spans="2:13">
      <c r="B730" s="55" t="s">
        <v>1920</v>
      </c>
      <c r="C730" s="55" t="s">
        <v>1044</v>
      </c>
      <c r="D730" s="55" t="s">
        <v>1932</v>
      </c>
      <c r="E730" s="55" t="s">
        <v>1932</v>
      </c>
      <c r="F730" s="55" t="s">
        <v>6491</v>
      </c>
      <c r="G730" s="55" t="s">
        <v>6492</v>
      </c>
      <c r="H730" s="55" t="s">
        <v>17</v>
      </c>
      <c r="I730" s="55" t="s">
        <v>18</v>
      </c>
      <c r="J730" s="55" t="s">
        <v>6493</v>
      </c>
      <c r="K730" s="55" t="s">
        <v>62</v>
      </c>
      <c r="L730" s="57" t="str">
        <f>HYPERLINK("https://nycdoe.sharepoint.com/:w:/s/BAP/EZ08NM08pYpFtLlY-bN-5dQBalcAGmRbGE5VXqZkgoV1uA", "9 out of 10")</f>
        <v>9 out of 10</v>
      </c>
      <c r="M730" t="s">
        <v>6494</v>
      </c>
    </row>
    <row r="731" spans="2:13">
      <c r="B731" s="55" t="s">
        <v>1920</v>
      </c>
      <c r="C731" s="55" t="s">
        <v>1044</v>
      </c>
      <c r="D731" s="55" t="s">
        <v>1936</v>
      </c>
      <c r="E731" s="55" t="s">
        <v>1936</v>
      </c>
      <c r="F731" s="55" t="s">
        <v>6495</v>
      </c>
      <c r="G731" s="55" t="s">
        <v>6496</v>
      </c>
      <c r="H731" s="55" t="s">
        <v>17</v>
      </c>
      <c r="I731" s="55" t="s">
        <v>18</v>
      </c>
      <c r="J731" s="55" t="s">
        <v>6497</v>
      </c>
      <c r="K731" s="55" t="s">
        <v>62</v>
      </c>
      <c r="L731" s="57" t="str">
        <f>HYPERLINK("https://nycdoe.sharepoint.com/:w:/s/BAP/EcgqtcTODrNPik6aQbO62_QBvBwi_sGVbXjlibGC7W2t_Q", "10 out of 10")</f>
        <v>10 out of 10</v>
      </c>
      <c r="M731" t="s">
        <v>6498</v>
      </c>
    </row>
    <row r="732" spans="2:13">
      <c r="B732" s="55" t="s">
        <v>1920</v>
      </c>
      <c r="C732" s="55" t="s">
        <v>1044</v>
      </c>
      <c r="D732" s="55" t="s">
        <v>6499</v>
      </c>
      <c r="E732" s="55" t="s">
        <v>6499</v>
      </c>
      <c r="F732" s="55" t="s">
        <v>6500</v>
      </c>
      <c r="G732" s="55" t="s">
        <v>6501</v>
      </c>
      <c r="H732" s="55" t="s">
        <v>24</v>
      </c>
      <c r="I732" s="55"/>
      <c r="J732" s="55" t="s">
        <v>6502</v>
      </c>
      <c r="K732" s="55" t="s">
        <v>20</v>
      </c>
      <c r="L732" s="57" t="str">
        <f>HYPERLINK("https://nycdoe.sharepoint.com/:w:/s/BAP/EdNnZMDmd39Amstfr90VcPsB6hFx7jTwCkQ6QIUaUJkaNQ", "3 out of 10")</f>
        <v>3 out of 10</v>
      </c>
      <c r="M732" t="s">
        <v>6503</v>
      </c>
    </row>
    <row r="733" spans="2:13">
      <c r="B733" s="55" t="s">
        <v>1920</v>
      </c>
      <c r="C733" s="55" t="s">
        <v>1044</v>
      </c>
      <c r="D733" s="55" t="s">
        <v>6504</v>
      </c>
      <c r="E733" s="55" t="s">
        <v>6504</v>
      </c>
      <c r="F733" s="55" t="s">
        <v>6505</v>
      </c>
      <c r="G733" s="55" t="s">
        <v>6506</v>
      </c>
      <c r="H733" s="55" t="s">
        <v>17</v>
      </c>
      <c r="I733" s="55" t="s">
        <v>18</v>
      </c>
      <c r="J733" s="55" t="s">
        <v>6507</v>
      </c>
      <c r="K733" s="55" t="s">
        <v>20</v>
      </c>
      <c r="L733" s="57" t="str">
        <f>HYPERLINK("https://nycdoe.sharepoint.com/:w:/s/BAP/EVg8UlOTeR9JtGkSNY0JSmMBga0-44Ni60Cyo-Lrb2Jo3Q", "1 out of 10")</f>
        <v>1 out of 10</v>
      </c>
      <c r="M733" t="s">
        <v>6508</v>
      </c>
    </row>
    <row r="734" spans="2:13">
      <c r="B734" s="55" t="s">
        <v>1920</v>
      </c>
      <c r="C734" s="55" t="s">
        <v>1044</v>
      </c>
      <c r="D734" s="55" t="s">
        <v>1940</v>
      </c>
      <c r="E734" s="55" t="s">
        <v>1940</v>
      </c>
      <c r="F734" s="55" t="s">
        <v>6509</v>
      </c>
      <c r="G734" s="55" t="s">
        <v>6510</v>
      </c>
      <c r="H734" s="55" t="s">
        <v>17</v>
      </c>
      <c r="I734" s="55" t="s">
        <v>18</v>
      </c>
      <c r="J734" s="55" t="s">
        <v>6511</v>
      </c>
      <c r="K734" s="55" t="s">
        <v>20</v>
      </c>
      <c r="L734" s="57" t="str">
        <f>HYPERLINK("https://nycdoe.sharepoint.com/:w:/s/BAP/EYvVsWmPrSlCkkCadSSPNB0BZ0eJ625DzwnPN4NcRPs1Dg", "2 out of 10")</f>
        <v>2 out of 10</v>
      </c>
      <c r="M734" t="s">
        <v>6512</v>
      </c>
    </row>
    <row r="735" spans="2:13">
      <c r="B735" s="55" t="s">
        <v>1920</v>
      </c>
      <c r="C735" s="55" t="s">
        <v>1044</v>
      </c>
      <c r="D735" s="55" t="s">
        <v>6513</v>
      </c>
      <c r="E735" s="55" t="s">
        <v>6513</v>
      </c>
      <c r="F735" s="55" t="s">
        <v>6514</v>
      </c>
      <c r="G735" s="55" t="s">
        <v>6515</v>
      </c>
      <c r="H735" s="55" t="s">
        <v>17</v>
      </c>
      <c r="I735" s="55" t="s">
        <v>18</v>
      </c>
      <c r="J735" s="55" t="s">
        <v>6516</v>
      </c>
      <c r="K735" s="55" t="s">
        <v>20</v>
      </c>
      <c r="L735" s="57" t="str">
        <f>HYPERLINK("https://nycdoe.sharepoint.com/:w:/s/BAP/EQ21V2b_91REsLchAEn8sgIBWEUxi1prvKurIBMgfzmCQQ", "1 out of 10")</f>
        <v>1 out of 10</v>
      </c>
      <c r="M735" t="s">
        <v>6517</v>
      </c>
    </row>
    <row r="736" spans="2:13">
      <c r="B736" s="55" t="s">
        <v>1920</v>
      </c>
      <c r="C736" s="55" t="s">
        <v>1044</v>
      </c>
      <c r="D736" s="55" t="s">
        <v>6518</v>
      </c>
      <c r="E736" s="55" t="s">
        <v>6518</v>
      </c>
      <c r="F736" s="55" t="s">
        <v>6519</v>
      </c>
      <c r="G736" s="55" t="s">
        <v>6520</v>
      </c>
      <c r="H736" s="55" t="s">
        <v>24</v>
      </c>
      <c r="I736" s="55"/>
      <c r="J736" s="55" t="s">
        <v>6521</v>
      </c>
      <c r="K736" s="55" t="s">
        <v>20</v>
      </c>
      <c r="L736" s="57" t="str">
        <f>HYPERLINK("https://nycdoe.sharepoint.com/:w:/s/BAP/EVqSVQHCn_JFjOTkbBAJO10BUEL0uQAHRbVLori4c4QNaw", "3 out of 10")</f>
        <v>3 out of 10</v>
      </c>
      <c r="M736" t="s">
        <v>6522</v>
      </c>
    </row>
    <row r="737" spans="2:13">
      <c r="B737" s="55" t="s">
        <v>1920</v>
      </c>
      <c r="C737" s="55" t="s">
        <v>1044</v>
      </c>
      <c r="D737" s="55" t="s">
        <v>6523</v>
      </c>
      <c r="E737" s="55" t="s">
        <v>6523</v>
      </c>
      <c r="F737" s="55" t="s">
        <v>6524</v>
      </c>
      <c r="G737" s="55" t="s">
        <v>6525</v>
      </c>
      <c r="H737" s="55" t="s">
        <v>17</v>
      </c>
      <c r="I737" s="55" t="s">
        <v>18</v>
      </c>
      <c r="J737" s="55" t="s">
        <v>6526</v>
      </c>
      <c r="K737" s="55" t="s">
        <v>20</v>
      </c>
      <c r="L737" s="57" t="str">
        <f>HYPERLINK("https://nycdoe.sharepoint.com/:w:/s/BAP/Eb_f7TYgiLNNvx2-HNjnnBcBf0OMT9QvWqrTUJbUD0HI0A", "2 out of 10")</f>
        <v>2 out of 10</v>
      </c>
      <c r="M737" t="s">
        <v>6527</v>
      </c>
    </row>
    <row r="738" spans="2:13">
      <c r="B738" s="55" t="s">
        <v>1920</v>
      </c>
      <c r="C738" s="55" t="s">
        <v>1044</v>
      </c>
      <c r="D738" s="55" t="s">
        <v>1944</v>
      </c>
      <c r="E738" s="55" t="s">
        <v>1944</v>
      </c>
      <c r="F738" s="55" t="s">
        <v>6528</v>
      </c>
      <c r="G738" s="55" t="s">
        <v>6529</v>
      </c>
      <c r="H738" s="55" t="s">
        <v>17</v>
      </c>
      <c r="I738" s="55" t="s">
        <v>18</v>
      </c>
      <c r="J738" s="55" t="s">
        <v>6530</v>
      </c>
      <c r="K738" s="55" t="s">
        <v>20</v>
      </c>
      <c r="L738" s="57" t="str">
        <f>HYPERLINK("https://nycdoe.sharepoint.com/:w:/s/BAP/ERhev1x5VGJHvdiAb5cKcnIBM75ZN-_s6ECtUhBncRlrLA", "8 out of 10")</f>
        <v>8 out of 10</v>
      </c>
      <c r="M738" t="s">
        <v>6531</v>
      </c>
    </row>
    <row r="739" spans="2:13">
      <c r="B739" s="55" t="s">
        <v>1920</v>
      </c>
      <c r="C739" s="55" t="s">
        <v>1044</v>
      </c>
      <c r="D739" s="55" t="s">
        <v>1944</v>
      </c>
      <c r="E739" s="55" t="s">
        <v>1865</v>
      </c>
      <c r="F739" s="55" t="s">
        <v>6407</v>
      </c>
      <c r="G739" s="55" t="s">
        <v>1867</v>
      </c>
      <c r="H739" s="55" t="s">
        <v>24</v>
      </c>
      <c r="I739" s="55"/>
      <c r="J739" s="55" t="s">
        <v>6530</v>
      </c>
      <c r="K739" s="55" t="s">
        <v>20</v>
      </c>
      <c r="L739" s="57" t="str">
        <f>HYPERLINK("https://nycdoe.sharepoint.com/:w:/s/BAP/ERhev1x5VGJHvdiAb5cKcnIBM75ZN-_s6ECtUhBncRlrLA", "8 out of 10")</f>
        <v>8 out of 10</v>
      </c>
      <c r="M739" t="s">
        <v>6531</v>
      </c>
    </row>
    <row r="740" spans="2:13">
      <c r="B740" s="55" t="s">
        <v>1920</v>
      </c>
      <c r="C740" s="55" t="s">
        <v>1044</v>
      </c>
      <c r="D740" s="55" t="s">
        <v>6532</v>
      </c>
      <c r="E740" s="55" t="s">
        <v>6532</v>
      </c>
      <c r="F740" s="55" t="s">
        <v>6533</v>
      </c>
      <c r="G740" s="55" t="s">
        <v>6534</v>
      </c>
      <c r="H740" s="55" t="s">
        <v>17</v>
      </c>
      <c r="I740" s="55" t="s">
        <v>18</v>
      </c>
      <c r="J740" s="55" t="s">
        <v>6535</v>
      </c>
      <c r="K740" s="55" t="s">
        <v>20</v>
      </c>
      <c r="L740" s="57" t="str">
        <f>HYPERLINK("https://nycdoe.sharepoint.com/:w:/s/BAP/ETq6iaPvKCVNtDB2QEm4068BcVvF7cQCqIycERSB0Rd9cQ", "1 out of 10")</f>
        <v>1 out of 10</v>
      </c>
      <c r="M740" t="s">
        <v>6536</v>
      </c>
    </row>
    <row r="741" spans="2:13">
      <c r="B741" s="55" t="s">
        <v>1920</v>
      </c>
      <c r="C741" s="55" t="s">
        <v>1044</v>
      </c>
      <c r="D741" s="55" t="s">
        <v>1948</v>
      </c>
      <c r="E741" s="55" t="s">
        <v>1948</v>
      </c>
      <c r="F741" s="55" t="s">
        <v>6537</v>
      </c>
      <c r="G741" s="55" t="s">
        <v>6538</v>
      </c>
      <c r="H741" s="55" t="s">
        <v>24</v>
      </c>
      <c r="I741" s="55" t="s">
        <v>18</v>
      </c>
      <c r="J741" s="55" t="s">
        <v>6539</v>
      </c>
      <c r="K741" s="55" t="s">
        <v>20</v>
      </c>
      <c r="L741" s="57" t="str">
        <f>HYPERLINK("https://nycdoe.sharepoint.com/:w:/s/BAP/ET7sB5-cqcxCl-hnPMxF1MMBxnkRXj3r_-9Xbgyi2C0Pmw", "8 out of 10")</f>
        <v>8 out of 10</v>
      </c>
      <c r="M741" t="s">
        <v>6540</v>
      </c>
    </row>
    <row r="742" spans="2:13">
      <c r="B742" s="55" t="s">
        <v>1920</v>
      </c>
      <c r="C742" s="55" t="s">
        <v>1044</v>
      </c>
      <c r="D742" s="55" t="s">
        <v>1948</v>
      </c>
      <c r="E742" s="55" t="s">
        <v>1594</v>
      </c>
      <c r="F742" s="55" t="s">
        <v>6079</v>
      </c>
      <c r="G742" s="55" t="s">
        <v>1596</v>
      </c>
      <c r="H742" s="55" t="s">
        <v>43</v>
      </c>
      <c r="I742" s="55"/>
      <c r="J742" s="55" t="s">
        <v>6539</v>
      </c>
      <c r="K742" s="55" t="s">
        <v>20</v>
      </c>
      <c r="L742" s="57" t="str">
        <f>HYPERLINK("https://nycdoe.sharepoint.com/:w:/s/BAP/ET7sB5-cqcxCl-hnPMxF1MMBxnkRXj3r_-9Xbgyi2C0Pmw", "8 out of 10")</f>
        <v>8 out of 10</v>
      </c>
      <c r="M742" t="s">
        <v>6540</v>
      </c>
    </row>
    <row r="743" spans="2:13">
      <c r="B743" s="55" t="s">
        <v>1920</v>
      </c>
      <c r="C743" s="55" t="s">
        <v>1044</v>
      </c>
      <c r="D743" s="55" t="s">
        <v>1952</v>
      </c>
      <c r="E743" s="55" t="s">
        <v>1952</v>
      </c>
      <c r="F743" s="55" t="s">
        <v>6541</v>
      </c>
      <c r="G743" s="55" t="s">
        <v>6542</v>
      </c>
      <c r="H743" s="55" t="s">
        <v>24</v>
      </c>
      <c r="I743" s="55" t="s">
        <v>18</v>
      </c>
      <c r="J743" s="55" t="s">
        <v>6543</v>
      </c>
      <c r="K743" s="55" t="s">
        <v>62</v>
      </c>
      <c r="L743" s="57" t="str">
        <f>HYPERLINK("https://nycdoe.sharepoint.com/:w:/s/BAP/ESulgZUp0f5InkRqD96PiUQBqe_2gij_TS7XQaXPGX7jSg", "9 out of 10")</f>
        <v>9 out of 10</v>
      </c>
      <c r="M743" t="s">
        <v>6544</v>
      </c>
    </row>
    <row r="744" spans="2:13">
      <c r="B744" s="55" t="s">
        <v>1920</v>
      </c>
      <c r="C744" s="55" t="s">
        <v>1044</v>
      </c>
      <c r="D744" s="55" t="s">
        <v>1956</v>
      </c>
      <c r="E744" s="55" t="s">
        <v>1956</v>
      </c>
      <c r="F744" s="55" t="s">
        <v>6545</v>
      </c>
      <c r="G744" s="55" t="s">
        <v>6546</v>
      </c>
      <c r="H744" s="55" t="s">
        <v>52</v>
      </c>
      <c r="I744" s="55"/>
      <c r="J744" s="55" t="s">
        <v>6547</v>
      </c>
      <c r="K744" s="55" t="s">
        <v>20</v>
      </c>
      <c r="L744" s="57" t="str">
        <f>HYPERLINK("https://nycdoe.sharepoint.com/:w:/s/BAP/EaZccFphpKdAli_a9prbBkMBuBvFrRH1J_aJFX9oVQ0x6A", "3 out of 10")</f>
        <v>3 out of 10</v>
      </c>
      <c r="M744" t="s">
        <v>6548</v>
      </c>
    </row>
    <row r="745" spans="2:13">
      <c r="B745" s="55" t="s">
        <v>1920</v>
      </c>
      <c r="C745" s="55" t="s">
        <v>1044</v>
      </c>
      <c r="D745" s="55" t="s">
        <v>1956</v>
      </c>
      <c r="E745" s="55" t="s">
        <v>4564</v>
      </c>
      <c r="F745" s="55" t="s">
        <v>4565</v>
      </c>
      <c r="G745" s="55" t="s">
        <v>4566</v>
      </c>
      <c r="H745" s="55" t="s">
        <v>52</v>
      </c>
      <c r="I745" s="55"/>
      <c r="J745" s="55" t="s">
        <v>6547</v>
      </c>
      <c r="K745" s="55" t="s">
        <v>20</v>
      </c>
      <c r="L745" s="57" t="str">
        <f>HYPERLINK("https://nycdoe.sharepoint.com/:w:/s/BAP/EaZccFphpKdAli_a9prbBkMBuBvFrRH1J_aJFX9oVQ0x6A", "3 out of 10")</f>
        <v>3 out of 10</v>
      </c>
      <c r="M745" t="s">
        <v>6548</v>
      </c>
    </row>
    <row r="746" spans="2:13">
      <c r="B746" s="55" t="s">
        <v>1920</v>
      </c>
      <c r="C746" s="55" t="s">
        <v>1044</v>
      </c>
      <c r="D746" s="55" t="s">
        <v>1960</v>
      </c>
      <c r="E746" s="55" t="s">
        <v>1889</v>
      </c>
      <c r="F746" s="55" t="s">
        <v>6331</v>
      </c>
      <c r="G746" s="55" t="s">
        <v>1891</v>
      </c>
      <c r="H746" s="55" t="s">
        <v>43</v>
      </c>
      <c r="I746" s="55"/>
      <c r="J746" s="55" t="s">
        <v>6549</v>
      </c>
      <c r="K746" s="55" t="s">
        <v>62</v>
      </c>
      <c r="L746" s="57" t="str">
        <f>HYPERLINK("https://nycdoe.sharepoint.com/:w:/s/BAP/EbkOaFdYGK5AlhddVTXqM9MBc8XA_cHRYY9ubhkegz-1Pg", "10 out of 10")</f>
        <v>10 out of 10</v>
      </c>
      <c r="M746" t="s">
        <v>6550</v>
      </c>
    </row>
    <row r="747" spans="2:13">
      <c r="B747" s="55" t="s">
        <v>1920</v>
      </c>
      <c r="C747" s="55" t="s">
        <v>1044</v>
      </c>
      <c r="D747" s="55" t="s">
        <v>1960</v>
      </c>
      <c r="E747" s="55" t="s">
        <v>1347</v>
      </c>
      <c r="F747" s="55" t="s">
        <v>6551</v>
      </c>
      <c r="G747" s="55" t="s">
        <v>6552</v>
      </c>
      <c r="H747" s="55" t="s">
        <v>17</v>
      </c>
      <c r="I747" s="55"/>
      <c r="J747" s="55" t="s">
        <v>6549</v>
      </c>
      <c r="K747" s="55" t="s">
        <v>62</v>
      </c>
      <c r="L747" s="57" t="str">
        <f>HYPERLINK("https://nycdoe.sharepoint.com/:w:/s/BAP/EbkOaFdYGK5AlhddVTXqM9MBc8XA_cHRYY9ubhkegz-1Pg", "10 out of 10")</f>
        <v>10 out of 10</v>
      </c>
      <c r="M747" t="s">
        <v>6550</v>
      </c>
    </row>
    <row r="748" spans="2:13">
      <c r="B748" s="55" t="s">
        <v>1920</v>
      </c>
      <c r="C748" s="55" t="s">
        <v>1044</v>
      </c>
      <c r="D748" s="55" t="s">
        <v>1960</v>
      </c>
      <c r="E748" s="55" t="s">
        <v>1964</v>
      </c>
      <c r="F748" s="55" t="s">
        <v>6553</v>
      </c>
      <c r="G748" s="55" t="s">
        <v>6554</v>
      </c>
      <c r="H748" s="55" t="s">
        <v>24</v>
      </c>
      <c r="I748" s="55"/>
      <c r="J748" s="55" t="s">
        <v>6549</v>
      </c>
      <c r="K748" s="55" t="s">
        <v>62</v>
      </c>
      <c r="L748" s="57" t="str">
        <f>HYPERLINK("https://nycdoe.sharepoint.com/:w:/s/BAP/EbkOaFdYGK5AlhddVTXqM9MBc8XA_cHRYY9ubhkegz-1Pg", "10 out of 10")</f>
        <v>10 out of 10</v>
      </c>
      <c r="M748" t="s">
        <v>6550</v>
      </c>
    </row>
    <row r="749" spans="2:13">
      <c r="B749" s="55" t="s">
        <v>1920</v>
      </c>
      <c r="C749" s="55" t="s">
        <v>1044</v>
      </c>
      <c r="D749" s="55" t="s">
        <v>1967</v>
      </c>
      <c r="E749" s="55" t="s">
        <v>1865</v>
      </c>
      <c r="F749" s="55" t="s">
        <v>6407</v>
      </c>
      <c r="G749" s="55" t="s">
        <v>1867</v>
      </c>
      <c r="H749" s="55" t="s">
        <v>24</v>
      </c>
      <c r="I749" s="55"/>
      <c r="J749" s="55" t="s">
        <v>6555</v>
      </c>
      <c r="K749" s="55" t="s">
        <v>20</v>
      </c>
      <c r="L749" s="57" t="str">
        <f>HYPERLINK("https://nycdoe.sharepoint.com/:w:/s/BAP/EYHmyTluoTVMrfmC210-rCMBYy2ejcQNRktturCB7W8X-A", "3 out of 10")</f>
        <v>3 out of 10</v>
      </c>
      <c r="M749" t="s">
        <v>6556</v>
      </c>
    </row>
    <row r="750" spans="2:13">
      <c r="B750" s="55" t="s">
        <v>1920</v>
      </c>
      <c r="C750" s="55" t="s">
        <v>1044</v>
      </c>
      <c r="D750" s="55" t="s">
        <v>1967</v>
      </c>
      <c r="E750" s="55" t="s">
        <v>1967</v>
      </c>
      <c r="F750" s="55" t="s">
        <v>6557</v>
      </c>
      <c r="G750" s="55" t="s">
        <v>6558</v>
      </c>
      <c r="H750" s="55" t="s">
        <v>24</v>
      </c>
      <c r="I750" s="55" t="s">
        <v>18</v>
      </c>
      <c r="J750" s="55" t="s">
        <v>6555</v>
      </c>
      <c r="K750" s="55" t="s">
        <v>20</v>
      </c>
      <c r="L750" s="57" t="str">
        <f>HYPERLINK("https://nycdoe.sharepoint.com/:w:/s/BAP/EYHmyTluoTVMrfmC210-rCMBYy2ejcQNRktturCB7W8X-A", "3 out of 10")</f>
        <v>3 out of 10</v>
      </c>
      <c r="M750" t="s">
        <v>6556</v>
      </c>
    </row>
    <row r="751" spans="2:13">
      <c r="B751" s="55" t="s">
        <v>1920</v>
      </c>
      <c r="C751" s="55" t="s">
        <v>1044</v>
      </c>
      <c r="D751" s="55" t="s">
        <v>6559</v>
      </c>
      <c r="E751" s="55" t="s">
        <v>6559</v>
      </c>
      <c r="F751" s="55" t="s">
        <v>6560</v>
      </c>
      <c r="G751" s="55" t="s">
        <v>6561</v>
      </c>
      <c r="H751" s="55" t="s">
        <v>17</v>
      </c>
      <c r="I751" s="55"/>
      <c r="J751" s="55" t="s">
        <v>6562</v>
      </c>
      <c r="K751" s="55" t="s">
        <v>20</v>
      </c>
      <c r="L751" s="57" t="str">
        <f>HYPERLINK("https://nycdoe.sharepoint.com/:w:/s/BAP/EXEaq9aAERdHlh1c6O-WYn8BBywt5LVPTaHIRGBiaP847g", "7 out of 10")</f>
        <v>7 out of 10</v>
      </c>
      <c r="M751" t="s">
        <v>6563</v>
      </c>
    </row>
    <row r="752" spans="2:13">
      <c r="B752" s="55" t="s">
        <v>1920</v>
      </c>
      <c r="C752" s="55" t="s">
        <v>1044</v>
      </c>
      <c r="D752" s="55" t="s">
        <v>1971</v>
      </c>
      <c r="E752" s="55" t="s">
        <v>1971</v>
      </c>
      <c r="F752" s="55" t="s">
        <v>6564</v>
      </c>
      <c r="G752" s="55" t="s">
        <v>6565</v>
      </c>
      <c r="H752" s="55" t="s">
        <v>52</v>
      </c>
      <c r="I752" s="55"/>
      <c r="J752" s="55" t="s">
        <v>6566</v>
      </c>
      <c r="K752" s="55" t="s">
        <v>20</v>
      </c>
      <c r="L752" s="57" t="str">
        <f>HYPERLINK("https://nycdoe.sharepoint.com/:w:/s/BAP/EZqBK0vzJyxFjNSF95HrCgYBLitHues_jRmC8FaFYVwYuQ", "2 out of 10")</f>
        <v>2 out of 10</v>
      </c>
      <c r="M752" t="s">
        <v>6567</v>
      </c>
    </row>
    <row r="753" spans="2:13">
      <c r="B753" s="55" t="s">
        <v>1920</v>
      </c>
      <c r="C753" s="55" t="s">
        <v>1044</v>
      </c>
      <c r="D753" s="55" t="s">
        <v>1971</v>
      </c>
      <c r="E753" s="55" t="s">
        <v>1975</v>
      </c>
      <c r="F753" s="55" t="s">
        <v>6568</v>
      </c>
      <c r="G753" s="55" t="s">
        <v>6569</v>
      </c>
      <c r="H753" s="55" t="s">
        <v>43</v>
      </c>
      <c r="I753" s="55"/>
      <c r="J753" s="55" t="s">
        <v>6566</v>
      </c>
      <c r="K753" s="55" t="s">
        <v>20</v>
      </c>
      <c r="L753" s="57" t="str">
        <f>HYPERLINK("https://nycdoe.sharepoint.com/:w:/s/BAP/EZqBK0vzJyxFjNSF95HrCgYBLitHues_jRmC8FaFYVwYuQ", "2 out of 10")</f>
        <v>2 out of 10</v>
      </c>
      <c r="M753" t="s">
        <v>6567</v>
      </c>
    </row>
    <row r="754" spans="2:13">
      <c r="B754" s="55" t="s">
        <v>1920</v>
      </c>
      <c r="C754" s="55" t="s">
        <v>1044</v>
      </c>
      <c r="D754" s="55" t="s">
        <v>6570</v>
      </c>
      <c r="E754" s="55" t="s">
        <v>6570</v>
      </c>
      <c r="F754" s="55" t="s">
        <v>6571</v>
      </c>
      <c r="G754" s="55" t="s">
        <v>6572</v>
      </c>
      <c r="H754" s="55" t="s">
        <v>24</v>
      </c>
      <c r="I754" s="55" t="s">
        <v>18</v>
      </c>
      <c r="J754" s="55" t="s">
        <v>6573</v>
      </c>
      <c r="K754" s="55" t="s">
        <v>20</v>
      </c>
      <c r="L754" s="57" t="str">
        <f>HYPERLINK("https://nycdoe.sharepoint.com/:w:/s/BAP/EUo2gFuGOutGiZ1saVjLCpIBlhGR02mxk0Lhiov5HjHtNA", "1 out of 10")</f>
        <v>1 out of 10</v>
      </c>
      <c r="M754" t="s">
        <v>6574</v>
      </c>
    </row>
    <row r="755" spans="2:13">
      <c r="B755" s="55" t="s">
        <v>1920</v>
      </c>
      <c r="C755" s="55" t="s">
        <v>1044</v>
      </c>
      <c r="D755" s="55" t="s">
        <v>1981</v>
      </c>
      <c r="E755" s="55" t="s">
        <v>1981</v>
      </c>
      <c r="F755" s="55" t="s">
        <v>6575</v>
      </c>
      <c r="G755" s="55" t="s">
        <v>6576</v>
      </c>
      <c r="H755" s="55" t="s">
        <v>52</v>
      </c>
      <c r="I755" s="55"/>
      <c r="J755" s="55" t="s">
        <v>6577</v>
      </c>
      <c r="K755" s="55" t="s">
        <v>62</v>
      </c>
      <c r="L755" s="57" t="str">
        <f>HYPERLINK("https://nycdoe.sharepoint.com/:w:/s/BAP/EQPPXkf9vmlLkbabUMOIueUB2zj0xYUr8G-fjJmCwzuzqg", "9 out of 10")</f>
        <v>9 out of 10</v>
      </c>
      <c r="M755" t="s">
        <v>6578</v>
      </c>
    </row>
    <row r="756" spans="2:13">
      <c r="B756" s="55" t="s">
        <v>1920</v>
      </c>
      <c r="C756" s="55" t="s">
        <v>1044</v>
      </c>
      <c r="D756" s="55" t="s">
        <v>1981</v>
      </c>
      <c r="E756" s="55" t="s">
        <v>1985</v>
      </c>
      <c r="F756" s="55" t="s">
        <v>6579</v>
      </c>
      <c r="G756" s="55" t="s">
        <v>6580</v>
      </c>
      <c r="H756" s="55" t="s">
        <v>56</v>
      </c>
      <c r="I756" s="55"/>
      <c r="J756" s="55" t="s">
        <v>6581</v>
      </c>
      <c r="K756" s="55" t="s">
        <v>62</v>
      </c>
      <c r="L756" s="57" t="str">
        <f>HYPERLINK("https://nycdoe.sharepoint.com/:w:/s/BAP/EQPPXkf9vmlLkbabUMOIueUB2zj0xYUr8G-fjJmCwzuzqg", "9 out of 10")</f>
        <v>9 out of 10</v>
      </c>
      <c r="M756" t="s">
        <v>6578</v>
      </c>
    </row>
    <row r="757" spans="2:13">
      <c r="B757" s="55" t="s">
        <v>1920</v>
      </c>
      <c r="C757" s="55" t="s">
        <v>1044</v>
      </c>
      <c r="D757" s="55" t="s">
        <v>1981</v>
      </c>
      <c r="E757" s="55" t="s">
        <v>1975</v>
      </c>
      <c r="F757" s="55" t="s">
        <v>6568</v>
      </c>
      <c r="G757" s="55" t="s">
        <v>6569</v>
      </c>
      <c r="H757" s="55" t="s">
        <v>43</v>
      </c>
      <c r="I757" s="55"/>
      <c r="J757" s="55" t="s">
        <v>6577</v>
      </c>
      <c r="K757" s="55" t="s">
        <v>62</v>
      </c>
      <c r="L757" s="57" t="str">
        <f>HYPERLINK("https://nycdoe.sharepoint.com/:w:/s/BAP/EQPPXkf9vmlLkbabUMOIueUB2zj0xYUr8G-fjJmCwzuzqg", "9 out of 10")</f>
        <v>9 out of 10</v>
      </c>
      <c r="M757" t="s">
        <v>6578</v>
      </c>
    </row>
    <row r="758" spans="2:13">
      <c r="B758" s="55" t="s">
        <v>1920</v>
      </c>
      <c r="C758" s="55" t="s">
        <v>1044</v>
      </c>
      <c r="D758" s="55" t="s">
        <v>1981</v>
      </c>
      <c r="E758" s="55" t="s">
        <v>1594</v>
      </c>
      <c r="F758" s="55" t="s">
        <v>6079</v>
      </c>
      <c r="G758" s="55" t="s">
        <v>1596</v>
      </c>
      <c r="H758" s="55" t="s">
        <v>43</v>
      </c>
      <c r="I758" s="55"/>
      <c r="J758" s="55" t="s">
        <v>6581</v>
      </c>
      <c r="K758" s="55" t="s">
        <v>62</v>
      </c>
      <c r="L758" s="57" t="str">
        <f>HYPERLINK("https://nycdoe.sharepoint.com/:w:/s/BAP/EQPPXkf9vmlLkbabUMOIueUB2zj0xYUr8G-fjJmCwzuzqg", "9 out of 10")</f>
        <v>9 out of 10</v>
      </c>
      <c r="M758" t="s">
        <v>6578</v>
      </c>
    </row>
    <row r="759" spans="2:13">
      <c r="B759" s="55" t="s">
        <v>1920</v>
      </c>
      <c r="C759" s="55" t="s">
        <v>1044</v>
      </c>
      <c r="D759" s="55" t="s">
        <v>1988</v>
      </c>
      <c r="E759" s="55" t="s">
        <v>1988</v>
      </c>
      <c r="F759" s="55" t="s">
        <v>6582</v>
      </c>
      <c r="G759" s="55" t="s">
        <v>6583</v>
      </c>
      <c r="H759" s="55" t="s">
        <v>17</v>
      </c>
      <c r="I759" s="55" t="s">
        <v>18</v>
      </c>
      <c r="J759" s="55" t="s">
        <v>6584</v>
      </c>
      <c r="K759" s="55" t="s">
        <v>62</v>
      </c>
      <c r="L759" s="57" t="str">
        <f>HYPERLINK("https://nycdoe.sharepoint.com/:w:/s/BAP/ERT1aIPzlBJCv3CbDfn16JIBlYQuKKA5dEttC-D9a9r0Qw", "9 out of 10")</f>
        <v>9 out of 10</v>
      </c>
      <c r="M759" t="s">
        <v>6585</v>
      </c>
    </row>
    <row r="760" spans="2:13">
      <c r="B760" s="55" t="s">
        <v>1920</v>
      </c>
      <c r="C760" s="55" t="s">
        <v>1044</v>
      </c>
      <c r="D760" s="55" t="s">
        <v>1988</v>
      </c>
      <c r="E760" s="55" t="s">
        <v>1594</v>
      </c>
      <c r="F760" s="55" t="s">
        <v>6079</v>
      </c>
      <c r="G760" s="55" t="s">
        <v>1596</v>
      </c>
      <c r="H760" s="55" t="s">
        <v>43</v>
      </c>
      <c r="I760" s="55"/>
      <c r="J760" s="55" t="s">
        <v>6584</v>
      </c>
      <c r="K760" s="55" t="s">
        <v>62</v>
      </c>
      <c r="L760" s="57" t="str">
        <f>HYPERLINK("https://nycdoe.sharepoint.com/:w:/s/BAP/ERT1aIPzlBJCv3CbDfn16JIBlYQuKKA5dEttC-D9a9r0Qw", "9 out of 10")</f>
        <v>9 out of 10</v>
      </c>
      <c r="M760" t="s">
        <v>6585</v>
      </c>
    </row>
    <row r="761" spans="2:13">
      <c r="B761" s="55" t="s">
        <v>1920</v>
      </c>
      <c r="C761" s="55" t="s">
        <v>1044</v>
      </c>
      <c r="D761" s="55" t="s">
        <v>1889</v>
      </c>
      <c r="E761" s="55" t="s">
        <v>1889</v>
      </c>
      <c r="F761" s="55" t="s">
        <v>6331</v>
      </c>
      <c r="G761" s="55" t="s">
        <v>1891</v>
      </c>
      <c r="H761" s="55" t="s">
        <v>43</v>
      </c>
      <c r="I761" s="55"/>
      <c r="J761" s="55" t="s">
        <v>6586</v>
      </c>
      <c r="K761" s="55" t="s">
        <v>20</v>
      </c>
      <c r="L761" s="57" t="str">
        <f>HYPERLINK("https://nycdoe.sharepoint.com/:w:/s/BAP/EWqi8gh5F6tIu7Tv0xQ9jbcBYcRSA2qjJU8AMlTqPuVPwA", "8 out of 10")</f>
        <v>8 out of 10</v>
      </c>
      <c r="M761" t="s">
        <v>6587</v>
      </c>
    </row>
    <row r="762" spans="2:13">
      <c r="B762" s="55" t="s">
        <v>1920</v>
      </c>
      <c r="C762" s="55" t="s">
        <v>1044</v>
      </c>
      <c r="D762" s="55" t="s">
        <v>1993</v>
      </c>
      <c r="E762" s="55" t="s">
        <v>1994</v>
      </c>
      <c r="F762" s="55" t="s">
        <v>6588</v>
      </c>
      <c r="G762" s="55" t="s">
        <v>6589</v>
      </c>
      <c r="H762" s="55" t="s">
        <v>56</v>
      </c>
      <c r="I762" s="55"/>
      <c r="J762" s="55" t="s">
        <v>6590</v>
      </c>
      <c r="K762" s="55" t="s">
        <v>20</v>
      </c>
      <c r="L762" s="57" t="str">
        <f>HYPERLINK("https://nycdoe.sharepoint.com/:w:/s/BAP/EQMAyEoeohxFi1un1lFQwwoBGrOAfj6fCrrs2WmuFl1QZg", "8 out of 10")</f>
        <v>8 out of 10</v>
      </c>
      <c r="M762" t="s">
        <v>6591</v>
      </c>
    </row>
    <row r="763" spans="2:13">
      <c r="B763" s="55" t="s">
        <v>1920</v>
      </c>
      <c r="C763" s="55" t="s">
        <v>1044</v>
      </c>
      <c r="D763" s="55" t="s">
        <v>1993</v>
      </c>
      <c r="E763" s="55" t="s">
        <v>1998</v>
      </c>
      <c r="F763" s="55" t="s">
        <v>6592</v>
      </c>
      <c r="G763" s="55" t="s">
        <v>6593</v>
      </c>
      <c r="H763" s="55" t="s">
        <v>56</v>
      </c>
      <c r="I763" s="55"/>
      <c r="J763" s="55" t="s">
        <v>6590</v>
      </c>
      <c r="K763" s="55" t="s">
        <v>20</v>
      </c>
      <c r="L763" s="57" t="str">
        <f>HYPERLINK("https://nycdoe.sharepoint.com/:w:/s/BAP/EQMAyEoeohxFi1un1lFQwwoBGrOAfj6fCrrs2WmuFl1QZg", "8 out of 10")</f>
        <v>8 out of 10</v>
      </c>
      <c r="M763" t="s">
        <v>6591</v>
      </c>
    </row>
    <row r="764" spans="2:13">
      <c r="B764" s="55" t="s">
        <v>1920</v>
      </c>
      <c r="C764" s="55" t="s">
        <v>1044</v>
      </c>
      <c r="D764" s="55" t="s">
        <v>1993</v>
      </c>
      <c r="E764" s="55" t="s">
        <v>2001</v>
      </c>
      <c r="F764" s="55" t="s">
        <v>6594</v>
      </c>
      <c r="G764" s="55" t="s">
        <v>6595</v>
      </c>
      <c r="H764" s="55" t="s">
        <v>84</v>
      </c>
      <c r="I764" s="55"/>
      <c r="J764" s="55" t="s">
        <v>6590</v>
      </c>
      <c r="K764" s="55" t="s">
        <v>20</v>
      </c>
      <c r="L764" s="57" t="str">
        <f>HYPERLINK("https://nycdoe.sharepoint.com/:w:/s/BAP/EQMAyEoeohxFi1un1lFQwwoBGrOAfj6fCrrs2WmuFl1QZg", "8 out of 10")</f>
        <v>8 out of 10</v>
      </c>
      <c r="M764" t="s">
        <v>6591</v>
      </c>
    </row>
    <row r="765" spans="2:13">
      <c r="B765" s="55" t="s">
        <v>1920</v>
      </c>
      <c r="C765" s="55" t="s">
        <v>1044</v>
      </c>
      <c r="D765" s="55" t="s">
        <v>1993</v>
      </c>
      <c r="E765" s="55" t="s">
        <v>2004</v>
      </c>
      <c r="F765" s="55" t="s">
        <v>6596</v>
      </c>
      <c r="G765" s="55" t="s">
        <v>6597</v>
      </c>
      <c r="H765" s="55" t="s">
        <v>56</v>
      </c>
      <c r="I765" s="55"/>
      <c r="J765" s="55" t="s">
        <v>6590</v>
      </c>
      <c r="K765" s="55" t="s">
        <v>20</v>
      </c>
      <c r="L765" s="57" t="str">
        <f>HYPERLINK("https://nycdoe.sharepoint.com/:w:/s/BAP/EQMAyEoeohxFi1un1lFQwwoBGrOAfj6fCrrs2WmuFl1QZg", "8 out of 10")</f>
        <v>8 out of 10</v>
      </c>
      <c r="M765" t="s">
        <v>6591</v>
      </c>
    </row>
    <row r="766" spans="2:13">
      <c r="B766" s="55" t="s">
        <v>1920</v>
      </c>
      <c r="C766" s="55" t="s">
        <v>1044</v>
      </c>
      <c r="D766" s="55" t="s">
        <v>1993</v>
      </c>
      <c r="E766" s="55" t="s">
        <v>2007</v>
      </c>
      <c r="F766" s="55" t="s">
        <v>6598</v>
      </c>
      <c r="G766" s="55" t="s">
        <v>6599</v>
      </c>
      <c r="H766" s="55" t="s">
        <v>56</v>
      </c>
      <c r="I766" s="55"/>
      <c r="J766" s="55" t="s">
        <v>6590</v>
      </c>
      <c r="K766" s="55" t="s">
        <v>20</v>
      </c>
      <c r="L766" s="57" t="str">
        <f>HYPERLINK("https://nycdoe.sharepoint.com/:w:/s/BAP/EQMAyEoeohxFi1un1lFQwwoBGrOAfj6fCrrs2WmuFl1QZg", "8 out of 10")</f>
        <v>8 out of 10</v>
      </c>
      <c r="M766" t="s">
        <v>6591</v>
      </c>
    </row>
    <row r="767" spans="2:13">
      <c r="B767" s="55" t="s">
        <v>1920</v>
      </c>
      <c r="C767" s="55" t="s">
        <v>1044</v>
      </c>
      <c r="D767" s="55" t="s">
        <v>2010</v>
      </c>
      <c r="E767" s="55" t="s">
        <v>1264</v>
      </c>
      <c r="F767" s="55" t="s">
        <v>5697</v>
      </c>
      <c r="G767" s="55" t="s">
        <v>1266</v>
      </c>
      <c r="H767" s="55" t="s">
        <v>43</v>
      </c>
      <c r="I767" s="55"/>
      <c r="J767" s="55" t="s">
        <v>6600</v>
      </c>
      <c r="K767" s="55" t="s">
        <v>62</v>
      </c>
      <c r="L767" s="57" t="str">
        <f>HYPERLINK("https://nycdoe.sharepoint.com/:w:/s/BAP/EeiwxgR6EoxNmpNFVxbBBiEBshGzroUgmI2D7_BCFW9_uw", "9 out of 10")</f>
        <v>9 out of 10</v>
      </c>
      <c r="M767" t="s">
        <v>6601</v>
      </c>
    </row>
    <row r="768" spans="2:13">
      <c r="B768" s="55" t="s">
        <v>1920</v>
      </c>
      <c r="C768" s="55" t="s">
        <v>1044</v>
      </c>
      <c r="D768" s="55" t="s">
        <v>2010</v>
      </c>
      <c r="E768" s="55" t="s">
        <v>2010</v>
      </c>
      <c r="F768" s="55" t="s">
        <v>6602</v>
      </c>
      <c r="G768" s="55" t="s">
        <v>6603</v>
      </c>
      <c r="H768" s="55" t="s">
        <v>56</v>
      </c>
      <c r="I768" s="55"/>
      <c r="J768" s="55" t="s">
        <v>6600</v>
      </c>
      <c r="K768" s="55" t="s">
        <v>62</v>
      </c>
      <c r="L768" s="57" t="str">
        <f>HYPERLINK("https://nycdoe.sharepoint.com/:w:/s/BAP/EeiwxgR6EoxNmpNFVxbBBiEBshGzroUgmI2D7_BCFW9_uw", "9 out of 10")</f>
        <v>9 out of 10</v>
      </c>
      <c r="M768" t="s">
        <v>6601</v>
      </c>
    </row>
    <row r="769" spans="2:13">
      <c r="B769" s="55" t="s">
        <v>1920</v>
      </c>
      <c r="C769" s="55" t="s">
        <v>1044</v>
      </c>
      <c r="D769" s="55" t="s">
        <v>2014</v>
      </c>
      <c r="E769" s="55" t="s">
        <v>2014</v>
      </c>
      <c r="F769" s="55" t="s">
        <v>6604</v>
      </c>
      <c r="G769" s="55" t="s">
        <v>6605</v>
      </c>
      <c r="H769" s="55" t="s">
        <v>56</v>
      </c>
      <c r="I769" s="55"/>
      <c r="J769" s="55" t="s">
        <v>6606</v>
      </c>
      <c r="K769" s="55" t="s">
        <v>20</v>
      </c>
      <c r="L769" s="57" t="str">
        <f>HYPERLINK("https://nycdoe.sharepoint.com/:w:/s/BAP/ERyoIQjTjbJHra8ivPiYuAgBmkkPYgQTdYQhqXpxcShsOw", "7 out of 10")</f>
        <v>7 out of 10</v>
      </c>
      <c r="M769" t="s">
        <v>6607</v>
      </c>
    </row>
    <row r="770" spans="2:13">
      <c r="B770" s="55" t="s">
        <v>1920</v>
      </c>
      <c r="C770" s="55" t="s">
        <v>1044</v>
      </c>
      <c r="D770" s="55" t="s">
        <v>2014</v>
      </c>
      <c r="E770" s="55" t="s">
        <v>1978</v>
      </c>
      <c r="F770" s="55" t="s">
        <v>6608</v>
      </c>
      <c r="G770" s="55" t="s">
        <v>6609</v>
      </c>
      <c r="H770" s="55" t="s">
        <v>84</v>
      </c>
      <c r="I770" s="55"/>
      <c r="J770" s="55" t="s">
        <v>6606</v>
      </c>
      <c r="K770" s="55" t="s">
        <v>20</v>
      </c>
      <c r="L770" s="57" t="str">
        <f>HYPERLINK("https://nycdoe.sharepoint.com/:w:/s/BAP/ERyoIQjTjbJHra8ivPiYuAgBmkkPYgQTdYQhqXpxcShsOw", "7 out of 10")</f>
        <v>7 out of 10</v>
      </c>
      <c r="M770" t="s">
        <v>6607</v>
      </c>
    </row>
    <row r="771" spans="2:13">
      <c r="B771" s="55" t="s">
        <v>1920</v>
      </c>
      <c r="C771" s="55" t="s">
        <v>1044</v>
      </c>
      <c r="D771" s="55" t="s">
        <v>2014</v>
      </c>
      <c r="E771" s="55" t="s">
        <v>4490</v>
      </c>
      <c r="F771" s="55" t="s">
        <v>4491</v>
      </c>
      <c r="G771" s="55" t="s">
        <v>4492</v>
      </c>
      <c r="H771" s="55" t="s">
        <v>56</v>
      </c>
      <c r="I771" s="55"/>
      <c r="J771" s="55" t="s">
        <v>6606</v>
      </c>
      <c r="K771" s="55" t="s">
        <v>20</v>
      </c>
      <c r="L771" s="57" t="str">
        <f>HYPERLINK("https://nycdoe.sharepoint.com/:w:/s/BAP/ERyoIQjTjbJHra8ivPiYuAgBmkkPYgQTdYQhqXpxcShsOw", "7 out of 10")</f>
        <v>7 out of 10</v>
      </c>
      <c r="M771" t="s">
        <v>6607</v>
      </c>
    </row>
    <row r="772" spans="2:13">
      <c r="B772" s="55" t="s">
        <v>1920</v>
      </c>
      <c r="C772" s="55" t="s">
        <v>1044</v>
      </c>
      <c r="D772" s="55" t="s">
        <v>2018</v>
      </c>
      <c r="E772" s="55" t="s">
        <v>1889</v>
      </c>
      <c r="F772" s="55" t="s">
        <v>6331</v>
      </c>
      <c r="G772" s="55" t="s">
        <v>1891</v>
      </c>
      <c r="H772" s="55" t="s">
        <v>43</v>
      </c>
      <c r="I772" s="55"/>
      <c r="J772" s="55" t="s">
        <v>6610</v>
      </c>
      <c r="K772" s="55" t="s">
        <v>20</v>
      </c>
      <c r="L772" s="57" t="str">
        <f>HYPERLINK("https://nycdoe.sharepoint.com/:w:/s/BAP/EYNaNZDRGFdJvLjHhXwdhhsBac6i2UB1SdnNSh9sJYSDYg", "1 out of 10")</f>
        <v>1 out of 10</v>
      </c>
      <c r="M772" t="s">
        <v>6611</v>
      </c>
    </row>
    <row r="773" spans="2:13">
      <c r="B773" s="55" t="s">
        <v>1920</v>
      </c>
      <c r="C773" s="55" t="s">
        <v>1044</v>
      </c>
      <c r="D773" s="55" t="s">
        <v>2018</v>
      </c>
      <c r="E773" s="55" t="s">
        <v>2018</v>
      </c>
      <c r="F773" s="55" t="s">
        <v>6612</v>
      </c>
      <c r="G773" s="55" t="s">
        <v>6613</v>
      </c>
      <c r="H773" s="55" t="s">
        <v>56</v>
      </c>
      <c r="I773" s="55"/>
      <c r="J773" s="55" t="s">
        <v>6610</v>
      </c>
      <c r="K773" s="55" t="s">
        <v>20</v>
      </c>
      <c r="L773" s="57" t="str">
        <f>HYPERLINK("https://nycdoe.sharepoint.com/:w:/s/BAP/EYNaNZDRGFdJvLjHhXwdhhsBac6i2UB1SdnNSh9sJYSDYg", "1 out of 10")</f>
        <v>1 out of 10</v>
      </c>
      <c r="M773" t="s">
        <v>6611</v>
      </c>
    </row>
    <row r="774" spans="2:13">
      <c r="B774" s="55" t="s">
        <v>1920</v>
      </c>
      <c r="C774" s="55" t="s">
        <v>1044</v>
      </c>
      <c r="D774" s="55" t="s">
        <v>2022</v>
      </c>
      <c r="E774" s="55" t="s">
        <v>6614</v>
      </c>
      <c r="F774" s="55" t="s">
        <v>6615</v>
      </c>
      <c r="G774" s="55" t="s">
        <v>6616</v>
      </c>
      <c r="H774" s="55" t="s">
        <v>84</v>
      </c>
      <c r="I774" s="55"/>
      <c r="J774" s="55" t="s">
        <v>6617</v>
      </c>
      <c r="K774" s="55" t="s">
        <v>20</v>
      </c>
      <c r="L774" s="57" t="str">
        <f>HYPERLINK("https://nycdoe.sharepoint.com/:w:/s/BAP/ERSTqLa5yFFNjDubKWaTIKUBx9A2yX6GGd5csO2t8on0cA", "1 out of 10")</f>
        <v>1 out of 10</v>
      </c>
      <c r="M774" t="s">
        <v>6618</v>
      </c>
    </row>
    <row r="775" spans="2:13">
      <c r="B775" s="55" t="s">
        <v>1920</v>
      </c>
      <c r="C775" s="55" t="s">
        <v>1044</v>
      </c>
      <c r="D775" s="55" t="s">
        <v>2022</v>
      </c>
      <c r="E775" s="55" t="s">
        <v>1594</v>
      </c>
      <c r="F775" s="55" t="s">
        <v>6079</v>
      </c>
      <c r="G775" s="55" t="s">
        <v>1596</v>
      </c>
      <c r="H775" s="55" t="s">
        <v>43</v>
      </c>
      <c r="I775" s="55"/>
      <c r="J775" s="55" t="s">
        <v>6617</v>
      </c>
      <c r="K775" s="55" t="s">
        <v>20</v>
      </c>
      <c r="L775" s="57" t="str">
        <f>HYPERLINK("https://nycdoe.sharepoint.com/:w:/s/BAP/ERSTqLa5yFFNjDubKWaTIKUBx9A2yX6GGd5csO2t8on0cA", "1 out of 10")</f>
        <v>1 out of 10</v>
      </c>
      <c r="M775" t="s">
        <v>6618</v>
      </c>
    </row>
    <row r="776" spans="2:13">
      <c r="B776" s="55" t="s">
        <v>1920</v>
      </c>
      <c r="C776" s="55" t="s">
        <v>1044</v>
      </c>
      <c r="D776" s="55" t="s">
        <v>1503</v>
      </c>
      <c r="E776" s="55" t="s">
        <v>2022</v>
      </c>
      <c r="F776" s="55" t="s">
        <v>6619</v>
      </c>
      <c r="G776" s="55" t="s">
        <v>6620</v>
      </c>
      <c r="H776" s="55" t="s">
        <v>43</v>
      </c>
      <c r="I776" s="55"/>
      <c r="J776" s="55" t="s">
        <v>6621</v>
      </c>
      <c r="K776" s="55" t="s">
        <v>62</v>
      </c>
      <c r="L776" s="57" t="str">
        <f>HYPERLINK("https://nycdoe.sharepoint.com/:w:/s/BAP/EQWFDtV0EXBDm0Bxb1ES29gBLTgl1vb2dLWTfvAZ_U2ajA", "10 out of 10")</f>
        <v>10 out of 10</v>
      </c>
      <c r="M776" t="s">
        <v>6622</v>
      </c>
    </row>
    <row r="777" spans="2:13">
      <c r="B777" s="55" t="s">
        <v>1920</v>
      </c>
      <c r="C777" s="55" t="s">
        <v>1044</v>
      </c>
      <c r="D777" s="55" t="s">
        <v>6623</v>
      </c>
      <c r="E777" s="55" t="s">
        <v>6623</v>
      </c>
      <c r="F777" s="55" t="s">
        <v>6624</v>
      </c>
      <c r="G777" s="55" t="s">
        <v>6625</v>
      </c>
      <c r="H777" s="55" t="s">
        <v>56</v>
      </c>
      <c r="I777" s="55"/>
      <c r="J777" s="55" t="s">
        <v>6626</v>
      </c>
      <c r="K777" s="55" t="s">
        <v>20</v>
      </c>
      <c r="L777" s="57" t="str">
        <f>HYPERLINK("https://nycdoe.sharepoint.com/:w:/s/BAP/Ec-4zVo56NNNjKnDtr8iLW4BEPx6pHyh21GPRY-rcdb20g", "1 out of 10")</f>
        <v>1 out of 10</v>
      </c>
      <c r="M777" t="s">
        <v>6627</v>
      </c>
    </row>
    <row r="778" spans="2:13">
      <c r="B778" s="55" t="s">
        <v>2026</v>
      </c>
      <c r="C778" s="55" t="s">
        <v>1044</v>
      </c>
      <c r="D778" s="55" t="s">
        <v>2027</v>
      </c>
      <c r="E778" s="55" t="s">
        <v>2027</v>
      </c>
      <c r="F778" s="55" t="s">
        <v>6628</v>
      </c>
      <c r="G778" s="55" t="s">
        <v>6629</v>
      </c>
      <c r="H778" s="55" t="s">
        <v>52</v>
      </c>
      <c r="I778" s="55"/>
      <c r="J778" s="55" t="s">
        <v>6630</v>
      </c>
      <c r="K778" s="55" t="s">
        <v>20</v>
      </c>
      <c r="L778" s="57" t="str">
        <f>HYPERLINK("https://nycdoe.sharepoint.com/:w:/s/BAP/EZbVo6QRBndBm4x4n2btWL0BiCaIkqmbBTGq_nzIURxmKw", "4 out of 10")</f>
        <v>4 out of 10</v>
      </c>
      <c r="M778" t="s">
        <v>6631</v>
      </c>
    </row>
    <row r="779" spans="2:13">
      <c r="B779" s="55" t="s">
        <v>2026</v>
      </c>
      <c r="C779" s="55" t="s">
        <v>1044</v>
      </c>
      <c r="D779" s="55" t="s">
        <v>2027</v>
      </c>
      <c r="E779" s="55" t="s">
        <v>1594</v>
      </c>
      <c r="F779" s="55" t="s">
        <v>6079</v>
      </c>
      <c r="G779" s="55" t="s">
        <v>1596</v>
      </c>
      <c r="H779" s="55" t="s">
        <v>43</v>
      </c>
      <c r="I779" s="55"/>
      <c r="J779" s="55" t="s">
        <v>6630</v>
      </c>
      <c r="K779" s="55" t="s">
        <v>20</v>
      </c>
      <c r="L779" s="57" t="str">
        <f>HYPERLINK("https://nycdoe.sharepoint.com/:w:/s/BAP/EZbVo6QRBndBm4x4n2btWL0BiCaIkqmbBTGq_nzIURxmKw", "4 out of 10")</f>
        <v>4 out of 10</v>
      </c>
      <c r="M779" t="s">
        <v>6631</v>
      </c>
    </row>
    <row r="780" spans="2:13">
      <c r="B780" s="55" t="s">
        <v>2026</v>
      </c>
      <c r="C780" s="55" t="s">
        <v>1044</v>
      </c>
      <c r="D780" s="55" t="s">
        <v>2031</v>
      </c>
      <c r="E780" s="55" t="s">
        <v>2031</v>
      </c>
      <c r="F780" s="55" t="s">
        <v>6632</v>
      </c>
      <c r="G780" s="55" t="s">
        <v>6633</v>
      </c>
      <c r="H780" s="55" t="s">
        <v>17</v>
      </c>
      <c r="I780" s="55" t="s">
        <v>18</v>
      </c>
      <c r="J780" s="55" t="s">
        <v>6634</v>
      </c>
      <c r="K780" s="55" t="s">
        <v>20</v>
      </c>
      <c r="L780" s="57" t="str">
        <f>HYPERLINK("https://nycdoe.sharepoint.com/:w:/s/BAP/ESPi12tsJntAnK0-LTl2-zgBeM4AovN8sP_N-lHR69DWwA", "6 out of 10")</f>
        <v>6 out of 10</v>
      </c>
      <c r="M780" t="s">
        <v>6635</v>
      </c>
    </row>
    <row r="781" spans="2:13">
      <c r="B781" s="55" t="s">
        <v>2026</v>
      </c>
      <c r="C781" s="55" t="s">
        <v>1044</v>
      </c>
      <c r="D781" s="55" t="s">
        <v>2031</v>
      </c>
      <c r="E781" s="55" t="s">
        <v>2035</v>
      </c>
      <c r="F781" s="55" t="s">
        <v>6636</v>
      </c>
      <c r="G781" s="55" t="s">
        <v>2037</v>
      </c>
      <c r="H781" s="55" t="s">
        <v>17</v>
      </c>
      <c r="I781" s="55" t="s">
        <v>18</v>
      </c>
      <c r="J781" s="55" t="s">
        <v>6637</v>
      </c>
      <c r="K781" s="55" t="s">
        <v>20</v>
      </c>
      <c r="L781" s="57" t="str">
        <f>HYPERLINK("https://nycdoe.sharepoint.com/:w:/s/BAP/ESPi12tsJntAnK0-LTl2-zgBeM4AovN8sP_N-lHR69DWwA", "6 out of 10")</f>
        <v>6 out of 10</v>
      </c>
      <c r="M781" t="s">
        <v>6635</v>
      </c>
    </row>
    <row r="782" spans="2:13">
      <c r="B782" s="55" t="s">
        <v>2026</v>
      </c>
      <c r="C782" s="55" t="s">
        <v>1044</v>
      </c>
      <c r="D782" s="55" t="s">
        <v>2038</v>
      </c>
      <c r="E782" s="55" t="s">
        <v>2038</v>
      </c>
      <c r="F782" s="55" t="s">
        <v>6638</v>
      </c>
      <c r="G782" s="55" t="s">
        <v>6639</v>
      </c>
      <c r="H782" s="55" t="s">
        <v>17</v>
      </c>
      <c r="I782" s="55" t="s">
        <v>18</v>
      </c>
      <c r="J782" s="55" t="s">
        <v>6640</v>
      </c>
      <c r="K782" s="55" t="s">
        <v>20</v>
      </c>
      <c r="L782" s="57" t="str">
        <f>HYPERLINK("https://nycdoe.sharepoint.com/:w:/s/BAP/EZcQu4haQtxCtBJxDKlqK3sBpcdHKOLpp_YbFm8txCVJEQ", "2 out of 10")</f>
        <v>2 out of 10</v>
      </c>
      <c r="M782" t="s">
        <v>6641</v>
      </c>
    </row>
    <row r="783" spans="2:13">
      <c r="B783" s="55" t="s">
        <v>2026</v>
      </c>
      <c r="C783" s="55" t="s">
        <v>1044</v>
      </c>
      <c r="D783" s="55" t="s">
        <v>6642</v>
      </c>
      <c r="E783" s="55" t="s">
        <v>6642</v>
      </c>
      <c r="F783" s="55" t="s">
        <v>6643</v>
      </c>
      <c r="G783" s="55" t="s">
        <v>6644</v>
      </c>
      <c r="H783" s="55" t="s">
        <v>17</v>
      </c>
      <c r="I783" s="55" t="s">
        <v>18</v>
      </c>
      <c r="J783" s="55" t="s">
        <v>6645</v>
      </c>
      <c r="K783" s="55" t="s">
        <v>20</v>
      </c>
      <c r="L783" s="57" t="str">
        <f>HYPERLINK("https://nycdoe.sharepoint.com/:w:/s/BAP/EdCYL7aYXHdEqLDdYuPAxT4BmdbHpisJMkJrvAN1dICFJA", "1 out of 10")</f>
        <v>1 out of 10</v>
      </c>
      <c r="M783" t="s">
        <v>6646</v>
      </c>
    </row>
    <row r="784" spans="2:13">
      <c r="B784" s="55" t="s">
        <v>2026</v>
      </c>
      <c r="C784" s="55" t="s">
        <v>1044</v>
      </c>
      <c r="D784" s="55" t="s">
        <v>2042</v>
      </c>
      <c r="E784" s="55" t="s">
        <v>2042</v>
      </c>
      <c r="F784" s="55" t="s">
        <v>6647</v>
      </c>
      <c r="G784" s="55" t="s">
        <v>6648</v>
      </c>
      <c r="H784" s="55" t="s">
        <v>17</v>
      </c>
      <c r="I784" s="55" t="s">
        <v>18</v>
      </c>
      <c r="J784" s="55" t="s">
        <v>6649</v>
      </c>
      <c r="K784" s="55" t="s">
        <v>20</v>
      </c>
      <c r="L784" s="57" t="str">
        <f>HYPERLINK("https://nycdoe.sharepoint.com/:w:/s/BAP/EXrY1vgPS2BBliw07rI_ll4BgiSMZHSBMCXBl391yy4EZQ", "1 out of 10")</f>
        <v>1 out of 10</v>
      </c>
      <c r="M784" t="s">
        <v>6650</v>
      </c>
    </row>
    <row r="785" spans="2:13">
      <c r="B785" s="55" t="s">
        <v>2026</v>
      </c>
      <c r="C785" s="55" t="s">
        <v>1044</v>
      </c>
      <c r="D785" s="55" t="s">
        <v>6651</v>
      </c>
      <c r="E785" s="55" t="s">
        <v>6651</v>
      </c>
      <c r="F785" s="55" t="s">
        <v>6652</v>
      </c>
      <c r="G785" s="55" t="s">
        <v>6653</v>
      </c>
      <c r="H785" s="55" t="s">
        <v>17</v>
      </c>
      <c r="I785" s="55" t="s">
        <v>18</v>
      </c>
      <c r="J785" s="55" t="s">
        <v>6654</v>
      </c>
      <c r="K785" s="55" t="s">
        <v>20</v>
      </c>
      <c r="L785" s="57" t="str">
        <f>HYPERLINK("https://nycdoe.sharepoint.com/:w:/s/BAP/ETW_ErGVCY1MsgEkeM5pVTMB_ycLPvAZWm6wlIW7EAm-pQ", "3 out of 10")</f>
        <v>3 out of 10</v>
      </c>
      <c r="M785" t="s">
        <v>6655</v>
      </c>
    </row>
    <row r="786" spans="2:13">
      <c r="B786" s="55" t="s">
        <v>2026</v>
      </c>
      <c r="C786" s="55" t="s">
        <v>1044</v>
      </c>
      <c r="D786" s="55" t="s">
        <v>6651</v>
      </c>
      <c r="E786" s="55" t="s">
        <v>1594</v>
      </c>
      <c r="F786" s="55" t="s">
        <v>6079</v>
      </c>
      <c r="G786" s="55" t="s">
        <v>1596</v>
      </c>
      <c r="H786" s="55" t="s">
        <v>43</v>
      </c>
      <c r="I786" s="55"/>
      <c r="J786" s="55" t="s">
        <v>6654</v>
      </c>
      <c r="K786" s="55" t="s">
        <v>20</v>
      </c>
      <c r="L786" s="57" t="str">
        <f>HYPERLINK("https://nycdoe.sharepoint.com/:w:/s/BAP/ETW_ErGVCY1MsgEkeM5pVTMB_ycLPvAZWm6wlIW7EAm-pQ", "3 out of 10")</f>
        <v>3 out of 10</v>
      </c>
      <c r="M786" t="s">
        <v>6655</v>
      </c>
    </row>
    <row r="787" spans="2:13">
      <c r="B787" s="55" t="s">
        <v>2026</v>
      </c>
      <c r="C787" s="55" t="s">
        <v>1044</v>
      </c>
      <c r="D787" s="55" t="s">
        <v>6656</v>
      </c>
      <c r="E787" s="55" t="s">
        <v>6656</v>
      </c>
      <c r="F787" s="55" t="s">
        <v>6657</v>
      </c>
      <c r="G787" s="55" t="s">
        <v>6658</v>
      </c>
      <c r="H787" s="55" t="s">
        <v>24</v>
      </c>
      <c r="I787" s="55"/>
      <c r="J787" s="55" t="s">
        <v>6659</v>
      </c>
      <c r="K787" s="55" t="s">
        <v>20</v>
      </c>
      <c r="L787" s="57" t="str">
        <f>HYPERLINK("https://nycdoe.sharepoint.com/:w:/s/BAP/EZHetv13ZypKqwB3jsJM3TQBoCog2zhSYDHN6Zwvx9iXiA", "1 out of 10")</f>
        <v>1 out of 10</v>
      </c>
      <c r="M787" t="s">
        <v>6660</v>
      </c>
    </row>
    <row r="788" spans="2:13">
      <c r="B788" s="55" t="s">
        <v>2026</v>
      </c>
      <c r="C788" s="55" t="s">
        <v>1044</v>
      </c>
      <c r="D788" s="55" t="s">
        <v>6661</v>
      </c>
      <c r="E788" s="55" t="s">
        <v>6661</v>
      </c>
      <c r="F788" s="55" t="s">
        <v>6662</v>
      </c>
      <c r="G788" s="55" t="s">
        <v>6663</v>
      </c>
      <c r="H788" s="55" t="s">
        <v>24</v>
      </c>
      <c r="I788" s="55" t="s">
        <v>18</v>
      </c>
      <c r="J788" s="55" t="s">
        <v>6664</v>
      </c>
      <c r="K788" s="55" t="s">
        <v>20</v>
      </c>
      <c r="L788" s="57" t="str">
        <f>HYPERLINK("https://nycdoe.sharepoint.com/:w:/s/BAP/EXUGODykOKpLrAtn-tUJmdkB1TnV_1ORygqVjEZev4mJTw", "1 out of 10")</f>
        <v>1 out of 10</v>
      </c>
      <c r="M788" t="s">
        <v>6665</v>
      </c>
    </row>
    <row r="789" spans="2:13">
      <c r="B789" s="55" t="s">
        <v>2026</v>
      </c>
      <c r="C789" s="55" t="s">
        <v>1044</v>
      </c>
      <c r="D789" s="55" t="s">
        <v>2046</v>
      </c>
      <c r="E789" s="55" t="s">
        <v>2046</v>
      </c>
      <c r="F789" s="55" t="s">
        <v>6666</v>
      </c>
      <c r="G789" s="55" t="s">
        <v>6667</v>
      </c>
      <c r="H789" s="55" t="s">
        <v>17</v>
      </c>
      <c r="I789" s="55" t="s">
        <v>18</v>
      </c>
      <c r="J789" s="55" t="s">
        <v>6668</v>
      </c>
      <c r="K789" s="55" t="s">
        <v>62</v>
      </c>
      <c r="L789" s="57" t="str">
        <f>HYPERLINK("https://nycdoe.sharepoint.com/:w:/s/BAP/ERbNqGpYZnZEmlQeZ6b5SjYBLQSULryfAydfzoi6xaKBtA", "9 out of 10")</f>
        <v>9 out of 10</v>
      </c>
      <c r="M789" t="s">
        <v>6669</v>
      </c>
    </row>
    <row r="790" spans="2:13">
      <c r="B790" s="55" t="s">
        <v>2026</v>
      </c>
      <c r="C790" s="55" t="s">
        <v>1044</v>
      </c>
      <c r="D790" s="55" t="s">
        <v>2050</v>
      </c>
      <c r="E790" s="55" t="s">
        <v>2050</v>
      </c>
      <c r="F790" s="55" t="s">
        <v>6670</v>
      </c>
      <c r="G790" s="55" t="s">
        <v>6671</v>
      </c>
      <c r="H790" s="55" t="s">
        <v>17</v>
      </c>
      <c r="I790" s="55"/>
      <c r="J790" s="55" t="s">
        <v>6672</v>
      </c>
      <c r="K790" s="55" t="s">
        <v>62</v>
      </c>
      <c r="L790" s="57" t="str">
        <f>HYPERLINK("https://nycdoe.sharepoint.com/:w:/s/BAP/Ee-NA60MBuBFsKb1LWryIP4ByhQZC3HohHDtK1-Y2V3o3Q", "9 out of 10")</f>
        <v>9 out of 10</v>
      </c>
      <c r="M790" t="s">
        <v>6673</v>
      </c>
    </row>
    <row r="791" spans="2:13">
      <c r="B791" s="55" t="s">
        <v>2026</v>
      </c>
      <c r="C791" s="55" t="s">
        <v>1044</v>
      </c>
      <c r="D791" s="55" t="s">
        <v>2054</v>
      </c>
      <c r="E791" s="55" t="s">
        <v>2054</v>
      </c>
      <c r="F791" s="55" t="s">
        <v>6674</v>
      </c>
      <c r="G791" s="55" t="s">
        <v>6675</v>
      </c>
      <c r="H791" s="55" t="s">
        <v>52</v>
      </c>
      <c r="I791" s="55"/>
      <c r="J791" s="55" t="s">
        <v>6676</v>
      </c>
      <c r="K791" s="55" t="s">
        <v>20</v>
      </c>
      <c r="L791" s="57" t="str">
        <f>HYPERLINK("https://nycdoe.sharepoint.com/:w:/s/BAP/EaPBbaLoLghHtup3n0mnex4BUS4YGnHbX-Th3uaP063teA", "7 out of 10")</f>
        <v>7 out of 10</v>
      </c>
      <c r="M791" t="s">
        <v>6677</v>
      </c>
    </row>
    <row r="792" spans="2:13">
      <c r="B792" s="55" t="s">
        <v>2026</v>
      </c>
      <c r="C792" s="55" t="s">
        <v>1044</v>
      </c>
      <c r="D792" s="55" t="s">
        <v>6678</v>
      </c>
      <c r="E792" s="55" t="s">
        <v>6678</v>
      </c>
      <c r="F792" s="55" t="s">
        <v>6679</v>
      </c>
      <c r="G792" s="55" t="s">
        <v>6680</v>
      </c>
      <c r="H792" s="55" t="s">
        <v>17</v>
      </c>
      <c r="I792" s="55" t="s">
        <v>18</v>
      </c>
      <c r="J792" s="55" t="s">
        <v>6681</v>
      </c>
      <c r="K792" s="55" t="s">
        <v>62</v>
      </c>
      <c r="L792" s="57" t="str">
        <f>HYPERLINK("https://nycdoe.sharepoint.com/:w:/s/BAP/EVVnlub5iUlIlx9NQqFMDTwB-_3CjMX7KIcUcADPmdK2PQ", "9 out of 10")</f>
        <v>9 out of 10</v>
      </c>
      <c r="M792" t="s">
        <v>6682</v>
      </c>
    </row>
    <row r="793" spans="2:13">
      <c r="B793" s="55" t="s">
        <v>2026</v>
      </c>
      <c r="C793" s="55" t="s">
        <v>1044</v>
      </c>
      <c r="D793" s="55" t="s">
        <v>6678</v>
      </c>
      <c r="E793" s="55" t="s">
        <v>1594</v>
      </c>
      <c r="F793" s="55" t="s">
        <v>6079</v>
      </c>
      <c r="G793" s="55" t="s">
        <v>1596</v>
      </c>
      <c r="H793" s="55" t="s">
        <v>43</v>
      </c>
      <c r="I793" s="55"/>
      <c r="J793" s="55" t="s">
        <v>6681</v>
      </c>
      <c r="K793" s="55" t="s">
        <v>62</v>
      </c>
      <c r="L793" s="57" t="str">
        <f>HYPERLINK("https://nycdoe.sharepoint.com/:w:/s/BAP/EVVnlub5iUlIlx9NQqFMDTwB-_3CjMX7KIcUcADPmdK2PQ", "9 out of 10")</f>
        <v>9 out of 10</v>
      </c>
      <c r="M793" t="s">
        <v>6682</v>
      </c>
    </row>
    <row r="794" spans="2:13">
      <c r="B794" s="55" t="s">
        <v>2026</v>
      </c>
      <c r="C794" s="55" t="s">
        <v>1044</v>
      </c>
      <c r="D794" s="55" t="s">
        <v>6683</v>
      </c>
      <c r="E794" s="55" t="s">
        <v>6683</v>
      </c>
      <c r="F794" s="55" t="s">
        <v>6684</v>
      </c>
      <c r="G794" s="55" t="s">
        <v>6685</v>
      </c>
      <c r="H794" s="55" t="s">
        <v>17</v>
      </c>
      <c r="I794" s="55" t="s">
        <v>18</v>
      </c>
      <c r="J794" s="55" t="s">
        <v>6686</v>
      </c>
      <c r="K794" s="55" t="s">
        <v>20</v>
      </c>
      <c r="L794" s="57" t="str">
        <f>HYPERLINK("https://nycdoe.sharepoint.com/:w:/s/BAP/Eexnb-a-ATpIvpDOeZI6cMcBnCxGX-laUtiyVPLcf12P8g", "3 out of 10")</f>
        <v>3 out of 10</v>
      </c>
      <c r="M794" t="s">
        <v>6687</v>
      </c>
    </row>
    <row r="795" spans="2:13">
      <c r="B795" s="55" t="s">
        <v>2026</v>
      </c>
      <c r="C795" s="55" t="s">
        <v>1044</v>
      </c>
      <c r="D795" s="55" t="s">
        <v>2058</v>
      </c>
      <c r="E795" s="55" t="s">
        <v>2058</v>
      </c>
      <c r="F795" s="55" t="s">
        <v>6688</v>
      </c>
      <c r="G795" s="55" t="s">
        <v>6689</v>
      </c>
      <c r="H795" s="55" t="s">
        <v>17</v>
      </c>
      <c r="I795" s="55" t="s">
        <v>18</v>
      </c>
      <c r="J795" s="55" t="s">
        <v>6690</v>
      </c>
      <c r="K795" s="55" t="s">
        <v>62</v>
      </c>
      <c r="L795" s="57" t="str">
        <f>HYPERLINK("https://nycdoe.sharepoint.com/:w:/s/BAP/EfR-PAtH3rlFrDIOgagKbpMB9QP2p6R6Mdg42LEPjUXQxQ", "9 out of 10")</f>
        <v>9 out of 10</v>
      </c>
      <c r="M795" t="s">
        <v>6691</v>
      </c>
    </row>
    <row r="796" spans="2:13">
      <c r="B796" s="55" t="s">
        <v>2026</v>
      </c>
      <c r="C796" s="55" t="s">
        <v>1044</v>
      </c>
      <c r="D796" s="55" t="s">
        <v>2062</v>
      </c>
      <c r="E796" s="55" t="s">
        <v>2063</v>
      </c>
      <c r="F796" s="55" t="s">
        <v>6692</v>
      </c>
      <c r="G796" s="55" t="s">
        <v>6693</v>
      </c>
      <c r="H796" s="55" t="s">
        <v>17</v>
      </c>
      <c r="I796" s="55"/>
      <c r="J796" s="55" t="s">
        <v>6694</v>
      </c>
      <c r="K796" s="55" t="s">
        <v>62</v>
      </c>
      <c r="L796" s="57" t="str">
        <f>HYPERLINK("https://nycdoe.sharepoint.com/:w:/s/BAP/EY8v-wi5Ma1MlN7j1bMcfmABv_2Wp9QmoY1KLpNIoFVh4w", "9 out of 10")</f>
        <v>9 out of 10</v>
      </c>
      <c r="M796" t="s">
        <v>6695</v>
      </c>
    </row>
    <row r="797" spans="2:13">
      <c r="B797" s="55" t="s">
        <v>2026</v>
      </c>
      <c r="C797" s="55" t="s">
        <v>1044</v>
      </c>
      <c r="D797" s="55" t="s">
        <v>6696</v>
      </c>
      <c r="E797" s="55" t="s">
        <v>6696</v>
      </c>
      <c r="F797" s="55" t="s">
        <v>6697</v>
      </c>
      <c r="G797" s="55" t="s">
        <v>6698</v>
      </c>
      <c r="H797" s="55" t="s">
        <v>17</v>
      </c>
      <c r="I797" s="55" t="s">
        <v>18</v>
      </c>
      <c r="J797" s="55" t="s">
        <v>6699</v>
      </c>
      <c r="K797" s="55" t="s">
        <v>20</v>
      </c>
      <c r="L797" s="57" t="str">
        <f>HYPERLINK("https://nycdoe.sharepoint.com/:w:/s/BAP/EQk1g67CHHdGjSmTrbTFycUBovjfmjHgYTX3BaANoTQOyQ", "4 out of 10")</f>
        <v>4 out of 10</v>
      </c>
      <c r="M797" t="s">
        <v>6700</v>
      </c>
    </row>
    <row r="798" spans="2:13">
      <c r="B798" s="55" t="s">
        <v>2026</v>
      </c>
      <c r="C798" s="55" t="s">
        <v>1044</v>
      </c>
      <c r="D798" s="55" t="s">
        <v>2067</v>
      </c>
      <c r="E798" s="55" t="s">
        <v>1978</v>
      </c>
      <c r="F798" s="55" t="s">
        <v>6608</v>
      </c>
      <c r="G798" s="55" t="s">
        <v>6609</v>
      </c>
      <c r="H798" s="55" t="s">
        <v>84</v>
      </c>
      <c r="I798" s="55"/>
      <c r="J798" s="55" t="s">
        <v>6701</v>
      </c>
      <c r="K798" s="55" t="s">
        <v>20</v>
      </c>
      <c r="L798" s="57" t="str">
        <f>HYPERLINK("https://nycdoe.sharepoint.com/:w:/s/BAP/ESry4VtwKKVIiEqqswEl5IsBnsPgqf3-pHxuXcRx7C2kKA", "8 out of 10")</f>
        <v>8 out of 10</v>
      </c>
      <c r="M798" t="s">
        <v>6702</v>
      </c>
    </row>
    <row r="799" spans="2:13">
      <c r="B799" s="55" t="s">
        <v>2026</v>
      </c>
      <c r="C799" s="55" t="s">
        <v>1044</v>
      </c>
      <c r="D799" s="55" t="s">
        <v>2069</v>
      </c>
      <c r="E799" s="55" t="s">
        <v>2069</v>
      </c>
      <c r="F799" s="55" t="s">
        <v>6703</v>
      </c>
      <c r="G799" s="55" t="s">
        <v>6704</v>
      </c>
      <c r="H799" s="55" t="s">
        <v>17</v>
      </c>
      <c r="I799" s="55" t="s">
        <v>18</v>
      </c>
      <c r="J799" s="55" t="s">
        <v>6705</v>
      </c>
      <c r="K799" s="55" t="s">
        <v>20</v>
      </c>
      <c r="L799" s="57" t="str">
        <f>HYPERLINK("https://nycdoe.sharepoint.com/:w:/s/BAP/EYsyKkB6lhRJpvbqtfwIcVsBV1wGUqFyHQGO13OL90gwcg", "1 out of 10")</f>
        <v>1 out of 10</v>
      </c>
      <c r="M799" t="s">
        <v>6706</v>
      </c>
    </row>
    <row r="800" spans="2:13">
      <c r="B800" s="55" t="s">
        <v>2026</v>
      </c>
      <c r="C800" s="55" t="s">
        <v>1044</v>
      </c>
      <c r="D800" s="55" t="s">
        <v>1577</v>
      </c>
      <c r="E800" s="55" t="s">
        <v>1391</v>
      </c>
      <c r="F800" s="55" t="s">
        <v>5856</v>
      </c>
      <c r="G800" s="55" t="s">
        <v>1393</v>
      </c>
      <c r="H800" s="55" t="s">
        <v>17</v>
      </c>
      <c r="I800" s="55" t="s">
        <v>18</v>
      </c>
      <c r="J800" s="55" t="s">
        <v>6707</v>
      </c>
      <c r="K800" s="55" t="s">
        <v>62</v>
      </c>
      <c r="L800" s="57" t="str">
        <f>HYPERLINK("https://nycdoe.sharepoint.com/:w:/s/BAP/ERG1CTre4DZIrEazQIsxZewBl9_S_YQbphn2dtrfCpA96A", "10 out of 10")</f>
        <v>10 out of 10</v>
      </c>
      <c r="M800" t="s">
        <v>6708</v>
      </c>
    </row>
    <row r="801" spans="2:13">
      <c r="B801" s="55" t="s">
        <v>2026</v>
      </c>
      <c r="C801" s="55" t="s">
        <v>1044</v>
      </c>
      <c r="D801" s="55" t="s">
        <v>1577</v>
      </c>
      <c r="E801" s="55" t="s">
        <v>2074</v>
      </c>
      <c r="F801" s="55" t="s">
        <v>6709</v>
      </c>
      <c r="G801" s="55" t="s">
        <v>2076</v>
      </c>
      <c r="H801" s="55" t="s">
        <v>24</v>
      </c>
      <c r="I801" s="55" t="s">
        <v>18</v>
      </c>
      <c r="J801" s="55" t="s">
        <v>6707</v>
      </c>
      <c r="K801" s="55" t="s">
        <v>62</v>
      </c>
      <c r="L801" s="57" t="str">
        <f>HYPERLINK("https://nycdoe.sharepoint.com/:w:/s/BAP/ERG1CTre4DZIrEazQIsxZewBl9_S_YQbphn2dtrfCpA96A", "10 out of 10")</f>
        <v>10 out of 10</v>
      </c>
      <c r="M801" t="s">
        <v>6708</v>
      </c>
    </row>
    <row r="802" spans="2:13">
      <c r="B802" s="55" t="s">
        <v>2026</v>
      </c>
      <c r="C802" s="55" t="s">
        <v>1044</v>
      </c>
      <c r="D802" s="55" t="s">
        <v>1577</v>
      </c>
      <c r="E802" s="55" t="s">
        <v>4564</v>
      </c>
      <c r="F802" s="55" t="s">
        <v>4565</v>
      </c>
      <c r="G802" s="55" t="s">
        <v>4566</v>
      </c>
      <c r="H802" s="55" t="s">
        <v>52</v>
      </c>
      <c r="I802" s="55"/>
      <c r="J802" s="55" t="s">
        <v>6707</v>
      </c>
      <c r="K802" s="55" t="s">
        <v>62</v>
      </c>
      <c r="L802" s="57" t="str">
        <f>HYPERLINK("https://nycdoe.sharepoint.com/:w:/s/BAP/ERG1CTre4DZIrEazQIsxZewBl9_S_YQbphn2dtrfCpA96A", "10 out of 10")</f>
        <v>10 out of 10</v>
      </c>
      <c r="M802" t="s">
        <v>6708</v>
      </c>
    </row>
    <row r="803" spans="2:13">
      <c r="B803" s="55" t="s">
        <v>2026</v>
      </c>
      <c r="C803" s="55" t="s">
        <v>1044</v>
      </c>
      <c r="D803" s="55" t="s">
        <v>2077</v>
      </c>
      <c r="E803" s="55" t="s">
        <v>2077</v>
      </c>
      <c r="F803" s="55" t="s">
        <v>6710</v>
      </c>
      <c r="G803" s="55" t="s">
        <v>6711</v>
      </c>
      <c r="H803" s="55" t="s">
        <v>56</v>
      </c>
      <c r="I803" s="55"/>
      <c r="J803" s="55" t="s">
        <v>6712</v>
      </c>
      <c r="K803" s="55" t="s">
        <v>20</v>
      </c>
      <c r="L803" s="57" t="str">
        <f>HYPERLINK("https://nycdoe.sharepoint.com/:w:/s/BAP/EW4wneEEBSlKgZh9puswglIBFox3K-Z7w3He3xUg_e2lMg", "3 out of 10")</f>
        <v>3 out of 10</v>
      </c>
      <c r="M803" t="s">
        <v>6713</v>
      </c>
    </row>
    <row r="804" spans="2:13">
      <c r="B804" s="55" t="s">
        <v>2026</v>
      </c>
      <c r="C804" s="55" t="s">
        <v>1044</v>
      </c>
      <c r="D804" s="55" t="s">
        <v>2081</v>
      </c>
      <c r="E804" s="55" t="s">
        <v>1125</v>
      </c>
      <c r="F804" s="55" t="s">
        <v>6714</v>
      </c>
      <c r="G804" s="55" t="s">
        <v>6715</v>
      </c>
      <c r="H804" s="55" t="s">
        <v>56</v>
      </c>
      <c r="I804" s="55"/>
      <c r="J804" s="55" t="s">
        <v>6716</v>
      </c>
      <c r="K804" s="55" t="s">
        <v>62</v>
      </c>
      <c r="L804" s="57" t="str">
        <f>HYPERLINK("https://nycdoe.sharepoint.com/:w:/s/BAP/EQchxPESBN9Lg3Gz5kQzZHkBPZ0neyjsLVTrb-_-yB8FAg", "9 out of 10")</f>
        <v>9 out of 10</v>
      </c>
      <c r="M804" t="s">
        <v>6717</v>
      </c>
    </row>
    <row r="805" spans="2:13">
      <c r="B805" s="55" t="s">
        <v>2026</v>
      </c>
      <c r="C805" s="55" t="s">
        <v>1044</v>
      </c>
      <c r="D805" s="55" t="s">
        <v>2081</v>
      </c>
      <c r="E805" s="55" t="s">
        <v>2085</v>
      </c>
      <c r="F805" s="55" t="s">
        <v>6718</v>
      </c>
      <c r="G805" s="55" t="s">
        <v>6719</v>
      </c>
      <c r="H805" s="55" t="s">
        <v>56</v>
      </c>
      <c r="I805" s="55"/>
      <c r="J805" s="55" t="s">
        <v>6716</v>
      </c>
      <c r="K805" s="55" t="s">
        <v>62</v>
      </c>
      <c r="L805" s="57" t="str">
        <f>HYPERLINK("https://nycdoe.sharepoint.com/:w:/s/BAP/EQchxPESBN9Lg3Gz5kQzZHkBPZ0neyjsLVTrb-_-yB8FAg", "9 out of 10")</f>
        <v>9 out of 10</v>
      </c>
      <c r="M805" t="s">
        <v>6717</v>
      </c>
    </row>
    <row r="806" spans="2:13">
      <c r="B806" s="55" t="s">
        <v>2026</v>
      </c>
      <c r="C806" s="55" t="s">
        <v>1044</v>
      </c>
      <c r="D806" s="55" t="s">
        <v>2081</v>
      </c>
      <c r="E806" s="55" t="s">
        <v>2088</v>
      </c>
      <c r="F806" s="55" t="s">
        <v>6720</v>
      </c>
      <c r="G806" s="55" t="s">
        <v>6721</v>
      </c>
      <c r="H806" s="55" t="s">
        <v>56</v>
      </c>
      <c r="I806" s="55"/>
      <c r="J806" s="55" t="s">
        <v>6716</v>
      </c>
      <c r="K806" s="55" t="s">
        <v>62</v>
      </c>
      <c r="L806" s="57" t="str">
        <f>HYPERLINK("https://nycdoe.sharepoint.com/:w:/s/BAP/EQchxPESBN9Lg3Gz5kQzZHkBPZ0neyjsLVTrb-_-yB8FAg", "9 out of 10")</f>
        <v>9 out of 10</v>
      </c>
      <c r="M806" t="s">
        <v>6717</v>
      </c>
    </row>
    <row r="807" spans="2:13">
      <c r="B807" s="55" t="s">
        <v>2026</v>
      </c>
      <c r="C807" s="55" t="s">
        <v>1044</v>
      </c>
      <c r="D807" s="55" t="s">
        <v>2081</v>
      </c>
      <c r="E807" s="55" t="s">
        <v>6722</v>
      </c>
      <c r="F807" s="55" t="s">
        <v>6723</v>
      </c>
      <c r="G807" s="55" t="s">
        <v>6724</v>
      </c>
      <c r="H807" s="55" t="s">
        <v>17</v>
      </c>
      <c r="I807" s="55"/>
      <c r="J807" s="55" t="s">
        <v>6716</v>
      </c>
      <c r="K807" s="55" t="s">
        <v>62</v>
      </c>
      <c r="L807" s="57" t="str">
        <f>HYPERLINK("https://nycdoe.sharepoint.com/:w:/s/BAP/EQchxPESBN9Lg3Gz5kQzZHkBPZ0neyjsLVTrb-_-yB8FAg", "9 out of 10")</f>
        <v>9 out of 10</v>
      </c>
      <c r="M807" t="s">
        <v>6717</v>
      </c>
    </row>
    <row r="808" spans="2:13">
      <c r="B808" s="55" t="s">
        <v>2026</v>
      </c>
      <c r="C808" s="55" t="s">
        <v>1044</v>
      </c>
      <c r="D808" s="55" t="s">
        <v>2094</v>
      </c>
      <c r="E808" s="55" t="s">
        <v>1264</v>
      </c>
      <c r="F808" s="55" t="s">
        <v>5697</v>
      </c>
      <c r="G808" s="55" t="s">
        <v>1266</v>
      </c>
      <c r="H808" s="55" t="s">
        <v>43</v>
      </c>
      <c r="I808" s="55"/>
      <c r="J808" s="55" t="s">
        <v>6725</v>
      </c>
      <c r="K808" s="55" t="s">
        <v>62</v>
      </c>
      <c r="L808" s="57" t="str">
        <f>HYPERLINK("https://nycdoe.sharepoint.com/:w:/s/BAP/EYTINdw5rqFGsFjeU1Fcy1QB1SB7Lf2IdVP2gfnJruZF-A", "10 out of 10")</f>
        <v>10 out of 10</v>
      </c>
      <c r="M808" t="s">
        <v>6726</v>
      </c>
    </row>
    <row r="809" spans="2:13">
      <c r="B809" s="55" t="s">
        <v>2026</v>
      </c>
      <c r="C809" s="55" t="s">
        <v>1044</v>
      </c>
      <c r="D809" s="55" t="s">
        <v>2094</v>
      </c>
      <c r="E809" s="55" t="s">
        <v>2094</v>
      </c>
      <c r="F809" s="55" t="s">
        <v>6727</v>
      </c>
      <c r="G809" s="55" t="s">
        <v>6728</v>
      </c>
      <c r="H809" s="55" t="s">
        <v>56</v>
      </c>
      <c r="I809" s="55"/>
      <c r="J809" s="55" t="s">
        <v>6725</v>
      </c>
      <c r="K809" s="55" t="s">
        <v>62</v>
      </c>
      <c r="L809" s="57" t="str">
        <f>HYPERLINK("https://nycdoe.sharepoint.com/:w:/s/BAP/EYTINdw5rqFGsFjeU1Fcy1QB1SB7Lf2IdVP2gfnJruZF-A", "10 out of 10")</f>
        <v>10 out of 10</v>
      </c>
      <c r="M809" t="s">
        <v>6726</v>
      </c>
    </row>
    <row r="810" spans="2:13">
      <c r="B810" s="55" t="s">
        <v>2026</v>
      </c>
      <c r="C810" s="55" t="s">
        <v>1044</v>
      </c>
      <c r="D810" s="55" t="s">
        <v>1366</v>
      </c>
      <c r="E810" s="55" t="s">
        <v>1353</v>
      </c>
      <c r="F810" s="55" t="s">
        <v>5808</v>
      </c>
      <c r="G810" s="55" t="s">
        <v>5809</v>
      </c>
      <c r="H810" s="55" t="s">
        <v>56</v>
      </c>
      <c r="I810" s="55"/>
      <c r="J810" s="55" t="s">
        <v>6729</v>
      </c>
      <c r="K810" s="55" t="s">
        <v>62</v>
      </c>
      <c r="L810" s="57" t="str">
        <f>HYPERLINK("https://nycdoe.sharepoint.com/:w:/s/BAP/EdUv6EZ3pGlHueFSasFiNogBDZVNSL4y7gE0zY8WDAWSIg", "9 out of 10")</f>
        <v>9 out of 10</v>
      </c>
      <c r="M810" t="s">
        <v>6730</v>
      </c>
    </row>
    <row r="811" spans="2:13">
      <c r="B811" s="55" t="s">
        <v>2026</v>
      </c>
      <c r="C811" s="55" t="s">
        <v>1044</v>
      </c>
      <c r="D811" s="55" t="s">
        <v>1366</v>
      </c>
      <c r="E811" s="55" t="s">
        <v>1366</v>
      </c>
      <c r="F811" s="55" t="s">
        <v>5831</v>
      </c>
      <c r="G811" s="55" t="s">
        <v>5832</v>
      </c>
      <c r="H811" s="55" t="s">
        <v>56</v>
      </c>
      <c r="I811" s="55"/>
      <c r="J811" s="55" t="s">
        <v>6729</v>
      </c>
      <c r="K811" s="55" t="s">
        <v>62</v>
      </c>
      <c r="L811" s="57" t="str">
        <f>HYPERLINK("https://nycdoe.sharepoint.com/:w:/s/BAP/EdUv6EZ3pGlHueFSasFiNogBDZVNSL4y7gE0zY8WDAWSIg", "9 out of 10")</f>
        <v>9 out of 10</v>
      </c>
      <c r="M811" t="s">
        <v>6730</v>
      </c>
    </row>
    <row r="812" spans="2:13">
      <c r="B812" s="55" t="s">
        <v>2026</v>
      </c>
      <c r="C812" s="55" t="s">
        <v>1044</v>
      </c>
      <c r="D812" s="55" t="s">
        <v>1366</v>
      </c>
      <c r="E812" s="55" t="s">
        <v>4490</v>
      </c>
      <c r="F812" s="55" t="s">
        <v>4491</v>
      </c>
      <c r="G812" s="55" t="s">
        <v>4492</v>
      </c>
      <c r="H812" s="55" t="s">
        <v>56</v>
      </c>
      <c r="I812" s="55"/>
      <c r="J812" s="55" t="s">
        <v>6729</v>
      </c>
      <c r="K812" s="55" t="s">
        <v>62</v>
      </c>
      <c r="L812" s="57" t="str">
        <f>HYPERLINK("https://nycdoe.sharepoint.com/:w:/s/BAP/EdUv6EZ3pGlHueFSasFiNogBDZVNSL4y7gE0zY8WDAWSIg", "9 out of 10")</f>
        <v>9 out of 10</v>
      </c>
      <c r="M812" t="s">
        <v>6730</v>
      </c>
    </row>
    <row r="813" spans="2:13">
      <c r="B813" s="55" t="s">
        <v>2026</v>
      </c>
      <c r="C813" s="55" t="s">
        <v>1044</v>
      </c>
      <c r="D813" s="55" t="s">
        <v>1459</v>
      </c>
      <c r="E813" s="55" t="s">
        <v>6731</v>
      </c>
      <c r="F813" s="55" t="s">
        <v>6732</v>
      </c>
      <c r="G813" s="55" t="s">
        <v>6733</v>
      </c>
      <c r="H813" s="55" t="s">
        <v>56</v>
      </c>
      <c r="I813" s="55"/>
      <c r="J813" s="55" t="s">
        <v>6734</v>
      </c>
      <c r="K813" s="55" t="s">
        <v>62</v>
      </c>
      <c r="L813" s="57" t="str">
        <f>HYPERLINK("https://nycdoe.sharepoint.com/:w:/s/BAP/EdEh28g2wVtNsbMiCN3kGc8BES7tGw5sa_caNSE1Lff02g", "10 out of 10")</f>
        <v>10 out of 10</v>
      </c>
      <c r="M813" t="s">
        <v>6735</v>
      </c>
    </row>
    <row r="814" spans="2:13">
      <c r="B814" s="55" t="s">
        <v>2098</v>
      </c>
      <c r="C814" s="55" t="s">
        <v>1044</v>
      </c>
      <c r="D814" s="55" t="s">
        <v>2099</v>
      </c>
      <c r="E814" s="55" t="s">
        <v>2099</v>
      </c>
      <c r="F814" s="55" t="s">
        <v>6736</v>
      </c>
      <c r="G814" s="55" t="s">
        <v>6737</v>
      </c>
      <c r="H814" s="55" t="s">
        <v>17</v>
      </c>
      <c r="I814" s="55" t="s">
        <v>18</v>
      </c>
      <c r="J814" s="55" t="s">
        <v>6738</v>
      </c>
      <c r="K814" s="55" t="s">
        <v>62</v>
      </c>
      <c r="L814" s="57" t="str">
        <f>HYPERLINK("https://nycdoe.sharepoint.com/:w:/s/BAP/ETeee4zF7JlAkkqHerqs5WQBt1tHxRo2eR7yJRAan3mxzQ", "10 out of 10")</f>
        <v>10 out of 10</v>
      </c>
      <c r="M814" t="s">
        <v>6739</v>
      </c>
    </row>
    <row r="815" spans="2:13">
      <c r="B815" s="55" t="s">
        <v>2098</v>
      </c>
      <c r="C815" s="55" t="s">
        <v>1044</v>
      </c>
      <c r="D815" s="55" t="s">
        <v>2099</v>
      </c>
      <c r="E815" s="55" t="s">
        <v>2103</v>
      </c>
      <c r="F815" s="55" t="s">
        <v>6740</v>
      </c>
      <c r="G815" s="55" t="s">
        <v>6741</v>
      </c>
      <c r="H815" s="55" t="s">
        <v>52</v>
      </c>
      <c r="I815" s="55"/>
      <c r="J815" s="55" t="s">
        <v>6738</v>
      </c>
      <c r="K815" s="55" t="s">
        <v>62</v>
      </c>
      <c r="L815" s="57" t="str">
        <f>HYPERLINK("https://nycdoe.sharepoint.com/:w:/s/BAP/ETeee4zF7JlAkkqHerqs5WQBt1tHxRo2eR7yJRAan3mxzQ", "10 out of 10")</f>
        <v>10 out of 10</v>
      </c>
      <c r="M815" t="s">
        <v>6739</v>
      </c>
    </row>
    <row r="816" spans="2:13">
      <c r="B816" s="55" t="s">
        <v>2098</v>
      </c>
      <c r="C816" s="55" t="s">
        <v>1044</v>
      </c>
      <c r="D816" s="55" t="s">
        <v>2106</v>
      </c>
      <c r="E816" s="55" t="s">
        <v>2106</v>
      </c>
      <c r="F816" s="55" t="s">
        <v>6742</v>
      </c>
      <c r="G816" s="55" t="s">
        <v>6743</v>
      </c>
      <c r="H816" s="55" t="s">
        <v>17</v>
      </c>
      <c r="I816" s="55" t="s">
        <v>18</v>
      </c>
      <c r="J816" s="55" t="s">
        <v>6744</v>
      </c>
      <c r="K816" s="55" t="s">
        <v>20</v>
      </c>
      <c r="L816" s="57" t="str">
        <f>HYPERLINK("https://nycdoe.sharepoint.com/:w:/s/BAP/EVdCwVxyK_NMjzKDLdoHbYcBeWFO6NWEw4SrhXBb6w_r_A", "2 out of 10")</f>
        <v>2 out of 10</v>
      </c>
      <c r="M816" t="s">
        <v>6745</v>
      </c>
    </row>
    <row r="817" spans="2:13">
      <c r="B817" s="55" t="s">
        <v>2098</v>
      </c>
      <c r="C817" s="55" t="s">
        <v>1044</v>
      </c>
      <c r="D817" s="55" t="s">
        <v>2106</v>
      </c>
      <c r="E817" s="55" t="s">
        <v>2110</v>
      </c>
      <c r="F817" s="55" t="s">
        <v>6746</v>
      </c>
      <c r="G817" s="55" t="s">
        <v>6747</v>
      </c>
      <c r="H817" s="55" t="s">
        <v>52</v>
      </c>
      <c r="I817" s="55"/>
      <c r="J817" s="55" t="s">
        <v>6744</v>
      </c>
      <c r="K817" s="55" t="s">
        <v>20</v>
      </c>
      <c r="L817" s="57" t="str">
        <f>HYPERLINK("https://nycdoe.sharepoint.com/:w:/s/BAP/EVdCwVxyK_NMjzKDLdoHbYcBeWFO6NWEw4SrhXBb6w_r_A", "2 out of 10")</f>
        <v>2 out of 10</v>
      </c>
      <c r="M817" t="s">
        <v>6745</v>
      </c>
    </row>
    <row r="818" spans="2:13">
      <c r="B818" s="55" t="s">
        <v>2098</v>
      </c>
      <c r="C818" s="55" t="s">
        <v>1044</v>
      </c>
      <c r="D818" s="55" t="s">
        <v>2113</v>
      </c>
      <c r="E818" s="55" t="s">
        <v>2114</v>
      </c>
      <c r="F818" s="55" t="s">
        <v>6748</v>
      </c>
      <c r="G818" s="55" t="s">
        <v>6749</v>
      </c>
      <c r="H818" s="55" t="s">
        <v>56</v>
      </c>
      <c r="I818" s="55"/>
      <c r="J818" s="55" t="s">
        <v>6750</v>
      </c>
      <c r="K818" s="55" t="s">
        <v>20</v>
      </c>
      <c r="L818" s="57" t="str">
        <f>HYPERLINK("https://nycdoe.sharepoint.com/:w:/s/BAP/ET8kNDIVdhVKtkOuxS5kvrEBpZFnW8_pw-hX_6QbqZ0AsA", "8 out of 10")</f>
        <v>8 out of 10</v>
      </c>
      <c r="M818" t="s">
        <v>6751</v>
      </c>
    </row>
    <row r="819" spans="2:13">
      <c r="B819" s="55" t="s">
        <v>2098</v>
      </c>
      <c r="C819" s="55" t="s">
        <v>1044</v>
      </c>
      <c r="D819" s="55" t="s">
        <v>2113</v>
      </c>
      <c r="E819" s="55" t="s">
        <v>2118</v>
      </c>
      <c r="F819" s="55" t="s">
        <v>6752</v>
      </c>
      <c r="G819" s="55" t="s">
        <v>6753</v>
      </c>
      <c r="H819" s="55" t="s">
        <v>43</v>
      </c>
      <c r="I819" s="55"/>
      <c r="J819" s="55" t="s">
        <v>6750</v>
      </c>
      <c r="K819" s="55" t="s">
        <v>20</v>
      </c>
      <c r="L819" s="57" t="str">
        <f>HYPERLINK("https://nycdoe.sharepoint.com/:w:/s/BAP/ET8kNDIVdhVKtkOuxS5kvrEBpZFnW8_pw-hX_6QbqZ0AsA", "8 out of 10")</f>
        <v>8 out of 10</v>
      </c>
      <c r="M819" t="s">
        <v>6751</v>
      </c>
    </row>
    <row r="820" spans="2:13">
      <c r="B820" s="55" t="s">
        <v>2098</v>
      </c>
      <c r="C820" s="55" t="s">
        <v>1044</v>
      </c>
      <c r="D820" s="55" t="s">
        <v>6754</v>
      </c>
      <c r="E820" s="55" t="s">
        <v>6754</v>
      </c>
      <c r="F820" s="55" t="s">
        <v>6755</v>
      </c>
      <c r="G820" s="55" t="s">
        <v>6756</v>
      </c>
      <c r="H820" s="55" t="s">
        <v>17</v>
      </c>
      <c r="I820" s="55" t="s">
        <v>18</v>
      </c>
      <c r="J820" s="55" t="s">
        <v>6757</v>
      </c>
      <c r="K820" s="55" t="s">
        <v>20</v>
      </c>
      <c r="L820" s="57" t="str">
        <f>HYPERLINK("https://nycdoe.sharepoint.com/:w:/s/BAP/ETBvYNXymt5EuJZRtwGxbY8BrDs-HumALd_IAdg6ehLIgQ", "1 out of 10")</f>
        <v>1 out of 10</v>
      </c>
      <c r="M820" t="s">
        <v>6758</v>
      </c>
    </row>
    <row r="821" spans="2:13">
      <c r="B821" s="55" t="s">
        <v>2098</v>
      </c>
      <c r="C821" s="55" t="s">
        <v>1044</v>
      </c>
      <c r="D821" s="55" t="s">
        <v>6759</v>
      </c>
      <c r="E821" s="55" t="s">
        <v>1774</v>
      </c>
      <c r="F821" s="55" t="s">
        <v>6293</v>
      </c>
      <c r="G821" s="55" t="s">
        <v>1776</v>
      </c>
      <c r="H821" s="55" t="s">
        <v>43</v>
      </c>
      <c r="I821" s="55"/>
      <c r="J821" s="55" t="s">
        <v>6760</v>
      </c>
      <c r="K821" s="55" t="s">
        <v>20</v>
      </c>
      <c r="L821" s="57" t="str">
        <f>HYPERLINK("https://nycdoe.sharepoint.com/:w:/s/BAP/EdYIa28useFKp2QOLSd_pkoBr2_42mfGCs5WAHyNazgzAA", "1 out of 10")</f>
        <v>1 out of 10</v>
      </c>
      <c r="M821" t="s">
        <v>6761</v>
      </c>
    </row>
    <row r="822" spans="2:13">
      <c r="B822" s="55" t="s">
        <v>2098</v>
      </c>
      <c r="C822" s="55" t="s">
        <v>1044</v>
      </c>
      <c r="D822" s="55" t="s">
        <v>6759</v>
      </c>
      <c r="E822" s="55" t="s">
        <v>6759</v>
      </c>
      <c r="F822" s="55" t="s">
        <v>6762</v>
      </c>
      <c r="G822" s="55" t="s">
        <v>6763</v>
      </c>
      <c r="H822" s="55" t="s">
        <v>17</v>
      </c>
      <c r="I822" s="55" t="s">
        <v>18</v>
      </c>
      <c r="J822" s="55" t="s">
        <v>6760</v>
      </c>
      <c r="K822" s="55" t="s">
        <v>20</v>
      </c>
      <c r="L822" s="57" t="str">
        <f>HYPERLINK("https://nycdoe.sharepoint.com/:w:/s/BAP/EdYIa28useFKp2QOLSd_pkoBr2_42mfGCs5WAHyNazgzAA", "1 out of 10")</f>
        <v>1 out of 10</v>
      </c>
      <c r="M822" t="s">
        <v>6761</v>
      </c>
    </row>
    <row r="823" spans="2:13">
      <c r="B823" s="55" t="s">
        <v>2098</v>
      </c>
      <c r="C823" s="55" t="s">
        <v>1044</v>
      </c>
      <c r="D823" s="55" t="s">
        <v>2121</v>
      </c>
      <c r="E823" s="55" t="s">
        <v>2122</v>
      </c>
      <c r="F823" s="55" t="s">
        <v>6764</v>
      </c>
      <c r="G823" s="55" t="s">
        <v>6765</v>
      </c>
      <c r="H823" s="55" t="s">
        <v>56</v>
      </c>
      <c r="I823" s="55"/>
      <c r="J823" s="55" t="s">
        <v>6766</v>
      </c>
      <c r="K823" s="55" t="s">
        <v>62</v>
      </c>
      <c r="L823" s="57" t="str">
        <f>HYPERLINK("https://nycdoe.sharepoint.com/:w:/s/BAP/EXcUE-LLiZ5DtvXEb75LOQ4BvHcrEdhQAPAHIdmmAVUdcA", "9 out of 10")</f>
        <v>9 out of 10</v>
      </c>
      <c r="M823" t="s">
        <v>6767</v>
      </c>
    </row>
    <row r="824" spans="2:13">
      <c r="B824" s="55" t="s">
        <v>2098</v>
      </c>
      <c r="C824" s="55" t="s">
        <v>1044</v>
      </c>
      <c r="D824" s="55" t="s">
        <v>2121</v>
      </c>
      <c r="E824" s="55" t="s">
        <v>2126</v>
      </c>
      <c r="F824" s="55" t="s">
        <v>6768</v>
      </c>
      <c r="G824" s="55" t="s">
        <v>6769</v>
      </c>
      <c r="H824" s="55" t="s">
        <v>56</v>
      </c>
      <c r="I824" s="55"/>
      <c r="J824" s="55" t="s">
        <v>6766</v>
      </c>
      <c r="K824" s="55" t="s">
        <v>62</v>
      </c>
      <c r="L824" s="57" t="str">
        <f>HYPERLINK("https://nycdoe.sharepoint.com/:w:/s/BAP/EXcUE-LLiZ5DtvXEb75LOQ4BvHcrEdhQAPAHIdmmAVUdcA", "9 out of 10")</f>
        <v>9 out of 10</v>
      </c>
      <c r="M824" t="s">
        <v>6767</v>
      </c>
    </row>
    <row r="825" spans="2:13">
      <c r="B825" s="55" t="s">
        <v>2098</v>
      </c>
      <c r="C825" s="55" t="s">
        <v>1044</v>
      </c>
      <c r="D825" s="55" t="s">
        <v>6770</v>
      </c>
      <c r="E825" s="55" t="s">
        <v>1774</v>
      </c>
      <c r="F825" s="55" t="s">
        <v>6293</v>
      </c>
      <c r="G825" s="55" t="s">
        <v>1776</v>
      </c>
      <c r="H825" s="55" t="s">
        <v>43</v>
      </c>
      <c r="I825" s="55"/>
      <c r="J825" s="55" t="s">
        <v>6771</v>
      </c>
      <c r="K825" s="55" t="s">
        <v>20</v>
      </c>
      <c r="L825" s="57" t="str">
        <f>HYPERLINK("https://nycdoe.sharepoint.com/:w:/s/BAP/EQhH9C-LKMlCkywzWgx1jQEBc0hxM_dYD_tWQXwN9jvusg", "1 out of 10")</f>
        <v>1 out of 10</v>
      </c>
      <c r="M825" t="s">
        <v>6772</v>
      </c>
    </row>
    <row r="826" spans="2:13">
      <c r="B826" s="55" t="s">
        <v>2098</v>
      </c>
      <c r="C826" s="55" t="s">
        <v>1044</v>
      </c>
      <c r="D826" s="55" t="s">
        <v>6770</v>
      </c>
      <c r="E826" s="55" t="s">
        <v>6770</v>
      </c>
      <c r="F826" s="55" t="s">
        <v>6773</v>
      </c>
      <c r="G826" s="55" t="s">
        <v>6774</v>
      </c>
      <c r="H826" s="55" t="s">
        <v>24</v>
      </c>
      <c r="I826" s="55" t="s">
        <v>18</v>
      </c>
      <c r="J826" s="55" t="s">
        <v>6771</v>
      </c>
      <c r="K826" s="55" t="s">
        <v>20</v>
      </c>
      <c r="L826" s="57" t="str">
        <f>HYPERLINK("https://nycdoe.sharepoint.com/:w:/s/BAP/EQhH9C-LKMlCkywzWgx1jQEBc0hxM_dYD_tWQXwN9jvusg", "1 out of 10")</f>
        <v>1 out of 10</v>
      </c>
      <c r="M826" t="s">
        <v>6772</v>
      </c>
    </row>
    <row r="827" spans="2:13">
      <c r="B827" s="55" t="s">
        <v>2098</v>
      </c>
      <c r="C827" s="55" t="s">
        <v>1044</v>
      </c>
      <c r="D827" s="55" t="s">
        <v>6775</v>
      </c>
      <c r="E827" s="55" t="s">
        <v>6775</v>
      </c>
      <c r="F827" s="55" t="s">
        <v>6776</v>
      </c>
      <c r="G827" s="55" t="s">
        <v>6777</v>
      </c>
      <c r="H827" s="55" t="s">
        <v>24</v>
      </c>
      <c r="I827" s="55" t="s">
        <v>18</v>
      </c>
      <c r="J827" s="55" t="s">
        <v>6778</v>
      </c>
      <c r="K827" s="55" t="s">
        <v>20</v>
      </c>
      <c r="L827" s="57" t="str">
        <f>HYPERLINK("https://nycdoe.sharepoint.com/:w:/s/BAP/ESLNxXgk2VZKmVkcnlgmnEcBkJcsw66Xvuc0201CaBYI2A", "1 out of 10")</f>
        <v>1 out of 10</v>
      </c>
      <c r="M827" t="s">
        <v>6779</v>
      </c>
    </row>
    <row r="828" spans="2:13">
      <c r="B828" s="55" t="s">
        <v>2098</v>
      </c>
      <c r="C828" s="55" t="s">
        <v>1044</v>
      </c>
      <c r="D828" s="55" t="s">
        <v>2129</v>
      </c>
      <c r="E828" s="55" t="s">
        <v>2130</v>
      </c>
      <c r="F828" s="55" t="s">
        <v>6780</v>
      </c>
      <c r="G828" s="55" t="s">
        <v>2132</v>
      </c>
      <c r="H828" s="55" t="s">
        <v>17</v>
      </c>
      <c r="I828" s="55" t="s">
        <v>18</v>
      </c>
      <c r="J828" s="55" t="s">
        <v>6781</v>
      </c>
      <c r="K828" s="55" t="s">
        <v>20</v>
      </c>
      <c r="L828" s="57" t="str">
        <f>HYPERLINK("https://nycdoe.sharepoint.com/:w:/s/BAP/Efx54ZxDAkRBhF69zR7U-dUBjU7bujTdSC7hxt7JAm4GDA", "1 out of 10")</f>
        <v>1 out of 10</v>
      </c>
      <c r="M828" t="s">
        <v>6782</v>
      </c>
    </row>
    <row r="829" spans="2:13">
      <c r="B829" s="55" t="s">
        <v>2098</v>
      </c>
      <c r="C829" s="55" t="s">
        <v>1044</v>
      </c>
      <c r="D829" s="55" t="s">
        <v>2129</v>
      </c>
      <c r="E829" s="55" t="s">
        <v>2134</v>
      </c>
      <c r="F829" s="55" t="s">
        <v>6783</v>
      </c>
      <c r="G829" s="55" t="s">
        <v>6784</v>
      </c>
      <c r="H829" s="55" t="s">
        <v>17</v>
      </c>
      <c r="I829" s="55" t="s">
        <v>18</v>
      </c>
      <c r="J829" s="55" t="s">
        <v>6781</v>
      </c>
      <c r="K829" s="55" t="s">
        <v>20</v>
      </c>
      <c r="L829" s="57" t="str">
        <f>HYPERLINK("https://nycdoe.sharepoint.com/:w:/s/BAP/Efx54ZxDAkRBhF69zR7U-dUBjU7bujTdSC7hxt7JAm4GDA", "1 out of 10")</f>
        <v>1 out of 10</v>
      </c>
      <c r="M829" t="s">
        <v>6782</v>
      </c>
    </row>
    <row r="830" spans="2:13">
      <c r="B830" s="55" t="s">
        <v>2098</v>
      </c>
      <c r="C830" s="55" t="s">
        <v>1044</v>
      </c>
      <c r="D830" s="55" t="s">
        <v>2129</v>
      </c>
      <c r="E830" s="55" t="s">
        <v>1480</v>
      </c>
      <c r="F830" s="55" t="s">
        <v>5935</v>
      </c>
      <c r="G830" s="55" t="s">
        <v>5936</v>
      </c>
      <c r="H830" s="55" t="s">
        <v>24</v>
      </c>
      <c r="I830" s="55"/>
      <c r="J830" s="55" t="s">
        <v>6781</v>
      </c>
      <c r="K830" s="55" t="s">
        <v>20</v>
      </c>
      <c r="L830" s="57" t="str">
        <f>HYPERLINK("https://nycdoe.sharepoint.com/:w:/s/BAP/Efx54ZxDAkRBhF69zR7U-dUBjU7bujTdSC7hxt7JAm4GDA", "1 out of 10")</f>
        <v>1 out of 10</v>
      </c>
      <c r="M830" t="s">
        <v>6782</v>
      </c>
    </row>
    <row r="831" spans="2:13">
      <c r="B831" s="55" t="s">
        <v>2098</v>
      </c>
      <c r="C831" s="55" t="s">
        <v>1044</v>
      </c>
      <c r="D831" s="55" t="s">
        <v>2129</v>
      </c>
      <c r="E831" s="55" t="s">
        <v>1342</v>
      </c>
      <c r="F831" s="55" t="s">
        <v>6785</v>
      </c>
      <c r="G831" s="55" t="s">
        <v>6786</v>
      </c>
      <c r="H831" s="55" t="s">
        <v>52</v>
      </c>
      <c r="I831" s="55"/>
      <c r="J831" s="55" t="s">
        <v>6781</v>
      </c>
      <c r="K831" s="55" t="s">
        <v>20</v>
      </c>
      <c r="L831" s="57" t="str">
        <f>HYPERLINK("https://nycdoe.sharepoint.com/:w:/s/BAP/Efx54ZxDAkRBhF69zR7U-dUBjU7bujTdSC7hxt7JAm4GDA", "1 out of 10")</f>
        <v>1 out of 10</v>
      </c>
      <c r="M831" t="s">
        <v>6782</v>
      </c>
    </row>
    <row r="832" spans="2:13">
      <c r="B832" s="55" t="s">
        <v>2098</v>
      </c>
      <c r="C832" s="55" t="s">
        <v>1044</v>
      </c>
      <c r="D832" s="55" t="s">
        <v>6787</v>
      </c>
      <c r="E832" s="55" t="s">
        <v>6788</v>
      </c>
      <c r="F832" s="55" t="s">
        <v>6789</v>
      </c>
      <c r="G832" s="55" t="s">
        <v>6790</v>
      </c>
      <c r="H832" s="55" t="s">
        <v>84</v>
      </c>
      <c r="I832" s="55"/>
      <c r="J832" s="55" t="s">
        <v>6791</v>
      </c>
      <c r="K832" s="55" t="s">
        <v>20</v>
      </c>
      <c r="L832" s="57" t="str">
        <f>HYPERLINK("https://nycdoe.sharepoint.com/:w:/s/BAP/Ea7rNh_rfDBCkaoYIxZXgGABLC3VKRFztdsFsnv07NZT8g", "1 out of 10")</f>
        <v>1 out of 10</v>
      </c>
      <c r="M832" t="s">
        <v>6792</v>
      </c>
    </row>
    <row r="833" spans="2:13">
      <c r="B833" s="55" t="s">
        <v>2098</v>
      </c>
      <c r="C833" s="55" t="s">
        <v>1044</v>
      </c>
      <c r="D833" s="55" t="s">
        <v>6787</v>
      </c>
      <c r="E833" s="55" t="s">
        <v>6793</v>
      </c>
      <c r="F833" s="55" t="s">
        <v>6794</v>
      </c>
      <c r="G833" s="55" t="s">
        <v>6795</v>
      </c>
      <c r="H833" s="55" t="s">
        <v>24</v>
      </c>
      <c r="I833" s="55"/>
      <c r="J833" s="55" t="s">
        <v>6791</v>
      </c>
      <c r="K833" s="55" t="s">
        <v>20</v>
      </c>
      <c r="L833" s="57" t="str">
        <f>HYPERLINK("https://nycdoe.sharepoint.com/:w:/s/BAP/Ea7rNh_rfDBCkaoYIxZXgGABLC3VKRFztdsFsnv07NZT8g", "1 out of 10")</f>
        <v>1 out of 10</v>
      </c>
      <c r="M833" t="s">
        <v>6792</v>
      </c>
    </row>
    <row r="834" spans="2:13">
      <c r="B834" s="55" t="s">
        <v>2098</v>
      </c>
      <c r="C834" s="55" t="s">
        <v>1044</v>
      </c>
      <c r="D834" s="55" t="s">
        <v>2139</v>
      </c>
      <c r="E834" s="55" t="s">
        <v>2140</v>
      </c>
      <c r="F834" s="55" t="s">
        <v>6796</v>
      </c>
      <c r="G834" s="55" t="s">
        <v>6797</v>
      </c>
      <c r="H834" s="55" t="s">
        <v>52</v>
      </c>
      <c r="I834" s="55"/>
      <c r="J834" s="55" t="s">
        <v>6798</v>
      </c>
      <c r="K834" s="55" t="s">
        <v>62</v>
      </c>
      <c r="L834" s="57" t="str">
        <f>HYPERLINK("https://nycdoe.sharepoint.com/:w:/s/BAP/EaGoUDwGD_ZEoaCERrerGRcB9-2CG_nERrwLnO4AohpvrQ", "9 out of 10")</f>
        <v>9 out of 10</v>
      </c>
      <c r="M834" t="s">
        <v>6799</v>
      </c>
    </row>
    <row r="835" spans="2:13">
      <c r="B835" s="55" t="s">
        <v>2098</v>
      </c>
      <c r="C835" s="55" t="s">
        <v>1044</v>
      </c>
      <c r="D835" s="55" t="s">
        <v>2139</v>
      </c>
      <c r="E835" s="55" t="s">
        <v>2144</v>
      </c>
      <c r="F835" s="55" t="s">
        <v>6800</v>
      </c>
      <c r="G835" s="55" t="s">
        <v>6801</v>
      </c>
      <c r="H835" s="55" t="s">
        <v>56</v>
      </c>
      <c r="I835" s="55"/>
      <c r="J835" s="55" t="s">
        <v>6798</v>
      </c>
      <c r="K835" s="55" t="s">
        <v>62</v>
      </c>
      <c r="L835" s="57" t="str">
        <f>HYPERLINK("https://nycdoe.sharepoint.com/:w:/s/BAP/EaGoUDwGD_ZEoaCERrerGRcB9-2CG_nERrwLnO4AohpvrQ", "9 out of 10")</f>
        <v>9 out of 10</v>
      </c>
      <c r="M835" t="s">
        <v>6799</v>
      </c>
    </row>
    <row r="836" spans="2:13">
      <c r="B836" s="55" t="s">
        <v>2098</v>
      </c>
      <c r="C836" s="55" t="s">
        <v>1044</v>
      </c>
      <c r="D836" s="55" t="s">
        <v>2139</v>
      </c>
      <c r="E836" s="55" t="s">
        <v>2147</v>
      </c>
      <c r="F836" s="55" t="s">
        <v>6802</v>
      </c>
      <c r="G836" s="55" t="s">
        <v>6803</v>
      </c>
      <c r="H836" s="55" t="s">
        <v>56</v>
      </c>
      <c r="I836" s="55"/>
      <c r="J836" s="55" t="s">
        <v>6798</v>
      </c>
      <c r="K836" s="55" t="s">
        <v>62</v>
      </c>
      <c r="L836" s="57" t="str">
        <f>HYPERLINK("https://nycdoe.sharepoint.com/:w:/s/BAP/EaGoUDwGD_ZEoaCERrerGRcB9-2CG_nERrwLnO4AohpvrQ", "9 out of 10")</f>
        <v>9 out of 10</v>
      </c>
      <c r="M836" t="s">
        <v>6799</v>
      </c>
    </row>
    <row r="837" spans="2:13">
      <c r="B837" s="55" t="s">
        <v>2098</v>
      </c>
      <c r="C837" s="55" t="s">
        <v>1044</v>
      </c>
      <c r="D837" s="55" t="s">
        <v>2139</v>
      </c>
      <c r="E837" s="55" t="s">
        <v>2150</v>
      </c>
      <c r="F837" s="55" t="s">
        <v>6804</v>
      </c>
      <c r="G837" s="55" t="s">
        <v>6805</v>
      </c>
      <c r="H837" s="55" t="s">
        <v>24</v>
      </c>
      <c r="I837" s="55"/>
      <c r="J837" s="55" t="s">
        <v>6798</v>
      </c>
      <c r="K837" s="55" t="s">
        <v>62</v>
      </c>
      <c r="L837" s="57" t="str">
        <f>HYPERLINK("https://nycdoe.sharepoint.com/:w:/s/BAP/EaGoUDwGD_ZEoaCERrerGRcB9-2CG_nERrwLnO4AohpvrQ", "9 out of 10")</f>
        <v>9 out of 10</v>
      </c>
      <c r="M837" t="s">
        <v>6799</v>
      </c>
    </row>
    <row r="838" spans="2:13">
      <c r="B838" s="55" t="s">
        <v>2098</v>
      </c>
      <c r="C838" s="55" t="s">
        <v>1044</v>
      </c>
      <c r="D838" s="55" t="s">
        <v>6806</v>
      </c>
      <c r="E838" s="55" t="s">
        <v>6806</v>
      </c>
      <c r="F838" s="55" t="s">
        <v>6807</v>
      </c>
      <c r="G838" s="55" t="s">
        <v>6808</v>
      </c>
      <c r="H838" s="55" t="s">
        <v>17</v>
      </c>
      <c r="I838" s="55" t="s">
        <v>18</v>
      </c>
      <c r="J838" s="55" t="s">
        <v>6809</v>
      </c>
      <c r="K838" s="55" t="s">
        <v>20</v>
      </c>
      <c r="L838" s="57" t="str">
        <f>HYPERLINK("https://nycdoe.sharepoint.com/:w:/s/BAP/ERGLlzGFJ61MscMZMSAcB1YB84P0OHt_0l9CscgW5xnMNA", "1 out of 10")</f>
        <v>1 out of 10</v>
      </c>
      <c r="M838" t="s">
        <v>6810</v>
      </c>
    </row>
    <row r="839" spans="2:13">
      <c r="B839" s="55" t="s">
        <v>2098</v>
      </c>
      <c r="C839" s="55" t="s">
        <v>1044</v>
      </c>
      <c r="D839" s="55" t="s">
        <v>6806</v>
      </c>
      <c r="E839" s="55" t="s">
        <v>2150</v>
      </c>
      <c r="F839" s="55" t="s">
        <v>6804</v>
      </c>
      <c r="G839" s="55" t="s">
        <v>6805</v>
      </c>
      <c r="H839" s="55" t="s">
        <v>24</v>
      </c>
      <c r="I839" s="55"/>
      <c r="J839" s="55" t="s">
        <v>6809</v>
      </c>
      <c r="K839" s="55" t="s">
        <v>20</v>
      </c>
      <c r="L839" s="57" t="str">
        <f>HYPERLINK("https://nycdoe.sharepoint.com/:w:/s/BAP/ERGLlzGFJ61MscMZMSAcB1YB84P0OHt_0l9CscgW5xnMNA", "1 out of 10")</f>
        <v>1 out of 10</v>
      </c>
      <c r="M839" t="s">
        <v>6810</v>
      </c>
    </row>
    <row r="840" spans="2:13">
      <c r="B840" s="55" t="s">
        <v>2098</v>
      </c>
      <c r="C840" s="55" t="s">
        <v>1044</v>
      </c>
      <c r="D840" s="55" t="s">
        <v>2153</v>
      </c>
      <c r="E840" s="55" t="s">
        <v>2153</v>
      </c>
      <c r="F840" s="55" t="s">
        <v>6811</v>
      </c>
      <c r="G840" s="55" t="s">
        <v>6812</v>
      </c>
      <c r="H840" s="55" t="s">
        <v>17</v>
      </c>
      <c r="I840" s="55" t="s">
        <v>18</v>
      </c>
      <c r="J840" s="55" t="s">
        <v>6813</v>
      </c>
      <c r="K840" s="55" t="s">
        <v>20</v>
      </c>
      <c r="L840" s="57" t="str">
        <f>HYPERLINK("https://nycdoe.sharepoint.com/:w:/s/BAP/EYrLzJYhtnFAjBCCDZnrghwBzdguT5mAU-p1mzs8-dCCPg", "1 out of 10")</f>
        <v>1 out of 10</v>
      </c>
      <c r="M840" t="s">
        <v>6814</v>
      </c>
    </row>
    <row r="841" spans="2:13">
      <c r="B841" s="55" t="s">
        <v>2098</v>
      </c>
      <c r="C841" s="55" t="s">
        <v>1044</v>
      </c>
      <c r="D841" s="55" t="s">
        <v>2153</v>
      </c>
      <c r="E841" s="55" t="s">
        <v>2157</v>
      </c>
      <c r="F841" s="55" t="s">
        <v>6815</v>
      </c>
      <c r="G841" s="55" t="s">
        <v>6816</v>
      </c>
      <c r="H841" s="55" t="s">
        <v>52</v>
      </c>
      <c r="I841" s="55"/>
      <c r="J841" s="55" t="s">
        <v>6813</v>
      </c>
      <c r="K841" s="55" t="s">
        <v>20</v>
      </c>
      <c r="L841" s="57" t="str">
        <f>HYPERLINK("https://nycdoe.sharepoint.com/:w:/s/BAP/EYrLzJYhtnFAjBCCDZnrghwBzdguT5mAU-p1mzs8-dCCPg", "1 out of 10")</f>
        <v>1 out of 10</v>
      </c>
      <c r="M841" t="s">
        <v>6814</v>
      </c>
    </row>
    <row r="842" spans="2:13">
      <c r="B842" s="55" t="s">
        <v>2098</v>
      </c>
      <c r="C842" s="55" t="s">
        <v>1044</v>
      </c>
      <c r="D842" s="55" t="s">
        <v>2134</v>
      </c>
      <c r="E842" s="55" t="s">
        <v>2134</v>
      </c>
      <c r="F842" s="55" t="s">
        <v>6783</v>
      </c>
      <c r="G842" s="55" t="s">
        <v>6784</v>
      </c>
      <c r="H842" s="55" t="s">
        <v>17</v>
      </c>
      <c r="I842" s="55" t="s">
        <v>18</v>
      </c>
      <c r="J842" s="55" t="s">
        <v>6817</v>
      </c>
      <c r="K842" s="55" t="s">
        <v>20</v>
      </c>
      <c r="L842" s="57" t="str">
        <f>HYPERLINK("https://nycdoe.sharepoint.com/:w:/s/BAP/EWJV8nqfpwhFmqlrO7hSIZYBsU80tpy3Tq9pFVEUC42iqg", "1 out of 10")</f>
        <v>1 out of 10</v>
      </c>
      <c r="M842" t="s">
        <v>6818</v>
      </c>
    </row>
    <row r="843" spans="2:13">
      <c r="B843" s="55" t="s">
        <v>2098</v>
      </c>
      <c r="C843" s="55" t="s">
        <v>1044</v>
      </c>
      <c r="D843" s="55" t="s">
        <v>2134</v>
      </c>
      <c r="E843" s="55" t="s">
        <v>1480</v>
      </c>
      <c r="F843" s="55" t="s">
        <v>5935</v>
      </c>
      <c r="G843" s="55" t="s">
        <v>5936</v>
      </c>
      <c r="H843" s="55" t="s">
        <v>24</v>
      </c>
      <c r="I843" s="55"/>
      <c r="J843" s="55" t="s">
        <v>6817</v>
      </c>
      <c r="K843" s="55" t="s">
        <v>20</v>
      </c>
      <c r="L843" s="57" t="str">
        <f>HYPERLINK("https://nycdoe.sharepoint.com/:w:/s/BAP/EWJV8nqfpwhFmqlrO7hSIZYBsU80tpy3Tq9pFVEUC42iqg", "1 out of 10")</f>
        <v>1 out of 10</v>
      </c>
      <c r="M843" t="s">
        <v>6818</v>
      </c>
    </row>
    <row r="844" spans="2:13">
      <c r="B844" s="55" t="s">
        <v>2098</v>
      </c>
      <c r="C844" s="55" t="s">
        <v>1044</v>
      </c>
      <c r="D844" s="55" t="s">
        <v>2161</v>
      </c>
      <c r="E844" s="55" t="s">
        <v>2162</v>
      </c>
      <c r="F844" s="55" t="s">
        <v>6819</v>
      </c>
      <c r="G844" s="55" t="s">
        <v>6820</v>
      </c>
      <c r="H844" s="55" t="s">
        <v>17</v>
      </c>
      <c r="I844" s="55" t="s">
        <v>18</v>
      </c>
      <c r="J844" s="55" t="s">
        <v>6821</v>
      </c>
      <c r="K844" s="55" t="s">
        <v>62</v>
      </c>
      <c r="L844" s="57" t="str">
        <f>HYPERLINK("https://nycdoe.sharepoint.com/:w:/s/BAP/EVvzxfGt_UZHpjJUUITlGTMBhjk7JYr_TwO1IUndUuQsog", "9 out of 10")</f>
        <v>9 out of 10</v>
      </c>
      <c r="M844" t="s">
        <v>6822</v>
      </c>
    </row>
    <row r="845" spans="2:13">
      <c r="B845" s="55" t="s">
        <v>2098</v>
      </c>
      <c r="C845" s="55" t="s">
        <v>1044</v>
      </c>
      <c r="D845" s="55" t="s">
        <v>2161</v>
      </c>
      <c r="E845" s="55" t="s">
        <v>1680</v>
      </c>
      <c r="F845" s="55" t="s">
        <v>6192</v>
      </c>
      <c r="G845" s="55" t="s">
        <v>6193</v>
      </c>
      <c r="H845" s="55" t="s">
        <v>43</v>
      </c>
      <c r="I845" s="55"/>
      <c r="J845" s="55" t="s">
        <v>6821</v>
      </c>
      <c r="K845" s="55" t="s">
        <v>62</v>
      </c>
      <c r="L845" s="57" t="str">
        <f>HYPERLINK("https://nycdoe.sharepoint.com/:w:/s/BAP/EVvzxfGt_UZHpjJUUITlGTMBhjk7JYr_TwO1IUndUuQsog", "9 out of 10")</f>
        <v>9 out of 10</v>
      </c>
      <c r="M845" t="s">
        <v>6822</v>
      </c>
    </row>
    <row r="846" spans="2:13">
      <c r="B846" s="55" t="s">
        <v>2098</v>
      </c>
      <c r="C846" s="55" t="s">
        <v>1044</v>
      </c>
      <c r="D846" s="55" t="s">
        <v>1499</v>
      </c>
      <c r="E846" s="55" t="s">
        <v>2166</v>
      </c>
      <c r="F846" s="55" t="s">
        <v>6823</v>
      </c>
      <c r="G846" s="55" t="s">
        <v>6824</v>
      </c>
      <c r="H846" s="55" t="s">
        <v>17</v>
      </c>
      <c r="I846" s="55" t="s">
        <v>18</v>
      </c>
      <c r="J846" s="55" t="s">
        <v>6825</v>
      </c>
      <c r="K846" s="55" t="s">
        <v>62</v>
      </c>
      <c r="L846" s="57" t="str">
        <f>HYPERLINK("https://nycdoe.sharepoint.com/:w:/s/BAP/EbMhxmB5sABKnF4CDfAwSkoBTOFQOIFcw6dEdEk7eQ-qJQ", "10 out of 10")</f>
        <v>10 out of 10</v>
      </c>
      <c r="M846" t="s">
        <v>6826</v>
      </c>
    </row>
    <row r="847" spans="2:13">
      <c r="B847" s="55" t="s">
        <v>2098</v>
      </c>
      <c r="C847" s="55" t="s">
        <v>1044</v>
      </c>
      <c r="D847" s="55" t="s">
        <v>1499</v>
      </c>
      <c r="E847" s="55" t="s">
        <v>2170</v>
      </c>
      <c r="F847" s="55" t="s">
        <v>6827</v>
      </c>
      <c r="G847" s="55" t="s">
        <v>2172</v>
      </c>
      <c r="H847" s="55" t="s">
        <v>52</v>
      </c>
      <c r="I847" s="55"/>
      <c r="J847" s="55" t="s">
        <v>6825</v>
      </c>
      <c r="K847" s="55" t="s">
        <v>62</v>
      </c>
      <c r="L847" s="57" t="str">
        <f>HYPERLINK("https://nycdoe.sharepoint.com/:w:/s/BAP/EbMhxmB5sABKnF4CDfAwSkoBTOFQOIFcw6dEdEk7eQ-qJQ", "10 out of 10")</f>
        <v>10 out of 10</v>
      </c>
      <c r="M847" t="s">
        <v>6826</v>
      </c>
    </row>
    <row r="848" spans="2:13">
      <c r="B848" s="55" t="s">
        <v>2098</v>
      </c>
      <c r="C848" s="55" t="s">
        <v>1044</v>
      </c>
      <c r="D848" s="55" t="s">
        <v>1480</v>
      </c>
      <c r="E848" s="55" t="s">
        <v>2134</v>
      </c>
      <c r="F848" s="55" t="s">
        <v>6783</v>
      </c>
      <c r="G848" s="55" t="s">
        <v>6784</v>
      </c>
      <c r="H848" s="55" t="s">
        <v>17</v>
      </c>
      <c r="I848" s="55" t="s">
        <v>18</v>
      </c>
      <c r="J848" s="55" t="s">
        <v>6828</v>
      </c>
      <c r="K848" s="55" t="s">
        <v>62</v>
      </c>
      <c r="L848" s="57" t="str">
        <f>HYPERLINK("https://nycdoe.sharepoint.com/:w:/s/BAP/EdXl8ToLJqJCvj3W3hgsccMBDP0AKrnATQILhKjq-XpJoQ", "9 out of 10")</f>
        <v>9 out of 10</v>
      </c>
      <c r="M848" t="s">
        <v>6829</v>
      </c>
    </row>
    <row r="849" spans="2:13">
      <c r="B849" s="55" t="s">
        <v>2098</v>
      </c>
      <c r="C849" s="55" t="s">
        <v>1044</v>
      </c>
      <c r="D849" s="55" t="s">
        <v>1480</v>
      </c>
      <c r="E849" s="55" t="s">
        <v>1480</v>
      </c>
      <c r="F849" s="55" t="s">
        <v>5935</v>
      </c>
      <c r="G849" s="55" t="s">
        <v>5936</v>
      </c>
      <c r="H849" s="55" t="s">
        <v>24</v>
      </c>
      <c r="I849" s="55"/>
      <c r="J849" s="55" t="s">
        <v>6828</v>
      </c>
      <c r="K849" s="55" t="s">
        <v>62</v>
      </c>
      <c r="L849" s="57" t="str">
        <f>HYPERLINK("https://nycdoe.sharepoint.com/:w:/s/BAP/EdXl8ToLJqJCvj3W3hgsccMBDP0AKrnATQILhKjq-XpJoQ", "9 out of 10")</f>
        <v>9 out of 10</v>
      </c>
      <c r="M849" t="s">
        <v>6829</v>
      </c>
    </row>
    <row r="850" spans="2:13">
      <c r="B850" s="55" t="s">
        <v>2174</v>
      </c>
      <c r="C850" s="55" t="s">
        <v>1044</v>
      </c>
      <c r="D850" s="55" t="s">
        <v>2175</v>
      </c>
      <c r="E850" s="55" t="s">
        <v>2175</v>
      </c>
      <c r="F850" s="55" t="s">
        <v>6830</v>
      </c>
      <c r="G850" s="55" t="s">
        <v>6831</v>
      </c>
      <c r="H850" s="55" t="s">
        <v>17</v>
      </c>
      <c r="I850" s="55" t="s">
        <v>18</v>
      </c>
      <c r="J850" s="55" t="s">
        <v>6832</v>
      </c>
      <c r="K850" s="55" t="s">
        <v>62</v>
      </c>
      <c r="L850" s="57" t="str">
        <f>HYPERLINK("https://nycdoe.sharepoint.com/:w:/s/BAP/ESxSJp0hx49MihZKzOFkxQ4BzZgA8QtE7zloXX9JgPgIuw", "9 out of 10")</f>
        <v>9 out of 10</v>
      </c>
      <c r="M850" t="s">
        <v>6833</v>
      </c>
    </row>
    <row r="851" spans="2:13">
      <c r="B851" s="55" t="s">
        <v>2174</v>
      </c>
      <c r="C851" s="55" t="s">
        <v>1044</v>
      </c>
      <c r="D851" s="55" t="s">
        <v>2175</v>
      </c>
      <c r="E851" s="55" t="s">
        <v>1168</v>
      </c>
      <c r="F851" s="55" t="s">
        <v>5586</v>
      </c>
      <c r="G851" s="55" t="s">
        <v>1170</v>
      </c>
      <c r="H851" s="55" t="s">
        <v>43</v>
      </c>
      <c r="I851" s="55" t="s">
        <v>18</v>
      </c>
      <c r="J851" s="55" t="s">
        <v>6832</v>
      </c>
      <c r="K851" s="55" t="s">
        <v>62</v>
      </c>
      <c r="L851" s="57" t="str">
        <f>HYPERLINK("https://nycdoe.sharepoint.com/:w:/s/BAP/ESxSJp0hx49MihZKzOFkxQ4BzZgA8QtE7zloXX9JgPgIuw", "9 out of 10")</f>
        <v>9 out of 10</v>
      </c>
      <c r="M851" t="s">
        <v>6833</v>
      </c>
    </row>
    <row r="852" spans="2:13">
      <c r="B852" s="55" t="s">
        <v>2174</v>
      </c>
      <c r="C852" s="55" t="s">
        <v>1044</v>
      </c>
      <c r="D852" s="55" t="s">
        <v>6834</v>
      </c>
      <c r="E852" s="55" t="s">
        <v>6834</v>
      </c>
      <c r="F852" s="55" t="s">
        <v>6835</v>
      </c>
      <c r="G852" s="55" t="s">
        <v>6836</v>
      </c>
      <c r="H852" s="55" t="s">
        <v>17</v>
      </c>
      <c r="I852" s="55" t="s">
        <v>18</v>
      </c>
      <c r="J852" s="55" t="s">
        <v>6837</v>
      </c>
      <c r="K852" s="55" t="s">
        <v>20</v>
      </c>
      <c r="L852" s="57" t="str">
        <f>HYPERLINK("https://nycdoe.sharepoint.com/:w:/s/BAP/EdZFo4DnpOVMpkVQ5yDW8wcB7rr7nsXTM2fPGALx1Xv0Ww", "1 out of 10")</f>
        <v>1 out of 10</v>
      </c>
      <c r="M852" t="s">
        <v>6838</v>
      </c>
    </row>
    <row r="853" spans="2:13">
      <c r="B853" s="55" t="s">
        <v>2174</v>
      </c>
      <c r="C853" s="55" t="s">
        <v>1044</v>
      </c>
      <c r="D853" s="55" t="s">
        <v>2179</v>
      </c>
      <c r="E853" s="55" t="s">
        <v>2179</v>
      </c>
      <c r="F853" s="55" t="s">
        <v>6839</v>
      </c>
      <c r="G853" s="55" t="s">
        <v>6840</v>
      </c>
      <c r="H853" s="55" t="s">
        <v>52</v>
      </c>
      <c r="I853" s="55"/>
      <c r="J853" s="55" t="s">
        <v>6841</v>
      </c>
      <c r="K853" s="55" t="s">
        <v>20</v>
      </c>
      <c r="L853" s="57" t="str">
        <f>HYPERLINK("https://nycdoe.sharepoint.com/:w:/s/BAP/EeeBI9ifvuJOuHAJaxyIihABb0Eg3Xq3H2U-slC6J3yspg", "8 out of 10")</f>
        <v>8 out of 10</v>
      </c>
      <c r="M853" t="s">
        <v>6842</v>
      </c>
    </row>
    <row r="854" spans="2:13">
      <c r="B854" s="55" t="s">
        <v>2174</v>
      </c>
      <c r="C854" s="55" t="s">
        <v>1044</v>
      </c>
      <c r="D854" s="55" t="s">
        <v>6843</v>
      </c>
      <c r="E854" s="55" t="s">
        <v>6843</v>
      </c>
      <c r="F854" s="55" t="s">
        <v>6844</v>
      </c>
      <c r="G854" s="55" t="s">
        <v>6845</v>
      </c>
      <c r="H854" s="55" t="s">
        <v>17</v>
      </c>
      <c r="I854" s="55" t="s">
        <v>18</v>
      </c>
      <c r="J854" s="55" t="s">
        <v>6846</v>
      </c>
      <c r="K854" s="55" t="s">
        <v>20</v>
      </c>
      <c r="L854" s="57" t="str">
        <f>HYPERLINK("https://nycdoe.sharepoint.com/:w:/s/BAP/EbuTpxD9kpxEhbmX1R1LOeMBF_A1vrYLN4KWq_SwYwYP0A", "1 out of 10")</f>
        <v>1 out of 10</v>
      </c>
      <c r="M854" t="s">
        <v>6847</v>
      </c>
    </row>
    <row r="855" spans="2:13">
      <c r="B855" s="55" t="s">
        <v>2174</v>
      </c>
      <c r="C855" s="55" t="s">
        <v>1044</v>
      </c>
      <c r="D855" s="55" t="s">
        <v>2183</v>
      </c>
      <c r="E855" s="55" t="s">
        <v>2183</v>
      </c>
      <c r="F855" s="55" t="s">
        <v>6848</v>
      </c>
      <c r="G855" s="55" t="s">
        <v>6849</v>
      </c>
      <c r="H855" s="55" t="s">
        <v>52</v>
      </c>
      <c r="I855" s="55"/>
      <c r="J855" s="55" t="s">
        <v>6850</v>
      </c>
      <c r="K855" s="55" t="s">
        <v>20</v>
      </c>
      <c r="L855" s="57" t="str">
        <f>HYPERLINK("https://nycdoe.sharepoint.com/:w:/s/BAP/EYBwe1meym1BrJGjgvkFKlcBIsS19ggdezGwjDmFu7kUlg", "3 out of 10")</f>
        <v>3 out of 10</v>
      </c>
      <c r="M855" t="s">
        <v>6851</v>
      </c>
    </row>
    <row r="856" spans="2:13">
      <c r="B856" s="55" t="s">
        <v>2174</v>
      </c>
      <c r="C856" s="55" t="s">
        <v>1044</v>
      </c>
      <c r="D856" s="55" t="s">
        <v>2183</v>
      </c>
      <c r="E856" s="55" t="s">
        <v>1329</v>
      </c>
      <c r="F856" s="55" t="s">
        <v>6852</v>
      </c>
      <c r="G856" s="55" t="s">
        <v>6853</v>
      </c>
      <c r="H856" s="55" t="s">
        <v>56</v>
      </c>
      <c r="I856" s="55"/>
      <c r="J856" s="55" t="s">
        <v>6850</v>
      </c>
      <c r="K856" s="55" t="s">
        <v>20</v>
      </c>
      <c r="L856" s="57" t="str">
        <f>HYPERLINK("https://nycdoe.sharepoint.com/:w:/s/BAP/EYBwe1meym1BrJGjgvkFKlcBIsS19ggdezGwjDmFu7kUlg", "3 out of 10")</f>
        <v>3 out of 10</v>
      </c>
      <c r="M856" t="s">
        <v>6851</v>
      </c>
    </row>
    <row r="857" spans="2:13">
      <c r="B857" s="55" t="s">
        <v>2174</v>
      </c>
      <c r="C857" s="55" t="s">
        <v>1044</v>
      </c>
      <c r="D857" s="55" t="s">
        <v>2183</v>
      </c>
      <c r="E857" s="55" t="s">
        <v>2189</v>
      </c>
      <c r="F857" s="55" t="s">
        <v>6854</v>
      </c>
      <c r="G857" s="55" t="s">
        <v>6855</v>
      </c>
      <c r="H857" s="55" t="s">
        <v>56</v>
      </c>
      <c r="I857" s="55"/>
      <c r="J857" s="55" t="s">
        <v>6850</v>
      </c>
      <c r="K857" s="55" t="s">
        <v>20</v>
      </c>
      <c r="L857" s="57" t="str">
        <f>HYPERLINK("https://nycdoe.sharepoint.com/:w:/s/BAP/EYBwe1meym1BrJGjgvkFKlcBIsS19ggdezGwjDmFu7kUlg", "3 out of 10")</f>
        <v>3 out of 10</v>
      </c>
      <c r="M857" t="s">
        <v>6851</v>
      </c>
    </row>
    <row r="858" spans="2:13">
      <c r="B858" s="55" t="s">
        <v>2174</v>
      </c>
      <c r="C858" s="55" t="s">
        <v>1044</v>
      </c>
      <c r="D858" s="55" t="s">
        <v>6856</v>
      </c>
      <c r="E858" s="55" t="s">
        <v>1264</v>
      </c>
      <c r="F858" s="55" t="s">
        <v>5697</v>
      </c>
      <c r="G858" s="55" t="s">
        <v>1266</v>
      </c>
      <c r="H858" s="55" t="s">
        <v>43</v>
      </c>
      <c r="I858" s="55"/>
      <c r="J858" s="55" t="s">
        <v>6857</v>
      </c>
      <c r="K858" s="55" t="s">
        <v>20</v>
      </c>
      <c r="L858" s="57" t="str">
        <f>HYPERLINK("https://nycdoe.sharepoint.com/:w:/s/BAP/EZtpzZpKxMNHsxs827o15K4BxajY41D11trA7odSQkEc3A", "1 out of 10")</f>
        <v>1 out of 10</v>
      </c>
      <c r="M858" t="s">
        <v>6858</v>
      </c>
    </row>
    <row r="859" spans="2:13">
      <c r="B859" s="55" t="s">
        <v>2174</v>
      </c>
      <c r="C859" s="55" t="s">
        <v>1044</v>
      </c>
      <c r="D859" s="55" t="s">
        <v>6856</v>
      </c>
      <c r="E859" s="55" t="s">
        <v>2202</v>
      </c>
      <c r="F859" s="55" t="s">
        <v>6859</v>
      </c>
      <c r="G859" s="55" t="s">
        <v>6860</v>
      </c>
      <c r="H859" s="55" t="s">
        <v>24</v>
      </c>
      <c r="I859" s="55"/>
      <c r="J859" s="55" t="s">
        <v>6857</v>
      </c>
      <c r="K859" s="55" t="s">
        <v>20</v>
      </c>
      <c r="L859" s="57" t="str">
        <f>HYPERLINK("https://nycdoe.sharepoint.com/:w:/s/BAP/EZtpzZpKxMNHsxs827o15K4BxajY41D11trA7odSQkEc3A", "1 out of 10")</f>
        <v>1 out of 10</v>
      </c>
      <c r="M859" t="s">
        <v>6858</v>
      </c>
    </row>
    <row r="860" spans="2:13">
      <c r="B860" s="55" t="s">
        <v>2174</v>
      </c>
      <c r="C860" s="55" t="s">
        <v>1044</v>
      </c>
      <c r="D860" s="55" t="s">
        <v>6856</v>
      </c>
      <c r="E860" s="55" t="s">
        <v>6861</v>
      </c>
      <c r="F860" s="55" t="s">
        <v>6862</v>
      </c>
      <c r="G860" s="55" t="s">
        <v>6863</v>
      </c>
      <c r="H860" s="55" t="s">
        <v>52</v>
      </c>
      <c r="I860" s="55"/>
      <c r="J860" s="55" t="s">
        <v>6857</v>
      </c>
      <c r="K860" s="55" t="s">
        <v>20</v>
      </c>
      <c r="L860" s="57" t="str">
        <f>HYPERLINK("https://nycdoe.sharepoint.com/:w:/s/BAP/EZtpzZpKxMNHsxs827o15K4BxajY41D11trA7odSQkEc3A", "1 out of 10")</f>
        <v>1 out of 10</v>
      </c>
      <c r="M860" t="s">
        <v>6858</v>
      </c>
    </row>
    <row r="861" spans="2:13">
      <c r="B861" s="55" t="s">
        <v>2174</v>
      </c>
      <c r="C861" s="55" t="s">
        <v>1044</v>
      </c>
      <c r="D861" s="55" t="s">
        <v>6864</v>
      </c>
      <c r="E861" s="55" t="s">
        <v>6864</v>
      </c>
      <c r="F861" s="55" t="s">
        <v>6865</v>
      </c>
      <c r="G861" s="55" t="s">
        <v>3582</v>
      </c>
      <c r="H861" s="55" t="s">
        <v>17</v>
      </c>
      <c r="I861" s="55"/>
      <c r="J861" s="55" t="s">
        <v>6866</v>
      </c>
      <c r="K861" s="55" t="s">
        <v>62</v>
      </c>
      <c r="L861" s="57" t="str">
        <f>HYPERLINK("https://nycdoe.sharepoint.com/:w:/s/BAP/ETwl-nsgtd5LpaoQVrlH5D8BLG_fe0e4MOr7eLmuHqxNsA", "10 out of 10")</f>
        <v>10 out of 10</v>
      </c>
      <c r="M861" t="s">
        <v>6867</v>
      </c>
    </row>
    <row r="862" spans="2:13">
      <c r="B862" s="55" t="s">
        <v>2174</v>
      </c>
      <c r="C862" s="55" t="s">
        <v>1044</v>
      </c>
      <c r="D862" s="55" t="s">
        <v>2192</v>
      </c>
      <c r="E862" s="55" t="s">
        <v>2192</v>
      </c>
      <c r="F862" s="55" t="s">
        <v>6868</v>
      </c>
      <c r="G862" s="55" t="s">
        <v>6869</v>
      </c>
      <c r="H862" s="55" t="s">
        <v>17</v>
      </c>
      <c r="I862" s="55" t="s">
        <v>18</v>
      </c>
      <c r="J862" s="55" t="s">
        <v>6870</v>
      </c>
      <c r="K862" s="55" t="s">
        <v>20</v>
      </c>
      <c r="L862" s="57" t="str">
        <f>HYPERLINK("https://nycdoe.sharepoint.com/:w:/s/BAP/ETH8To5Qai9Cl6-y1MkKTNcBVyG8XGkSF7Ym6iZRGq0eig", "1 out of 10")</f>
        <v>1 out of 10</v>
      </c>
      <c r="M862" t="s">
        <v>6871</v>
      </c>
    </row>
    <row r="863" spans="2:13">
      <c r="B863" s="55" t="s">
        <v>2174</v>
      </c>
      <c r="C863" s="55" t="s">
        <v>1044</v>
      </c>
      <c r="D863" s="55" t="s">
        <v>2192</v>
      </c>
      <c r="E863" s="55" t="s">
        <v>1129</v>
      </c>
      <c r="F863" s="55" t="s">
        <v>6872</v>
      </c>
      <c r="G863" s="55" t="s">
        <v>6873</v>
      </c>
      <c r="H863" s="55" t="s">
        <v>24</v>
      </c>
      <c r="I863" s="55"/>
      <c r="J863" s="55" t="s">
        <v>6870</v>
      </c>
      <c r="K863" s="55" t="s">
        <v>20</v>
      </c>
      <c r="L863" s="57" t="str">
        <f>HYPERLINK("https://nycdoe.sharepoint.com/:w:/s/BAP/ETH8To5Qai9Cl6-y1MkKTNcBVyG8XGkSF7Ym6iZRGq0eig", "1 out of 10")</f>
        <v>1 out of 10</v>
      </c>
      <c r="M863" t="s">
        <v>6871</v>
      </c>
    </row>
    <row r="864" spans="2:13">
      <c r="B864" s="55" t="s">
        <v>2174</v>
      </c>
      <c r="C864" s="55" t="s">
        <v>1044</v>
      </c>
      <c r="D864" s="55" t="s">
        <v>2198</v>
      </c>
      <c r="E864" s="55" t="s">
        <v>2198</v>
      </c>
      <c r="F864" s="55" t="s">
        <v>6874</v>
      </c>
      <c r="G864" s="55" t="s">
        <v>6875</v>
      </c>
      <c r="H864" s="55" t="s">
        <v>52</v>
      </c>
      <c r="I864" s="55"/>
      <c r="J864" s="55" t="s">
        <v>6876</v>
      </c>
      <c r="K864" s="55" t="s">
        <v>20</v>
      </c>
      <c r="L864" s="57" t="str">
        <f>HYPERLINK("https://nycdoe.sharepoint.com/:w:/s/BAP/EUX7X4QW2HlLkyRhbptPwaMBOFHMQoYuMwRRcnqqodDLYQ", "7 out of 10")</f>
        <v>7 out of 10</v>
      </c>
      <c r="M864" t="s">
        <v>6877</v>
      </c>
    </row>
    <row r="865" spans="2:13">
      <c r="B865" s="55" t="s">
        <v>2174</v>
      </c>
      <c r="C865" s="55" t="s">
        <v>1044</v>
      </c>
      <c r="D865" s="55" t="s">
        <v>2198</v>
      </c>
      <c r="E865" s="55" t="s">
        <v>2202</v>
      </c>
      <c r="F865" s="55" t="s">
        <v>6859</v>
      </c>
      <c r="G865" s="55" t="s">
        <v>6860</v>
      </c>
      <c r="H865" s="55" t="s">
        <v>24</v>
      </c>
      <c r="I865" s="55"/>
      <c r="J865" s="55" t="s">
        <v>6876</v>
      </c>
      <c r="K865" s="55" t="s">
        <v>20</v>
      </c>
      <c r="L865" s="57" t="str">
        <f>HYPERLINK("https://nycdoe.sharepoint.com/:w:/s/BAP/EUX7X4QW2HlLkyRhbptPwaMBOFHMQoYuMwRRcnqqodDLYQ", "7 out of 10")</f>
        <v>7 out of 10</v>
      </c>
      <c r="M865" t="s">
        <v>6877</v>
      </c>
    </row>
    <row r="866" spans="2:13">
      <c r="B866" s="55" t="s">
        <v>2174</v>
      </c>
      <c r="C866" s="55" t="s">
        <v>1044</v>
      </c>
      <c r="D866" s="55" t="s">
        <v>2205</v>
      </c>
      <c r="E866" s="55" t="s">
        <v>1264</v>
      </c>
      <c r="F866" s="55" t="s">
        <v>5697</v>
      </c>
      <c r="G866" s="55" t="s">
        <v>1266</v>
      </c>
      <c r="H866" s="55" t="s">
        <v>43</v>
      </c>
      <c r="I866" s="55"/>
      <c r="J866" s="55" t="s">
        <v>6878</v>
      </c>
      <c r="K866" s="55" t="s">
        <v>62</v>
      </c>
      <c r="L866" s="57" t="str">
        <f>HYPERLINK("https://nycdoe.sharepoint.com/:w:/s/BAP/EfMal6Wbt1JOp7_-To3EtdoB3N2DpKxjku_EMJ9xe7wblw", "9 out of 10")</f>
        <v>9 out of 10</v>
      </c>
      <c r="M866" t="s">
        <v>6879</v>
      </c>
    </row>
    <row r="867" spans="2:13">
      <c r="B867" s="55" t="s">
        <v>2174</v>
      </c>
      <c r="C867" s="55" t="s">
        <v>1044</v>
      </c>
      <c r="D867" s="55" t="s">
        <v>2205</v>
      </c>
      <c r="E867" s="55" t="s">
        <v>2205</v>
      </c>
      <c r="F867" s="55" t="s">
        <v>6880</v>
      </c>
      <c r="G867" s="55" t="s">
        <v>6881</v>
      </c>
      <c r="H867" s="55" t="s">
        <v>24</v>
      </c>
      <c r="I867" s="55" t="s">
        <v>18</v>
      </c>
      <c r="J867" s="55" t="s">
        <v>6878</v>
      </c>
      <c r="K867" s="55" t="s">
        <v>62</v>
      </c>
      <c r="L867" s="57" t="str">
        <f>HYPERLINK("https://nycdoe.sharepoint.com/:w:/s/BAP/EfMal6Wbt1JOp7_-To3EtdoB3N2DpKxjku_EMJ9xe7wblw", "9 out of 10")</f>
        <v>9 out of 10</v>
      </c>
      <c r="M867" t="s">
        <v>6879</v>
      </c>
    </row>
    <row r="868" spans="2:13">
      <c r="B868" s="55" t="s">
        <v>2174</v>
      </c>
      <c r="C868" s="55" t="s">
        <v>1044</v>
      </c>
      <c r="D868" s="55" t="s">
        <v>2209</v>
      </c>
      <c r="E868" s="55" t="s">
        <v>2210</v>
      </c>
      <c r="F868" s="55" t="s">
        <v>6882</v>
      </c>
      <c r="G868" s="55" t="s">
        <v>6883</v>
      </c>
      <c r="H868" s="55" t="s">
        <v>56</v>
      </c>
      <c r="I868" s="55"/>
      <c r="J868" s="55" t="s">
        <v>6884</v>
      </c>
      <c r="K868" s="55" t="s">
        <v>20</v>
      </c>
      <c r="L868" s="57" t="str">
        <f>HYPERLINK("https://nycdoe.sharepoint.com/:w:/s/BAP/Eeqn83BEAGZOs04ZuF11L28B9xTjiir--jZFSfqPKVEp1Q", "5 out of 10")</f>
        <v>5 out of 10</v>
      </c>
      <c r="M868" t="s">
        <v>6885</v>
      </c>
    </row>
    <row r="869" spans="2:13">
      <c r="B869" s="55" t="s">
        <v>2174</v>
      </c>
      <c r="C869" s="55" t="s">
        <v>1044</v>
      </c>
      <c r="D869" s="55" t="s">
        <v>2209</v>
      </c>
      <c r="E869" s="55" t="s">
        <v>2214</v>
      </c>
      <c r="F869" s="55" t="s">
        <v>6886</v>
      </c>
      <c r="G869" s="55" t="s">
        <v>6887</v>
      </c>
      <c r="H869" s="55" t="s">
        <v>56</v>
      </c>
      <c r="I869" s="55"/>
      <c r="J869" s="55" t="s">
        <v>6884</v>
      </c>
      <c r="K869" s="55" t="s">
        <v>20</v>
      </c>
      <c r="L869" s="57" t="str">
        <f>HYPERLINK("https://nycdoe.sharepoint.com/:w:/s/BAP/Eeqn83BEAGZOs04ZuF11L28B9xTjiir--jZFSfqPKVEp1Q", "5 out of 10")</f>
        <v>5 out of 10</v>
      </c>
      <c r="M869" t="s">
        <v>6885</v>
      </c>
    </row>
    <row r="870" spans="2:13">
      <c r="B870" s="55" t="s">
        <v>2174</v>
      </c>
      <c r="C870" s="55" t="s">
        <v>1044</v>
      </c>
      <c r="D870" s="55" t="s">
        <v>2209</v>
      </c>
      <c r="E870" s="55" t="s">
        <v>2217</v>
      </c>
      <c r="F870" s="55" t="s">
        <v>6888</v>
      </c>
      <c r="G870" s="55" t="s">
        <v>6889</v>
      </c>
      <c r="H870" s="55" t="s">
        <v>56</v>
      </c>
      <c r="I870" s="55"/>
      <c r="J870" s="55" t="s">
        <v>6884</v>
      </c>
      <c r="K870" s="55" t="s">
        <v>20</v>
      </c>
      <c r="L870" s="57" t="str">
        <f>HYPERLINK("https://nycdoe.sharepoint.com/:w:/s/BAP/Eeqn83BEAGZOs04ZuF11L28B9xTjiir--jZFSfqPKVEp1Q", "5 out of 10")</f>
        <v>5 out of 10</v>
      </c>
      <c r="M870" t="s">
        <v>6885</v>
      </c>
    </row>
    <row r="871" spans="2:13">
      <c r="B871" s="55" t="s">
        <v>2174</v>
      </c>
      <c r="C871" s="55" t="s">
        <v>1044</v>
      </c>
      <c r="D871" s="55" t="s">
        <v>2209</v>
      </c>
      <c r="E871" s="55" t="s">
        <v>2220</v>
      </c>
      <c r="F871" s="55" t="s">
        <v>6890</v>
      </c>
      <c r="G871" s="55" t="s">
        <v>6891</v>
      </c>
      <c r="H871" s="55" t="s">
        <v>56</v>
      </c>
      <c r="I871" s="55"/>
      <c r="J871" s="55" t="s">
        <v>6884</v>
      </c>
      <c r="K871" s="55" t="s">
        <v>20</v>
      </c>
      <c r="L871" s="57" t="str">
        <f>HYPERLINK("https://nycdoe.sharepoint.com/:w:/s/BAP/Eeqn83BEAGZOs04ZuF11L28B9xTjiir--jZFSfqPKVEp1Q", "5 out of 10")</f>
        <v>5 out of 10</v>
      </c>
      <c r="M871" t="s">
        <v>6885</v>
      </c>
    </row>
    <row r="872" spans="2:13">
      <c r="B872" s="55" t="s">
        <v>2174</v>
      </c>
      <c r="C872" s="55" t="s">
        <v>1044</v>
      </c>
      <c r="D872" s="55" t="s">
        <v>2223</v>
      </c>
      <c r="E872" s="55" t="s">
        <v>2223</v>
      </c>
      <c r="F872" s="55" t="s">
        <v>6892</v>
      </c>
      <c r="G872" s="55" t="s">
        <v>6893</v>
      </c>
      <c r="H872" s="55" t="s">
        <v>84</v>
      </c>
      <c r="I872" s="55"/>
      <c r="J872" s="55" t="s">
        <v>6894</v>
      </c>
      <c r="K872" s="55" t="s">
        <v>62</v>
      </c>
      <c r="L872" s="57" t="str">
        <f>HYPERLINK("https://nycdoe.sharepoint.com/:w:/s/BAP/Ee1V-fHmBYdLuhA-mNOQGLsBk2wkjW_ep2G9V2vxQwqY6A", "10 out of 10")</f>
        <v>10 out of 10</v>
      </c>
      <c r="M872" t="s">
        <v>6895</v>
      </c>
    </row>
    <row r="873" spans="2:13">
      <c r="B873" s="55" t="s">
        <v>2174</v>
      </c>
      <c r="C873" s="55" t="s">
        <v>1044</v>
      </c>
      <c r="D873" s="55" t="s">
        <v>6896</v>
      </c>
      <c r="E873" s="55" t="s">
        <v>2223</v>
      </c>
      <c r="F873" s="55" t="s">
        <v>6892</v>
      </c>
      <c r="G873" s="55" t="s">
        <v>6893</v>
      </c>
      <c r="H873" s="55" t="s">
        <v>84</v>
      </c>
      <c r="I873" s="55"/>
      <c r="J873" s="55" t="s">
        <v>6897</v>
      </c>
      <c r="K873" s="55" t="s">
        <v>62</v>
      </c>
      <c r="L873" s="57" t="str">
        <f>HYPERLINK("https://nycdoe.sharepoint.com/:w:/s/BAP/EVEmbH9lAAxPifhhtT2MNjIBydtrTi98E06tM4oe3fJtQA", "10 out of 10")</f>
        <v>10 out of 10</v>
      </c>
      <c r="M873" t="s">
        <v>6898</v>
      </c>
    </row>
    <row r="874" spans="2:13">
      <c r="B874" s="55" t="s">
        <v>2174</v>
      </c>
      <c r="C874" s="55" t="s">
        <v>1044</v>
      </c>
      <c r="D874" s="55" t="s">
        <v>6896</v>
      </c>
      <c r="E874" s="55" t="s">
        <v>4490</v>
      </c>
      <c r="F874" s="55" t="s">
        <v>4491</v>
      </c>
      <c r="G874" s="55" t="s">
        <v>4492</v>
      </c>
      <c r="H874" s="55" t="s">
        <v>56</v>
      </c>
      <c r="I874" s="55"/>
      <c r="J874" s="55" t="s">
        <v>6897</v>
      </c>
      <c r="K874" s="55" t="s">
        <v>62</v>
      </c>
      <c r="L874" s="57" t="str">
        <f>HYPERLINK("https://nycdoe.sharepoint.com/:w:/s/BAP/EVEmbH9lAAxPifhhtT2MNjIBydtrTi98E06tM4oe3fJtQA", "10 out of 10")</f>
        <v>10 out of 10</v>
      </c>
      <c r="M874" t="s">
        <v>6898</v>
      </c>
    </row>
    <row r="875" spans="2:13">
      <c r="B875" s="55" t="s">
        <v>2174</v>
      </c>
      <c r="C875" s="55" t="s">
        <v>1044</v>
      </c>
      <c r="D875" s="55" t="s">
        <v>6899</v>
      </c>
      <c r="E875" s="55" t="s">
        <v>3387</v>
      </c>
      <c r="F875" s="55" t="s">
        <v>6900</v>
      </c>
      <c r="G875" s="55" t="s">
        <v>6901</v>
      </c>
      <c r="H875" s="55" t="s">
        <v>56</v>
      </c>
      <c r="I875" s="55"/>
      <c r="J875" s="55" t="s">
        <v>6902</v>
      </c>
      <c r="K875" s="55" t="s">
        <v>20</v>
      </c>
      <c r="L875" s="57" t="str">
        <f>HYPERLINK("https://nycdoe.sharepoint.com/:w:/s/BAP/EWcbuyd6Ec5Ku0yhLmHwu4sBdzAtO8Z6lVFkJ69dfqxXJg", "1 out of 10")</f>
        <v>1 out of 10</v>
      </c>
      <c r="M875" t="s">
        <v>6903</v>
      </c>
    </row>
    <row r="876" spans="2:13">
      <c r="B876" s="55" t="s">
        <v>2174</v>
      </c>
      <c r="C876" s="55" t="s">
        <v>1044</v>
      </c>
      <c r="D876" s="55" t="s">
        <v>2227</v>
      </c>
      <c r="E876" s="55" t="s">
        <v>2228</v>
      </c>
      <c r="F876" s="55" t="s">
        <v>6904</v>
      </c>
      <c r="G876" s="55" t="s">
        <v>6905</v>
      </c>
      <c r="H876" s="55" t="s">
        <v>56</v>
      </c>
      <c r="I876" s="55"/>
      <c r="J876" s="55" t="s">
        <v>6906</v>
      </c>
      <c r="K876" s="55" t="s">
        <v>62</v>
      </c>
      <c r="L876" s="57" t="str">
        <f>HYPERLINK("https://nycdoe.sharepoint.com/:w:/s/BAP/ERHal_VEr7hKhrNO_v67SYABO5FzWanngfgcnz_2AVVlkw", "9 out of 10")</f>
        <v>9 out of 10</v>
      </c>
      <c r="M876" t="s">
        <v>6907</v>
      </c>
    </row>
    <row r="877" spans="2:13">
      <c r="B877" s="55" t="s">
        <v>2232</v>
      </c>
      <c r="C877" s="55" t="s">
        <v>2233</v>
      </c>
      <c r="D877" s="55" t="s">
        <v>2234</v>
      </c>
      <c r="E877" s="55" t="s">
        <v>2234</v>
      </c>
      <c r="F877" s="55" t="s">
        <v>6908</v>
      </c>
      <c r="G877" s="55" t="s">
        <v>6909</v>
      </c>
      <c r="H877" s="55" t="s">
        <v>17</v>
      </c>
      <c r="I877" s="55" t="s">
        <v>18</v>
      </c>
      <c r="J877" s="55" t="s">
        <v>6910</v>
      </c>
      <c r="K877" s="55" t="s">
        <v>20</v>
      </c>
      <c r="L877" s="57" t="str">
        <f>HYPERLINK("https://nycdoe.sharepoint.com/:w:/s/BAP/EWPyV8OOED1BixiuE3P7MKsBfUyt9kxioXQ6sx8fBJTD_A", "4 out of 10")</f>
        <v>4 out of 10</v>
      </c>
      <c r="M877" t="s">
        <v>6911</v>
      </c>
    </row>
    <row r="878" spans="2:13">
      <c r="B878" s="55" t="s">
        <v>2232</v>
      </c>
      <c r="C878" s="55" t="s">
        <v>2233</v>
      </c>
      <c r="D878" s="55" t="s">
        <v>2234</v>
      </c>
      <c r="E878" s="55" t="s">
        <v>2238</v>
      </c>
      <c r="F878" s="55" t="s">
        <v>6912</v>
      </c>
      <c r="G878" s="55" t="s">
        <v>2240</v>
      </c>
      <c r="H878" s="55" t="s">
        <v>43</v>
      </c>
      <c r="I878" s="55"/>
      <c r="J878" s="55" t="s">
        <v>6910</v>
      </c>
      <c r="K878" s="55" t="s">
        <v>20</v>
      </c>
      <c r="L878" s="57" t="str">
        <f>HYPERLINK("https://nycdoe.sharepoint.com/:w:/s/BAP/EWPyV8OOED1BixiuE3P7MKsBfUyt9kxioXQ6sx8fBJTD_A", "4 out of 10")</f>
        <v>4 out of 10</v>
      </c>
      <c r="M878" t="s">
        <v>6911</v>
      </c>
    </row>
    <row r="879" spans="2:13">
      <c r="B879" s="55" t="s">
        <v>2232</v>
      </c>
      <c r="C879" s="55" t="s">
        <v>2233</v>
      </c>
      <c r="D879" s="55" t="s">
        <v>2241</v>
      </c>
      <c r="E879" s="55" t="s">
        <v>2241</v>
      </c>
      <c r="F879" s="55" t="s">
        <v>6913</v>
      </c>
      <c r="G879" s="55" t="s">
        <v>6914</v>
      </c>
      <c r="H879" s="55" t="s">
        <v>17</v>
      </c>
      <c r="I879" s="55" t="s">
        <v>18</v>
      </c>
      <c r="J879" s="55" t="s">
        <v>6915</v>
      </c>
      <c r="K879" s="55" t="s">
        <v>20</v>
      </c>
      <c r="L879" s="57" t="str">
        <f>HYPERLINK("https://nycdoe.sharepoint.com/:w:/s/BAP/Edy95kaeXY5BkM6H4YlIfPYBrUyBZwDLrJ-9-Et8LoUTbA", "4 out of 10")</f>
        <v>4 out of 10</v>
      </c>
      <c r="M879" t="s">
        <v>6916</v>
      </c>
    </row>
    <row r="880" spans="2:13">
      <c r="B880" s="55" t="s">
        <v>2232</v>
      </c>
      <c r="C880" s="55" t="s">
        <v>2233</v>
      </c>
      <c r="D880" s="55" t="s">
        <v>2245</v>
      </c>
      <c r="E880" s="55" t="s">
        <v>2246</v>
      </c>
      <c r="F880" s="55" t="s">
        <v>6917</v>
      </c>
      <c r="G880" s="55" t="s">
        <v>6918</v>
      </c>
      <c r="H880" s="55" t="s">
        <v>52</v>
      </c>
      <c r="I880" s="55"/>
      <c r="J880" s="55" t="s">
        <v>6919</v>
      </c>
      <c r="K880" s="55" t="s">
        <v>62</v>
      </c>
      <c r="L880" s="57" t="str">
        <f>HYPERLINK("https://nycdoe.sharepoint.com/:w:/s/BAP/EfU3EO2__ZdEtWvkxH0LJXgBLVC4scTcbXZ2ip2DC7RxFw", "9 out of 10")</f>
        <v>9 out of 10</v>
      </c>
      <c r="M880" t="s">
        <v>6920</v>
      </c>
    </row>
    <row r="881" spans="2:13">
      <c r="B881" s="55" t="s">
        <v>2232</v>
      </c>
      <c r="C881" s="55" t="s">
        <v>2233</v>
      </c>
      <c r="D881" s="55" t="s">
        <v>2245</v>
      </c>
      <c r="E881" s="55" t="s">
        <v>2250</v>
      </c>
      <c r="F881" s="55" t="s">
        <v>6921</v>
      </c>
      <c r="G881" s="55" t="s">
        <v>6922</v>
      </c>
      <c r="H881" s="55" t="s">
        <v>56</v>
      </c>
      <c r="I881" s="55"/>
      <c r="J881" s="55" t="s">
        <v>6919</v>
      </c>
      <c r="K881" s="55" t="s">
        <v>62</v>
      </c>
      <c r="L881" s="57" t="str">
        <f>HYPERLINK("https://nycdoe.sharepoint.com/:w:/s/BAP/EfU3EO2__ZdEtWvkxH0LJXgBLVC4scTcbXZ2ip2DC7RxFw", "9 out of 10")</f>
        <v>9 out of 10</v>
      </c>
      <c r="M881" t="s">
        <v>6920</v>
      </c>
    </row>
    <row r="882" spans="2:13">
      <c r="B882" s="55" t="s">
        <v>2232</v>
      </c>
      <c r="C882" s="55" t="s">
        <v>2233</v>
      </c>
      <c r="D882" s="55" t="s">
        <v>2253</v>
      </c>
      <c r="E882" s="55" t="s">
        <v>2253</v>
      </c>
      <c r="F882" s="55" t="s">
        <v>6923</v>
      </c>
      <c r="G882" s="55" t="s">
        <v>6924</v>
      </c>
      <c r="H882" s="55" t="s">
        <v>24</v>
      </c>
      <c r="I882" s="55" t="s">
        <v>18</v>
      </c>
      <c r="J882" s="55" t="s">
        <v>6925</v>
      </c>
      <c r="K882" s="55" t="s">
        <v>20</v>
      </c>
      <c r="L882" s="57" t="str">
        <f>HYPERLINK("https://nycdoe.sharepoint.com/:w:/s/BAP/Ea04UwfsWU9EvnVUqZ-q5AIBQank-keUNh8YHkXM8_bOaA", "1 out of 10")</f>
        <v>1 out of 10</v>
      </c>
      <c r="M882" t="s">
        <v>6926</v>
      </c>
    </row>
    <row r="883" spans="2:13">
      <c r="B883" s="55" t="s">
        <v>2232</v>
      </c>
      <c r="C883" s="55" t="s">
        <v>2233</v>
      </c>
      <c r="D883" s="55" t="s">
        <v>2257</v>
      </c>
      <c r="E883" s="55" t="s">
        <v>2258</v>
      </c>
      <c r="F883" s="55" t="s">
        <v>6927</v>
      </c>
      <c r="G883" s="55" t="s">
        <v>6928</v>
      </c>
      <c r="H883" s="55" t="s">
        <v>17</v>
      </c>
      <c r="I883" s="55"/>
      <c r="J883" s="55" t="s">
        <v>6929</v>
      </c>
      <c r="K883" s="55" t="s">
        <v>20</v>
      </c>
      <c r="L883" s="57" t="str">
        <f>HYPERLINK("https://nycdoe.sharepoint.com/:w:/s/BAP/EYsQOMxiPYFJjo6WRBNHdC4BQczY_HxOAHJYuPIPxrA_Rw", "4 out of 10")</f>
        <v>4 out of 10</v>
      </c>
      <c r="M883" t="s">
        <v>6930</v>
      </c>
    </row>
    <row r="884" spans="2:13">
      <c r="B884" s="55" t="s">
        <v>2232</v>
      </c>
      <c r="C884" s="55" t="s">
        <v>2233</v>
      </c>
      <c r="D884" s="55" t="s">
        <v>2257</v>
      </c>
      <c r="E884" s="55" t="s">
        <v>2262</v>
      </c>
      <c r="F884" s="55" t="s">
        <v>6931</v>
      </c>
      <c r="G884" s="55" t="s">
        <v>6932</v>
      </c>
      <c r="H884" s="55" t="s">
        <v>56</v>
      </c>
      <c r="I884" s="55"/>
      <c r="J884" s="55" t="s">
        <v>6929</v>
      </c>
      <c r="K884" s="55" t="s">
        <v>20</v>
      </c>
      <c r="L884" s="57" t="str">
        <f>HYPERLINK("https://nycdoe.sharepoint.com/:w:/s/BAP/EYsQOMxiPYFJjo6WRBNHdC4BQczY_HxOAHJYuPIPxrA_Rw", "4 out of 10")</f>
        <v>4 out of 10</v>
      </c>
      <c r="M884" t="s">
        <v>6930</v>
      </c>
    </row>
    <row r="885" spans="2:13">
      <c r="B885" s="55" t="s">
        <v>2232</v>
      </c>
      <c r="C885" s="55" t="s">
        <v>2233</v>
      </c>
      <c r="D885" s="55" t="s">
        <v>2257</v>
      </c>
      <c r="E885" s="55" t="s">
        <v>2265</v>
      </c>
      <c r="F885" s="55" t="s">
        <v>6933</v>
      </c>
      <c r="G885" s="55" t="s">
        <v>6934</v>
      </c>
      <c r="H885" s="55" t="s">
        <v>52</v>
      </c>
      <c r="I885" s="55"/>
      <c r="J885" s="55" t="s">
        <v>6929</v>
      </c>
      <c r="K885" s="55" t="s">
        <v>20</v>
      </c>
      <c r="L885" s="57" t="str">
        <f>HYPERLINK("https://nycdoe.sharepoint.com/:w:/s/BAP/EYsQOMxiPYFJjo6WRBNHdC4BQczY_HxOAHJYuPIPxrA_Rw", "4 out of 10")</f>
        <v>4 out of 10</v>
      </c>
      <c r="M885" t="s">
        <v>6930</v>
      </c>
    </row>
    <row r="886" spans="2:13">
      <c r="B886" s="55" t="s">
        <v>2232</v>
      </c>
      <c r="C886" s="55" t="s">
        <v>2233</v>
      </c>
      <c r="D886" s="55" t="s">
        <v>2268</v>
      </c>
      <c r="E886" s="55" t="s">
        <v>2273</v>
      </c>
      <c r="F886" s="55" t="s">
        <v>6935</v>
      </c>
      <c r="G886" s="55" t="s">
        <v>6936</v>
      </c>
      <c r="H886" s="55" t="s">
        <v>84</v>
      </c>
      <c r="I886" s="55"/>
      <c r="J886" s="55" t="s">
        <v>6937</v>
      </c>
      <c r="K886" s="55" t="s">
        <v>20</v>
      </c>
      <c r="L886" s="57" t="str">
        <f>HYPERLINK("https://nycdoe.sharepoint.com/:w:/s/BAP/EXub58B1zshEnY9tbijAOZMB9gckfbX88iwTn0-UIC5HDg", "1 out of 10")</f>
        <v>1 out of 10</v>
      </c>
      <c r="M886" t="s">
        <v>6938</v>
      </c>
    </row>
    <row r="887" spans="2:13">
      <c r="B887" s="55" t="s">
        <v>2232</v>
      </c>
      <c r="C887" s="55" t="s">
        <v>2233</v>
      </c>
      <c r="D887" s="55" t="s">
        <v>6939</v>
      </c>
      <c r="E887" s="55" t="s">
        <v>6939</v>
      </c>
      <c r="F887" s="55" t="s">
        <v>6940</v>
      </c>
      <c r="G887" s="55" t="s">
        <v>6941</v>
      </c>
      <c r="H887" s="55" t="s">
        <v>17</v>
      </c>
      <c r="I887" s="55" t="s">
        <v>18</v>
      </c>
      <c r="J887" s="55" t="s">
        <v>6942</v>
      </c>
      <c r="K887" s="55" t="s">
        <v>20</v>
      </c>
      <c r="L887" s="57" t="str">
        <f>HYPERLINK("https://nycdoe.sharepoint.com/:w:/s/BAP/ERskWFMP-mBMoKQHZrvSpP8B7SIBVeokGml0m2mw-9NlIQ", "1 out of 10")</f>
        <v>1 out of 10</v>
      </c>
      <c r="M887" t="s">
        <v>6943</v>
      </c>
    </row>
    <row r="888" spans="2:13">
      <c r="B888" s="55" t="s">
        <v>2232</v>
      </c>
      <c r="C888" s="55" t="s">
        <v>2233</v>
      </c>
      <c r="D888" s="55" t="s">
        <v>6939</v>
      </c>
      <c r="E888" s="55" t="s">
        <v>6944</v>
      </c>
      <c r="F888" s="55" t="s">
        <v>6945</v>
      </c>
      <c r="G888" s="55" t="s">
        <v>6946</v>
      </c>
      <c r="H888" s="55" t="s">
        <v>17</v>
      </c>
      <c r="I888" s="55" t="s">
        <v>18</v>
      </c>
      <c r="J888" s="55" t="s">
        <v>6942</v>
      </c>
      <c r="K888" s="55" t="s">
        <v>20</v>
      </c>
      <c r="L888" s="57" t="str">
        <f>HYPERLINK("https://nycdoe.sharepoint.com/:w:/s/BAP/ERskWFMP-mBMoKQHZrvSpP8B7SIBVeokGml0m2mw-9NlIQ", "1 out of 10")</f>
        <v>1 out of 10</v>
      </c>
      <c r="M888" t="s">
        <v>6943</v>
      </c>
    </row>
    <row r="889" spans="2:13">
      <c r="B889" s="55" t="s">
        <v>2232</v>
      </c>
      <c r="C889" s="55" t="s">
        <v>2233</v>
      </c>
      <c r="D889" s="55" t="s">
        <v>2276</v>
      </c>
      <c r="E889" s="55" t="s">
        <v>2277</v>
      </c>
      <c r="F889" s="55" t="s">
        <v>6947</v>
      </c>
      <c r="G889" s="55" t="s">
        <v>6948</v>
      </c>
      <c r="H889" s="55" t="s">
        <v>56</v>
      </c>
      <c r="I889" s="55"/>
      <c r="J889" s="55" t="s">
        <v>6949</v>
      </c>
      <c r="K889" s="55" t="s">
        <v>62</v>
      </c>
      <c r="L889" s="57" t="str">
        <f>HYPERLINK("https://nycdoe.sharepoint.com/:w:/s/BAP/EbPCVf70LaVKidhJbh3sYiEBikL_lpCA_GVp3m-Nv9hJlw", "9 out of 10")</f>
        <v>9 out of 10</v>
      </c>
      <c r="M889" t="s">
        <v>6950</v>
      </c>
    </row>
    <row r="890" spans="2:13">
      <c r="B890" s="55" t="s">
        <v>2232</v>
      </c>
      <c r="C890" s="55" t="s">
        <v>2233</v>
      </c>
      <c r="D890" s="55" t="s">
        <v>6951</v>
      </c>
      <c r="E890" s="55" t="s">
        <v>6951</v>
      </c>
      <c r="F890" s="55" t="s">
        <v>6952</v>
      </c>
      <c r="G890" s="55" t="s">
        <v>6953</v>
      </c>
      <c r="H890" s="55" t="s">
        <v>17</v>
      </c>
      <c r="I890" s="55" t="s">
        <v>18</v>
      </c>
      <c r="J890" s="55" t="s">
        <v>6954</v>
      </c>
      <c r="K890" s="55" t="s">
        <v>20</v>
      </c>
      <c r="L890" s="57" t="str">
        <f>HYPERLINK("https://nycdoe.sharepoint.com/:w:/s/BAP/Ecb1_9mhwddBkSDj7KSzFHEBJqLOC6k_vNkRev7j6ICvVg", "1 out of 10")</f>
        <v>1 out of 10</v>
      </c>
      <c r="M890" t="s">
        <v>6955</v>
      </c>
    </row>
    <row r="891" spans="2:13">
      <c r="B891" s="55" t="s">
        <v>2232</v>
      </c>
      <c r="C891" s="55" t="s">
        <v>2233</v>
      </c>
      <c r="D891" s="55" t="s">
        <v>2281</v>
      </c>
      <c r="E891" s="55" t="s">
        <v>2281</v>
      </c>
      <c r="F891" s="55" t="s">
        <v>6956</v>
      </c>
      <c r="G891" s="55" t="s">
        <v>6957</v>
      </c>
      <c r="H891" s="55" t="s">
        <v>17</v>
      </c>
      <c r="I891" s="55" t="s">
        <v>18</v>
      </c>
      <c r="J891" s="55" t="s">
        <v>6958</v>
      </c>
      <c r="K891" s="55" t="s">
        <v>62</v>
      </c>
      <c r="L891" s="57" t="str">
        <f>HYPERLINK("https://nycdoe.sharepoint.com/:w:/s/BAP/EYFjmBHRWcxKuHIr-7T3w9UBrqX6PM2rNIPjWp4YH9CLeg", "9 out of 10")</f>
        <v>9 out of 10</v>
      </c>
      <c r="M891" t="s">
        <v>6959</v>
      </c>
    </row>
    <row r="892" spans="2:13">
      <c r="B892" s="55" t="s">
        <v>2232</v>
      </c>
      <c r="C892" s="55" t="s">
        <v>2233</v>
      </c>
      <c r="D892" s="55" t="s">
        <v>2285</v>
      </c>
      <c r="E892" s="55" t="s">
        <v>2286</v>
      </c>
      <c r="F892" s="55" t="s">
        <v>6960</v>
      </c>
      <c r="G892" s="55" t="s">
        <v>6961</v>
      </c>
      <c r="H892" s="55" t="s">
        <v>24</v>
      </c>
      <c r="I892" s="55" t="s">
        <v>18</v>
      </c>
      <c r="J892" s="55" t="s">
        <v>6962</v>
      </c>
      <c r="K892" s="55" t="s">
        <v>62</v>
      </c>
      <c r="L892" s="57" t="str">
        <f>HYPERLINK("https://nycdoe.sharepoint.com/:w:/s/BAP/EZ635Y7VKUlLitrZuywkIXEBx29RypWHG-2Yw5rNF1Y-7Q", "9 out of 10")</f>
        <v>9 out of 10</v>
      </c>
      <c r="M892" t="s">
        <v>6963</v>
      </c>
    </row>
    <row r="893" spans="2:13">
      <c r="B893" s="55" t="s">
        <v>2232</v>
      </c>
      <c r="C893" s="55" t="s">
        <v>2233</v>
      </c>
      <c r="D893" s="55" t="s">
        <v>2285</v>
      </c>
      <c r="E893" s="55" t="s">
        <v>4564</v>
      </c>
      <c r="F893" s="55" t="s">
        <v>4565</v>
      </c>
      <c r="G893" s="55" t="s">
        <v>4566</v>
      </c>
      <c r="H893" s="55" t="s">
        <v>52</v>
      </c>
      <c r="I893" s="55"/>
      <c r="J893" s="55" t="s">
        <v>6962</v>
      </c>
      <c r="K893" s="55" t="s">
        <v>62</v>
      </c>
      <c r="L893" s="57" t="str">
        <f>HYPERLINK("https://nycdoe.sharepoint.com/:w:/s/BAP/EZ635Y7VKUlLitrZuywkIXEBx29RypWHG-2Yw5rNF1Y-7Q", "9 out of 10")</f>
        <v>9 out of 10</v>
      </c>
      <c r="M893" t="s">
        <v>6963</v>
      </c>
    </row>
    <row r="894" spans="2:13">
      <c r="B894" s="55" t="s">
        <v>2232</v>
      </c>
      <c r="C894" s="55" t="s">
        <v>2233</v>
      </c>
      <c r="D894" s="55" t="s">
        <v>6964</v>
      </c>
      <c r="E894" s="55" t="s">
        <v>6964</v>
      </c>
      <c r="F894" s="55" t="s">
        <v>6965</v>
      </c>
      <c r="G894" s="55" t="s">
        <v>6966</v>
      </c>
      <c r="H894" s="55" t="s">
        <v>24</v>
      </c>
      <c r="I894" s="55" t="s">
        <v>18</v>
      </c>
      <c r="J894" s="55" t="s">
        <v>6967</v>
      </c>
      <c r="K894" s="55" t="s">
        <v>20</v>
      </c>
      <c r="L894" s="57" t="str">
        <f>HYPERLINK("https://nycdoe.sharepoint.com/:w:/s/BAP/EcT9SqOFBRZJiBF1Dol6J8YBt2Fq9Y48bApGAcXu9LjDQQ", "1 out of 10")</f>
        <v>1 out of 10</v>
      </c>
      <c r="M894" t="s">
        <v>6968</v>
      </c>
    </row>
    <row r="895" spans="2:13">
      <c r="B895" s="55" t="s">
        <v>2232</v>
      </c>
      <c r="C895" s="55" t="s">
        <v>2233</v>
      </c>
      <c r="D895" s="55" t="s">
        <v>2290</v>
      </c>
      <c r="E895" s="55" t="s">
        <v>2290</v>
      </c>
      <c r="F895" s="55" t="s">
        <v>6969</v>
      </c>
      <c r="G895" s="55" t="s">
        <v>6970</v>
      </c>
      <c r="H895" s="55" t="s">
        <v>17</v>
      </c>
      <c r="I895" s="55" t="s">
        <v>18</v>
      </c>
      <c r="J895" s="55" t="s">
        <v>6971</v>
      </c>
      <c r="K895" s="55" t="s">
        <v>20</v>
      </c>
      <c r="L895" s="57" t="str">
        <f>HYPERLINK("https://nycdoe.sharepoint.com/:w:/s/BAP/EcdTY90HLw1FqKNbX_3Wjv8BYxo-Zfyo1LT469OUWNHLbQ", "6 out of 10")</f>
        <v>6 out of 10</v>
      </c>
      <c r="M895" t="s">
        <v>6972</v>
      </c>
    </row>
    <row r="896" spans="2:13">
      <c r="B896" s="55" t="s">
        <v>2232</v>
      </c>
      <c r="C896" s="55" t="s">
        <v>2233</v>
      </c>
      <c r="D896" s="55" t="s">
        <v>2290</v>
      </c>
      <c r="E896" s="55" t="s">
        <v>2294</v>
      </c>
      <c r="F896" s="55" t="s">
        <v>6973</v>
      </c>
      <c r="G896" s="55" t="s">
        <v>6974</v>
      </c>
      <c r="H896" s="55" t="s">
        <v>17</v>
      </c>
      <c r="I896" s="55"/>
      <c r="J896" s="55" t="s">
        <v>6971</v>
      </c>
      <c r="K896" s="55" t="s">
        <v>20</v>
      </c>
      <c r="L896" s="57" t="str">
        <f>HYPERLINK("https://nycdoe.sharepoint.com/:w:/s/BAP/EcdTY90HLw1FqKNbX_3Wjv8BYxo-Zfyo1LT469OUWNHLbQ", "6 out of 10")</f>
        <v>6 out of 10</v>
      </c>
      <c r="M896" t="s">
        <v>6972</v>
      </c>
    </row>
    <row r="897" spans="2:13">
      <c r="B897" s="55" t="s">
        <v>2232</v>
      </c>
      <c r="C897" s="55" t="s">
        <v>2233</v>
      </c>
      <c r="D897" s="55" t="s">
        <v>2297</v>
      </c>
      <c r="E897" s="55" t="s">
        <v>2238</v>
      </c>
      <c r="F897" s="55" t="s">
        <v>6912</v>
      </c>
      <c r="G897" s="55" t="s">
        <v>2240</v>
      </c>
      <c r="H897" s="55" t="s">
        <v>43</v>
      </c>
      <c r="I897" s="55"/>
      <c r="J897" s="55" t="s">
        <v>6975</v>
      </c>
      <c r="K897" s="55" t="s">
        <v>62</v>
      </c>
      <c r="L897" s="57" t="str">
        <f>HYPERLINK("https://nycdoe.sharepoint.com/:w:/s/BAP/ERmt54KlISFNiXKhKDsdfC0B3YNy_CDGzEj3wrJF_Pwf6A", "9 out of 10")</f>
        <v>9 out of 10</v>
      </c>
      <c r="M897" t="s">
        <v>6976</v>
      </c>
    </row>
    <row r="898" spans="2:13">
      <c r="B898" s="55" t="s">
        <v>2232</v>
      </c>
      <c r="C898" s="55" t="s">
        <v>2233</v>
      </c>
      <c r="D898" s="55" t="s">
        <v>2297</v>
      </c>
      <c r="E898" s="55" t="s">
        <v>2297</v>
      </c>
      <c r="F898" s="55" t="s">
        <v>6977</v>
      </c>
      <c r="G898" s="55" t="s">
        <v>6978</v>
      </c>
      <c r="H898" s="55" t="s">
        <v>24</v>
      </c>
      <c r="I898" s="55" t="s">
        <v>18</v>
      </c>
      <c r="J898" s="55" t="s">
        <v>6975</v>
      </c>
      <c r="K898" s="55" t="s">
        <v>62</v>
      </c>
      <c r="L898" s="57" t="str">
        <f>HYPERLINK("https://nycdoe.sharepoint.com/:w:/s/BAP/ERmt54KlISFNiXKhKDsdfC0B3YNy_CDGzEj3wrJF_Pwf6A", "9 out of 10")</f>
        <v>9 out of 10</v>
      </c>
      <c r="M898" t="s">
        <v>6976</v>
      </c>
    </row>
    <row r="899" spans="2:13">
      <c r="B899" s="55" t="s">
        <v>2232</v>
      </c>
      <c r="C899" s="55" t="s">
        <v>2233</v>
      </c>
      <c r="D899" s="55" t="s">
        <v>2301</v>
      </c>
      <c r="E899" s="55" t="s">
        <v>2302</v>
      </c>
      <c r="F899" s="55" t="s">
        <v>6979</v>
      </c>
      <c r="G899" s="55" t="s">
        <v>6980</v>
      </c>
      <c r="H899" s="55" t="s">
        <v>56</v>
      </c>
      <c r="I899" s="55"/>
      <c r="J899" s="55" t="s">
        <v>6981</v>
      </c>
      <c r="K899" s="55" t="s">
        <v>20</v>
      </c>
      <c r="L899" s="57" t="str">
        <f>HYPERLINK("https://nycdoe.sharepoint.com/:w:/s/BAP/EXLU2NctRo9BmJph6JFy6bcBZGh0T5DY0oobN6kXFv0Vow", "7 out of 10")</f>
        <v>7 out of 10</v>
      </c>
      <c r="M899" t="s">
        <v>6982</v>
      </c>
    </row>
    <row r="900" spans="2:13">
      <c r="B900" s="55" t="s">
        <v>2232</v>
      </c>
      <c r="C900" s="55" t="s">
        <v>2233</v>
      </c>
      <c r="D900" s="55" t="s">
        <v>2306</v>
      </c>
      <c r="E900" s="55" t="s">
        <v>2307</v>
      </c>
      <c r="F900" s="55" t="s">
        <v>6983</v>
      </c>
      <c r="G900" s="55" t="s">
        <v>6984</v>
      </c>
      <c r="H900" s="55" t="s">
        <v>56</v>
      </c>
      <c r="I900" s="55"/>
      <c r="J900" s="55" t="s">
        <v>6985</v>
      </c>
      <c r="K900" s="55" t="s">
        <v>20</v>
      </c>
      <c r="L900" s="57" t="str">
        <f>HYPERLINK("https://nycdoe.sharepoint.com/:w:/s/BAP/EZXLbjD47gRDuWA4hcN_NQ8BXL540crn_mFxg8Tv8KXR9A", "4 out of 10")</f>
        <v>4 out of 10</v>
      </c>
      <c r="M900" t="s">
        <v>6986</v>
      </c>
    </row>
    <row r="901" spans="2:13">
      <c r="B901" s="55" t="s">
        <v>2232</v>
      </c>
      <c r="C901" s="55" t="s">
        <v>2233</v>
      </c>
      <c r="D901" s="55" t="s">
        <v>2306</v>
      </c>
      <c r="E901" s="55" t="s">
        <v>2311</v>
      </c>
      <c r="F901" s="55" t="s">
        <v>6987</v>
      </c>
      <c r="G901" s="55" t="s">
        <v>6988</v>
      </c>
      <c r="H901" s="55" t="s">
        <v>56</v>
      </c>
      <c r="I901" s="55"/>
      <c r="J901" s="55" t="s">
        <v>6985</v>
      </c>
      <c r="K901" s="55" t="s">
        <v>20</v>
      </c>
      <c r="L901" s="57" t="str">
        <f>HYPERLINK("https://nycdoe.sharepoint.com/:w:/s/BAP/EZXLbjD47gRDuWA4hcN_NQ8BXL540crn_mFxg8Tv8KXR9A", "4 out of 10")</f>
        <v>4 out of 10</v>
      </c>
      <c r="M901" t="s">
        <v>6986</v>
      </c>
    </row>
    <row r="902" spans="2:13">
      <c r="B902" s="55" t="s">
        <v>2232</v>
      </c>
      <c r="C902" s="55" t="s">
        <v>2233</v>
      </c>
      <c r="D902" s="55" t="s">
        <v>2306</v>
      </c>
      <c r="E902" s="55" t="s">
        <v>4490</v>
      </c>
      <c r="F902" s="55" t="s">
        <v>4491</v>
      </c>
      <c r="G902" s="55" t="s">
        <v>4492</v>
      </c>
      <c r="H902" s="55" t="s">
        <v>56</v>
      </c>
      <c r="I902" s="55"/>
      <c r="J902" s="55" t="s">
        <v>6985</v>
      </c>
      <c r="K902" s="55" t="s">
        <v>20</v>
      </c>
      <c r="L902" s="57" t="str">
        <f>HYPERLINK("https://nycdoe.sharepoint.com/:w:/s/BAP/EZXLbjD47gRDuWA4hcN_NQ8BXL540crn_mFxg8Tv8KXR9A", "4 out of 10")</f>
        <v>4 out of 10</v>
      </c>
      <c r="M902" t="s">
        <v>6986</v>
      </c>
    </row>
    <row r="903" spans="2:13">
      <c r="B903" s="55" t="s">
        <v>2314</v>
      </c>
      <c r="C903" s="55" t="s">
        <v>2233</v>
      </c>
      <c r="D903" s="55" t="s">
        <v>6989</v>
      </c>
      <c r="E903" s="55" t="s">
        <v>6989</v>
      </c>
      <c r="F903" s="55" t="s">
        <v>6990</v>
      </c>
      <c r="G903" s="55" t="s">
        <v>6991</v>
      </c>
      <c r="H903" s="55" t="s">
        <v>17</v>
      </c>
      <c r="I903" s="55" t="s">
        <v>18</v>
      </c>
      <c r="J903" s="55" t="s">
        <v>6992</v>
      </c>
      <c r="K903" s="55" t="s">
        <v>20</v>
      </c>
      <c r="L903" s="57" t="str">
        <f>HYPERLINK("https://nycdoe.sharepoint.com/:w:/s/BAP/EQQOlI2DuG1KiZNl-YZ34ogBaXqLLrvgaMiM9MVYOwihGQ", "2 out of 10")</f>
        <v>2 out of 10</v>
      </c>
      <c r="M903" t="s">
        <v>6993</v>
      </c>
    </row>
    <row r="904" spans="2:13">
      <c r="B904" s="55" t="s">
        <v>2314</v>
      </c>
      <c r="C904" s="55" t="s">
        <v>2233</v>
      </c>
      <c r="D904" s="55" t="s">
        <v>2315</v>
      </c>
      <c r="E904" s="55" t="s">
        <v>2315</v>
      </c>
      <c r="F904" s="55" t="s">
        <v>6994</v>
      </c>
      <c r="G904" s="55" t="s">
        <v>6995</v>
      </c>
      <c r="H904" s="55" t="s">
        <v>17</v>
      </c>
      <c r="I904" s="55" t="s">
        <v>18</v>
      </c>
      <c r="J904" s="55" t="s">
        <v>6996</v>
      </c>
      <c r="K904" s="55" t="s">
        <v>20</v>
      </c>
      <c r="L904" s="57" t="str">
        <f>HYPERLINK("https://nycdoe.sharepoint.com/:w:/s/BAP/EbyfgctZNBxNqiM7Zeb6LBsBSJnhJv7uhjEkxsDDJ7-jyA", "1 out of 10")</f>
        <v>1 out of 10</v>
      </c>
      <c r="M904" t="s">
        <v>6997</v>
      </c>
    </row>
    <row r="905" spans="2:13">
      <c r="B905" s="55" t="s">
        <v>2314</v>
      </c>
      <c r="C905" s="55" t="s">
        <v>2233</v>
      </c>
      <c r="D905" s="55" t="s">
        <v>6998</v>
      </c>
      <c r="E905" s="55" t="s">
        <v>6998</v>
      </c>
      <c r="F905" s="55" t="s">
        <v>6999</v>
      </c>
      <c r="G905" s="55" t="s">
        <v>7000</v>
      </c>
      <c r="H905" s="55" t="s">
        <v>17</v>
      </c>
      <c r="I905" s="55" t="s">
        <v>18</v>
      </c>
      <c r="J905" s="55" t="s">
        <v>7001</v>
      </c>
      <c r="K905" s="55" t="s">
        <v>20</v>
      </c>
      <c r="L905" s="57" t="str">
        <f>HYPERLINK("https://nycdoe.sharepoint.com/:w:/s/BAP/EVksgfR9U49AnfpVTCh-04UB5flp6qqeJkZW_XyyEAZRgw", "1 out of 10")</f>
        <v>1 out of 10</v>
      </c>
      <c r="M905" t="s">
        <v>7002</v>
      </c>
    </row>
    <row r="906" spans="2:13">
      <c r="B906" s="55" t="s">
        <v>2314</v>
      </c>
      <c r="C906" s="55" t="s">
        <v>2233</v>
      </c>
      <c r="D906" s="55" t="s">
        <v>7003</v>
      </c>
      <c r="E906" s="55" t="s">
        <v>7003</v>
      </c>
      <c r="F906" s="55" t="s">
        <v>7004</v>
      </c>
      <c r="G906" s="55" t="s">
        <v>7005</v>
      </c>
      <c r="H906" s="55" t="s">
        <v>17</v>
      </c>
      <c r="I906" s="55" t="s">
        <v>18</v>
      </c>
      <c r="J906" s="55" t="s">
        <v>7006</v>
      </c>
      <c r="K906" s="55" t="s">
        <v>20</v>
      </c>
      <c r="L906" s="57" t="str">
        <f>HYPERLINK("https://nycdoe.sharepoint.com/:w:/s/BAP/Ecp9NCSEl3RKgNKKrr9mxLMBdKnXGgsJ5_mEwoCbaIauIw", "4 out of 10")</f>
        <v>4 out of 10</v>
      </c>
      <c r="M906" t="s">
        <v>7007</v>
      </c>
    </row>
    <row r="907" spans="2:13">
      <c r="B907" s="55" t="s">
        <v>2314</v>
      </c>
      <c r="C907" s="55" t="s">
        <v>2233</v>
      </c>
      <c r="D907" s="55" t="s">
        <v>2319</v>
      </c>
      <c r="E907" s="55" t="s">
        <v>2319</v>
      </c>
      <c r="F907" s="55" t="s">
        <v>7008</v>
      </c>
      <c r="G907" s="55" t="s">
        <v>7009</v>
      </c>
      <c r="H907" s="55" t="s">
        <v>17</v>
      </c>
      <c r="I907" s="55" t="s">
        <v>18</v>
      </c>
      <c r="J907" s="55" t="s">
        <v>7010</v>
      </c>
      <c r="K907" s="55" t="s">
        <v>20</v>
      </c>
      <c r="L907" s="57" t="str">
        <f>HYPERLINK("https://nycdoe.sharepoint.com/:w:/s/BAP/EcAivcOalORBnJBtEoxLJAEBM_UUe1S6DaAm8IRA-5FNVg", "6 out of 10")</f>
        <v>6 out of 10</v>
      </c>
      <c r="M907" t="s">
        <v>7011</v>
      </c>
    </row>
    <row r="908" spans="2:13">
      <c r="B908" s="55" t="s">
        <v>2314</v>
      </c>
      <c r="C908" s="55" t="s">
        <v>2233</v>
      </c>
      <c r="D908" s="55" t="s">
        <v>2319</v>
      </c>
      <c r="E908" s="55" t="s">
        <v>2504</v>
      </c>
      <c r="F908" s="55" t="s">
        <v>7012</v>
      </c>
      <c r="G908" s="55" t="s">
        <v>2506</v>
      </c>
      <c r="H908" s="55" t="s">
        <v>43</v>
      </c>
      <c r="I908" s="55" t="s">
        <v>18</v>
      </c>
      <c r="J908" s="55" t="s">
        <v>7010</v>
      </c>
      <c r="K908" s="55" t="s">
        <v>20</v>
      </c>
      <c r="L908" s="57" t="str">
        <f>HYPERLINK("https://nycdoe.sharepoint.com/:w:/s/BAP/EcAivcOalORBnJBtEoxLJAEBM_UUe1S6DaAm8IRA-5FNVg", "6 out of 10")</f>
        <v>6 out of 10</v>
      </c>
      <c r="M908" t="s">
        <v>7011</v>
      </c>
    </row>
    <row r="909" spans="2:13">
      <c r="B909" s="55" t="s">
        <v>2314</v>
      </c>
      <c r="C909" s="55" t="s">
        <v>2233</v>
      </c>
      <c r="D909" s="55" t="s">
        <v>2326</v>
      </c>
      <c r="E909" s="55" t="s">
        <v>2326</v>
      </c>
      <c r="F909" s="55" t="s">
        <v>7013</v>
      </c>
      <c r="G909" s="55" t="s">
        <v>7014</v>
      </c>
      <c r="H909" s="55" t="s">
        <v>56</v>
      </c>
      <c r="I909" s="55"/>
      <c r="J909" s="55" t="s">
        <v>7015</v>
      </c>
      <c r="K909" s="55" t="s">
        <v>62</v>
      </c>
      <c r="L909" s="57" t="str">
        <f>HYPERLINK("https://nycdoe.sharepoint.com/:w:/s/BAP/Efc3Gdn6whBNigKZR4Ydre8BSyAE96jcoWJnQeIPzPi1bg", "9 out of 10")</f>
        <v>9 out of 10</v>
      </c>
      <c r="M909" t="s">
        <v>7016</v>
      </c>
    </row>
    <row r="910" spans="2:13">
      <c r="B910" s="55" t="s">
        <v>2314</v>
      </c>
      <c r="C910" s="55" t="s">
        <v>2233</v>
      </c>
      <c r="D910" s="55" t="s">
        <v>2326</v>
      </c>
      <c r="E910" s="55" t="s">
        <v>2330</v>
      </c>
      <c r="F910" s="55" t="s">
        <v>7017</v>
      </c>
      <c r="G910" s="55" t="s">
        <v>7018</v>
      </c>
      <c r="H910" s="55" t="s">
        <v>24</v>
      </c>
      <c r="I910" s="55" t="s">
        <v>18</v>
      </c>
      <c r="J910" s="55" t="s">
        <v>7015</v>
      </c>
      <c r="K910" s="55" t="s">
        <v>62</v>
      </c>
      <c r="L910" s="57" t="str">
        <f>HYPERLINK("https://nycdoe.sharepoint.com/:w:/s/BAP/Efc3Gdn6whBNigKZR4Ydre8BSyAE96jcoWJnQeIPzPi1bg", "9 out of 10")</f>
        <v>9 out of 10</v>
      </c>
      <c r="M910" t="s">
        <v>7016</v>
      </c>
    </row>
    <row r="911" spans="2:13">
      <c r="B911" s="55" t="s">
        <v>2314</v>
      </c>
      <c r="C911" s="55" t="s">
        <v>2233</v>
      </c>
      <c r="D911" s="55" t="s">
        <v>2326</v>
      </c>
      <c r="E911" s="55" t="s">
        <v>2333</v>
      </c>
      <c r="F911" s="55" t="s">
        <v>7019</v>
      </c>
      <c r="G911" s="55" t="s">
        <v>7020</v>
      </c>
      <c r="H911" s="55" t="s">
        <v>84</v>
      </c>
      <c r="I911" s="55"/>
      <c r="J911" s="55" t="s">
        <v>7015</v>
      </c>
      <c r="K911" s="55" t="s">
        <v>62</v>
      </c>
      <c r="L911" s="57" t="str">
        <f>HYPERLINK("https://nycdoe.sharepoint.com/:w:/s/BAP/Efc3Gdn6whBNigKZR4Ydre8BSyAE96jcoWJnQeIPzPi1bg", "9 out of 10")</f>
        <v>9 out of 10</v>
      </c>
      <c r="M911" t="s">
        <v>7016</v>
      </c>
    </row>
    <row r="912" spans="2:13">
      <c r="B912" s="55" t="s">
        <v>2314</v>
      </c>
      <c r="C912" s="55" t="s">
        <v>2233</v>
      </c>
      <c r="D912" s="55" t="s">
        <v>2336</v>
      </c>
      <c r="E912" s="55" t="s">
        <v>2337</v>
      </c>
      <c r="F912" s="55" t="s">
        <v>7021</v>
      </c>
      <c r="G912" s="55" t="s">
        <v>7022</v>
      </c>
      <c r="H912" s="55" t="s">
        <v>17</v>
      </c>
      <c r="I912" s="55" t="s">
        <v>18</v>
      </c>
      <c r="J912" s="55" t="s">
        <v>7023</v>
      </c>
      <c r="K912" s="55" t="s">
        <v>20</v>
      </c>
      <c r="L912" s="57" t="str">
        <f>HYPERLINK("https://nycdoe.sharepoint.com/:w:/s/BAP/EddFPlriep5KlhFfT5QozIYBvHC7xnffPpiT-Xyedp_AHw", "3 out of 10")</f>
        <v>3 out of 10</v>
      </c>
      <c r="M912" t="s">
        <v>7024</v>
      </c>
    </row>
    <row r="913" spans="2:13">
      <c r="B913" s="55" t="s">
        <v>2314</v>
      </c>
      <c r="C913" s="55" t="s">
        <v>2233</v>
      </c>
      <c r="D913" s="55" t="s">
        <v>2341</v>
      </c>
      <c r="E913" s="55" t="s">
        <v>2342</v>
      </c>
      <c r="F913" s="55" t="s">
        <v>7025</v>
      </c>
      <c r="G913" s="55" t="s">
        <v>7026</v>
      </c>
      <c r="H913" s="55" t="s">
        <v>52</v>
      </c>
      <c r="I913" s="55"/>
      <c r="J913" s="55" t="s">
        <v>7027</v>
      </c>
      <c r="K913" s="55" t="s">
        <v>62</v>
      </c>
      <c r="L913" s="57" t="str">
        <f>HYPERLINK("https://nycdoe.sharepoint.com/:w:/s/BAP/EadpZZ75BHRGoBvgGDN_JAABZG0cKfc9Kfb7OI4q9F2LJg", "9 out of 10")</f>
        <v>9 out of 10</v>
      </c>
      <c r="M913" t="s">
        <v>7028</v>
      </c>
    </row>
    <row r="914" spans="2:13">
      <c r="B914" s="55" t="s">
        <v>2314</v>
      </c>
      <c r="C914" s="55" t="s">
        <v>2233</v>
      </c>
      <c r="D914" s="55" t="s">
        <v>2341</v>
      </c>
      <c r="E914" s="55" t="s">
        <v>2346</v>
      </c>
      <c r="F914" s="55" t="s">
        <v>7029</v>
      </c>
      <c r="G914" s="55" t="s">
        <v>7030</v>
      </c>
      <c r="H914" s="55" t="s">
        <v>56</v>
      </c>
      <c r="I914" s="55"/>
      <c r="J914" s="55" t="s">
        <v>7027</v>
      </c>
      <c r="K914" s="55" t="s">
        <v>62</v>
      </c>
      <c r="L914" s="57" t="str">
        <f>HYPERLINK("https://nycdoe.sharepoint.com/:w:/s/BAP/EadpZZ75BHRGoBvgGDN_JAABZG0cKfc9Kfb7OI4q9F2LJg", "9 out of 10")</f>
        <v>9 out of 10</v>
      </c>
      <c r="M914" t="s">
        <v>7028</v>
      </c>
    </row>
    <row r="915" spans="2:13">
      <c r="B915" s="55" t="s">
        <v>2314</v>
      </c>
      <c r="C915" s="55" t="s">
        <v>2233</v>
      </c>
      <c r="D915" s="55" t="s">
        <v>2341</v>
      </c>
      <c r="E915" s="55" t="s">
        <v>2349</v>
      </c>
      <c r="F915" s="55" t="s">
        <v>7031</v>
      </c>
      <c r="G915" s="55" t="s">
        <v>7032</v>
      </c>
      <c r="H915" s="55" t="s">
        <v>56</v>
      </c>
      <c r="I915" s="55"/>
      <c r="J915" s="55" t="s">
        <v>7027</v>
      </c>
      <c r="K915" s="55" t="s">
        <v>62</v>
      </c>
      <c r="L915" s="57" t="str">
        <f>HYPERLINK("https://nycdoe.sharepoint.com/:w:/s/BAP/EadpZZ75BHRGoBvgGDN_JAABZG0cKfc9Kfb7OI4q9F2LJg", "9 out of 10")</f>
        <v>9 out of 10</v>
      </c>
      <c r="M915" t="s">
        <v>7028</v>
      </c>
    </row>
    <row r="916" spans="2:13">
      <c r="B916" s="55" t="s">
        <v>2314</v>
      </c>
      <c r="C916" s="55" t="s">
        <v>2233</v>
      </c>
      <c r="D916" s="55" t="s">
        <v>2352</v>
      </c>
      <c r="E916" s="55" t="s">
        <v>2352</v>
      </c>
      <c r="F916" s="55" t="s">
        <v>7033</v>
      </c>
      <c r="G916" s="55" t="s">
        <v>2354</v>
      </c>
      <c r="H916" s="55" t="s">
        <v>17</v>
      </c>
      <c r="I916" s="55" t="s">
        <v>18</v>
      </c>
      <c r="J916" s="55" t="s">
        <v>7034</v>
      </c>
      <c r="K916" s="55" t="s">
        <v>62</v>
      </c>
      <c r="L916" s="57" t="str">
        <f>HYPERLINK("https://nycdoe.sharepoint.com/:w:/s/BAP/Ed5HIdX3IKBIuB5HWNffx4YBQMou1B-jIb9htJtwZTdgDg", "10 out of 10")</f>
        <v>10 out of 10</v>
      </c>
      <c r="M916" t="s">
        <v>7035</v>
      </c>
    </row>
    <row r="917" spans="2:13">
      <c r="B917" s="55" t="s">
        <v>2314</v>
      </c>
      <c r="C917" s="55" t="s">
        <v>2233</v>
      </c>
      <c r="D917" s="55" t="s">
        <v>2352</v>
      </c>
      <c r="E917" s="55" t="s">
        <v>2356</v>
      </c>
      <c r="F917" s="55" t="s">
        <v>7036</v>
      </c>
      <c r="G917" s="55" t="s">
        <v>2358</v>
      </c>
      <c r="H917" s="55" t="s">
        <v>52</v>
      </c>
      <c r="I917" s="55"/>
      <c r="J917" s="55" t="s">
        <v>7034</v>
      </c>
      <c r="K917" s="55" t="s">
        <v>62</v>
      </c>
      <c r="L917" s="57" t="str">
        <f>HYPERLINK("https://nycdoe.sharepoint.com/:w:/s/BAP/Ed5HIdX3IKBIuB5HWNffx4YBQMou1B-jIb9htJtwZTdgDg", "10 out of 10")</f>
        <v>10 out of 10</v>
      </c>
      <c r="M917" t="s">
        <v>7035</v>
      </c>
    </row>
    <row r="918" spans="2:13">
      <c r="B918" s="55" t="s">
        <v>2314</v>
      </c>
      <c r="C918" s="55" t="s">
        <v>2233</v>
      </c>
      <c r="D918" s="55" t="s">
        <v>7037</v>
      </c>
      <c r="E918" s="55" t="s">
        <v>7037</v>
      </c>
      <c r="F918" s="55" t="s">
        <v>7038</v>
      </c>
      <c r="G918" s="55" t="s">
        <v>7039</v>
      </c>
      <c r="H918" s="55" t="s">
        <v>17</v>
      </c>
      <c r="I918" s="55" t="s">
        <v>18</v>
      </c>
      <c r="J918" s="55" t="s">
        <v>7040</v>
      </c>
      <c r="K918" s="55" t="s">
        <v>20</v>
      </c>
      <c r="L918" s="57" t="str">
        <f>HYPERLINK("https://nycdoe.sharepoint.com/:w:/s/BAP/EeE_sIlD_fJCleCYRNSTnEgBP2ldjYPC_xSy3bmKx42RoQ", "1 out of 10")</f>
        <v>1 out of 10</v>
      </c>
      <c r="M918" t="s">
        <v>7041</v>
      </c>
    </row>
    <row r="919" spans="2:13">
      <c r="B919" s="55" t="s">
        <v>2314</v>
      </c>
      <c r="C919" s="55" t="s">
        <v>2233</v>
      </c>
      <c r="D919" s="55" t="s">
        <v>2359</v>
      </c>
      <c r="E919" s="55" t="s">
        <v>2359</v>
      </c>
      <c r="F919" s="55" t="s">
        <v>7042</v>
      </c>
      <c r="G919" s="55" t="s">
        <v>7043</v>
      </c>
      <c r="H919" s="55" t="s">
        <v>52</v>
      </c>
      <c r="I919" s="55"/>
      <c r="J919" s="55" t="s">
        <v>7044</v>
      </c>
      <c r="K919" s="55" t="s">
        <v>62</v>
      </c>
      <c r="L919" s="57" t="str">
        <f>HYPERLINK("https://nycdoe.sharepoint.com/:w:/s/BAP/ETNR9bC8989Jg7jvrMi5macBocoJVh4cMRZ18eSRw7fzkA", "10 out of 10")</f>
        <v>10 out of 10</v>
      </c>
      <c r="M919" t="s">
        <v>7045</v>
      </c>
    </row>
    <row r="920" spans="2:13">
      <c r="B920" s="55" t="s">
        <v>2314</v>
      </c>
      <c r="C920" s="55" t="s">
        <v>2233</v>
      </c>
      <c r="D920" s="55" t="s">
        <v>2359</v>
      </c>
      <c r="E920" s="55" t="s">
        <v>2323</v>
      </c>
      <c r="F920" s="55" t="s">
        <v>7046</v>
      </c>
      <c r="G920" s="55" t="s">
        <v>2325</v>
      </c>
      <c r="H920" s="55" t="s">
        <v>43</v>
      </c>
      <c r="I920" s="55" t="s">
        <v>18</v>
      </c>
      <c r="J920" s="55" t="s">
        <v>7044</v>
      </c>
      <c r="K920" s="55" t="s">
        <v>62</v>
      </c>
      <c r="L920" s="57" t="str">
        <f>HYPERLINK("https://nycdoe.sharepoint.com/:w:/s/BAP/ETNR9bC8989Jg7jvrMi5macBocoJVh4cMRZ18eSRw7fzkA", "10 out of 10")</f>
        <v>10 out of 10</v>
      </c>
      <c r="M920" t="s">
        <v>7045</v>
      </c>
    </row>
    <row r="921" spans="2:13">
      <c r="B921" s="55" t="s">
        <v>2314</v>
      </c>
      <c r="C921" s="55" t="s">
        <v>2233</v>
      </c>
      <c r="D921" s="55" t="s">
        <v>2363</v>
      </c>
      <c r="E921" s="55" t="s">
        <v>2363</v>
      </c>
      <c r="F921" s="55" t="s">
        <v>7047</v>
      </c>
      <c r="G921" s="55" t="s">
        <v>7048</v>
      </c>
      <c r="H921" s="55" t="s">
        <v>17</v>
      </c>
      <c r="I921" s="55" t="s">
        <v>18</v>
      </c>
      <c r="J921" s="55" t="s">
        <v>7049</v>
      </c>
      <c r="K921" s="55" t="s">
        <v>20</v>
      </c>
      <c r="L921" s="57" t="str">
        <f>HYPERLINK("https://nycdoe.sharepoint.com/:w:/s/BAP/EcFybsDkiVtKn09Jg_LfkCgBsmRMxWHhn4nQwakif6nd4Q", "1 out of 10")</f>
        <v>1 out of 10</v>
      </c>
      <c r="M921" t="s">
        <v>7050</v>
      </c>
    </row>
    <row r="922" spans="2:13">
      <c r="B922" s="55" t="s">
        <v>2314</v>
      </c>
      <c r="C922" s="55" t="s">
        <v>2233</v>
      </c>
      <c r="D922" s="55" t="s">
        <v>2367</v>
      </c>
      <c r="E922" s="55" t="s">
        <v>2367</v>
      </c>
      <c r="F922" s="55" t="s">
        <v>7051</v>
      </c>
      <c r="G922" s="55" t="s">
        <v>7052</v>
      </c>
      <c r="H922" s="55" t="s">
        <v>17</v>
      </c>
      <c r="I922" s="55" t="s">
        <v>18</v>
      </c>
      <c r="J922" s="55" t="s">
        <v>7053</v>
      </c>
      <c r="K922" s="55" t="s">
        <v>20</v>
      </c>
      <c r="L922" s="57" t="str">
        <f>HYPERLINK("https://nycdoe.sharepoint.com/:w:/s/BAP/EdRmXj1LXRBBk8TUQZTYO48BD5aOFc3EVZRM5PPR0lsnYw", "3 out of 10")</f>
        <v>3 out of 10</v>
      </c>
      <c r="M922" t="s">
        <v>7054</v>
      </c>
    </row>
    <row r="923" spans="2:13">
      <c r="B923" s="55" t="s">
        <v>2314</v>
      </c>
      <c r="C923" s="55" t="s">
        <v>2233</v>
      </c>
      <c r="D923" s="55" t="s">
        <v>2371</v>
      </c>
      <c r="E923" s="55" t="s">
        <v>2371</v>
      </c>
      <c r="F923" s="55" t="s">
        <v>7055</v>
      </c>
      <c r="G923" s="55" t="s">
        <v>7056</v>
      </c>
      <c r="H923" s="55" t="s">
        <v>17</v>
      </c>
      <c r="I923" s="55" t="s">
        <v>18</v>
      </c>
      <c r="J923" s="55" t="s">
        <v>7057</v>
      </c>
      <c r="K923" s="55" t="s">
        <v>62</v>
      </c>
      <c r="L923" s="57" t="str">
        <f>HYPERLINK("https://nycdoe.sharepoint.com/:w:/s/BAP/EappMdua2-5Jnkg6KucCjHEByU4tRQYO1RcM750tAbtymw", "9 out of 10")</f>
        <v>9 out of 10</v>
      </c>
      <c r="M923" t="s">
        <v>7058</v>
      </c>
    </row>
    <row r="924" spans="2:13">
      <c r="B924" s="55" t="s">
        <v>2314</v>
      </c>
      <c r="C924" s="55" t="s">
        <v>2233</v>
      </c>
      <c r="D924" s="55" t="s">
        <v>2375</v>
      </c>
      <c r="E924" s="55" t="s">
        <v>2375</v>
      </c>
      <c r="F924" s="55" t="s">
        <v>7059</v>
      </c>
      <c r="G924" s="55" t="s">
        <v>2377</v>
      </c>
      <c r="H924" s="55" t="s">
        <v>52</v>
      </c>
      <c r="I924" s="55"/>
      <c r="J924" s="55" t="s">
        <v>7060</v>
      </c>
      <c r="K924" s="55" t="s">
        <v>62</v>
      </c>
      <c r="L924" s="57" t="str">
        <f>HYPERLINK("https://nycdoe.sharepoint.com/:w:/s/BAP/Ef0w4nz9nulJqI_I7UvqncAB2ny_ErTe6-WDfaqudHz7UQ", "9 out of 10")</f>
        <v>9 out of 10</v>
      </c>
      <c r="M924" t="s">
        <v>7061</v>
      </c>
    </row>
    <row r="925" spans="2:13">
      <c r="B925" s="55" t="s">
        <v>2314</v>
      </c>
      <c r="C925" s="55" t="s">
        <v>2233</v>
      </c>
      <c r="D925" s="55" t="s">
        <v>2375</v>
      </c>
      <c r="E925" s="55" t="s">
        <v>2379</v>
      </c>
      <c r="F925" s="55" t="s">
        <v>7062</v>
      </c>
      <c r="G925" s="55" t="s">
        <v>7063</v>
      </c>
      <c r="H925" s="55" t="s">
        <v>56</v>
      </c>
      <c r="I925" s="55"/>
      <c r="J925" s="55" t="s">
        <v>7060</v>
      </c>
      <c r="K925" s="55" t="s">
        <v>62</v>
      </c>
      <c r="L925" s="57" t="str">
        <f>HYPERLINK("https://nycdoe.sharepoint.com/:w:/s/BAP/Ef0w4nz9nulJqI_I7UvqncAB2ny_ErTe6-WDfaqudHz7UQ", "9 out of 10")</f>
        <v>9 out of 10</v>
      </c>
      <c r="M925" t="s">
        <v>7061</v>
      </c>
    </row>
    <row r="926" spans="2:13">
      <c r="B926" s="55" t="s">
        <v>2314</v>
      </c>
      <c r="C926" s="55" t="s">
        <v>2233</v>
      </c>
      <c r="D926" s="55" t="s">
        <v>2375</v>
      </c>
      <c r="E926" s="55" t="s">
        <v>2382</v>
      </c>
      <c r="F926" s="55" t="s">
        <v>7064</v>
      </c>
      <c r="G926" s="55" t="s">
        <v>7065</v>
      </c>
      <c r="H926" s="55" t="s">
        <v>56</v>
      </c>
      <c r="I926" s="55"/>
      <c r="J926" s="55" t="s">
        <v>7060</v>
      </c>
      <c r="K926" s="55" t="s">
        <v>62</v>
      </c>
      <c r="L926" s="57" t="str">
        <f>HYPERLINK("https://nycdoe.sharepoint.com/:w:/s/BAP/Ef0w4nz9nulJqI_I7UvqncAB2ny_ErTe6-WDfaqudHz7UQ", "9 out of 10")</f>
        <v>9 out of 10</v>
      </c>
      <c r="M926" t="s">
        <v>7061</v>
      </c>
    </row>
    <row r="927" spans="2:13">
      <c r="B927" s="55" t="s">
        <v>2314</v>
      </c>
      <c r="C927" s="55" t="s">
        <v>2233</v>
      </c>
      <c r="D927" s="55" t="s">
        <v>2385</v>
      </c>
      <c r="E927" s="55" t="s">
        <v>2385</v>
      </c>
      <c r="F927" s="55" t="s">
        <v>7066</v>
      </c>
      <c r="G927" s="55" t="s">
        <v>7067</v>
      </c>
      <c r="H927" s="55" t="s">
        <v>17</v>
      </c>
      <c r="I927" s="55" t="s">
        <v>18</v>
      </c>
      <c r="J927" s="55" t="s">
        <v>7068</v>
      </c>
      <c r="K927" s="55" t="s">
        <v>20</v>
      </c>
      <c r="L927" s="57" t="str">
        <f>HYPERLINK("https://nycdoe.sharepoint.com/:w:/s/BAP/EX5B3OoY9E1Kt1xQFgvZD_ABlBJCFGPcGntBGklhkqOqQQ", "8 out of 10")</f>
        <v>8 out of 10</v>
      </c>
      <c r="M927" t="s">
        <v>7069</v>
      </c>
    </row>
    <row r="928" spans="2:13">
      <c r="B928" s="55" t="s">
        <v>2314</v>
      </c>
      <c r="C928" s="55" t="s">
        <v>2233</v>
      </c>
      <c r="D928" s="55" t="s">
        <v>2385</v>
      </c>
      <c r="E928" s="55" t="s">
        <v>2389</v>
      </c>
      <c r="F928" s="55" t="s">
        <v>7070</v>
      </c>
      <c r="G928" s="55" t="s">
        <v>7071</v>
      </c>
      <c r="H928" s="55" t="s">
        <v>52</v>
      </c>
      <c r="I928" s="55"/>
      <c r="J928" s="55" t="s">
        <v>7068</v>
      </c>
      <c r="K928" s="55" t="s">
        <v>20</v>
      </c>
      <c r="L928" s="57" t="str">
        <f>HYPERLINK("https://nycdoe.sharepoint.com/:w:/s/BAP/EX5B3OoY9E1Kt1xQFgvZD_ABlBJCFGPcGntBGklhkqOqQQ", "8 out of 10")</f>
        <v>8 out of 10</v>
      </c>
      <c r="M928" t="s">
        <v>7069</v>
      </c>
    </row>
    <row r="929" spans="2:13">
      <c r="B929" s="55" t="s">
        <v>2314</v>
      </c>
      <c r="C929" s="55" t="s">
        <v>2233</v>
      </c>
      <c r="D929" s="55" t="s">
        <v>7072</v>
      </c>
      <c r="E929" s="55" t="s">
        <v>7072</v>
      </c>
      <c r="F929" s="55" t="s">
        <v>7073</v>
      </c>
      <c r="G929" s="55" t="s">
        <v>7074</v>
      </c>
      <c r="H929" s="55" t="s">
        <v>52</v>
      </c>
      <c r="I929" s="55"/>
      <c r="J929" s="55" t="s">
        <v>7075</v>
      </c>
      <c r="K929" s="55" t="s">
        <v>20</v>
      </c>
      <c r="L929" s="57" t="str">
        <f>HYPERLINK("https://nycdoe.sharepoint.com/:w:/s/BAP/EbYFyIUjidFJnHTeXONx8DIBtTCWJExJ95UgnP2lIaWJbQ", "4 out of 10")</f>
        <v>4 out of 10</v>
      </c>
      <c r="M929" t="s">
        <v>7076</v>
      </c>
    </row>
    <row r="930" spans="2:13">
      <c r="B930" s="55" t="s">
        <v>2314</v>
      </c>
      <c r="C930" s="55" t="s">
        <v>2233</v>
      </c>
      <c r="D930" s="55" t="s">
        <v>2392</v>
      </c>
      <c r="E930" s="55" t="s">
        <v>2392</v>
      </c>
      <c r="F930" s="55" t="s">
        <v>7077</v>
      </c>
      <c r="G930" s="55" t="s">
        <v>7078</v>
      </c>
      <c r="H930" s="55" t="s">
        <v>43</v>
      </c>
      <c r="I930" s="55"/>
      <c r="J930" s="55" t="s">
        <v>7079</v>
      </c>
      <c r="K930" s="55" t="s">
        <v>20</v>
      </c>
      <c r="L930" s="57" t="str">
        <f>HYPERLINK("https://nycdoe.sharepoint.com/:w:/s/BAP/EVUDb0Ejt4BFqggeB2O_koYBtlyy24HeJK4tEqaUi43lGg", "1 out of 10")</f>
        <v>1 out of 10</v>
      </c>
      <c r="M930" t="s">
        <v>7080</v>
      </c>
    </row>
    <row r="931" spans="2:13">
      <c r="B931" s="55" t="s">
        <v>2314</v>
      </c>
      <c r="C931" s="55" t="s">
        <v>2233</v>
      </c>
      <c r="D931" s="55" t="s">
        <v>2396</v>
      </c>
      <c r="E931" s="55" t="s">
        <v>2396</v>
      </c>
      <c r="F931" s="55" t="s">
        <v>7081</v>
      </c>
      <c r="G931" s="55" t="s">
        <v>7082</v>
      </c>
      <c r="H931" s="55" t="s">
        <v>17</v>
      </c>
      <c r="I931" s="55" t="s">
        <v>18</v>
      </c>
      <c r="J931" s="55" t="s">
        <v>7083</v>
      </c>
      <c r="K931" s="55" t="s">
        <v>20</v>
      </c>
      <c r="L931" s="57" t="str">
        <f>HYPERLINK("https://nycdoe.sharepoint.com/:w:/s/BAP/EZhCzMJJ0OdBnP8d8aYVLCwB3JFwd_PCCCNWLYbgRoK2EQ", "4 out of 10")</f>
        <v>4 out of 10</v>
      </c>
      <c r="M931" t="s">
        <v>7084</v>
      </c>
    </row>
    <row r="932" spans="2:13">
      <c r="B932" s="55" t="s">
        <v>2314</v>
      </c>
      <c r="C932" s="55" t="s">
        <v>2233</v>
      </c>
      <c r="D932" s="55" t="s">
        <v>7085</v>
      </c>
      <c r="E932" s="55" t="s">
        <v>7086</v>
      </c>
      <c r="F932" s="55" t="s">
        <v>7087</v>
      </c>
      <c r="G932" s="55" t="s">
        <v>7088</v>
      </c>
      <c r="H932" s="55" t="s">
        <v>17</v>
      </c>
      <c r="I932" s="55"/>
      <c r="J932" s="55" t="s">
        <v>7089</v>
      </c>
      <c r="K932" s="55" t="s">
        <v>20</v>
      </c>
      <c r="L932" s="57" t="str">
        <f>HYPERLINK("https://nycdoe.sharepoint.com/:w:/s/BAP/EepCG2e1bslMpf-wiZ0qO6YBeRPBoW79yljSmoNQ-3EXbQ", "1 out of 10")</f>
        <v>1 out of 10</v>
      </c>
      <c r="M932" t="s">
        <v>7090</v>
      </c>
    </row>
    <row r="933" spans="2:13">
      <c r="B933" s="55" t="s">
        <v>2314</v>
      </c>
      <c r="C933" s="55" t="s">
        <v>2233</v>
      </c>
      <c r="D933" s="55" t="s">
        <v>7085</v>
      </c>
      <c r="E933" s="55" t="s">
        <v>7085</v>
      </c>
      <c r="F933" s="55" t="s">
        <v>7091</v>
      </c>
      <c r="G933" s="55" t="s">
        <v>7092</v>
      </c>
      <c r="H933" s="55" t="s">
        <v>17</v>
      </c>
      <c r="I933" s="55" t="s">
        <v>18</v>
      </c>
      <c r="J933" s="55" t="s">
        <v>7089</v>
      </c>
      <c r="K933" s="55" t="s">
        <v>20</v>
      </c>
      <c r="L933" s="57" t="str">
        <f>HYPERLINK("https://nycdoe.sharepoint.com/:w:/s/BAP/EepCG2e1bslMpf-wiZ0qO6YBeRPBoW79yljSmoNQ-3EXbQ", "1 out of 10")</f>
        <v>1 out of 10</v>
      </c>
      <c r="M933" t="s">
        <v>7090</v>
      </c>
    </row>
    <row r="934" spans="2:13">
      <c r="B934" s="55" t="s">
        <v>2314</v>
      </c>
      <c r="C934" s="55" t="s">
        <v>2233</v>
      </c>
      <c r="D934" s="55" t="s">
        <v>2400</v>
      </c>
      <c r="E934" s="55" t="s">
        <v>2400</v>
      </c>
      <c r="F934" s="55" t="s">
        <v>7093</v>
      </c>
      <c r="G934" s="55" t="s">
        <v>7094</v>
      </c>
      <c r="H934" s="55" t="s">
        <v>17</v>
      </c>
      <c r="I934" s="55"/>
      <c r="J934" s="55" t="s">
        <v>7095</v>
      </c>
      <c r="K934" s="55" t="s">
        <v>20</v>
      </c>
      <c r="L934" s="57" t="str">
        <f>HYPERLINK("https://nycdoe.sharepoint.com/:w:/s/BAP/ETvZgY803vVPj5kxeHwO5IwBudIG4oxVgk-IwhtLOaGOGw", "4 out of 10")</f>
        <v>4 out of 10</v>
      </c>
      <c r="M934" t="s">
        <v>7096</v>
      </c>
    </row>
    <row r="935" spans="2:13">
      <c r="B935" s="55" t="s">
        <v>2314</v>
      </c>
      <c r="C935" s="55" t="s">
        <v>2233</v>
      </c>
      <c r="D935" s="55" t="s">
        <v>2404</v>
      </c>
      <c r="E935" s="55" t="s">
        <v>2404</v>
      </c>
      <c r="F935" s="55" t="s">
        <v>7097</v>
      </c>
      <c r="G935" s="55" t="s">
        <v>7098</v>
      </c>
      <c r="H935" s="55" t="s">
        <v>17</v>
      </c>
      <c r="I935" s="55"/>
      <c r="J935" s="55" t="s">
        <v>7099</v>
      </c>
      <c r="K935" s="55" t="s">
        <v>62</v>
      </c>
      <c r="L935" s="57" t="str">
        <f>HYPERLINK("https://nycdoe.sharepoint.com/:w:/s/BAP/EYnFlXRQo1ZJtHK9btiG7IgBGrzAIBOuN9WOyu4BPmo-Jw", "9 out of 10")</f>
        <v>9 out of 10</v>
      </c>
      <c r="M935" t="s">
        <v>7100</v>
      </c>
    </row>
    <row r="936" spans="2:13">
      <c r="B936" s="55" t="s">
        <v>2314</v>
      </c>
      <c r="C936" s="55" t="s">
        <v>2233</v>
      </c>
      <c r="D936" s="55" t="s">
        <v>2408</v>
      </c>
      <c r="E936" s="55" t="s">
        <v>2409</v>
      </c>
      <c r="F936" s="55" t="s">
        <v>7101</v>
      </c>
      <c r="G936" s="55" t="s">
        <v>7102</v>
      </c>
      <c r="H936" s="55" t="s">
        <v>24</v>
      </c>
      <c r="I936" s="55" t="s">
        <v>18</v>
      </c>
      <c r="J936" s="55" t="s">
        <v>7103</v>
      </c>
      <c r="K936" s="55" t="s">
        <v>62</v>
      </c>
      <c r="L936" s="57" t="str">
        <f>HYPERLINK("https://nycdoe.sharepoint.com/:w:/s/BAP/EXhKZeUYyX9Ama0ZEzrqxsgBY6fDOIipA2v_GFOK-qTcdg", "10 out of 10")</f>
        <v>10 out of 10</v>
      </c>
      <c r="M936" t="s">
        <v>7104</v>
      </c>
    </row>
    <row r="937" spans="2:13">
      <c r="B937" s="55" t="s">
        <v>2314</v>
      </c>
      <c r="C937" s="55" t="s">
        <v>2233</v>
      </c>
      <c r="D937" s="55" t="s">
        <v>2413</v>
      </c>
      <c r="E937" s="55" t="s">
        <v>2238</v>
      </c>
      <c r="F937" s="55" t="s">
        <v>6912</v>
      </c>
      <c r="G937" s="55" t="s">
        <v>2240</v>
      </c>
      <c r="H937" s="55" t="s">
        <v>43</v>
      </c>
      <c r="I937" s="55"/>
      <c r="J937" s="55" t="s">
        <v>7105</v>
      </c>
      <c r="K937" s="55" t="s">
        <v>62</v>
      </c>
      <c r="L937" s="57" t="str">
        <f>HYPERLINK("https://nycdoe.sharepoint.com/:w:/s/BAP/EQZZzgho_DVAm95CGgONaOMBLElkRf_a9E_0G-xF9FWR7w", "10 out of 10")</f>
        <v>10 out of 10</v>
      </c>
      <c r="M937" t="s">
        <v>7106</v>
      </c>
    </row>
    <row r="938" spans="2:13">
      <c r="B938" s="55" t="s">
        <v>2314</v>
      </c>
      <c r="C938" s="55" t="s">
        <v>2233</v>
      </c>
      <c r="D938" s="55" t="s">
        <v>2413</v>
      </c>
      <c r="E938" s="55" t="s">
        <v>2413</v>
      </c>
      <c r="F938" s="55" t="s">
        <v>7107</v>
      </c>
      <c r="G938" s="55" t="s">
        <v>7108</v>
      </c>
      <c r="H938" s="55" t="s">
        <v>24</v>
      </c>
      <c r="I938" s="55" t="s">
        <v>18</v>
      </c>
      <c r="J938" s="55" t="s">
        <v>7105</v>
      </c>
      <c r="K938" s="55" t="s">
        <v>62</v>
      </c>
      <c r="L938" s="57" t="str">
        <f>HYPERLINK("https://nycdoe.sharepoint.com/:w:/s/BAP/EQZZzgho_DVAm95CGgONaOMBLElkRf_a9E_0G-xF9FWR7w", "10 out of 10")</f>
        <v>10 out of 10</v>
      </c>
      <c r="M938" t="s">
        <v>7106</v>
      </c>
    </row>
    <row r="939" spans="2:13">
      <c r="B939" s="55" t="s">
        <v>2314</v>
      </c>
      <c r="C939" s="55" t="s">
        <v>2233</v>
      </c>
      <c r="D939" s="55" t="s">
        <v>2417</v>
      </c>
      <c r="E939" s="55" t="s">
        <v>2238</v>
      </c>
      <c r="F939" s="55" t="s">
        <v>6912</v>
      </c>
      <c r="G939" s="55" t="s">
        <v>2240</v>
      </c>
      <c r="H939" s="55" t="s">
        <v>43</v>
      </c>
      <c r="I939" s="55"/>
      <c r="J939" s="55" t="s">
        <v>7109</v>
      </c>
      <c r="K939" s="55" t="s">
        <v>62</v>
      </c>
      <c r="L939" s="57" t="str">
        <f>HYPERLINK("https://nycdoe.sharepoint.com/:w:/s/BAP/EaA4ejYlg3tDlTWoQgCY6kIB5K3PD1-t2j2NmVyHF0KE7g", "10 out of 10")</f>
        <v>10 out of 10</v>
      </c>
      <c r="M939" t="s">
        <v>7110</v>
      </c>
    </row>
    <row r="940" spans="2:13">
      <c r="B940" s="55" t="s">
        <v>2314</v>
      </c>
      <c r="C940" s="55" t="s">
        <v>2233</v>
      </c>
      <c r="D940" s="55" t="s">
        <v>2417</v>
      </c>
      <c r="E940" s="55" t="s">
        <v>2417</v>
      </c>
      <c r="F940" s="55" t="s">
        <v>7111</v>
      </c>
      <c r="G940" s="55" t="s">
        <v>7112</v>
      </c>
      <c r="H940" s="55" t="s">
        <v>17</v>
      </c>
      <c r="I940" s="55" t="s">
        <v>18</v>
      </c>
      <c r="J940" s="55" t="s">
        <v>7109</v>
      </c>
      <c r="K940" s="55" t="s">
        <v>62</v>
      </c>
      <c r="L940" s="57" t="str">
        <f>HYPERLINK("https://nycdoe.sharepoint.com/:w:/s/BAP/EaA4ejYlg3tDlTWoQgCY6kIB5K3PD1-t2j2NmVyHF0KE7g", "10 out of 10")</f>
        <v>10 out of 10</v>
      </c>
      <c r="M940" t="s">
        <v>7110</v>
      </c>
    </row>
    <row r="941" spans="2:13">
      <c r="B941" s="55" t="s">
        <v>2314</v>
      </c>
      <c r="C941" s="55" t="s">
        <v>2233</v>
      </c>
      <c r="D941" s="55" t="s">
        <v>2421</v>
      </c>
      <c r="E941" s="55" t="s">
        <v>2422</v>
      </c>
      <c r="F941" s="55" t="s">
        <v>7113</v>
      </c>
      <c r="G941" s="55" t="s">
        <v>7114</v>
      </c>
      <c r="H941" s="55" t="s">
        <v>56</v>
      </c>
      <c r="I941" s="55"/>
      <c r="J941" s="55" t="s">
        <v>7115</v>
      </c>
      <c r="K941" s="55" t="s">
        <v>62</v>
      </c>
      <c r="L941" s="57" t="str">
        <f>HYPERLINK("https://nycdoe.sharepoint.com/:w:/s/BAP/EXmm6dwj5VdJkLvyMmFOyQQBCgDAKYQw9_IyEJgz3f9FHQ", "9 out of 10")</f>
        <v>9 out of 10</v>
      </c>
      <c r="M941" t="s">
        <v>7116</v>
      </c>
    </row>
    <row r="942" spans="2:13">
      <c r="B942" s="55" t="s">
        <v>2314</v>
      </c>
      <c r="C942" s="55" t="s">
        <v>2233</v>
      </c>
      <c r="D942" s="55" t="s">
        <v>2421</v>
      </c>
      <c r="E942" s="55" t="s">
        <v>2426</v>
      </c>
      <c r="F942" s="55" t="s">
        <v>7117</v>
      </c>
      <c r="G942" s="55" t="s">
        <v>7118</v>
      </c>
      <c r="H942" s="55" t="s">
        <v>56</v>
      </c>
      <c r="I942" s="55"/>
      <c r="J942" s="55" t="s">
        <v>7119</v>
      </c>
      <c r="K942" s="55" t="s">
        <v>62</v>
      </c>
      <c r="L942" s="57" t="str">
        <f>HYPERLINK("https://nycdoe.sharepoint.com/:w:/s/BAP/EXmm6dwj5VdJkLvyMmFOyQQBCgDAKYQw9_IyEJgz3f9FHQ", "9 out of 10")</f>
        <v>9 out of 10</v>
      </c>
      <c r="M942" t="s">
        <v>7116</v>
      </c>
    </row>
    <row r="943" spans="2:13">
      <c r="B943" s="55" t="s">
        <v>2314</v>
      </c>
      <c r="C943" s="55" t="s">
        <v>2233</v>
      </c>
      <c r="D943" s="55" t="s">
        <v>2421</v>
      </c>
      <c r="E943" s="55" t="s">
        <v>2429</v>
      </c>
      <c r="F943" s="55" t="s">
        <v>7120</v>
      </c>
      <c r="G943" s="55" t="s">
        <v>7121</v>
      </c>
      <c r="H943" s="55" t="s">
        <v>52</v>
      </c>
      <c r="I943" s="55"/>
      <c r="J943" s="55" t="s">
        <v>7115</v>
      </c>
      <c r="K943" s="55" t="s">
        <v>62</v>
      </c>
      <c r="L943" s="57" t="str">
        <f>HYPERLINK("https://nycdoe.sharepoint.com/:w:/s/BAP/EXmm6dwj5VdJkLvyMmFOyQQBCgDAKYQw9_IyEJgz3f9FHQ", "9 out of 10")</f>
        <v>9 out of 10</v>
      </c>
      <c r="M943" t="s">
        <v>7116</v>
      </c>
    </row>
    <row r="944" spans="2:13">
      <c r="B944" s="55" t="s">
        <v>2314</v>
      </c>
      <c r="C944" s="55" t="s">
        <v>2233</v>
      </c>
      <c r="D944" s="55" t="s">
        <v>2432</v>
      </c>
      <c r="E944" s="55" t="s">
        <v>2433</v>
      </c>
      <c r="F944" s="55" t="s">
        <v>7122</v>
      </c>
      <c r="G944" s="55" t="s">
        <v>2435</v>
      </c>
      <c r="H944" s="55" t="s">
        <v>52</v>
      </c>
      <c r="I944" s="55"/>
      <c r="J944" s="55" t="s">
        <v>7123</v>
      </c>
      <c r="K944" s="55" t="s">
        <v>62</v>
      </c>
      <c r="L944" s="57" t="str">
        <f>HYPERLINK("https://nycdoe.sharepoint.com/:w:/s/BAP/EX-JhhCly-FKu4lkxWUYe6wBHB9JDvDq_9JQFKdBDADeIw", "10 out of 10")</f>
        <v>10 out of 10</v>
      </c>
      <c r="M944" t="s">
        <v>7124</v>
      </c>
    </row>
    <row r="945" spans="2:13">
      <c r="B945" s="55" t="s">
        <v>2314</v>
      </c>
      <c r="C945" s="55" t="s">
        <v>2233</v>
      </c>
      <c r="D945" s="55" t="s">
        <v>2432</v>
      </c>
      <c r="E945" s="55" t="s">
        <v>2437</v>
      </c>
      <c r="F945" s="55" t="s">
        <v>7125</v>
      </c>
      <c r="G945" s="55" t="s">
        <v>7126</v>
      </c>
      <c r="H945" s="55" t="s">
        <v>56</v>
      </c>
      <c r="I945" s="55"/>
      <c r="J945" s="55" t="s">
        <v>7123</v>
      </c>
      <c r="K945" s="55" t="s">
        <v>62</v>
      </c>
      <c r="L945" s="57" t="str">
        <f>HYPERLINK("https://nycdoe.sharepoint.com/:w:/s/BAP/EX-JhhCly-FKu4lkxWUYe6wBHB9JDvDq_9JQFKdBDADeIw", "10 out of 10")</f>
        <v>10 out of 10</v>
      </c>
      <c r="M945" t="s">
        <v>7124</v>
      </c>
    </row>
    <row r="946" spans="2:13">
      <c r="B946" s="55" t="s">
        <v>2314</v>
      </c>
      <c r="C946" s="55" t="s">
        <v>2233</v>
      </c>
      <c r="D946" s="55" t="s">
        <v>2432</v>
      </c>
      <c r="E946" s="55" t="s">
        <v>4490</v>
      </c>
      <c r="F946" s="55" t="s">
        <v>4491</v>
      </c>
      <c r="G946" s="55" t="s">
        <v>4492</v>
      </c>
      <c r="H946" s="55" t="s">
        <v>56</v>
      </c>
      <c r="I946" s="55"/>
      <c r="J946" s="55" t="s">
        <v>7123</v>
      </c>
      <c r="K946" s="55" t="s">
        <v>62</v>
      </c>
      <c r="L946" s="57" t="str">
        <f>HYPERLINK("https://nycdoe.sharepoint.com/:w:/s/BAP/EX-JhhCly-FKu4lkxWUYe6wBHB9JDvDq_9JQFKdBDADeIw", "10 out of 10")</f>
        <v>10 out of 10</v>
      </c>
      <c r="M946" t="s">
        <v>7124</v>
      </c>
    </row>
    <row r="947" spans="2:13">
      <c r="B947" s="55" t="s">
        <v>2314</v>
      </c>
      <c r="C947" s="55" t="s">
        <v>2233</v>
      </c>
      <c r="D947" s="55" t="s">
        <v>2440</v>
      </c>
      <c r="E947" s="55" t="s">
        <v>2441</v>
      </c>
      <c r="F947" s="55" t="s">
        <v>7127</v>
      </c>
      <c r="G947" s="55" t="s">
        <v>7128</v>
      </c>
      <c r="H947" s="55" t="s">
        <v>17</v>
      </c>
      <c r="I947" s="55" t="s">
        <v>18</v>
      </c>
      <c r="J947" s="55" t="s">
        <v>7129</v>
      </c>
      <c r="K947" s="55" t="s">
        <v>62</v>
      </c>
      <c r="L947" s="57" t="str">
        <f>HYPERLINK("https://nycdoe.sharepoint.com/:w:/s/BAP/EStrrievQIRJouDS30xOmPQBVYjdr6mTnh6L2cSZZCjJ1g", "10 out of 10")</f>
        <v>10 out of 10</v>
      </c>
      <c r="M947" t="s">
        <v>7130</v>
      </c>
    </row>
    <row r="948" spans="2:13">
      <c r="B948" s="55" t="s">
        <v>2314</v>
      </c>
      <c r="C948" s="55" t="s">
        <v>2233</v>
      </c>
      <c r="D948" s="55" t="s">
        <v>2440</v>
      </c>
      <c r="E948" s="55" t="s">
        <v>2238</v>
      </c>
      <c r="F948" s="55" t="s">
        <v>6912</v>
      </c>
      <c r="G948" s="55" t="s">
        <v>2240</v>
      </c>
      <c r="H948" s="55" t="s">
        <v>43</v>
      </c>
      <c r="I948" s="55"/>
      <c r="J948" s="55" t="s">
        <v>7129</v>
      </c>
      <c r="K948" s="55" t="s">
        <v>62</v>
      </c>
      <c r="L948" s="57" t="str">
        <f>HYPERLINK("https://nycdoe.sharepoint.com/:w:/s/BAP/EStrrievQIRJouDS30xOmPQBVYjdr6mTnh6L2cSZZCjJ1g", "10 out of 10")</f>
        <v>10 out of 10</v>
      </c>
      <c r="M948" t="s">
        <v>7130</v>
      </c>
    </row>
    <row r="949" spans="2:13">
      <c r="B949" s="55" t="s">
        <v>2314</v>
      </c>
      <c r="C949" s="55" t="s">
        <v>2233</v>
      </c>
      <c r="D949" s="55" t="s">
        <v>2445</v>
      </c>
      <c r="E949" s="55" t="s">
        <v>2238</v>
      </c>
      <c r="F949" s="55" t="s">
        <v>6912</v>
      </c>
      <c r="G949" s="55" t="s">
        <v>2240</v>
      </c>
      <c r="H949" s="55" t="s">
        <v>43</v>
      </c>
      <c r="I949" s="55"/>
      <c r="J949" s="55" t="s">
        <v>7131</v>
      </c>
      <c r="K949" s="55" t="s">
        <v>62</v>
      </c>
      <c r="L949" s="57" t="str">
        <f>HYPERLINK("https://nycdoe.sharepoint.com/:w:/s/BAP/EebWffIBe2BBnaLa5WhRpCYBRSoas5-vOX_JWzI8YyAQGg", "10 out of 10")</f>
        <v>10 out of 10</v>
      </c>
      <c r="M949" t="s">
        <v>7132</v>
      </c>
    </row>
    <row r="950" spans="2:13">
      <c r="B950" s="55" t="s">
        <v>2314</v>
      </c>
      <c r="C950" s="55" t="s">
        <v>2233</v>
      </c>
      <c r="D950" s="55" t="s">
        <v>2445</v>
      </c>
      <c r="E950" s="55" t="s">
        <v>2445</v>
      </c>
      <c r="F950" s="55" t="s">
        <v>7133</v>
      </c>
      <c r="G950" s="55" t="s">
        <v>7134</v>
      </c>
      <c r="H950" s="55" t="s">
        <v>17</v>
      </c>
      <c r="I950" s="55" t="s">
        <v>18</v>
      </c>
      <c r="J950" s="55" t="s">
        <v>7135</v>
      </c>
      <c r="K950" s="55" t="s">
        <v>62</v>
      </c>
      <c r="L950" s="57" t="str">
        <f>HYPERLINK("https://nycdoe.sharepoint.com/:w:/s/BAP/EebWffIBe2BBnaLa5WhRpCYBRSoas5-vOX_JWzI8YyAQGg", "10 out of 10")</f>
        <v>10 out of 10</v>
      </c>
      <c r="M950" t="s">
        <v>7132</v>
      </c>
    </row>
    <row r="951" spans="2:13">
      <c r="B951" s="55" t="s">
        <v>2314</v>
      </c>
      <c r="C951" s="55" t="s">
        <v>2233</v>
      </c>
      <c r="D951" s="55" t="s">
        <v>2449</v>
      </c>
      <c r="E951" s="55" t="s">
        <v>2449</v>
      </c>
      <c r="F951" s="55" t="s">
        <v>7136</v>
      </c>
      <c r="G951" s="55" t="s">
        <v>7137</v>
      </c>
      <c r="H951" s="55" t="s">
        <v>17</v>
      </c>
      <c r="I951" s="55" t="s">
        <v>18</v>
      </c>
      <c r="J951" s="55" t="s">
        <v>7138</v>
      </c>
      <c r="K951" s="55" t="s">
        <v>62</v>
      </c>
      <c r="L951" s="57" t="str">
        <f>HYPERLINK("https://nycdoe.sharepoint.com/:w:/s/BAP/EXRzI6U8omdBmCheSaj7zJIB69BVPeHjX7uu9SxTvs-x1w", "10 out of 10")</f>
        <v>10 out of 10</v>
      </c>
      <c r="M951" t="s">
        <v>7139</v>
      </c>
    </row>
    <row r="952" spans="2:13">
      <c r="B952" s="55" t="s">
        <v>2314</v>
      </c>
      <c r="C952" s="55" t="s">
        <v>2233</v>
      </c>
      <c r="D952" s="55" t="s">
        <v>7140</v>
      </c>
      <c r="E952" s="55" t="s">
        <v>2396</v>
      </c>
      <c r="F952" s="55" t="s">
        <v>7081</v>
      </c>
      <c r="G952" s="55" t="s">
        <v>7082</v>
      </c>
      <c r="H952" s="55" t="s">
        <v>17</v>
      </c>
      <c r="I952" s="55" t="s">
        <v>18</v>
      </c>
      <c r="J952" s="55" t="s">
        <v>7141</v>
      </c>
      <c r="K952" s="55" t="s">
        <v>62</v>
      </c>
      <c r="L952" s="57" t="str">
        <f>HYPERLINK("https://nycdoe.sharepoint.com/:w:/s/BAP/EaZWsVX_gPxMmiOKqoe6JvwBADdq4UgIK1HwWyjZiYgHmw", "9 out of 10")</f>
        <v>9 out of 10</v>
      </c>
      <c r="M952" t="s">
        <v>7142</v>
      </c>
    </row>
    <row r="953" spans="2:13">
      <c r="B953" s="55" t="s">
        <v>2314</v>
      </c>
      <c r="C953" s="55" t="s">
        <v>2233</v>
      </c>
      <c r="D953" s="55" t="s">
        <v>2453</v>
      </c>
      <c r="E953" s="55" t="s">
        <v>2454</v>
      </c>
      <c r="F953" s="55" t="s">
        <v>7143</v>
      </c>
      <c r="G953" s="55" t="s">
        <v>7144</v>
      </c>
      <c r="H953" s="55" t="s">
        <v>56</v>
      </c>
      <c r="I953" s="55"/>
      <c r="J953" s="55" t="s">
        <v>7145</v>
      </c>
      <c r="K953" s="55" t="s">
        <v>20</v>
      </c>
      <c r="L953" s="57" t="str">
        <f>HYPERLINK("https://nycdoe.sharepoint.com/:w:/s/BAP/EaxI8uO78wBGn4Z1xrKUV38B44e-j4JrqTacJUy0IMI9og", "7 out of 10")</f>
        <v>7 out of 10</v>
      </c>
      <c r="M953" t="s">
        <v>7146</v>
      </c>
    </row>
    <row r="954" spans="2:13">
      <c r="B954" s="55" t="s">
        <v>2314</v>
      </c>
      <c r="C954" s="55" t="s">
        <v>2233</v>
      </c>
      <c r="D954" s="55" t="s">
        <v>2453</v>
      </c>
      <c r="E954" s="55" t="s">
        <v>2458</v>
      </c>
      <c r="F954" s="55" t="s">
        <v>7147</v>
      </c>
      <c r="G954" s="55" t="s">
        <v>7148</v>
      </c>
      <c r="H954" s="55" t="s">
        <v>56</v>
      </c>
      <c r="I954" s="55"/>
      <c r="J954" s="55" t="s">
        <v>7145</v>
      </c>
      <c r="K954" s="55" t="s">
        <v>20</v>
      </c>
      <c r="L954" s="57" t="str">
        <f>HYPERLINK("https://nycdoe.sharepoint.com/:w:/s/BAP/EaxI8uO78wBGn4Z1xrKUV38B44e-j4JrqTacJUy0IMI9og", "7 out of 10")</f>
        <v>7 out of 10</v>
      </c>
      <c r="M954" t="s">
        <v>7146</v>
      </c>
    </row>
    <row r="955" spans="2:13">
      <c r="B955" s="55" t="s">
        <v>2314</v>
      </c>
      <c r="C955" s="55" t="s">
        <v>2233</v>
      </c>
      <c r="D955" s="55" t="s">
        <v>2453</v>
      </c>
      <c r="E955" s="55" t="s">
        <v>2461</v>
      </c>
      <c r="F955" s="55" t="s">
        <v>7149</v>
      </c>
      <c r="G955" s="55" t="s">
        <v>7150</v>
      </c>
      <c r="H955" s="55" t="s">
        <v>56</v>
      </c>
      <c r="I955" s="55"/>
      <c r="J955" s="55" t="s">
        <v>7145</v>
      </c>
      <c r="K955" s="55" t="s">
        <v>20</v>
      </c>
      <c r="L955" s="57" t="str">
        <f>HYPERLINK("https://nycdoe.sharepoint.com/:w:/s/BAP/EaxI8uO78wBGn4Z1xrKUV38B44e-j4JrqTacJUy0IMI9og", "7 out of 10")</f>
        <v>7 out of 10</v>
      </c>
      <c r="M955" t="s">
        <v>7146</v>
      </c>
    </row>
    <row r="956" spans="2:13">
      <c r="B956" s="55" t="s">
        <v>2314</v>
      </c>
      <c r="C956" s="55" t="s">
        <v>2233</v>
      </c>
      <c r="D956" s="55" t="s">
        <v>2453</v>
      </c>
      <c r="E956" s="55" t="s">
        <v>2464</v>
      </c>
      <c r="F956" s="55" t="s">
        <v>7151</v>
      </c>
      <c r="G956" s="55" t="s">
        <v>7152</v>
      </c>
      <c r="H956" s="55" t="s">
        <v>84</v>
      </c>
      <c r="I956" s="55"/>
      <c r="J956" s="55" t="s">
        <v>7145</v>
      </c>
      <c r="K956" s="55" t="s">
        <v>20</v>
      </c>
      <c r="L956" s="57" t="str">
        <f>HYPERLINK("https://nycdoe.sharepoint.com/:w:/s/BAP/EaxI8uO78wBGn4Z1xrKUV38B44e-j4JrqTacJUy0IMI9og", "7 out of 10")</f>
        <v>7 out of 10</v>
      </c>
      <c r="M956" t="s">
        <v>7146</v>
      </c>
    </row>
    <row r="957" spans="2:13">
      <c r="B957" s="55" t="s">
        <v>2314</v>
      </c>
      <c r="C957" s="55" t="s">
        <v>2233</v>
      </c>
      <c r="D957" s="55" t="s">
        <v>2453</v>
      </c>
      <c r="E957" s="55" t="s">
        <v>2467</v>
      </c>
      <c r="F957" s="55" t="s">
        <v>7153</v>
      </c>
      <c r="G957" s="55" t="s">
        <v>7154</v>
      </c>
      <c r="H957" s="55" t="s">
        <v>56</v>
      </c>
      <c r="I957" s="55"/>
      <c r="J957" s="55" t="s">
        <v>7145</v>
      </c>
      <c r="K957" s="55" t="s">
        <v>20</v>
      </c>
      <c r="L957" s="57" t="str">
        <f>HYPERLINK("https://nycdoe.sharepoint.com/:w:/s/BAP/EaxI8uO78wBGn4Z1xrKUV38B44e-j4JrqTacJUy0IMI9og", "7 out of 10")</f>
        <v>7 out of 10</v>
      </c>
      <c r="M957" t="s">
        <v>7146</v>
      </c>
    </row>
    <row r="958" spans="2:13">
      <c r="B958" s="55" t="s">
        <v>2314</v>
      </c>
      <c r="C958" s="55" t="s">
        <v>2233</v>
      </c>
      <c r="D958" s="55" t="s">
        <v>2453</v>
      </c>
      <c r="E958" s="55" t="s">
        <v>2470</v>
      </c>
      <c r="F958" s="55" t="s">
        <v>7155</v>
      </c>
      <c r="G958" s="55" t="s">
        <v>7156</v>
      </c>
      <c r="H958" s="55" t="s">
        <v>56</v>
      </c>
      <c r="I958" s="55"/>
      <c r="J958" s="55" t="s">
        <v>7145</v>
      </c>
      <c r="K958" s="55" t="s">
        <v>20</v>
      </c>
      <c r="L958" s="57" t="str">
        <f>HYPERLINK("https://nycdoe.sharepoint.com/:w:/s/BAP/EaxI8uO78wBGn4Z1xrKUV38B44e-j4JrqTacJUy0IMI9og", "7 out of 10")</f>
        <v>7 out of 10</v>
      </c>
      <c r="M958" t="s">
        <v>7146</v>
      </c>
    </row>
    <row r="959" spans="2:13">
      <c r="B959" s="55" t="s">
        <v>2314</v>
      </c>
      <c r="C959" s="55" t="s">
        <v>2233</v>
      </c>
      <c r="D959" s="55" t="s">
        <v>2453</v>
      </c>
      <c r="E959" s="55" t="s">
        <v>2437</v>
      </c>
      <c r="F959" s="55" t="s">
        <v>7125</v>
      </c>
      <c r="G959" s="55" t="s">
        <v>7126</v>
      </c>
      <c r="H959" s="55" t="s">
        <v>56</v>
      </c>
      <c r="I959" s="55"/>
      <c r="J959" s="55" t="s">
        <v>7145</v>
      </c>
      <c r="K959" s="55" t="s">
        <v>20</v>
      </c>
      <c r="L959" s="57" t="str">
        <f>HYPERLINK("https://nycdoe.sharepoint.com/:w:/s/BAP/EaxI8uO78wBGn4Z1xrKUV38B44e-j4JrqTacJUy0IMI9og", "7 out of 10")</f>
        <v>7 out of 10</v>
      </c>
      <c r="M959" t="s">
        <v>7146</v>
      </c>
    </row>
    <row r="960" spans="2:13">
      <c r="B960" s="55" t="s">
        <v>2314</v>
      </c>
      <c r="C960" s="55" t="s">
        <v>2233</v>
      </c>
      <c r="D960" s="55" t="s">
        <v>2453</v>
      </c>
      <c r="E960" s="55" t="s">
        <v>4490</v>
      </c>
      <c r="F960" s="55" t="s">
        <v>4491</v>
      </c>
      <c r="G960" s="55" t="s">
        <v>4492</v>
      </c>
      <c r="H960" s="55" t="s">
        <v>56</v>
      </c>
      <c r="I960" s="55"/>
      <c r="J960" s="55" t="s">
        <v>7145</v>
      </c>
      <c r="K960" s="55" t="s">
        <v>20</v>
      </c>
      <c r="L960" s="57" t="str">
        <f>HYPERLINK("https://nycdoe.sharepoint.com/:w:/s/BAP/EaxI8uO78wBGn4Z1xrKUV38B44e-j4JrqTacJUy0IMI9og", "7 out of 10")</f>
        <v>7 out of 10</v>
      </c>
      <c r="M960" t="s">
        <v>7146</v>
      </c>
    </row>
    <row r="961" spans="2:13">
      <c r="B961" s="55" t="s">
        <v>2314</v>
      </c>
      <c r="C961" s="55" t="s">
        <v>2233</v>
      </c>
      <c r="D961" s="55" t="s">
        <v>7157</v>
      </c>
      <c r="E961" s="55" t="s">
        <v>7158</v>
      </c>
      <c r="F961" s="55" t="s">
        <v>7159</v>
      </c>
      <c r="G961" s="55" t="s">
        <v>7160</v>
      </c>
      <c r="H961" s="55" t="s">
        <v>56</v>
      </c>
      <c r="I961" s="55"/>
      <c r="J961" s="55" t="s">
        <v>7161</v>
      </c>
      <c r="K961" s="55" t="s">
        <v>20</v>
      </c>
      <c r="L961" s="57" t="str">
        <f>HYPERLINK("https://nycdoe.sharepoint.com/:w:/s/BAP/Eb8WU5NNO4dEpkUD6hLxqzAB2tpJf5wFJU1dz8TBCDX4mw", "6 out of 10")</f>
        <v>6 out of 10</v>
      </c>
      <c r="M961" t="s">
        <v>7162</v>
      </c>
    </row>
    <row r="962" spans="2:13">
      <c r="B962" s="55" t="s">
        <v>2314</v>
      </c>
      <c r="C962" s="55" t="s">
        <v>2233</v>
      </c>
      <c r="D962" s="55" t="s">
        <v>7157</v>
      </c>
      <c r="E962" s="55" t="s">
        <v>7163</v>
      </c>
      <c r="F962" s="55" t="s">
        <v>7164</v>
      </c>
      <c r="G962" s="55" t="s">
        <v>7165</v>
      </c>
      <c r="H962" s="55" t="s">
        <v>56</v>
      </c>
      <c r="I962" s="55"/>
      <c r="J962" s="55" t="s">
        <v>7161</v>
      </c>
      <c r="K962" s="55" t="s">
        <v>20</v>
      </c>
      <c r="L962" s="57" t="str">
        <f>HYPERLINK("https://nycdoe.sharepoint.com/:w:/s/BAP/Eb8WU5NNO4dEpkUD6hLxqzAB2tpJf5wFJU1dz8TBCDX4mw", "6 out of 10")</f>
        <v>6 out of 10</v>
      </c>
      <c r="M962" t="s">
        <v>7162</v>
      </c>
    </row>
    <row r="963" spans="2:13">
      <c r="B963" s="55" t="s">
        <v>2314</v>
      </c>
      <c r="C963" s="55" t="s">
        <v>2233</v>
      </c>
      <c r="D963" s="55" t="s">
        <v>7157</v>
      </c>
      <c r="E963" s="55" t="s">
        <v>7166</v>
      </c>
      <c r="F963" s="55" t="s">
        <v>7167</v>
      </c>
      <c r="G963" s="55" t="s">
        <v>7168</v>
      </c>
      <c r="H963" s="55" t="s">
        <v>56</v>
      </c>
      <c r="I963" s="55"/>
      <c r="J963" s="55" t="s">
        <v>7161</v>
      </c>
      <c r="K963" s="55" t="s">
        <v>20</v>
      </c>
      <c r="L963" s="57" t="str">
        <f>HYPERLINK("https://nycdoe.sharepoint.com/:w:/s/BAP/Eb8WU5NNO4dEpkUD6hLxqzAB2tpJf5wFJU1dz8TBCDX4mw", "6 out of 10")</f>
        <v>6 out of 10</v>
      </c>
      <c r="M963" t="s">
        <v>7162</v>
      </c>
    </row>
    <row r="964" spans="2:13">
      <c r="B964" s="55" t="s">
        <v>2314</v>
      </c>
      <c r="C964" s="55" t="s">
        <v>2233</v>
      </c>
      <c r="D964" s="55" t="s">
        <v>7157</v>
      </c>
      <c r="E964" s="55" t="s">
        <v>7169</v>
      </c>
      <c r="F964" s="55" t="s">
        <v>7170</v>
      </c>
      <c r="G964" s="55" t="s">
        <v>7171</v>
      </c>
      <c r="H964" s="55" t="s">
        <v>56</v>
      </c>
      <c r="I964" s="55"/>
      <c r="J964" s="55" t="s">
        <v>7161</v>
      </c>
      <c r="K964" s="55" t="s">
        <v>20</v>
      </c>
      <c r="L964" s="57" t="str">
        <f>HYPERLINK("https://nycdoe.sharepoint.com/:w:/s/BAP/Eb8WU5NNO4dEpkUD6hLxqzAB2tpJf5wFJU1dz8TBCDX4mw", "6 out of 10")</f>
        <v>6 out of 10</v>
      </c>
      <c r="M964" t="s">
        <v>7162</v>
      </c>
    </row>
    <row r="965" spans="2:13">
      <c r="B965" s="55" t="s">
        <v>2314</v>
      </c>
      <c r="C965" s="55" t="s">
        <v>2233</v>
      </c>
      <c r="D965" s="55" t="s">
        <v>7157</v>
      </c>
      <c r="E965" s="55" t="s">
        <v>7172</v>
      </c>
      <c r="F965" s="55" t="s">
        <v>7173</v>
      </c>
      <c r="G965" s="55" t="s">
        <v>7174</v>
      </c>
      <c r="H965" s="55" t="s">
        <v>56</v>
      </c>
      <c r="I965" s="55"/>
      <c r="J965" s="55" t="s">
        <v>7161</v>
      </c>
      <c r="K965" s="55" t="s">
        <v>20</v>
      </c>
      <c r="L965" s="57" t="str">
        <f>HYPERLINK("https://nycdoe.sharepoint.com/:w:/s/BAP/Eb8WU5NNO4dEpkUD6hLxqzAB2tpJf5wFJU1dz8TBCDX4mw", "6 out of 10")</f>
        <v>6 out of 10</v>
      </c>
      <c r="M965" t="s">
        <v>7162</v>
      </c>
    </row>
    <row r="966" spans="2:13">
      <c r="B966" s="55" t="s">
        <v>2314</v>
      </c>
      <c r="C966" s="55" t="s">
        <v>2233</v>
      </c>
      <c r="D966" s="55" t="s">
        <v>2473</v>
      </c>
      <c r="E966" s="55" t="s">
        <v>2474</v>
      </c>
      <c r="F966" s="55" t="s">
        <v>7175</v>
      </c>
      <c r="G966" s="55" t="s">
        <v>7176</v>
      </c>
      <c r="H966" s="55" t="s">
        <v>56</v>
      </c>
      <c r="I966" s="55"/>
      <c r="J966" s="55" t="s">
        <v>7177</v>
      </c>
      <c r="K966" s="55" t="s">
        <v>62</v>
      </c>
      <c r="L966" s="57" t="str">
        <f>HYPERLINK("https://nycdoe.sharepoint.com/:w:/s/BAP/EdvbWeQtsCNMoI8B7A91XWQB89E3_ryGS78DhO0ExMW2_w", "9 out of 10")</f>
        <v>9 out of 10</v>
      </c>
      <c r="M966" t="s">
        <v>7178</v>
      </c>
    </row>
    <row r="967" spans="2:13">
      <c r="B967" s="55" t="s">
        <v>2314</v>
      </c>
      <c r="C967" s="55" t="s">
        <v>2233</v>
      </c>
      <c r="D967" s="55" t="s">
        <v>2478</v>
      </c>
      <c r="E967" s="55" t="s">
        <v>2479</v>
      </c>
      <c r="F967" s="55" t="s">
        <v>7179</v>
      </c>
      <c r="G967" s="55" t="s">
        <v>7180</v>
      </c>
      <c r="H967" s="55" t="s">
        <v>24</v>
      </c>
      <c r="I967" s="55"/>
      <c r="J967" s="55" t="s">
        <v>7181</v>
      </c>
      <c r="K967" s="55" t="s">
        <v>20</v>
      </c>
      <c r="L967" s="57" t="str">
        <f>HYPERLINK("https://nycdoe.sharepoint.com/:w:/s/BAP/ERxY8nzMbvBCmpehbTYuvwwBAWjFCZHNXflvWb-qkCDLBQ", "3 out of 10")</f>
        <v>3 out of 10</v>
      </c>
      <c r="M967" t="s">
        <v>7182</v>
      </c>
    </row>
    <row r="968" spans="2:13">
      <c r="B968" s="55" t="s">
        <v>2314</v>
      </c>
      <c r="C968" s="55" t="s">
        <v>2233</v>
      </c>
      <c r="D968" s="55" t="s">
        <v>2478</v>
      </c>
      <c r="E968" s="55" t="s">
        <v>2483</v>
      </c>
      <c r="F968" s="55" t="s">
        <v>7183</v>
      </c>
      <c r="G968" s="55" t="s">
        <v>7184</v>
      </c>
      <c r="H968" s="55" t="s">
        <v>56</v>
      </c>
      <c r="I968" s="55"/>
      <c r="J968" s="55" t="s">
        <v>7181</v>
      </c>
      <c r="K968" s="55" t="s">
        <v>20</v>
      </c>
      <c r="L968" s="57" t="str">
        <f>HYPERLINK("https://nycdoe.sharepoint.com/:w:/s/BAP/ERxY8nzMbvBCmpehbTYuvwwBAWjFCZHNXflvWb-qkCDLBQ", "3 out of 10")</f>
        <v>3 out of 10</v>
      </c>
      <c r="M968" t="s">
        <v>7182</v>
      </c>
    </row>
    <row r="969" spans="2:13">
      <c r="B969" s="55" t="s">
        <v>2314</v>
      </c>
      <c r="C969" s="55" t="s">
        <v>2233</v>
      </c>
      <c r="D969" s="55" t="s">
        <v>2478</v>
      </c>
      <c r="E969" s="55" t="s">
        <v>2486</v>
      </c>
      <c r="F969" s="55" t="s">
        <v>7185</v>
      </c>
      <c r="G969" s="55" t="s">
        <v>7186</v>
      </c>
      <c r="H969" s="55" t="s">
        <v>56</v>
      </c>
      <c r="I969" s="55"/>
      <c r="J969" s="55" t="s">
        <v>7181</v>
      </c>
      <c r="K969" s="55" t="s">
        <v>20</v>
      </c>
      <c r="L969" s="57" t="str">
        <f>HYPERLINK("https://nycdoe.sharepoint.com/:w:/s/BAP/ERxY8nzMbvBCmpehbTYuvwwBAWjFCZHNXflvWb-qkCDLBQ", "3 out of 10")</f>
        <v>3 out of 10</v>
      </c>
      <c r="M969" t="s">
        <v>7182</v>
      </c>
    </row>
    <row r="970" spans="2:13">
      <c r="B970" s="55" t="s">
        <v>2314</v>
      </c>
      <c r="C970" s="55" t="s">
        <v>2233</v>
      </c>
      <c r="D970" s="55" t="s">
        <v>2478</v>
      </c>
      <c r="E970" s="55" t="s">
        <v>2489</v>
      </c>
      <c r="F970" s="55" t="s">
        <v>7187</v>
      </c>
      <c r="G970" s="55" t="s">
        <v>7188</v>
      </c>
      <c r="H970" s="55" t="s">
        <v>56</v>
      </c>
      <c r="I970" s="55"/>
      <c r="J970" s="55" t="s">
        <v>7181</v>
      </c>
      <c r="K970" s="55" t="s">
        <v>20</v>
      </c>
      <c r="L970" s="57" t="str">
        <f>HYPERLINK("https://nycdoe.sharepoint.com/:w:/s/BAP/ERxY8nzMbvBCmpehbTYuvwwBAWjFCZHNXflvWb-qkCDLBQ", "3 out of 10")</f>
        <v>3 out of 10</v>
      </c>
      <c r="M970" t="s">
        <v>7182</v>
      </c>
    </row>
    <row r="971" spans="2:13">
      <c r="B971" s="55" t="s">
        <v>2314</v>
      </c>
      <c r="C971" s="55" t="s">
        <v>2233</v>
      </c>
      <c r="D971" s="55" t="s">
        <v>2478</v>
      </c>
      <c r="E971" s="55" t="s">
        <v>2492</v>
      </c>
      <c r="F971" s="55" t="s">
        <v>7189</v>
      </c>
      <c r="G971" s="55" t="s">
        <v>7190</v>
      </c>
      <c r="H971" s="55" t="s">
        <v>56</v>
      </c>
      <c r="I971" s="55"/>
      <c r="J971" s="55" t="s">
        <v>7181</v>
      </c>
      <c r="K971" s="55" t="s">
        <v>20</v>
      </c>
      <c r="L971" s="57" t="str">
        <f>HYPERLINK("https://nycdoe.sharepoint.com/:w:/s/BAP/ERxY8nzMbvBCmpehbTYuvwwBAWjFCZHNXflvWb-qkCDLBQ", "3 out of 10")</f>
        <v>3 out of 10</v>
      </c>
      <c r="M971" t="s">
        <v>7182</v>
      </c>
    </row>
    <row r="972" spans="2:13">
      <c r="B972" s="55" t="s">
        <v>2314</v>
      </c>
      <c r="C972" s="55" t="s">
        <v>2233</v>
      </c>
      <c r="D972" s="55" t="s">
        <v>2478</v>
      </c>
      <c r="E972" s="55" t="s">
        <v>2495</v>
      </c>
      <c r="F972" s="55" t="s">
        <v>7191</v>
      </c>
      <c r="G972" s="55" t="s">
        <v>7192</v>
      </c>
      <c r="H972" s="55" t="s">
        <v>56</v>
      </c>
      <c r="I972" s="55"/>
      <c r="J972" s="55" t="s">
        <v>7181</v>
      </c>
      <c r="K972" s="55" t="s">
        <v>20</v>
      </c>
      <c r="L972" s="57" t="str">
        <f>HYPERLINK("https://nycdoe.sharepoint.com/:w:/s/BAP/ERxY8nzMbvBCmpehbTYuvwwBAWjFCZHNXflvWb-qkCDLBQ", "3 out of 10")</f>
        <v>3 out of 10</v>
      </c>
      <c r="M972" t="s">
        <v>7182</v>
      </c>
    </row>
    <row r="973" spans="2:13">
      <c r="B973" s="55" t="s">
        <v>2314</v>
      </c>
      <c r="C973" s="55" t="s">
        <v>2233</v>
      </c>
      <c r="D973" s="55" t="s">
        <v>2498</v>
      </c>
      <c r="E973" s="55" t="s">
        <v>2499</v>
      </c>
      <c r="F973" s="55" t="s">
        <v>7193</v>
      </c>
      <c r="G973" s="55" t="s">
        <v>2501</v>
      </c>
      <c r="H973" s="55" t="s">
        <v>17</v>
      </c>
      <c r="I973" s="55" t="s">
        <v>18</v>
      </c>
      <c r="J973" s="55" t="s">
        <v>7194</v>
      </c>
      <c r="K973" s="55" t="s">
        <v>62</v>
      </c>
      <c r="L973" s="57" t="str">
        <f>HYPERLINK("https://nycdoe.sharepoint.com/:w:/s/BAP/EehELiS40LtEooGiFnU4BDYBjYUtGGEk4pS3fpIBjalpkA", "10 out of 10")</f>
        <v>10 out of 10</v>
      </c>
      <c r="M973" t="s">
        <v>7195</v>
      </c>
    </row>
    <row r="974" spans="2:13">
      <c r="B974" s="55" t="s">
        <v>2314</v>
      </c>
      <c r="C974" s="55" t="s">
        <v>2233</v>
      </c>
      <c r="D974" s="55" t="s">
        <v>2503</v>
      </c>
      <c r="E974" s="55" t="s">
        <v>2504</v>
      </c>
      <c r="F974" s="55" t="s">
        <v>7012</v>
      </c>
      <c r="G974" s="55" t="s">
        <v>2506</v>
      </c>
      <c r="H974" s="55" t="s">
        <v>43</v>
      </c>
      <c r="I974" s="55" t="s">
        <v>18</v>
      </c>
      <c r="J974" s="55" t="s">
        <v>7196</v>
      </c>
      <c r="K974" s="55" t="s">
        <v>62</v>
      </c>
      <c r="L974" s="57" t="str">
        <f>HYPERLINK("https://nycdoe.sharepoint.com/:w:/s/BAP/EVCT_3NBxINAvXp0fD6w_S8BRZJcLYISmzxK5N6hewsSFA", "10 out of 10")</f>
        <v>10 out of 10</v>
      </c>
      <c r="M974" t="s">
        <v>7197</v>
      </c>
    </row>
    <row r="975" spans="2:13">
      <c r="B975" s="55" t="s">
        <v>2314</v>
      </c>
      <c r="C975" s="55" t="s">
        <v>2233</v>
      </c>
      <c r="D975" s="55" t="s">
        <v>2503</v>
      </c>
      <c r="E975" s="55" t="s">
        <v>2508</v>
      </c>
      <c r="F975" s="55" t="s">
        <v>7198</v>
      </c>
      <c r="G975" s="55" t="s">
        <v>7199</v>
      </c>
      <c r="H975" s="55" t="s">
        <v>56</v>
      </c>
      <c r="I975" s="55"/>
      <c r="J975" s="55" t="s">
        <v>7196</v>
      </c>
      <c r="K975" s="55" t="s">
        <v>62</v>
      </c>
      <c r="L975" s="57" t="str">
        <f>HYPERLINK("https://nycdoe.sharepoint.com/:w:/s/BAP/EVCT_3NBxINAvXp0fD6w_S8BRZJcLYISmzxK5N6hewsSFA", "10 out of 10")</f>
        <v>10 out of 10</v>
      </c>
      <c r="M975" t="s">
        <v>7197</v>
      </c>
    </row>
    <row r="976" spans="2:13">
      <c r="B976" s="55" t="s">
        <v>2314</v>
      </c>
      <c r="C976" s="55" t="s">
        <v>2233</v>
      </c>
      <c r="D976" s="55" t="s">
        <v>2511</v>
      </c>
      <c r="E976" s="55" t="s">
        <v>2512</v>
      </c>
      <c r="F976" s="55" t="s">
        <v>7200</v>
      </c>
      <c r="G976" s="55" t="s">
        <v>7201</v>
      </c>
      <c r="H976" s="55" t="s">
        <v>24</v>
      </c>
      <c r="I976" s="55" t="s">
        <v>18</v>
      </c>
      <c r="J976" s="55" t="s">
        <v>7202</v>
      </c>
      <c r="K976" s="55" t="s">
        <v>20</v>
      </c>
      <c r="L976" s="57" t="str">
        <f>HYPERLINK("https://nycdoe.sharepoint.com/:w:/s/BAP/EWIk72gNpWBImgzqmZ_bngIBq_7mFEdvHyO-UyX72sCQcA", "7 out of 10")</f>
        <v>7 out of 10</v>
      </c>
      <c r="M976" t="s">
        <v>7203</v>
      </c>
    </row>
    <row r="977" spans="2:13">
      <c r="B977" s="55" t="s">
        <v>2314</v>
      </c>
      <c r="C977" s="55" t="s">
        <v>2233</v>
      </c>
      <c r="D977" s="55" t="s">
        <v>2511</v>
      </c>
      <c r="E977" s="55" t="s">
        <v>2504</v>
      </c>
      <c r="F977" s="55" t="s">
        <v>7012</v>
      </c>
      <c r="G977" s="55" t="s">
        <v>2506</v>
      </c>
      <c r="H977" s="55" t="s">
        <v>43</v>
      </c>
      <c r="I977" s="55" t="s">
        <v>18</v>
      </c>
      <c r="J977" s="55" t="s">
        <v>7202</v>
      </c>
      <c r="K977" s="55" t="s">
        <v>20</v>
      </c>
      <c r="L977" s="57" t="str">
        <f>HYPERLINK("https://nycdoe.sharepoint.com/:w:/s/BAP/EWIk72gNpWBImgzqmZ_bngIBq_7mFEdvHyO-UyX72sCQcA", "7 out of 10")</f>
        <v>7 out of 10</v>
      </c>
      <c r="M977" t="s">
        <v>7203</v>
      </c>
    </row>
    <row r="978" spans="2:13">
      <c r="B978" s="55" t="s">
        <v>2314</v>
      </c>
      <c r="C978" s="55" t="s">
        <v>2233</v>
      </c>
      <c r="D978" s="55" t="s">
        <v>2511</v>
      </c>
      <c r="E978" s="55" t="s">
        <v>2516</v>
      </c>
      <c r="F978" s="55" t="s">
        <v>7204</v>
      </c>
      <c r="G978" s="55" t="s">
        <v>7205</v>
      </c>
      <c r="H978" s="55" t="s">
        <v>56</v>
      </c>
      <c r="I978" s="55"/>
      <c r="J978" s="55" t="s">
        <v>7202</v>
      </c>
      <c r="K978" s="55" t="s">
        <v>20</v>
      </c>
      <c r="L978" s="57" t="str">
        <f>HYPERLINK("https://nycdoe.sharepoint.com/:w:/s/BAP/EWIk72gNpWBImgzqmZ_bngIBq_7mFEdvHyO-UyX72sCQcA", "7 out of 10")</f>
        <v>7 out of 10</v>
      </c>
      <c r="M978" t="s">
        <v>7203</v>
      </c>
    </row>
    <row r="979" spans="2:13">
      <c r="B979" s="55" t="s">
        <v>2314</v>
      </c>
      <c r="C979" s="55" t="s">
        <v>2233</v>
      </c>
      <c r="D979" s="55" t="s">
        <v>2511</v>
      </c>
      <c r="E979" s="55" t="s">
        <v>2519</v>
      </c>
      <c r="F979" s="55" t="s">
        <v>7206</v>
      </c>
      <c r="G979" s="55" t="s">
        <v>7207</v>
      </c>
      <c r="H979" s="55" t="s">
        <v>56</v>
      </c>
      <c r="I979" s="55"/>
      <c r="J979" s="55" t="s">
        <v>7202</v>
      </c>
      <c r="K979" s="55" t="s">
        <v>20</v>
      </c>
      <c r="L979" s="57" t="str">
        <f>HYPERLINK("https://nycdoe.sharepoint.com/:w:/s/BAP/EWIk72gNpWBImgzqmZ_bngIBq_7mFEdvHyO-UyX72sCQcA", "7 out of 10")</f>
        <v>7 out of 10</v>
      </c>
      <c r="M979" t="s">
        <v>7203</v>
      </c>
    </row>
    <row r="980" spans="2:13">
      <c r="B980" s="55" t="s">
        <v>2314</v>
      </c>
      <c r="C980" s="55" t="s">
        <v>2233</v>
      </c>
      <c r="D980" s="55" t="s">
        <v>2511</v>
      </c>
      <c r="E980" s="55" t="s">
        <v>2522</v>
      </c>
      <c r="F980" s="55" t="s">
        <v>7208</v>
      </c>
      <c r="G980" s="55" t="s">
        <v>7209</v>
      </c>
      <c r="H980" s="55" t="s">
        <v>56</v>
      </c>
      <c r="I980" s="55"/>
      <c r="J980" s="55" t="s">
        <v>7202</v>
      </c>
      <c r="K980" s="55" t="s">
        <v>20</v>
      </c>
      <c r="L980" s="57" t="str">
        <f>HYPERLINK("https://nycdoe.sharepoint.com/:w:/s/BAP/EWIk72gNpWBImgzqmZ_bngIBq_7mFEdvHyO-UyX72sCQcA", "7 out of 10")</f>
        <v>7 out of 10</v>
      </c>
      <c r="M980" t="s">
        <v>7203</v>
      </c>
    </row>
    <row r="981" spans="2:13">
      <c r="B981" s="55" t="s">
        <v>2314</v>
      </c>
      <c r="C981" s="55" t="s">
        <v>2233</v>
      </c>
      <c r="D981" s="55" t="s">
        <v>2511</v>
      </c>
      <c r="E981" s="55" t="s">
        <v>2525</v>
      </c>
      <c r="F981" s="55" t="s">
        <v>7210</v>
      </c>
      <c r="G981" s="55" t="s">
        <v>7211</v>
      </c>
      <c r="H981" s="55" t="s">
        <v>56</v>
      </c>
      <c r="I981" s="55"/>
      <c r="J981" s="55" t="s">
        <v>7202</v>
      </c>
      <c r="K981" s="55" t="s">
        <v>20</v>
      </c>
      <c r="L981" s="57" t="str">
        <f>HYPERLINK("https://nycdoe.sharepoint.com/:w:/s/BAP/EWIk72gNpWBImgzqmZ_bngIBq_7mFEdvHyO-UyX72sCQcA", "7 out of 10")</f>
        <v>7 out of 10</v>
      </c>
      <c r="M981" t="s">
        <v>7203</v>
      </c>
    </row>
    <row r="982" spans="2:13">
      <c r="B982" s="55" t="s">
        <v>2314</v>
      </c>
      <c r="C982" s="55" t="s">
        <v>2233</v>
      </c>
      <c r="D982" s="55" t="s">
        <v>2528</v>
      </c>
      <c r="E982" s="55" t="s">
        <v>2529</v>
      </c>
      <c r="F982" s="55" t="s">
        <v>7212</v>
      </c>
      <c r="G982" s="55" t="s">
        <v>7213</v>
      </c>
      <c r="H982" s="55" t="s">
        <v>56</v>
      </c>
      <c r="I982" s="55"/>
      <c r="J982" s="55" t="s">
        <v>7214</v>
      </c>
      <c r="K982" s="55" t="s">
        <v>20</v>
      </c>
      <c r="L982" s="57" t="str">
        <f>HYPERLINK("https://nycdoe.sharepoint.com/:w:/s/BAP/Eciupx0BAC1Hnk5Z7PFVhZEBOgAEUxFGcDqgpH_B0ZPhMA", "1 out of 10")</f>
        <v>1 out of 10</v>
      </c>
      <c r="M982" t="s">
        <v>7215</v>
      </c>
    </row>
    <row r="983" spans="2:13">
      <c r="B983" s="55" t="s">
        <v>2314</v>
      </c>
      <c r="C983" s="55" t="s">
        <v>2233</v>
      </c>
      <c r="D983" s="55" t="s">
        <v>2533</v>
      </c>
      <c r="E983" s="55" t="s">
        <v>2534</v>
      </c>
      <c r="F983" s="55" t="s">
        <v>7216</v>
      </c>
      <c r="G983" s="55" t="s">
        <v>7217</v>
      </c>
      <c r="H983" s="55" t="s">
        <v>17</v>
      </c>
      <c r="I983" s="55" t="s">
        <v>18</v>
      </c>
      <c r="J983" s="55" t="s">
        <v>7218</v>
      </c>
      <c r="K983" s="55" t="s">
        <v>62</v>
      </c>
      <c r="L983" s="57" t="str">
        <f>HYPERLINK("https://nycdoe.sharepoint.com/:w:/s/BAP/Edy02w4b-s1MvvE2oTytzOcBfjLDP5284p4oIh1XNAkUPQ", "10 out of 10")</f>
        <v>10 out of 10</v>
      </c>
      <c r="M983" t="s">
        <v>7219</v>
      </c>
    </row>
    <row r="984" spans="2:13">
      <c r="B984" s="55" t="s">
        <v>2314</v>
      </c>
      <c r="C984" s="55" t="s">
        <v>2233</v>
      </c>
      <c r="D984" s="55" t="s">
        <v>2533</v>
      </c>
      <c r="E984" s="55" t="s">
        <v>2392</v>
      </c>
      <c r="F984" s="55" t="s">
        <v>7077</v>
      </c>
      <c r="G984" s="55" t="s">
        <v>7078</v>
      </c>
      <c r="H984" s="55" t="s">
        <v>43</v>
      </c>
      <c r="I984" s="55"/>
      <c r="J984" s="55" t="s">
        <v>7218</v>
      </c>
      <c r="K984" s="55" t="s">
        <v>62</v>
      </c>
      <c r="L984" s="57" t="str">
        <f>HYPERLINK("https://nycdoe.sharepoint.com/:w:/s/BAP/Edy02w4b-s1MvvE2oTytzOcBfjLDP5284p4oIh1XNAkUPQ", "10 out of 10")</f>
        <v>10 out of 10</v>
      </c>
      <c r="M984" t="s">
        <v>7219</v>
      </c>
    </row>
    <row r="985" spans="2:13">
      <c r="B985" s="55" t="s">
        <v>2314</v>
      </c>
      <c r="C985" s="55" t="s">
        <v>2233</v>
      </c>
      <c r="D985" s="55" t="s">
        <v>2533</v>
      </c>
      <c r="E985" s="55" t="s">
        <v>2538</v>
      </c>
      <c r="F985" s="55" t="s">
        <v>7220</v>
      </c>
      <c r="G985" s="55" t="s">
        <v>7221</v>
      </c>
      <c r="H985" s="55" t="s">
        <v>56</v>
      </c>
      <c r="I985" s="55"/>
      <c r="J985" s="55" t="s">
        <v>7218</v>
      </c>
      <c r="K985" s="55" t="s">
        <v>62</v>
      </c>
      <c r="L985" s="57" t="str">
        <f>HYPERLINK("https://nycdoe.sharepoint.com/:w:/s/BAP/Edy02w4b-s1MvvE2oTytzOcBfjLDP5284p4oIh1XNAkUPQ", "10 out of 10")</f>
        <v>10 out of 10</v>
      </c>
      <c r="M985" t="s">
        <v>7219</v>
      </c>
    </row>
    <row r="986" spans="2:13">
      <c r="B986" s="55" t="s">
        <v>2314</v>
      </c>
      <c r="C986" s="55" t="s">
        <v>2233</v>
      </c>
      <c r="D986" s="55" t="s">
        <v>2541</v>
      </c>
      <c r="E986" s="55" t="s">
        <v>2542</v>
      </c>
      <c r="F986" s="55" t="s">
        <v>7222</v>
      </c>
      <c r="G986" s="55" t="s">
        <v>7223</v>
      </c>
      <c r="H986" s="55" t="s">
        <v>56</v>
      </c>
      <c r="I986" s="55"/>
      <c r="J986" s="55" t="s">
        <v>7224</v>
      </c>
      <c r="K986" s="55" t="s">
        <v>62</v>
      </c>
      <c r="L986" s="57" t="str">
        <f>HYPERLINK("https://nycdoe.sharepoint.com/:w:/s/BAP/EbWeo5AXbcNJv_h8rPS5OK8BQEsefca4_DgA7qIfusGMJw", "9 out of 10")</f>
        <v>9 out of 10</v>
      </c>
      <c r="M986" t="s">
        <v>7225</v>
      </c>
    </row>
    <row r="987" spans="2:13">
      <c r="B987" s="55" t="s">
        <v>2314</v>
      </c>
      <c r="C987" s="55" t="s">
        <v>2233</v>
      </c>
      <c r="D987" s="55" t="s">
        <v>2541</v>
      </c>
      <c r="E987" s="55" t="s">
        <v>2546</v>
      </c>
      <c r="F987" s="55" t="s">
        <v>7226</v>
      </c>
      <c r="G987" s="55" t="s">
        <v>7227</v>
      </c>
      <c r="H987" s="55" t="s">
        <v>56</v>
      </c>
      <c r="I987" s="55"/>
      <c r="J987" s="55" t="s">
        <v>7224</v>
      </c>
      <c r="K987" s="55" t="s">
        <v>62</v>
      </c>
      <c r="L987" s="57" t="str">
        <f>HYPERLINK("https://nycdoe.sharepoint.com/:w:/s/BAP/EbWeo5AXbcNJv_h8rPS5OK8BQEsefca4_DgA7qIfusGMJw", "9 out of 10")</f>
        <v>9 out of 10</v>
      </c>
      <c r="M987" t="s">
        <v>7225</v>
      </c>
    </row>
    <row r="988" spans="2:13">
      <c r="B988" s="55" t="s">
        <v>2314</v>
      </c>
      <c r="C988" s="55" t="s">
        <v>2233</v>
      </c>
      <c r="D988" s="55" t="s">
        <v>2541</v>
      </c>
      <c r="E988" s="55" t="s">
        <v>2421</v>
      </c>
      <c r="F988" s="55" t="s">
        <v>7228</v>
      </c>
      <c r="G988" s="55" t="s">
        <v>7229</v>
      </c>
      <c r="H988" s="55" t="s">
        <v>56</v>
      </c>
      <c r="I988" s="55"/>
      <c r="J988" s="55" t="s">
        <v>7224</v>
      </c>
      <c r="K988" s="55" t="s">
        <v>62</v>
      </c>
      <c r="L988" s="57" t="str">
        <f>HYPERLINK("https://nycdoe.sharepoint.com/:w:/s/BAP/EbWeo5AXbcNJv_h8rPS5OK8BQEsefca4_DgA7qIfusGMJw", "9 out of 10")</f>
        <v>9 out of 10</v>
      </c>
      <c r="M988" t="s">
        <v>7225</v>
      </c>
    </row>
    <row r="989" spans="2:13">
      <c r="B989" s="55" t="s">
        <v>2314</v>
      </c>
      <c r="C989" s="55" t="s">
        <v>2233</v>
      </c>
      <c r="D989" s="55" t="s">
        <v>2541</v>
      </c>
      <c r="E989" s="55" t="s">
        <v>2541</v>
      </c>
      <c r="F989" s="55" t="s">
        <v>7230</v>
      </c>
      <c r="G989" s="55" t="s">
        <v>7231</v>
      </c>
      <c r="H989" s="55" t="s">
        <v>56</v>
      </c>
      <c r="I989" s="55"/>
      <c r="J989" s="55" t="s">
        <v>7224</v>
      </c>
      <c r="K989" s="55" t="s">
        <v>62</v>
      </c>
      <c r="L989" s="57" t="str">
        <f>HYPERLINK("https://nycdoe.sharepoint.com/:w:/s/BAP/EbWeo5AXbcNJv_h8rPS5OK8BQEsefca4_DgA7qIfusGMJw", "9 out of 10")</f>
        <v>9 out of 10</v>
      </c>
      <c r="M989" t="s">
        <v>7225</v>
      </c>
    </row>
    <row r="990" spans="2:13">
      <c r="B990" s="55" t="s">
        <v>2314</v>
      </c>
      <c r="C990" s="55" t="s">
        <v>2233</v>
      </c>
      <c r="D990" s="55" t="s">
        <v>2553</v>
      </c>
      <c r="E990" s="55" t="s">
        <v>2323</v>
      </c>
      <c r="F990" s="55" t="s">
        <v>7046</v>
      </c>
      <c r="G990" s="55" t="s">
        <v>2325</v>
      </c>
      <c r="H990" s="55" t="s">
        <v>43</v>
      </c>
      <c r="I990" s="55" t="s">
        <v>18</v>
      </c>
      <c r="J990" s="55" t="s">
        <v>7232</v>
      </c>
      <c r="K990" s="55" t="s">
        <v>20</v>
      </c>
      <c r="L990" s="57" t="str">
        <f>HYPERLINK("https://nycdoe.sharepoint.com/:w:/s/BAP/ERa-F16YollNgbeYqpgjwaABwdmt9Kz_Fo6R77bEqV2I2w", "8 out of 10")</f>
        <v>8 out of 10</v>
      </c>
      <c r="M990" t="s">
        <v>7233</v>
      </c>
    </row>
    <row r="991" spans="2:13">
      <c r="B991" s="55" t="s">
        <v>2314</v>
      </c>
      <c r="C991" s="55" t="s">
        <v>2233</v>
      </c>
      <c r="D991" s="55" t="s">
        <v>2553</v>
      </c>
      <c r="E991" s="55" t="s">
        <v>2555</v>
      </c>
      <c r="F991" s="55" t="s">
        <v>7234</v>
      </c>
      <c r="G991" s="55" t="s">
        <v>7235</v>
      </c>
      <c r="H991" s="55" t="s">
        <v>56</v>
      </c>
      <c r="I991" s="55"/>
      <c r="J991" s="55" t="s">
        <v>7232</v>
      </c>
      <c r="K991" s="55" t="s">
        <v>20</v>
      </c>
      <c r="L991" s="57" t="str">
        <f>HYPERLINK("https://nycdoe.sharepoint.com/:w:/s/BAP/ERa-F16YollNgbeYqpgjwaABwdmt9Kz_Fo6R77bEqV2I2w", "8 out of 10")</f>
        <v>8 out of 10</v>
      </c>
      <c r="M991" t="s">
        <v>7233</v>
      </c>
    </row>
    <row r="992" spans="2:13">
      <c r="B992" s="55" t="s">
        <v>2314</v>
      </c>
      <c r="C992" s="55" t="s">
        <v>2233</v>
      </c>
      <c r="D992" s="55" t="s">
        <v>2553</v>
      </c>
      <c r="E992" s="55" t="s">
        <v>2558</v>
      </c>
      <c r="F992" s="55" t="s">
        <v>7236</v>
      </c>
      <c r="G992" s="55" t="s">
        <v>7237</v>
      </c>
      <c r="H992" s="55" t="s">
        <v>56</v>
      </c>
      <c r="I992" s="55"/>
      <c r="J992" s="55" t="s">
        <v>7232</v>
      </c>
      <c r="K992" s="55" t="s">
        <v>20</v>
      </c>
      <c r="L992" s="57" t="str">
        <f>HYPERLINK("https://nycdoe.sharepoint.com/:w:/s/BAP/ERa-F16YollNgbeYqpgjwaABwdmt9Kz_Fo6R77bEqV2I2w", "8 out of 10")</f>
        <v>8 out of 10</v>
      </c>
      <c r="M992" t="s">
        <v>7233</v>
      </c>
    </row>
    <row r="993" spans="2:13">
      <c r="B993" s="55" t="s">
        <v>2314</v>
      </c>
      <c r="C993" s="55" t="s">
        <v>2233</v>
      </c>
      <c r="D993" s="55" t="s">
        <v>2553</v>
      </c>
      <c r="E993" s="55" t="s">
        <v>2561</v>
      </c>
      <c r="F993" s="55" t="s">
        <v>7238</v>
      </c>
      <c r="G993" s="55" t="s">
        <v>7239</v>
      </c>
      <c r="H993" s="55" t="s">
        <v>56</v>
      </c>
      <c r="I993" s="55"/>
      <c r="J993" s="55" t="s">
        <v>7232</v>
      </c>
      <c r="K993" s="55" t="s">
        <v>20</v>
      </c>
      <c r="L993" s="57" t="str">
        <f>HYPERLINK("https://nycdoe.sharepoint.com/:w:/s/BAP/ERa-F16YollNgbeYqpgjwaABwdmt9Kz_Fo6R77bEqV2I2w", "8 out of 10")</f>
        <v>8 out of 10</v>
      </c>
      <c r="M993" t="s">
        <v>7233</v>
      </c>
    </row>
    <row r="994" spans="2:13">
      <c r="B994" s="55" t="s">
        <v>2314</v>
      </c>
      <c r="C994" s="55" t="s">
        <v>2233</v>
      </c>
      <c r="D994" s="55" t="s">
        <v>2553</v>
      </c>
      <c r="E994" s="55" t="s">
        <v>2564</v>
      </c>
      <c r="F994" s="55" t="s">
        <v>7240</v>
      </c>
      <c r="G994" s="55" t="s">
        <v>7241</v>
      </c>
      <c r="H994" s="55" t="s">
        <v>84</v>
      </c>
      <c r="I994" s="55"/>
      <c r="J994" s="55" t="s">
        <v>7232</v>
      </c>
      <c r="K994" s="55" t="s">
        <v>20</v>
      </c>
      <c r="L994" s="57" t="str">
        <f>HYPERLINK("https://nycdoe.sharepoint.com/:w:/s/BAP/ERa-F16YollNgbeYqpgjwaABwdmt9Kz_Fo6R77bEqV2I2w", "8 out of 10")</f>
        <v>8 out of 10</v>
      </c>
      <c r="M994" t="s">
        <v>7233</v>
      </c>
    </row>
    <row r="995" spans="2:13">
      <c r="B995" s="55" t="s">
        <v>2314</v>
      </c>
      <c r="C995" s="55" t="s">
        <v>2233</v>
      </c>
      <c r="D995" s="55" t="s">
        <v>2553</v>
      </c>
      <c r="E995" s="55" t="s">
        <v>2567</v>
      </c>
      <c r="F995" s="55" t="s">
        <v>7242</v>
      </c>
      <c r="G995" s="55" t="s">
        <v>7243</v>
      </c>
      <c r="H995" s="55" t="s">
        <v>56</v>
      </c>
      <c r="I995" s="55"/>
      <c r="J995" s="55" t="s">
        <v>7232</v>
      </c>
      <c r="K995" s="55" t="s">
        <v>20</v>
      </c>
      <c r="L995" s="57" t="str">
        <f>HYPERLINK("https://nycdoe.sharepoint.com/:w:/s/BAP/ERa-F16YollNgbeYqpgjwaABwdmt9Kz_Fo6R77bEqV2I2w", "8 out of 10")</f>
        <v>8 out of 10</v>
      </c>
      <c r="M995" t="s">
        <v>7233</v>
      </c>
    </row>
    <row r="996" spans="2:13">
      <c r="B996" s="55" t="s">
        <v>2314</v>
      </c>
      <c r="C996" s="55" t="s">
        <v>2233</v>
      </c>
      <c r="D996" s="55" t="s">
        <v>2570</v>
      </c>
      <c r="E996" s="55" t="s">
        <v>2570</v>
      </c>
      <c r="F996" s="55" t="s">
        <v>7244</v>
      </c>
      <c r="G996" s="55" t="s">
        <v>7245</v>
      </c>
      <c r="H996" s="55" t="s">
        <v>56</v>
      </c>
      <c r="I996" s="55"/>
      <c r="J996" s="55" t="s">
        <v>7246</v>
      </c>
      <c r="K996" s="55" t="s">
        <v>62</v>
      </c>
      <c r="L996" s="57" t="str">
        <f>HYPERLINK("https://nycdoe.sharepoint.com/:w:/s/BAP/ETNekfGXCM1EihXe_QlKbQQBvh6mOr7yZKeeTShH-A42AA", "9 out of 10")</f>
        <v>9 out of 10</v>
      </c>
      <c r="M996" t="s">
        <v>7247</v>
      </c>
    </row>
    <row r="997" spans="2:13">
      <c r="B997" s="55" t="s">
        <v>2314</v>
      </c>
      <c r="C997" s="55" t="s">
        <v>2233</v>
      </c>
      <c r="D997" s="55" t="s">
        <v>2570</v>
      </c>
      <c r="E997" s="55" t="s">
        <v>2437</v>
      </c>
      <c r="F997" s="55" t="s">
        <v>7125</v>
      </c>
      <c r="G997" s="55" t="s">
        <v>7126</v>
      </c>
      <c r="H997" s="55" t="s">
        <v>56</v>
      </c>
      <c r="I997" s="55"/>
      <c r="J997" s="55" t="s">
        <v>7246</v>
      </c>
      <c r="K997" s="55" t="s">
        <v>62</v>
      </c>
      <c r="L997" s="57" t="str">
        <f>HYPERLINK("https://nycdoe.sharepoint.com/:w:/s/BAP/ETNekfGXCM1EihXe_QlKbQQBvh6mOr7yZKeeTShH-A42AA", "9 out of 10")</f>
        <v>9 out of 10</v>
      </c>
      <c r="M997" t="s">
        <v>7247</v>
      </c>
    </row>
    <row r="998" spans="2:13">
      <c r="B998" s="55" t="s">
        <v>2314</v>
      </c>
      <c r="C998" s="55" t="s">
        <v>2233</v>
      </c>
      <c r="D998" s="55" t="s">
        <v>2574</v>
      </c>
      <c r="E998" s="55" t="s">
        <v>2575</v>
      </c>
      <c r="F998" s="55" t="s">
        <v>7248</v>
      </c>
      <c r="G998" s="55" t="s">
        <v>7249</v>
      </c>
      <c r="H998" s="55" t="s">
        <v>43</v>
      </c>
      <c r="I998" s="55"/>
      <c r="J998" s="55" t="s">
        <v>7250</v>
      </c>
      <c r="K998" s="55" t="s">
        <v>20</v>
      </c>
      <c r="L998" s="57" t="str">
        <f>HYPERLINK("https://nycdoe.sharepoint.com/:w:/s/BAP/ESI7H0DXe6dCjL53dJrnLq0BOpd4i3ce3gZjDpiA-8_y4w", "3 out of 10")</f>
        <v>3 out of 10</v>
      </c>
      <c r="M998" t="s">
        <v>7251</v>
      </c>
    </row>
    <row r="999" spans="2:13">
      <c r="B999" s="55" t="s">
        <v>2314</v>
      </c>
      <c r="C999" s="55" t="s">
        <v>2233</v>
      </c>
      <c r="D999" s="55" t="s">
        <v>2574</v>
      </c>
      <c r="E999" s="55" t="s">
        <v>2579</v>
      </c>
      <c r="F999" s="55" t="s">
        <v>7252</v>
      </c>
      <c r="G999" s="55" t="s">
        <v>7253</v>
      </c>
      <c r="H999" s="55" t="s">
        <v>56</v>
      </c>
      <c r="I999" s="55"/>
      <c r="J999" s="55" t="s">
        <v>7250</v>
      </c>
      <c r="K999" s="55" t="s">
        <v>20</v>
      </c>
      <c r="L999" s="57" t="str">
        <f>HYPERLINK("https://nycdoe.sharepoint.com/:w:/s/BAP/ESI7H0DXe6dCjL53dJrnLq0BOpd4i3ce3gZjDpiA-8_y4w", "3 out of 10")</f>
        <v>3 out of 10</v>
      </c>
      <c r="M999" t="s">
        <v>7251</v>
      </c>
    </row>
    <row r="1000" spans="2:13">
      <c r="B1000" s="55" t="s">
        <v>2314</v>
      </c>
      <c r="C1000" s="55" t="s">
        <v>2233</v>
      </c>
      <c r="D1000" s="55" t="s">
        <v>2574</v>
      </c>
      <c r="E1000" s="55" t="s">
        <v>2582</v>
      </c>
      <c r="F1000" s="55" t="s">
        <v>7254</v>
      </c>
      <c r="G1000" s="55" t="s">
        <v>7255</v>
      </c>
      <c r="H1000" s="55" t="s">
        <v>56</v>
      </c>
      <c r="I1000" s="55"/>
      <c r="J1000" s="55" t="s">
        <v>7250</v>
      </c>
      <c r="K1000" s="55" t="s">
        <v>20</v>
      </c>
      <c r="L1000" s="57" t="str">
        <f>HYPERLINK("https://nycdoe.sharepoint.com/:w:/s/BAP/ESI7H0DXe6dCjL53dJrnLq0BOpd4i3ce3gZjDpiA-8_y4w", "3 out of 10")</f>
        <v>3 out of 10</v>
      </c>
      <c r="M1000" t="s">
        <v>7251</v>
      </c>
    </row>
    <row r="1001" spans="2:13">
      <c r="B1001" s="55" t="s">
        <v>2314</v>
      </c>
      <c r="C1001" s="55" t="s">
        <v>2233</v>
      </c>
      <c r="D1001" s="55" t="s">
        <v>2574</v>
      </c>
      <c r="E1001" s="55" t="s">
        <v>2585</v>
      </c>
      <c r="F1001" s="55" t="s">
        <v>7256</v>
      </c>
      <c r="G1001" s="55" t="s">
        <v>7257</v>
      </c>
      <c r="H1001" s="55" t="s">
        <v>56</v>
      </c>
      <c r="I1001" s="55"/>
      <c r="J1001" s="55" t="s">
        <v>7250</v>
      </c>
      <c r="K1001" s="55" t="s">
        <v>20</v>
      </c>
      <c r="L1001" s="57" t="str">
        <f>HYPERLINK("https://nycdoe.sharepoint.com/:w:/s/BAP/ESI7H0DXe6dCjL53dJrnLq0BOpd4i3ce3gZjDpiA-8_y4w", "3 out of 10")</f>
        <v>3 out of 10</v>
      </c>
      <c r="M1001" t="s">
        <v>7251</v>
      </c>
    </row>
    <row r="1002" spans="2:13">
      <c r="B1002" s="55" t="s">
        <v>2314</v>
      </c>
      <c r="C1002" s="55" t="s">
        <v>2233</v>
      </c>
      <c r="D1002" s="55" t="s">
        <v>2588</v>
      </c>
      <c r="E1002" s="55" t="s">
        <v>2589</v>
      </c>
      <c r="F1002" s="55" t="s">
        <v>7258</v>
      </c>
      <c r="G1002" s="55" t="s">
        <v>7259</v>
      </c>
      <c r="H1002" s="55" t="s">
        <v>56</v>
      </c>
      <c r="I1002" s="55"/>
      <c r="J1002" s="55" t="s">
        <v>7260</v>
      </c>
      <c r="K1002" s="55" t="s">
        <v>20</v>
      </c>
      <c r="L1002" s="57" t="str">
        <f>HYPERLINK("https://nycdoe.sharepoint.com/:w:/s/BAP/EfkMShLrzOdMgwfY-FoERXgBNwACijrwk7d59zy43P2asg", "8 out of 10")</f>
        <v>8 out of 10</v>
      </c>
      <c r="M1002" t="s">
        <v>7261</v>
      </c>
    </row>
    <row r="1003" spans="2:13">
      <c r="B1003" s="55" t="s">
        <v>2314</v>
      </c>
      <c r="C1003" s="55" t="s">
        <v>2233</v>
      </c>
      <c r="D1003" s="55" t="s">
        <v>2588</v>
      </c>
      <c r="E1003" s="55" t="s">
        <v>2593</v>
      </c>
      <c r="F1003" s="55" t="s">
        <v>7262</v>
      </c>
      <c r="G1003" s="55" t="s">
        <v>7263</v>
      </c>
      <c r="H1003" s="55" t="s">
        <v>17</v>
      </c>
      <c r="I1003" s="55"/>
      <c r="J1003" s="55" t="s">
        <v>7260</v>
      </c>
      <c r="K1003" s="55" t="s">
        <v>20</v>
      </c>
      <c r="L1003" s="57" t="str">
        <f>HYPERLINK("https://nycdoe.sharepoint.com/:w:/s/BAP/EfkMShLrzOdMgwfY-FoERXgBNwACijrwk7d59zy43P2asg", "8 out of 10")</f>
        <v>8 out of 10</v>
      </c>
      <c r="M1003" t="s">
        <v>7261</v>
      </c>
    </row>
    <row r="1004" spans="2:13">
      <c r="B1004" s="55" t="s">
        <v>2314</v>
      </c>
      <c r="C1004" s="55" t="s">
        <v>2233</v>
      </c>
      <c r="D1004" s="55" t="s">
        <v>2588</v>
      </c>
      <c r="E1004" s="55" t="s">
        <v>2596</v>
      </c>
      <c r="F1004" s="55" t="s">
        <v>7264</v>
      </c>
      <c r="G1004" s="55" t="s">
        <v>7265</v>
      </c>
      <c r="H1004" s="55" t="s">
        <v>56</v>
      </c>
      <c r="I1004" s="55"/>
      <c r="J1004" s="55" t="s">
        <v>7260</v>
      </c>
      <c r="K1004" s="55" t="s">
        <v>20</v>
      </c>
      <c r="L1004" s="57" t="str">
        <f>HYPERLINK("https://nycdoe.sharepoint.com/:w:/s/BAP/EfkMShLrzOdMgwfY-FoERXgBNwACijrwk7d59zy43P2asg", "8 out of 10")</f>
        <v>8 out of 10</v>
      </c>
      <c r="M1004" t="s">
        <v>7261</v>
      </c>
    </row>
    <row r="1005" spans="2:13">
      <c r="B1005" s="55" t="s">
        <v>2314</v>
      </c>
      <c r="C1005" s="55" t="s">
        <v>2233</v>
      </c>
      <c r="D1005" s="55" t="s">
        <v>2588</v>
      </c>
      <c r="E1005" s="55" t="s">
        <v>2599</v>
      </c>
      <c r="F1005" s="55" t="s">
        <v>7266</v>
      </c>
      <c r="G1005" s="55" t="s">
        <v>7267</v>
      </c>
      <c r="H1005" s="55" t="s">
        <v>56</v>
      </c>
      <c r="I1005" s="55"/>
      <c r="J1005" s="55" t="s">
        <v>7260</v>
      </c>
      <c r="K1005" s="55" t="s">
        <v>20</v>
      </c>
      <c r="L1005" s="57" t="str">
        <f>HYPERLINK("https://nycdoe.sharepoint.com/:w:/s/BAP/EfkMShLrzOdMgwfY-FoERXgBNwACijrwk7d59zy43P2asg", "8 out of 10")</f>
        <v>8 out of 10</v>
      </c>
      <c r="M1005" t="s">
        <v>7261</v>
      </c>
    </row>
    <row r="1006" spans="2:13">
      <c r="B1006" s="55" t="s">
        <v>2314</v>
      </c>
      <c r="C1006" s="55" t="s">
        <v>2233</v>
      </c>
      <c r="D1006" s="55" t="s">
        <v>2605</v>
      </c>
      <c r="E1006" s="55" t="s">
        <v>2610</v>
      </c>
      <c r="F1006" s="55" t="s">
        <v>7268</v>
      </c>
      <c r="G1006" s="55" t="s">
        <v>7269</v>
      </c>
      <c r="H1006" s="55" t="s">
        <v>56</v>
      </c>
      <c r="I1006" s="55"/>
      <c r="J1006" s="55" t="s">
        <v>7270</v>
      </c>
      <c r="K1006" s="55" t="s">
        <v>20</v>
      </c>
      <c r="L1006" s="57" t="str">
        <f>HYPERLINK("https://nycdoe.sharepoint.com/:w:/s/BAP/EQF50cw7vk5KrRv03qQmW8UBLo-gXTdIz4F2N4T5OJGHhw", "8 out of 10")</f>
        <v>8 out of 10</v>
      </c>
      <c r="M1006" t="s">
        <v>7271</v>
      </c>
    </row>
    <row r="1007" spans="2:13">
      <c r="B1007" s="55" t="s">
        <v>2314</v>
      </c>
      <c r="C1007" s="55" t="s">
        <v>2233</v>
      </c>
      <c r="D1007" s="55" t="s">
        <v>2605</v>
      </c>
      <c r="E1007" s="55" t="s">
        <v>2333</v>
      </c>
      <c r="F1007" s="55" t="s">
        <v>7019</v>
      </c>
      <c r="G1007" s="55" t="s">
        <v>7020</v>
      </c>
      <c r="H1007" s="55" t="s">
        <v>84</v>
      </c>
      <c r="I1007" s="55"/>
      <c r="J1007" s="55" t="s">
        <v>7272</v>
      </c>
      <c r="K1007" s="55" t="s">
        <v>20</v>
      </c>
      <c r="L1007" s="57" t="str">
        <f>HYPERLINK("https://nycdoe.sharepoint.com/:w:/s/BAP/EQF50cw7vk5KrRv03qQmW8UBLo-gXTdIz4F2N4T5OJGHhw", "8 out of 10")</f>
        <v>8 out of 10</v>
      </c>
      <c r="M1007" t="s">
        <v>7271</v>
      </c>
    </row>
    <row r="1008" spans="2:13">
      <c r="B1008" s="55" t="s">
        <v>2314</v>
      </c>
      <c r="C1008" s="55" t="s">
        <v>2233</v>
      </c>
      <c r="D1008" s="55" t="s">
        <v>2613</v>
      </c>
      <c r="E1008" s="55" t="s">
        <v>2504</v>
      </c>
      <c r="F1008" s="55" t="s">
        <v>7012</v>
      </c>
      <c r="G1008" s="55" t="s">
        <v>2506</v>
      </c>
      <c r="H1008" s="55" t="s">
        <v>43</v>
      </c>
      <c r="I1008" s="55" t="s">
        <v>18</v>
      </c>
      <c r="J1008" s="55" t="s">
        <v>7273</v>
      </c>
      <c r="K1008" s="55" t="s">
        <v>20</v>
      </c>
      <c r="L1008" s="57" t="str">
        <f>HYPERLINK("https://nycdoe.sharepoint.com/:w:/s/BAP/EaZTl-sg-vRAkiuPWL6zcloBqXfiRVjj5E6fwrtD42E7PA", "6 out of 10")</f>
        <v>6 out of 10</v>
      </c>
      <c r="M1008" t="s">
        <v>7274</v>
      </c>
    </row>
    <row r="1009" spans="2:13">
      <c r="B1009" s="55" t="s">
        <v>2314</v>
      </c>
      <c r="C1009" s="55" t="s">
        <v>2233</v>
      </c>
      <c r="D1009" s="55" t="s">
        <v>2613</v>
      </c>
      <c r="E1009" s="55" t="s">
        <v>2615</v>
      </c>
      <c r="F1009" s="55" t="s">
        <v>7275</v>
      </c>
      <c r="G1009" s="55" t="s">
        <v>7276</v>
      </c>
      <c r="H1009" s="55" t="s">
        <v>84</v>
      </c>
      <c r="I1009" s="55"/>
      <c r="J1009" s="55" t="s">
        <v>7273</v>
      </c>
      <c r="K1009" s="55" t="s">
        <v>20</v>
      </c>
      <c r="L1009" s="57" t="str">
        <f>HYPERLINK("https://nycdoe.sharepoint.com/:w:/s/BAP/EaZTl-sg-vRAkiuPWL6zcloBqXfiRVjj5E6fwrtD42E7PA", "6 out of 10")</f>
        <v>6 out of 10</v>
      </c>
      <c r="M1009" t="s">
        <v>7274</v>
      </c>
    </row>
    <row r="1010" spans="2:13">
      <c r="B1010" s="55" t="s">
        <v>2314</v>
      </c>
      <c r="C1010" s="55" t="s">
        <v>2233</v>
      </c>
      <c r="D1010" s="55" t="s">
        <v>2618</v>
      </c>
      <c r="E1010" s="55" t="s">
        <v>2619</v>
      </c>
      <c r="F1010" s="55" t="s">
        <v>7277</v>
      </c>
      <c r="G1010" s="55" t="s">
        <v>7278</v>
      </c>
      <c r="H1010" s="55" t="s">
        <v>56</v>
      </c>
      <c r="I1010" s="55"/>
      <c r="J1010" s="55" t="s">
        <v>7279</v>
      </c>
      <c r="K1010" s="55" t="s">
        <v>20</v>
      </c>
      <c r="L1010" s="57" t="str">
        <f>HYPERLINK("https://nycdoe.sharepoint.com/:w:/s/BAP/ERY-QANGQCpPjG0XOHHIZqQB6XROXfUimHb0wDCDJYXfRw", "1 out of 10")</f>
        <v>1 out of 10</v>
      </c>
      <c r="M1010" t="s">
        <v>7280</v>
      </c>
    </row>
    <row r="1011" spans="2:13">
      <c r="B1011" s="55" t="s">
        <v>2314</v>
      </c>
      <c r="C1011" s="55" t="s">
        <v>2233</v>
      </c>
      <c r="D1011" s="55" t="s">
        <v>2623</v>
      </c>
      <c r="E1011" s="55" t="s">
        <v>2624</v>
      </c>
      <c r="F1011" s="55" t="s">
        <v>7281</v>
      </c>
      <c r="G1011" s="55" t="s">
        <v>7282</v>
      </c>
      <c r="H1011" s="55" t="s">
        <v>56</v>
      </c>
      <c r="I1011" s="55"/>
      <c r="J1011" s="55" t="s">
        <v>7283</v>
      </c>
      <c r="K1011" s="55" t="s">
        <v>62</v>
      </c>
      <c r="L1011" s="57" t="str">
        <f>HYPERLINK("https://nycdoe.sharepoint.com/:w:/s/BAP/EQHZenEtLChCsGssbAIgq6sBnXbgNMqAYEtZrzk-usLWCA", "9 out of 10")</f>
        <v>9 out of 10</v>
      </c>
      <c r="M1011" t="s">
        <v>7284</v>
      </c>
    </row>
    <row r="1012" spans="2:13">
      <c r="B1012" s="55" t="s">
        <v>2314</v>
      </c>
      <c r="C1012" s="55" t="s">
        <v>2233</v>
      </c>
      <c r="D1012" s="55" t="s">
        <v>2623</v>
      </c>
      <c r="E1012" s="55" t="s">
        <v>2437</v>
      </c>
      <c r="F1012" s="55" t="s">
        <v>7125</v>
      </c>
      <c r="G1012" s="55" t="s">
        <v>7126</v>
      </c>
      <c r="H1012" s="55" t="s">
        <v>56</v>
      </c>
      <c r="I1012" s="55"/>
      <c r="J1012" s="55" t="s">
        <v>7283</v>
      </c>
      <c r="K1012" s="55" t="s">
        <v>62</v>
      </c>
      <c r="L1012" s="57" t="str">
        <f>HYPERLINK("https://nycdoe.sharepoint.com/:w:/s/BAP/EQHZenEtLChCsGssbAIgq6sBnXbgNMqAYEtZrzk-usLWCA", "9 out of 10")</f>
        <v>9 out of 10</v>
      </c>
      <c r="M1012" t="s">
        <v>7284</v>
      </c>
    </row>
    <row r="1013" spans="2:13">
      <c r="B1013" s="55" t="s">
        <v>2314</v>
      </c>
      <c r="C1013" s="55" t="s">
        <v>2233</v>
      </c>
      <c r="D1013" s="55" t="s">
        <v>2628</v>
      </c>
      <c r="E1013" s="55" t="s">
        <v>2504</v>
      </c>
      <c r="F1013" s="55" t="s">
        <v>7012</v>
      </c>
      <c r="G1013" s="55" t="s">
        <v>2506</v>
      </c>
      <c r="H1013" s="55" t="s">
        <v>43</v>
      </c>
      <c r="I1013" s="55" t="s">
        <v>18</v>
      </c>
      <c r="J1013" s="55" t="s">
        <v>7285</v>
      </c>
      <c r="K1013" s="55" t="s">
        <v>62</v>
      </c>
      <c r="L1013" s="57" t="str">
        <f>HYPERLINK("https://nycdoe.sharepoint.com/:w:/s/BAP/EQGwaC1rIoJDgL-ct5WUYUcBbsfdVVYJhp6-qBcOTyHQ5A", "9 out of 10")</f>
        <v>9 out of 10</v>
      </c>
      <c r="M1013" t="s">
        <v>7286</v>
      </c>
    </row>
    <row r="1014" spans="2:13">
      <c r="B1014" s="55" t="s">
        <v>2314</v>
      </c>
      <c r="C1014" s="55" t="s">
        <v>2233</v>
      </c>
      <c r="D1014" s="55" t="s">
        <v>2628</v>
      </c>
      <c r="E1014" s="55" t="s">
        <v>2630</v>
      </c>
      <c r="F1014" s="55" t="s">
        <v>7287</v>
      </c>
      <c r="G1014" s="55" t="s">
        <v>7288</v>
      </c>
      <c r="H1014" s="55" t="s">
        <v>56</v>
      </c>
      <c r="I1014" s="55"/>
      <c r="J1014" s="55" t="s">
        <v>7285</v>
      </c>
      <c r="K1014" s="55" t="s">
        <v>62</v>
      </c>
      <c r="L1014" s="57" t="str">
        <f>HYPERLINK("https://nycdoe.sharepoint.com/:w:/s/BAP/EQGwaC1rIoJDgL-ct5WUYUcBbsfdVVYJhp6-qBcOTyHQ5A", "9 out of 10")</f>
        <v>9 out of 10</v>
      </c>
      <c r="M1014" t="s">
        <v>7286</v>
      </c>
    </row>
    <row r="1015" spans="2:13">
      <c r="B1015" s="55" t="s">
        <v>2314</v>
      </c>
      <c r="C1015" s="55" t="s">
        <v>2233</v>
      </c>
      <c r="D1015" s="55" t="s">
        <v>7289</v>
      </c>
      <c r="E1015" s="55" t="s">
        <v>4490</v>
      </c>
      <c r="F1015" s="55" t="s">
        <v>4491</v>
      </c>
      <c r="G1015" s="55" t="s">
        <v>4492</v>
      </c>
      <c r="H1015" s="55" t="s">
        <v>56</v>
      </c>
      <c r="I1015" s="55"/>
      <c r="J1015" s="55" t="s">
        <v>7290</v>
      </c>
      <c r="K1015" s="55" t="s">
        <v>62</v>
      </c>
      <c r="L1015" s="57" t="str">
        <f>HYPERLINK("https://nycdoe.sharepoint.com/:w:/s/BAP/EUDcW2rO0g5Bm1SMxOLS9I8BRx-Tky5dUKIfevPj4tS21Q", "9 out of 10")</f>
        <v>9 out of 10</v>
      </c>
      <c r="M1015" t="s">
        <v>7291</v>
      </c>
    </row>
    <row r="1016" spans="2:13">
      <c r="B1016" s="55" t="s">
        <v>2314</v>
      </c>
      <c r="C1016" s="55" t="s">
        <v>2233</v>
      </c>
      <c r="D1016" s="55" t="s">
        <v>2633</v>
      </c>
      <c r="E1016" s="55" t="s">
        <v>2634</v>
      </c>
      <c r="F1016" s="55" t="s">
        <v>7292</v>
      </c>
      <c r="G1016" s="55" t="s">
        <v>7293</v>
      </c>
      <c r="H1016" s="55" t="s">
        <v>56</v>
      </c>
      <c r="I1016" s="55"/>
      <c r="J1016" s="55" t="s">
        <v>7294</v>
      </c>
      <c r="K1016" s="55" t="s">
        <v>20</v>
      </c>
      <c r="L1016" s="57" t="str">
        <f>HYPERLINK("https://nycdoe.sharepoint.com/:w:/s/BAP/EcYznEmTMKhHqx_Tu4cWhrABDgFkFrFBKm13_pDoRmS4vw", "1 out of 10")</f>
        <v>1 out of 10</v>
      </c>
      <c r="M1016" t="s">
        <v>7295</v>
      </c>
    </row>
    <row r="1017" spans="2:13">
      <c r="B1017" s="55" t="s">
        <v>2314</v>
      </c>
      <c r="C1017" s="55" t="s">
        <v>2233</v>
      </c>
      <c r="D1017" s="55" t="s">
        <v>2638</v>
      </c>
      <c r="E1017" s="55" t="s">
        <v>2639</v>
      </c>
      <c r="F1017" s="55" t="s">
        <v>7296</v>
      </c>
      <c r="G1017" s="55" t="s">
        <v>7297</v>
      </c>
      <c r="H1017" s="55" t="s">
        <v>56</v>
      </c>
      <c r="I1017" s="55"/>
      <c r="J1017" s="55" t="s">
        <v>7298</v>
      </c>
      <c r="K1017" s="55" t="s">
        <v>20</v>
      </c>
      <c r="L1017" s="57" t="str">
        <f>HYPERLINK("https://nycdoe.sharepoint.com/:w:/s/BAP/ERz9JjDQ5DZNpmNA4VO91MQBAVQKKULHcBVTX0GTeGCo5Q", "8 out of 10")</f>
        <v>8 out of 10</v>
      </c>
      <c r="M1017" t="s">
        <v>7299</v>
      </c>
    </row>
    <row r="1018" spans="2:13">
      <c r="B1018" s="55" t="s">
        <v>2314</v>
      </c>
      <c r="C1018" s="55" t="s">
        <v>2233</v>
      </c>
      <c r="D1018" s="55" t="s">
        <v>2638</v>
      </c>
      <c r="E1018" s="55" t="s">
        <v>2643</v>
      </c>
      <c r="F1018" s="55" t="s">
        <v>7300</v>
      </c>
      <c r="G1018" s="55" t="s">
        <v>7301</v>
      </c>
      <c r="H1018" s="55" t="s">
        <v>56</v>
      </c>
      <c r="I1018" s="55"/>
      <c r="J1018" s="55" t="s">
        <v>7302</v>
      </c>
      <c r="K1018" s="55" t="s">
        <v>20</v>
      </c>
      <c r="L1018" s="57" t="str">
        <f>HYPERLINK("https://nycdoe.sharepoint.com/:w:/s/BAP/ERz9JjDQ5DZNpmNA4VO91MQBAVQKKULHcBVTX0GTeGCo5Q", "8 out of 10")</f>
        <v>8 out of 10</v>
      </c>
      <c r="M1018" t="s">
        <v>7299</v>
      </c>
    </row>
    <row r="1019" spans="2:13">
      <c r="B1019" s="55" t="s">
        <v>2314</v>
      </c>
      <c r="C1019" s="55" t="s">
        <v>2233</v>
      </c>
      <c r="D1019" s="55" t="s">
        <v>2638</v>
      </c>
      <c r="E1019" s="55" t="s">
        <v>4490</v>
      </c>
      <c r="F1019" s="55" t="s">
        <v>4491</v>
      </c>
      <c r="G1019" s="55" t="s">
        <v>4492</v>
      </c>
      <c r="H1019" s="55" t="s">
        <v>56</v>
      </c>
      <c r="I1019" s="55"/>
      <c r="J1019" s="55" t="s">
        <v>7302</v>
      </c>
      <c r="K1019" s="55" t="s">
        <v>20</v>
      </c>
      <c r="L1019" s="57" t="str">
        <f>HYPERLINK("https://nycdoe.sharepoint.com/:w:/s/BAP/ERz9JjDQ5DZNpmNA4VO91MQBAVQKKULHcBVTX0GTeGCo5Q", "8 out of 10")</f>
        <v>8 out of 10</v>
      </c>
      <c r="M1019" t="s">
        <v>7299</v>
      </c>
    </row>
    <row r="1020" spans="2:13">
      <c r="B1020" s="55" t="s">
        <v>2314</v>
      </c>
      <c r="C1020" s="55" t="s">
        <v>2233</v>
      </c>
      <c r="D1020" s="55" t="s">
        <v>7303</v>
      </c>
      <c r="E1020" s="55" t="s">
        <v>2400</v>
      </c>
      <c r="F1020" s="55" t="s">
        <v>7093</v>
      </c>
      <c r="G1020" s="55" t="s">
        <v>7094</v>
      </c>
      <c r="H1020" s="55" t="s">
        <v>17</v>
      </c>
      <c r="I1020" s="55"/>
      <c r="J1020" s="55" t="s">
        <v>7304</v>
      </c>
      <c r="K1020" s="55" t="s">
        <v>62</v>
      </c>
      <c r="L1020" s="57" t="str">
        <f>HYPERLINK("https://nycdoe.sharepoint.com/:w:/s/BAP/EWCDsTDotVNFnUa5WlyHUOsBPkC9oI1PawzougrK5OhFjg", "9 out of 10")</f>
        <v>9 out of 10</v>
      </c>
      <c r="M1020" t="s">
        <v>7305</v>
      </c>
    </row>
    <row r="1021" spans="2:13">
      <c r="B1021" s="55" t="s">
        <v>2314</v>
      </c>
      <c r="C1021" s="55" t="s">
        <v>2233</v>
      </c>
      <c r="D1021" s="55" t="s">
        <v>7306</v>
      </c>
      <c r="E1021" s="55" t="s">
        <v>2333</v>
      </c>
      <c r="F1021" s="55" t="s">
        <v>7019</v>
      </c>
      <c r="G1021" s="55" t="s">
        <v>7020</v>
      </c>
      <c r="H1021" s="55" t="s">
        <v>84</v>
      </c>
      <c r="I1021" s="55"/>
      <c r="J1021" s="55" t="s">
        <v>7307</v>
      </c>
      <c r="K1021" s="55" t="s">
        <v>62</v>
      </c>
      <c r="L1021" s="57" t="str">
        <f>HYPERLINK("https://nycdoe.sharepoint.com/:w:/s/BAP/EU5uvq6s5GpPrkp0u12guxoBMoagWOABki5-Blw5XjQMZA", "9 out of 10")</f>
        <v>9 out of 10</v>
      </c>
      <c r="M1021" t="s">
        <v>7308</v>
      </c>
    </row>
    <row r="1022" spans="2:13">
      <c r="B1022" s="55" t="s">
        <v>2314</v>
      </c>
      <c r="C1022" s="55" t="s">
        <v>2233</v>
      </c>
      <c r="D1022" s="55" t="s">
        <v>2646</v>
      </c>
      <c r="E1022" s="55" t="s">
        <v>2647</v>
      </c>
      <c r="F1022" s="55" t="s">
        <v>7309</v>
      </c>
      <c r="G1022" s="55" t="s">
        <v>7310</v>
      </c>
      <c r="H1022" s="55" t="s">
        <v>56</v>
      </c>
      <c r="I1022" s="55"/>
      <c r="J1022" s="55" t="s">
        <v>7311</v>
      </c>
      <c r="K1022" s="55" t="s">
        <v>62</v>
      </c>
      <c r="L1022" s="57" t="str">
        <f>HYPERLINK("https://nycdoe.sharepoint.com/:w:/s/BAP/EfY-QZTKtahFnIsLFaax-40BBoZQn9xqXYkCyhoACEYneg", "9 out of 10")</f>
        <v>9 out of 10</v>
      </c>
      <c r="M1022" t="s">
        <v>7312</v>
      </c>
    </row>
    <row r="1023" spans="2:13">
      <c r="B1023" s="55" t="s">
        <v>2314</v>
      </c>
      <c r="C1023" s="55" t="s">
        <v>2233</v>
      </c>
      <c r="D1023" s="55" t="s">
        <v>2651</v>
      </c>
      <c r="E1023" s="55" t="s">
        <v>2238</v>
      </c>
      <c r="F1023" s="55" t="s">
        <v>6912</v>
      </c>
      <c r="G1023" s="55" t="s">
        <v>2240</v>
      </c>
      <c r="H1023" s="55" t="s">
        <v>43</v>
      </c>
      <c r="I1023" s="55"/>
      <c r="J1023" s="55" t="s">
        <v>7313</v>
      </c>
      <c r="K1023" s="55" t="s">
        <v>62</v>
      </c>
      <c r="L1023" s="57" t="str">
        <f>HYPERLINK("https://nycdoe.sharepoint.com/:w:/s/BAP/Ef28dzH94pROs4gcZ4gWMr8B2heMffuyEr-HJCvU17N2sw", "9 out of 10")</f>
        <v>9 out of 10</v>
      </c>
      <c r="M1023" t="s">
        <v>7314</v>
      </c>
    </row>
    <row r="1024" spans="2:13">
      <c r="B1024" s="55" t="s">
        <v>2314</v>
      </c>
      <c r="C1024" s="55" t="s">
        <v>2233</v>
      </c>
      <c r="D1024" s="55" t="s">
        <v>2651</v>
      </c>
      <c r="E1024" s="55" t="s">
        <v>2653</v>
      </c>
      <c r="F1024" s="55" t="s">
        <v>7315</v>
      </c>
      <c r="G1024" s="55" t="s">
        <v>7316</v>
      </c>
      <c r="H1024" s="55" t="s">
        <v>84</v>
      </c>
      <c r="I1024" s="55"/>
      <c r="J1024" s="55" t="s">
        <v>7313</v>
      </c>
      <c r="K1024" s="55" t="s">
        <v>62</v>
      </c>
      <c r="L1024" s="57" t="str">
        <f>HYPERLINK("https://nycdoe.sharepoint.com/:w:/s/BAP/Ef28dzH94pROs4gcZ4gWMr8B2heMffuyEr-HJCvU17N2sw", "9 out of 10")</f>
        <v>9 out of 10</v>
      </c>
      <c r="M1024" t="s">
        <v>7314</v>
      </c>
    </row>
    <row r="1025" spans="2:13">
      <c r="B1025" s="55" t="s">
        <v>2314</v>
      </c>
      <c r="C1025" s="55" t="s">
        <v>2233</v>
      </c>
      <c r="D1025" s="55" t="s">
        <v>2656</v>
      </c>
      <c r="E1025" s="55" t="s">
        <v>2657</v>
      </c>
      <c r="F1025" s="55" t="s">
        <v>7317</v>
      </c>
      <c r="G1025" s="55" t="s">
        <v>7318</v>
      </c>
      <c r="H1025" s="55" t="s">
        <v>56</v>
      </c>
      <c r="I1025" s="55"/>
      <c r="J1025" s="55" t="s">
        <v>7319</v>
      </c>
      <c r="K1025" s="55" t="s">
        <v>62</v>
      </c>
      <c r="L1025" s="57" t="str">
        <f>HYPERLINK("https://nycdoe.sharepoint.com/:w:/s/BAP/ERTB5JllCVRKrywK2drf6KoBVqJms-UBJ73-DGgyDEK8lQ", "9 out of 10")</f>
        <v>9 out of 10</v>
      </c>
      <c r="M1025" t="s">
        <v>7320</v>
      </c>
    </row>
    <row r="1026" spans="2:13">
      <c r="B1026" s="55" t="s">
        <v>2314</v>
      </c>
      <c r="C1026" s="55" t="s">
        <v>2233</v>
      </c>
      <c r="D1026" s="55" t="s">
        <v>7321</v>
      </c>
      <c r="E1026" s="55" t="s">
        <v>2504</v>
      </c>
      <c r="F1026" s="55" t="s">
        <v>7012</v>
      </c>
      <c r="G1026" s="55" t="s">
        <v>2506</v>
      </c>
      <c r="H1026" s="55" t="s">
        <v>43</v>
      </c>
      <c r="I1026" s="55" t="s">
        <v>18</v>
      </c>
      <c r="J1026" s="55" t="s">
        <v>7322</v>
      </c>
      <c r="K1026" s="55" t="s">
        <v>20</v>
      </c>
      <c r="L1026" s="57" t="str">
        <f>HYPERLINK("https://nycdoe.sharepoint.com/:w:/s/BAP/EYwXVjQOcyJEg17s56eMPRAB_nuf-mP8_2T0hUoMicuYqg", "1 out of 10")</f>
        <v>1 out of 10</v>
      </c>
      <c r="M1026" t="s">
        <v>7323</v>
      </c>
    </row>
    <row r="1027" spans="2:13">
      <c r="B1027" s="55" t="s">
        <v>2314</v>
      </c>
      <c r="C1027" s="55" t="s">
        <v>2233</v>
      </c>
      <c r="D1027" s="55" t="s">
        <v>2661</v>
      </c>
      <c r="E1027" s="55" t="s">
        <v>2662</v>
      </c>
      <c r="F1027" s="55" t="s">
        <v>7324</v>
      </c>
      <c r="G1027" s="55" t="s">
        <v>7325</v>
      </c>
      <c r="H1027" s="55" t="s">
        <v>56</v>
      </c>
      <c r="I1027" s="55"/>
      <c r="J1027" s="55" t="s">
        <v>7326</v>
      </c>
      <c r="K1027" s="55" t="s">
        <v>62</v>
      </c>
      <c r="L1027" s="57" t="str">
        <f>HYPERLINK("https://nycdoe.sharepoint.com/:w:/s/BAP/EcJPkHod9gVIgU089B1Od0MBzJkbm0xPKxey5cIezAs3og", "10 out of 10")</f>
        <v>10 out of 10</v>
      </c>
      <c r="M1027" t="s">
        <v>7327</v>
      </c>
    </row>
    <row r="1028" spans="2:13">
      <c r="B1028" s="55" t="s">
        <v>2314</v>
      </c>
      <c r="C1028" s="55" t="s">
        <v>2233</v>
      </c>
      <c r="D1028" s="55" t="s">
        <v>7328</v>
      </c>
      <c r="E1028" s="55" t="s">
        <v>7329</v>
      </c>
      <c r="F1028" s="55" t="s">
        <v>7330</v>
      </c>
      <c r="G1028" s="55" t="s">
        <v>7331</v>
      </c>
      <c r="H1028" s="55" t="s">
        <v>56</v>
      </c>
      <c r="I1028" s="55"/>
      <c r="J1028" s="55" t="s">
        <v>7332</v>
      </c>
      <c r="K1028" s="55" t="s">
        <v>62</v>
      </c>
      <c r="L1028" s="57" t="str">
        <f>HYPERLINK("https://nycdoe.sharepoint.com/:w:/s/BAP/EYeE5-zlN7ZBsZu0UPl6roEBRC6WOaabTwfjZT3M1OhBug", "9 out of 10")</f>
        <v>9 out of 10</v>
      </c>
      <c r="M1028" t="s">
        <v>7333</v>
      </c>
    </row>
    <row r="1029" spans="2:13">
      <c r="B1029" s="55" t="s">
        <v>2314</v>
      </c>
      <c r="C1029" s="55" t="s">
        <v>2233</v>
      </c>
      <c r="D1029" s="55" t="s">
        <v>7328</v>
      </c>
      <c r="E1029" s="55" t="s">
        <v>2333</v>
      </c>
      <c r="F1029" s="55" t="s">
        <v>7019</v>
      </c>
      <c r="G1029" s="55" t="s">
        <v>7020</v>
      </c>
      <c r="H1029" s="55" t="s">
        <v>84</v>
      </c>
      <c r="I1029" s="55"/>
      <c r="J1029" s="55" t="s">
        <v>7332</v>
      </c>
      <c r="K1029" s="55" t="s">
        <v>62</v>
      </c>
      <c r="L1029" s="57" t="str">
        <f>HYPERLINK("https://nycdoe.sharepoint.com/:w:/s/BAP/EYeE5-zlN7ZBsZu0UPl6roEBRC6WOaabTwfjZT3M1OhBug", "9 out of 10")</f>
        <v>9 out of 10</v>
      </c>
      <c r="M1029" t="s">
        <v>7333</v>
      </c>
    </row>
    <row r="1030" spans="2:13">
      <c r="B1030" s="55" t="s">
        <v>2314</v>
      </c>
      <c r="C1030" s="55" t="s">
        <v>2233</v>
      </c>
      <c r="D1030" s="55" t="s">
        <v>2666</v>
      </c>
      <c r="E1030" s="55" t="s">
        <v>7334</v>
      </c>
      <c r="F1030" s="55" t="s">
        <v>7335</v>
      </c>
      <c r="G1030" s="55" t="s">
        <v>7336</v>
      </c>
      <c r="H1030" s="55" t="s">
        <v>56</v>
      </c>
      <c r="I1030" s="55"/>
      <c r="J1030" s="55" t="s">
        <v>7337</v>
      </c>
      <c r="K1030" s="55" t="s">
        <v>62</v>
      </c>
      <c r="L1030" s="57" t="str">
        <f>HYPERLINK("https://nycdoe.sharepoint.com/:w:/s/BAP/Ebxyvgqs42ZDlmbQumoXKO4BE5b_P_r3pVaSlYic1DQTpw", "9 out of 10")</f>
        <v>9 out of 10</v>
      </c>
      <c r="M1030" t="s">
        <v>7338</v>
      </c>
    </row>
    <row r="1031" spans="2:13">
      <c r="B1031" s="55" t="s">
        <v>2314</v>
      </c>
      <c r="C1031" s="55" t="s">
        <v>2233</v>
      </c>
      <c r="D1031" s="55" t="s">
        <v>2666</v>
      </c>
      <c r="E1031" s="55" t="s">
        <v>2667</v>
      </c>
      <c r="F1031" s="55" t="s">
        <v>7339</v>
      </c>
      <c r="G1031" s="55" t="s">
        <v>7340</v>
      </c>
      <c r="H1031" s="55" t="s">
        <v>56</v>
      </c>
      <c r="I1031" s="55"/>
      <c r="J1031" s="55" t="s">
        <v>7337</v>
      </c>
      <c r="K1031" s="55" t="s">
        <v>62</v>
      </c>
      <c r="L1031" s="57" t="str">
        <f>HYPERLINK("https://nycdoe.sharepoint.com/:w:/s/BAP/Ebxyvgqs42ZDlmbQumoXKO4BE5b_P_r3pVaSlYic1DQTpw", "9 out of 10")</f>
        <v>9 out of 10</v>
      </c>
      <c r="M1031" t="s">
        <v>7338</v>
      </c>
    </row>
    <row r="1032" spans="2:13">
      <c r="B1032" s="55" t="s">
        <v>2314</v>
      </c>
      <c r="C1032" s="55" t="s">
        <v>2233</v>
      </c>
      <c r="D1032" s="55" t="s">
        <v>2429</v>
      </c>
      <c r="E1032" s="55" t="s">
        <v>2671</v>
      </c>
      <c r="F1032" s="55" t="s">
        <v>7341</v>
      </c>
      <c r="G1032" s="55" t="s">
        <v>7342</v>
      </c>
      <c r="H1032" s="55" t="s">
        <v>56</v>
      </c>
      <c r="I1032" s="55"/>
      <c r="J1032" s="55" t="s">
        <v>7343</v>
      </c>
      <c r="K1032" s="55" t="s">
        <v>20</v>
      </c>
      <c r="L1032" s="57" t="str">
        <f>HYPERLINK("https://nycdoe.sharepoint.com/:w:/s/BAP/EdusnGs7a_BPkMeiFMUoYhgBpCUBcjbJE-2NI4lStbbcSw", "6 out of 10")</f>
        <v>6 out of 10</v>
      </c>
      <c r="M1032" t="s">
        <v>7344</v>
      </c>
    </row>
    <row r="1033" spans="2:13">
      <c r="B1033" s="55" t="s">
        <v>2314</v>
      </c>
      <c r="C1033" s="55" t="s">
        <v>2233</v>
      </c>
      <c r="D1033" s="55" t="s">
        <v>2675</v>
      </c>
      <c r="E1033" s="55" t="s">
        <v>2676</v>
      </c>
      <c r="F1033" s="55" t="s">
        <v>7345</v>
      </c>
      <c r="G1033" s="55" t="s">
        <v>2678</v>
      </c>
      <c r="H1033" s="55" t="s">
        <v>43</v>
      </c>
      <c r="I1033" s="55"/>
      <c r="J1033" s="55" t="s">
        <v>7346</v>
      </c>
      <c r="K1033" s="55" t="s">
        <v>62</v>
      </c>
      <c r="L1033" s="57" t="str">
        <f>HYPERLINK("https://nycdoe.sharepoint.com/:w:/s/BAP/ES-s0S3qCFtAqlNQ5L3sZjwBX-ous7XsvNaNehfcpt_8-g", "10 out of 10")</f>
        <v>10 out of 10</v>
      </c>
      <c r="M1033" t="s">
        <v>7347</v>
      </c>
    </row>
    <row r="1034" spans="2:13">
      <c r="B1034" s="55" t="s">
        <v>2314</v>
      </c>
      <c r="C1034" s="55" t="s">
        <v>2233</v>
      </c>
      <c r="D1034" s="55" t="s">
        <v>2675</v>
      </c>
      <c r="E1034" s="55" t="s">
        <v>2680</v>
      </c>
      <c r="F1034" s="55" t="s">
        <v>7348</v>
      </c>
      <c r="G1034" s="55" t="s">
        <v>7349</v>
      </c>
      <c r="H1034" s="55" t="s">
        <v>56</v>
      </c>
      <c r="I1034" s="55"/>
      <c r="J1034" s="55" t="s">
        <v>7346</v>
      </c>
      <c r="K1034" s="55" t="s">
        <v>62</v>
      </c>
      <c r="L1034" s="57" t="str">
        <f>HYPERLINK("https://nycdoe.sharepoint.com/:w:/s/BAP/ES-s0S3qCFtAqlNQ5L3sZjwBX-ous7XsvNaNehfcpt_8-g", "10 out of 10")</f>
        <v>10 out of 10</v>
      </c>
      <c r="M1034" t="s">
        <v>7347</v>
      </c>
    </row>
    <row r="1035" spans="2:13">
      <c r="B1035" s="55" t="s">
        <v>2314</v>
      </c>
      <c r="C1035" s="55" t="s">
        <v>2233</v>
      </c>
      <c r="D1035" s="55" t="s">
        <v>2683</v>
      </c>
      <c r="E1035" s="55" t="s">
        <v>2684</v>
      </c>
      <c r="F1035" s="55" t="s">
        <v>7350</v>
      </c>
      <c r="G1035" s="55" t="s">
        <v>7351</v>
      </c>
      <c r="H1035" s="55" t="s">
        <v>56</v>
      </c>
      <c r="I1035" s="55"/>
      <c r="J1035" s="55" t="s">
        <v>7352</v>
      </c>
      <c r="K1035" s="55" t="s">
        <v>20</v>
      </c>
      <c r="L1035" s="57" t="str">
        <f>HYPERLINK("https://nycdoe.sharepoint.com/:w:/s/BAP/EUGQJUPBZfRHp1kGTBRwQaUBc51Rw94dh6GWWv779CuXnQ", "8 out of 10")</f>
        <v>8 out of 10</v>
      </c>
      <c r="M1035" t="s">
        <v>7353</v>
      </c>
    </row>
    <row r="1036" spans="2:13">
      <c r="B1036" s="55" t="s">
        <v>2314</v>
      </c>
      <c r="C1036" s="55" t="s">
        <v>2233</v>
      </c>
      <c r="D1036" s="55" t="s">
        <v>2688</v>
      </c>
      <c r="E1036" s="55" t="s">
        <v>2238</v>
      </c>
      <c r="F1036" s="55" t="s">
        <v>6912</v>
      </c>
      <c r="G1036" s="55" t="s">
        <v>2240</v>
      </c>
      <c r="H1036" s="55" t="s">
        <v>43</v>
      </c>
      <c r="I1036" s="55"/>
      <c r="J1036" s="55" t="s">
        <v>7354</v>
      </c>
      <c r="K1036" s="55" t="s">
        <v>62</v>
      </c>
      <c r="L1036" s="57" t="str">
        <f>HYPERLINK("https://nycdoe.sharepoint.com/:w:/s/BAP/Eai2c0eLgeZMj1ELAqlnnDUBmfLYi3_CmzNymL2oV3g9Aw", "10 out of 10")</f>
        <v>10 out of 10</v>
      </c>
      <c r="M1036" t="s">
        <v>7355</v>
      </c>
    </row>
    <row r="1037" spans="2:13">
      <c r="B1037" s="55" t="s">
        <v>2314</v>
      </c>
      <c r="C1037" s="55" t="s">
        <v>2233</v>
      </c>
      <c r="D1037" s="55" t="s">
        <v>2688</v>
      </c>
      <c r="E1037" s="55" t="s">
        <v>2690</v>
      </c>
      <c r="F1037" s="55" t="s">
        <v>7356</v>
      </c>
      <c r="G1037" s="55" t="s">
        <v>7357</v>
      </c>
      <c r="H1037" s="55" t="s">
        <v>24</v>
      </c>
      <c r="I1037" s="55" t="s">
        <v>18</v>
      </c>
      <c r="J1037" s="55" t="s">
        <v>7354</v>
      </c>
      <c r="K1037" s="55" t="s">
        <v>62</v>
      </c>
      <c r="L1037" s="57" t="str">
        <f>HYPERLINK("https://nycdoe.sharepoint.com/:w:/s/BAP/Eai2c0eLgeZMj1ELAqlnnDUBmfLYi3_CmzNymL2oV3g9Aw", "10 out of 10")</f>
        <v>10 out of 10</v>
      </c>
      <c r="M1037" t="s">
        <v>7355</v>
      </c>
    </row>
    <row r="1038" spans="2:13">
      <c r="B1038" s="55" t="s">
        <v>2693</v>
      </c>
      <c r="C1038" s="55" t="s">
        <v>2233</v>
      </c>
      <c r="D1038" s="55" t="s">
        <v>2694</v>
      </c>
      <c r="E1038" s="55" t="s">
        <v>2694</v>
      </c>
      <c r="F1038" s="55" t="s">
        <v>7358</v>
      </c>
      <c r="G1038" s="55" t="s">
        <v>7359</v>
      </c>
      <c r="H1038" s="55" t="s">
        <v>17</v>
      </c>
      <c r="I1038" s="55" t="s">
        <v>18</v>
      </c>
      <c r="J1038" s="55" t="s">
        <v>7360</v>
      </c>
      <c r="K1038" s="55" t="s">
        <v>20</v>
      </c>
      <c r="L1038" s="57" t="str">
        <f>HYPERLINK("https://nycdoe.sharepoint.com/:w:/s/BAP/ES7rUr8uPoZIquftgzKmXFsBGg5XF_4vcC_5KiG6Hp5u8Q", "1 out of 10")</f>
        <v>1 out of 10</v>
      </c>
      <c r="M1038" t="s">
        <v>7361</v>
      </c>
    </row>
    <row r="1039" spans="2:13">
      <c r="B1039" s="55" t="s">
        <v>2693</v>
      </c>
      <c r="C1039" s="55" t="s">
        <v>2233</v>
      </c>
      <c r="D1039" s="55" t="s">
        <v>2694</v>
      </c>
      <c r="E1039" s="55" t="s">
        <v>2698</v>
      </c>
      <c r="F1039" s="55" t="s">
        <v>7362</v>
      </c>
      <c r="G1039" s="55" t="s">
        <v>7363</v>
      </c>
      <c r="H1039" s="55" t="s">
        <v>52</v>
      </c>
      <c r="I1039" s="55"/>
      <c r="J1039" s="55" t="s">
        <v>7360</v>
      </c>
      <c r="K1039" s="55" t="s">
        <v>20</v>
      </c>
      <c r="L1039" s="57" t="str">
        <f>HYPERLINK("https://nycdoe.sharepoint.com/:w:/s/BAP/ES7rUr8uPoZIquftgzKmXFsBGg5XF_4vcC_5KiG6Hp5u8Q", "1 out of 10")</f>
        <v>1 out of 10</v>
      </c>
      <c r="M1039" t="s">
        <v>7361</v>
      </c>
    </row>
    <row r="1040" spans="2:13">
      <c r="B1040" s="55" t="s">
        <v>2693</v>
      </c>
      <c r="C1040" s="55" t="s">
        <v>2233</v>
      </c>
      <c r="D1040" s="55" t="s">
        <v>2701</v>
      </c>
      <c r="E1040" s="55" t="s">
        <v>2702</v>
      </c>
      <c r="F1040" s="55" t="s">
        <v>7364</v>
      </c>
      <c r="G1040" s="55" t="s">
        <v>7365</v>
      </c>
      <c r="H1040" s="55" t="s">
        <v>52</v>
      </c>
      <c r="I1040" s="55"/>
      <c r="J1040" s="55" t="s">
        <v>7366</v>
      </c>
      <c r="K1040" s="55" t="s">
        <v>62</v>
      </c>
      <c r="L1040" s="57" t="str">
        <f>HYPERLINK("https://nycdoe.sharepoint.com/:w:/s/BAP/EVWnqe8duKtHu_mlfnmCyHEBjMAgwW3mhAeLk025Fv1kcg", "9 out of 10")</f>
        <v>9 out of 10</v>
      </c>
      <c r="M1040" t="s">
        <v>7367</v>
      </c>
    </row>
    <row r="1041" spans="2:13">
      <c r="B1041" s="55" t="s">
        <v>2693</v>
      </c>
      <c r="C1041" s="55" t="s">
        <v>2233</v>
      </c>
      <c r="D1041" s="55" t="s">
        <v>2701</v>
      </c>
      <c r="E1041" s="55" t="s">
        <v>2706</v>
      </c>
      <c r="F1041" s="55" t="s">
        <v>7368</v>
      </c>
      <c r="G1041" s="55" t="s">
        <v>7369</v>
      </c>
      <c r="H1041" s="55" t="s">
        <v>52</v>
      </c>
      <c r="I1041" s="55"/>
      <c r="J1041" s="55" t="s">
        <v>7366</v>
      </c>
      <c r="K1041" s="55" t="s">
        <v>62</v>
      </c>
      <c r="L1041" s="57" t="str">
        <f>HYPERLINK("https://nycdoe.sharepoint.com/:w:/s/BAP/EVWnqe8duKtHu_mlfnmCyHEBjMAgwW3mhAeLk025Fv1kcg", "9 out of 10")</f>
        <v>9 out of 10</v>
      </c>
      <c r="M1041" t="s">
        <v>7367</v>
      </c>
    </row>
    <row r="1042" spans="2:13">
      <c r="B1042" s="55" t="s">
        <v>2693</v>
      </c>
      <c r="C1042" s="55" t="s">
        <v>2233</v>
      </c>
      <c r="D1042" s="55" t="s">
        <v>2701</v>
      </c>
      <c r="E1042" s="55" t="s">
        <v>2709</v>
      </c>
      <c r="F1042" s="55" t="s">
        <v>7370</v>
      </c>
      <c r="G1042" s="55" t="s">
        <v>7371</v>
      </c>
      <c r="H1042" s="55" t="s">
        <v>24</v>
      </c>
      <c r="I1042" s="55"/>
      <c r="J1042" s="55" t="s">
        <v>7366</v>
      </c>
      <c r="K1042" s="55" t="s">
        <v>62</v>
      </c>
      <c r="L1042" s="57" t="str">
        <f>HYPERLINK("https://nycdoe.sharepoint.com/:w:/s/BAP/EVWnqe8duKtHu_mlfnmCyHEBjMAgwW3mhAeLk025Fv1kcg", "9 out of 10")</f>
        <v>9 out of 10</v>
      </c>
      <c r="M1042" t="s">
        <v>7367</v>
      </c>
    </row>
    <row r="1043" spans="2:13">
      <c r="B1043" s="55" t="s">
        <v>2693</v>
      </c>
      <c r="C1043" s="55" t="s">
        <v>2233</v>
      </c>
      <c r="D1043" s="55" t="s">
        <v>7372</v>
      </c>
      <c r="E1043" s="55" t="s">
        <v>7372</v>
      </c>
      <c r="F1043" s="55" t="s">
        <v>7373</v>
      </c>
      <c r="G1043" s="55" t="s">
        <v>7374</v>
      </c>
      <c r="H1043" s="55" t="s">
        <v>52</v>
      </c>
      <c r="I1043" s="55"/>
      <c r="J1043" s="55" t="s">
        <v>7375</v>
      </c>
      <c r="K1043" s="55" t="s">
        <v>20</v>
      </c>
      <c r="L1043" s="57" t="str">
        <f>HYPERLINK("https://nycdoe.sharepoint.com/:w:/s/BAP/ERQQa321O6hEogc65URgyR4BaXM0lCifAverinkg_Vqcpw", "1 out of 10")</f>
        <v>1 out of 10</v>
      </c>
      <c r="M1043" t="s">
        <v>7376</v>
      </c>
    </row>
    <row r="1044" spans="2:13">
      <c r="B1044" s="55" t="s">
        <v>2693</v>
      </c>
      <c r="C1044" s="55" t="s">
        <v>2233</v>
      </c>
      <c r="D1044" s="55" t="s">
        <v>2712</v>
      </c>
      <c r="E1044" s="55" t="s">
        <v>2712</v>
      </c>
      <c r="F1044" s="55" t="s">
        <v>7377</v>
      </c>
      <c r="G1044" s="55" t="s">
        <v>7378</v>
      </c>
      <c r="H1044" s="55" t="s">
        <v>17</v>
      </c>
      <c r="I1044" s="55"/>
      <c r="J1044" s="55" t="s">
        <v>7379</v>
      </c>
      <c r="K1044" s="55" t="s">
        <v>20</v>
      </c>
      <c r="L1044" s="57" t="str">
        <f>HYPERLINK("https://nycdoe.sharepoint.com/:w:/s/BAP/ESw5mMFMHCRKlLHrgtjHlo0B1NYZPPwwF_Q4oxEVLz4O8Q", "4 out of 10")</f>
        <v>4 out of 10</v>
      </c>
      <c r="M1044" t="s">
        <v>7380</v>
      </c>
    </row>
    <row r="1045" spans="2:13">
      <c r="B1045" s="55" t="s">
        <v>2693</v>
      </c>
      <c r="C1045" s="55" t="s">
        <v>2233</v>
      </c>
      <c r="D1045" s="55" t="s">
        <v>2719</v>
      </c>
      <c r="E1045" s="55" t="s">
        <v>2719</v>
      </c>
      <c r="F1045" s="55" t="s">
        <v>7381</v>
      </c>
      <c r="G1045" s="55" t="s">
        <v>7382</v>
      </c>
      <c r="H1045" s="55" t="s">
        <v>17</v>
      </c>
      <c r="I1045" s="55" t="s">
        <v>18</v>
      </c>
      <c r="J1045" s="55" t="s">
        <v>7383</v>
      </c>
      <c r="K1045" s="55" t="s">
        <v>20</v>
      </c>
      <c r="L1045" s="57" t="str">
        <f>HYPERLINK("https://nycdoe.sharepoint.com/:w:/s/BAP/ER79Wl8zFaJPv8csdNJTA60BlG1Ica8sZDH2vJDeMaa2Sw", "4 out of 10")</f>
        <v>4 out of 10</v>
      </c>
      <c r="M1045" t="s">
        <v>7384</v>
      </c>
    </row>
    <row r="1046" spans="2:13">
      <c r="B1046" s="55" t="s">
        <v>2693</v>
      </c>
      <c r="C1046" s="55" t="s">
        <v>2233</v>
      </c>
      <c r="D1046" s="55" t="s">
        <v>2723</v>
      </c>
      <c r="E1046" s="55" t="s">
        <v>2575</v>
      </c>
      <c r="F1046" s="55" t="s">
        <v>7248</v>
      </c>
      <c r="G1046" s="55" t="s">
        <v>7249</v>
      </c>
      <c r="H1046" s="55" t="s">
        <v>43</v>
      </c>
      <c r="I1046" s="55"/>
      <c r="J1046" s="55" t="s">
        <v>7385</v>
      </c>
      <c r="K1046" s="55" t="s">
        <v>62</v>
      </c>
      <c r="L1046" s="57" t="str">
        <f>HYPERLINK("https://nycdoe.sharepoint.com/:w:/s/BAP/EaZypAEBG4dNniMzvSqbOPQBDBrPtKz8azu9DNUvUVj1zQ", "9 out of 10")</f>
        <v>9 out of 10</v>
      </c>
      <c r="M1046" t="s">
        <v>7386</v>
      </c>
    </row>
    <row r="1047" spans="2:13">
      <c r="B1047" s="55" t="s">
        <v>2693</v>
      </c>
      <c r="C1047" s="55" t="s">
        <v>2233</v>
      </c>
      <c r="D1047" s="55" t="s">
        <v>2723</v>
      </c>
      <c r="E1047" s="55" t="s">
        <v>4564</v>
      </c>
      <c r="F1047" s="55" t="s">
        <v>4565</v>
      </c>
      <c r="G1047" s="55" t="s">
        <v>4566</v>
      </c>
      <c r="H1047" s="55" t="s">
        <v>52</v>
      </c>
      <c r="I1047" s="55"/>
      <c r="J1047" s="55" t="s">
        <v>7385</v>
      </c>
      <c r="K1047" s="55" t="s">
        <v>62</v>
      </c>
      <c r="L1047" s="57" t="str">
        <f>HYPERLINK("https://nycdoe.sharepoint.com/:w:/s/BAP/EaZypAEBG4dNniMzvSqbOPQBDBrPtKz8azu9DNUvUVj1zQ", "9 out of 10")</f>
        <v>9 out of 10</v>
      </c>
      <c r="M1047" t="s">
        <v>7386</v>
      </c>
    </row>
    <row r="1048" spans="2:13">
      <c r="B1048" s="55" t="s">
        <v>2693</v>
      </c>
      <c r="C1048" s="55" t="s">
        <v>2233</v>
      </c>
      <c r="D1048" s="55" t="s">
        <v>2723</v>
      </c>
      <c r="E1048" s="55" t="s">
        <v>2725</v>
      </c>
      <c r="F1048" s="55" t="s">
        <v>7387</v>
      </c>
      <c r="G1048" s="55" t="s">
        <v>7388</v>
      </c>
      <c r="H1048" s="55" t="s">
        <v>84</v>
      </c>
      <c r="I1048" s="55"/>
      <c r="J1048" s="55" t="s">
        <v>7385</v>
      </c>
      <c r="K1048" s="55" t="s">
        <v>62</v>
      </c>
      <c r="L1048" s="57" t="str">
        <f>HYPERLINK("https://nycdoe.sharepoint.com/:w:/s/BAP/EaZypAEBG4dNniMzvSqbOPQBDBrPtKz8azu9DNUvUVj1zQ", "9 out of 10")</f>
        <v>9 out of 10</v>
      </c>
      <c r="M1048" t="s">
        <v>7386</v>
      </c>
    </row>
    <row r="1049" spans="2:13">
      <c r="B1049" s="55" t="s">
        <v>2693</v>
      </c>
      <c r="C1049" s="55" t="s">
        <v>2233</v>
      </c>
      <c r="D1049" s="55" t="s">
        <v>2723</v>
      </c>
      <c r="E1049" s="55" t="s">
        <v>2728</v>
      </c>
      <c r="F1049" s="55" t="s">
        <v>7389</v>
      </c>
      <c r="G1049" s="55" t="s">
        <v>7390</v>
      </c>
      <c r="H1049" s="55" t="s">
        <v>84</v>
      </c>
      <c r="I1049" s="55"/>
      <c r="J1049" s="55" t="s">
        <v>7385</v>
      </c>
      <c r="K1049" s="55" t="s">
        <v>62</v>
      </c>
      <c r="L1049" s="57" t="str">
        <f>HYPERLINK("https://nycdoe.sharepoint.com/:w:/s/BAP/EaZypAEBG4dNniMzvSqbOPQBDBrPtKz8azu9DNUvUVj1zQ", "9 out of 10")</f>
        <v>9 out of 10</v>
      </c>
      <c r="M1049" t="s">
        <v>7386</v>
      </c>
    </row>
    <row r="1050" spans="2:13">
      <c r="B1050" s="55" t="s">
        <v>2693</v>
      </c>
      <c r="C1050" s="55" t="s">
        <v>2233</v>
      </c>
      <c r="D1050" s="55" t="s">
        <v>2731</v>
      </c>
      <c r="E1050" s="55" t="s">
        <v>2732</v>
      </c>
      <c r="F1050" s="55" t="s">
        <v>7391</v>
      </c>
      <c r="G1050" s="55" t="s">
        <v>7392</v>
      </c>
      <c r="H1050" s="55" t="s">
        <v>17</v>
      </c>
      <c r="I1050" s="55" t="s">
        <v>18</v>
      </c>
      <c r="J1050" s="55" t="s">
        <v>7393</v>
      </c>
      <c r="K1050" s="55" t="s">
        <v>20</v>
      </c>
      <c r="L1050" s="57" t="str">
        <f>HYPERLINK("https://nycdoe.sharepoint.com/:w:/s/BAP/EXyr8Bdoy6NPisRgB1mL-aMBozJmYtnmgu-V45yilJdfVg", "7 out of 10")</f>
        <v>7 out of 10</v>
      </c>
      <c r="M1050" t="s">
        <v>7394</v>
      </c>
    </row>
    <row r="1051" spans="2:13">
      <c r="B1051" s="55" t="s">
        <v>2693</v>
      </c>
      <c r="C1051" s="55" t="s">
        <v>2233</v>
      </c>
      <c r="D1051" s="55" t="s">
        <v>2731</v>
      </c>
      <c r="E1051" s="55" t="s">
        <v>2736</v>
      </c>
      <c r="F1051" s="55" t="s">
        <v>7395</v>
      </c>
      <c r="G1051" s="55" t="s">
        <v>7396</v>
      </c>
      <c r="H1051" s="55" t="s">
        <v>84</v>
      </c>
      <c r="I1051" s="55"/>
      <c r="J1051" s="55" t="s">
        <v>7393</v>
      </c>
      <c r="K1051" s="55" t="s">
        <v>20</v>
      </c>
      <c r="L1051" s="57" t="str">
        <f>HYPERLINK("https://nycdoe.sharepoint.com/:w:/s/BAP/EXyr8Bdoy6NPisRgB1mL-aMBozJmYtnmgu-V45yilJdfVg", "7 out of 10")</f>
        <v>7 out of 10</v>
      </c>
      <c r="M1051" t="s">
        <v>7394</v>
      </c>
    </row>
    <row r="1052" spans="2:13">
      <c r="B1052" s="55" t="s">
        <v>2693</v>
      </c>
      <c r="C1052" s="55" t="s">
        <v>2233</v>
      </c>
      <c r="D1052" s="55" t="s">
        <v>2731</v>
      </c>
      <c r="E1052" s="55" t="s">
        <v>2739</v>
      </c>
      <c r="F1052" s="55" t="s">
        <v>7397</v>
      </c>
      <c r="G1052" s="55" t="s">
        <v>7398</v>
      </c>
      <c r="H1052" s="55" t="s">
        <v>17</v>
      </c>
      <c r="I1052" s="55"/>
      <c r="J1052" s="55" t="s">
        <v>7393</v>
      </c>
      <c r="K1052" s="55" t="s">
        <v>20</v>
      </c>
      <c r="L1052" s="57" t="str">
        <f>HYPERLINK("https://nycdoe.sharepoint.com/:w:/s/BAP/EXyr8Bdoy6NPisRgB1mL-aMBozJmYtnmgu-V45yilJdfVg", "7 out of 10")</f>
        <v>7 out of 10</v>
      </c>
      <c r="M1052" t="s">
        <v>7394</v>
      </c>
    </row>
    <row r="1053" spans="2:13">
      <c r="B1053" s="55" t="s">
        <v>2693</v>
      </c>
      <c r="C1053" s="55" t="s">
        <v>2233</v>
      </c>
      <c r="D1053" s="55" t="s">
        <v>2742</v>
      </c>
      <c r="E1053" s="55" t="s">
        <v>2743</v>
      </c>
      <c r="F1053" s="55" t="s">
        <v>7399</v>
      </c>
      <c r="G1053" s="55" t="s">
        <v>7400</v>
      </c>
      <c r="H1053" s="55" t="s">
        <v>52</v>
      </c>
      <c r="I1053" s="55"/>
      <c r="J1053" s="55" t="s">
        <v>7401</v>
      </c>
      <c r="K1053" s="55" t="s">
        <v>62</v>
      </c>
      <c r="L1053" s="57" t="str">
        <f>HYPERLINK("https://nycdoe.sharepoint.com/:w:/s/BAP/Eb9hhE4y_JlLtQgLICKNA8YBcI56TUoHBJCpCnMcMAnrXw", "9 out of 10")</f>
        <v>9 out of 10</v>
      </c>
      <c r="M1053" t="s">
        <v>7402</v>
      </c>
    </row>
    <row r="1054" spans="2:13">
      <c r="B1054" s="55" t="s">
        <v>2693</v>
      </c>
      <c r="C1054" s="55" t="s">
        <v>2233</v>
      </c>
      <c r="D1054" s="55" t="s">
        <v>2742</v>
      </c>
      <c r="E1054" s="55" t="s">
        <v>2747</v>
      </c>
      <c r="F1054" s="55" t="s">
        <v>7403</v>
      </c>
      <c r="G1054" s="55" t="s">
        <v>7404</v>
      </c>
      <c r="H1054" s="55" t="s">
        <v>52</v>
      </c>
      <c r="I1054" s="55"/>
      <c r="J1054" s="55" t="s">
        <v>7401</v>
      </c>
      <c r="K1054" s="55" t="s">
        <v>62</v>
      </c>
      <c r="L1054" s="57" t="str">
        <f>HYPERLINK("https://nycdoe.sharepoint.com/:w:/s/BAP/Eb9hhE4y_JlLtQgLICKNA8YBcI56TUoHBJCpCnMcMAnrXw", "9 out of 10")</f>
        <v>9 out of 10</v>
      </c>
      <c r="M1054" t="s">
        <v>7402</v>
      </c>
    </row>
    <row r="1055" spans="2:13">
      <c r="B1055" s="55" t="s">
        <v>2693</v>
      </c>
      <c r="C1055" s="55" t="s">
        <v>2233</v>
      </c>
      <c r="D1055" s="55" t="s">
        <v>2742</v>
      </c>
      <c r="E1055" s="55" t="s">
        <v>2750</v>
      </c>
      <c r="F1055" s="55" t="s">
        <v>7405</v>
      </c>
      <c r="G1055" s="55" t="s">
        <v>7406</v>
      </c>
      <c r="H1055" s="55" t="s">
        <v>24</v>
      </c>
      <c r="I1055" s="55"/>
      <c r="J1055" s="55" t="s">
        <v>7401</v>
      </c>
      <c r="K1055" s="55" t="s">
        <v>62</v>
      </c>
      <c r="L1055" s="57" t="str">
        <f>HYPERLINK("https://nycdoe.sharepoint.com/:w:/s/BAP/Eb9hhE4y_JlLtQgLICKNA8YBcI56TUoHBJCpCnMcMAnrXw", "9 out of 10")</f>
        <v>9 out of 10</v>
      </c>
      <c r="M1055" t="s">
        <v>7402</v>
      </c>
    </row>
    <row r="1056" spans="2:13">
      <c r="B1056" s="55" t="s">
        <v>2693</v>
      </c>
      <c r="C1056" s="55" t="s">
        <v>2233</v>
      </c>
      <c r="D1056" s="55" t="s">
        <v>2753</v>
      </c>
      <c r="E1056" s="55" t="s">
        <v>2754</v>
      </c>
      <c r="F1056" s="55" t="s">
        <v>7407</v>
      </c>
      <c r="G1056" s="55" t="s">
        <v>7408</v>
      </c>
      <c r="H1056" s="55" t="s">
        <v>17</v>
      </c>
      <c r="I1056" s="55" t="s">
        <v>18</v>
      </c>
      <c r="J1056" s="55" t="s">
        <v>7409</v>
      </c>
      <c r="K1056" s="55" t="s">
        <v>20</v>
      </c>
      <c r="L1056" s="57" t="str">
        <f>HYPERLINK("https://nycdoe.sharepoint.com/:w:/s/BAP/ESe0Ruk3GqJBm9Y-tqQsRAYB3hsC73pKQjna6yZ4TBAZ2g", "1 out of 10")</f>
        <v>1 out of 10</v>
      </c>
      <c r="M1056" t="s">
        <v>7410</v>
      </c>
    </row>
    <row r="1057" spans="2:13">
      <c r="B1057" s="55" t="s">
        <v>2693</v>
      </c>
      <c r="C1057" s="55" t="s">
        <v>2233</v>
      </c>
      <c r="D1057" s="55" t="s">
        <v>2753</v>
      </c>
      <c r="E1057" s="55" t="s">
        <v>2758</v>
      </c>
      <c r="F1057" s="55" t="s">
        <v>7411</v>
      </c>
      <c r="G1057" s="55" t="s">
        <v>7412</v>
      </c>
      <c r="H1057" s="55" t="s">
        <v>24</v>
      </c>
      <c r="I1057" s="55"/>
      <c r="J1057" s="55" t="s">
        <v>7409</v>
      </c>
      <c r="K1057" s="55" t="s">
        <v>20</v>
      </c>
      <c r="L1057" s="57" t="str">
        <f>HYPERLINK("https://nycdoe.sharepoint.com/:w:/s/BAP/ESe0Ruk3GqJBm9Y-tqQsRAYB3hsC73pKQjna6yZ4TBAZ2g", "1 out of 10")</f>
        <v>1 out of 10</v>
      </c>
      <c r="M1057" t="s">
        <v>7410</v>
      </c>
    </row>
    <row r="1058" spans="2:13">
      <c r="B1058" s="55" t="s">
        <v>2693</v>
      </c>
      <c r="C1058" s="55" t="s">
        <v>2233</v>
      </c>
      <c r="D1058" s="55" t="s">
        <v>2761</v>
      </c>
      <c r="E1058" s="55" t="s">
        <v>2761</v>
      </c>
      <c r="F1058" s="55" t="s">
        <v>7413</v>
      </c>
      <c r="G1058" s="55" t="s">
        <v>7414</v>
      </c>
      <c r="H1058" s="55" t="s">
        <v>17</v>
      </c>
      <c r="I1058" s="55" t="s">
        <v>18</v>
      </c>
      <c r="J1058" s="55" t="s">
        <v>7415</v>
      </c>
      <c r="K1058" s="55" t="s">
        <v>20</v>
      </c>
      <c r="L1058" s="57" t="str">
        <f>HYPERLINK("https://nycdoe.sharepoint.com/:w:/s/BAP/ERGCZRcgzJJMu7QFI0C2xw0BlsTn_gDRE_OljnnGJtNH1A", "4 out of 10")</f>
        <v>4 out of 10</v>
      </c>
      <c r="M1058" t="s">
        <v>7416</v>
      </c>
    </row>
    <row r="1059" spans="2:13">
      <c r="B1059" s="55" t="s">
        <v>2693</v>
      </c>
      <c r="C1059" s="55" t="s">
        <v>2233</v>
      </c>
      <c r="D1059" s="55" t="s">
        <v>2768</v>
      </c>
      <c r="E1059" s="55" t="s">
        <v>2768</v>
      </c>
      <c r="F1059" s="55" t="s">
        <v>7417</v>
      </c>
      <c r="G1059" s="55" t="s">
        <v>7418</v>
      </c>
      <c r="H1059" s="55" t="s">
        <v>24</v>
      </c>
      <c r="I1059" s="55" t="s">
        <v>18</v>
      </c>
      <c r="J1059" s="55" t="s">
        <v>7419</v>
      </c>
      <c r="K1059" s="55" t="s">
        <v>20</v>
      </c>
      <c r="L1059" s="57" t="str">
        <f>HYPERLINK("https://nycdoe.sharepoint.com/:w:/s/BAP/EcbKHXpvAJxNqSk6XjrimR8BqEiB7qlyEz18RiYt2oZ9jA", "3 out of 10")</f>
        <v>3 out of 10</v>
      </c>
      <c r="M1059" t="s">
        <v>7420</v>
      </c>
    </row>
    <row r="1060" spans="2:13">
      <c r="B1060" s="55" t="s">
        <v>2693</v>
      </c>
      <c r="C1060" s="55" t="s">
        <v>2233</v>
      </c>
      <c r="D1060" s="55" t="s">
        <v>2768</v>
      </c>
      <c r="E1060" s="55" t="s">
        <v>2575</v>
      </c>
      <c r="F1060" s="55" t="s">
        <v>7248</v>
      </c>
      <c r="G1060" s="55" t="s">
        <v>7249</v>
      </c>
      <c r="H1060" s="55" t="s">
        <v>43</v>
      </c>
      <c r="I1060" s="55"/>
      <c r="J1060" s="55" t="s">
        <v>7419</v>
      </c>
      <c r="K1060" s="55" t="s">
        <v>20</v>
      </c>
      <c r="L1060" s="57" t="str">
        <f>HYPERLINK("https://nycdoe.sharepoint.com/:w:/s/BAP/EcbKHXpvAJxNqSk6XjrimR8BqEiB7qlyEz18RiYt2oZ9jA", "3 out of 10")</f>
        <v>3 out of 10</v>
      </c>
      <c r="M1060" t="s">
        <v>7420</v>
      </c>
    </row>
    <row r="1061" spans="2:13">
      <c r="B1061" s="55" t="s">
        <v>2693</v>
      </c>
      <c r="C1061" s="55" t="s">
        <v>2233</v>
      </c>
      <c r="D1061" s="55" t="s">
        <v>2768</v>
      </c>
      <c r="E1061" s="55" t="s">
        <v>2772</v>
      </c>
      <c r="F1061" s="55" t="s">
        <v>7421</v>
      </c>
      <c r="G1061" s="55" t="s">
        <v>7422</v>
      </c>
      <c r="H1061" s="55" t="s">
        <v>24</v>
      </c>
      <c r="I1061" s="55" t="s">
        <v>18</v>
      </c>
      <c r="J1061" s="55" t="s">
        <v>7419</v>
      </c>
      <c r="K1061" s="55" t="s">
        <v>20</v>
      </c>
      <c r="L1061" s="57" t="str">
        <f>HYPERLINK("https://nycdoe.sharepoint.com/:w:/s/BAP/EcbKHXpvAJxNqSk6XjrimR8BqEiB7qlyEz18RiYt2oZ9jA", "3 out of 10")</f>
        <v>3 out of 10</v>
      </c>
      <c r="M1061" t="s">
        <v>7420</v>
      </c>
    </row>
    <row r="1062" spans="2:13">
      <c r="B1062" s="55" t="s">
        <v>2693</v>
      </c>
      <c r="C1062" s="55" t="s">
        <v>2233</v>
      </c>
      <c r="D1062" s="55" t="s">
        <v>2775</v>
      </c>
      <c r="E1062" s="55" t="s">
        <v>2775</v>
      </c>
      <c r="F1062" s="55" t="s">
        <v>7423</v>
      </c>
      <c r="G1062" s="55" t="s">
        <v>7424</v>
      </c>
      <c r="H1062" s="55" t="s">
        <v>17</v>
      </c>
      <c r="I1062" s="55" t="s">
        <v>18</v>
      </c>
      <c r="J1062" s="55" t="s">
        <v>7425</v>
      </c>
      <c r="K1062" s="55" t="s">
        <v>20</v>
      </c>
      <c r="L1062" s="57" t="str">
        <f>HYPERLINK("https://nycdoe.sharepoint.com/:w:/s/BAP/ER9ZgodPenNChneTGOQVVmQB6nua9P-n_HXBhAzGSw4U9g", "4 out of 10")</f>
        <v>4 out of 10</v>
      </c>
      <c r="M1062" t="s">
        <v>7426</v>
      </c>
    </row>
    <row r="1063" spans="2:13">
      <c r="B1063" s="55" t="s">
        <v>2693</v>
      </c>
      <c r="C1063" s="55" t="s">
        <v>2233</v>
      </c>
      <c r="D1063" s="55" t="s">
        <v>2779</v>
      </c>
      <c r="E1063" s="55" t="s">
        <v>2779</v>
      </c>
      <c r="F1063" s="55" t="s">
        <v>7427</v>
      </c>
      <c r="G1063" s="55" t="s">
        <v>7428</v>
      </c>
      <c r="H1063" s="55" t="s">
        <v>17</v>
      </c>
      <c r="I1063" s="55" t="s">
        <v>18</v>
      </c>
      <c r="J1063" s="55" t="s">
        <v>7429</v>
      </c>
      <c r="K1063" s="55" t="s">
        <v>20</v>
      </c>
      <c r="L1063" s="57" t="str">
        <f>HYPERLINK("https://nycdoe.sharepoint.com/:w:/s/BAP/EZNK322lw9xAqYoocahAjp4B6bpw-ZQKJcYymJ7CTH6ofQ", "2 out of 10")</f>
        <v>2 out of 10</v>
      </c>
      <c r="M1063" t="s">
        <v>7430</v>
      </c>
    </row>
    <row r="1064" spans="2:13">
      <c r="B1064" s="55" t="s">
        <v>2693</v>
      </c>
      <c r="C1064" s="55" t="s">
        <v>2233</v>
      </c>
      <c r="D1064" s="55" t="s">
        <v>2786</v>
      </c>
      <c r="E1064" s="55" t="s">
        <v>2786</v>
      </c>
      <c r="F1064" s="55" t="s">
        <v>7431</v>
      </c>
      <c r="G1064" s="55" t="s">
        <v>7432</v>
      </c>
      <c r="H1064" s="55" t="s">
        <v>17</v>
      </c>
      <c r="I1064" s="55"/>
      <c r="J1064" s="55" t="s">
        <v>7433</v>
      </c>
      <c r="K1064" s="55" t="s">
        <v>62</v>
      </c>
      <c r="L1064" s="57" t="str">
        <f>HYPERLINK("https://nycdoe.sharepoint.com/:w:/s/BAP/EQmoDazO8s1KuVHAxqVq_YEBKUOVYtCj1srcytO_f191yg", "9 out of 10")</f>
        <v>9 out of 10</v>
      </c>
      <c r="M1064" t="s">
        <v>7434</v>
      </c>
    </row>
    <row r="1065" spans="2:13">
      <c r="B1065" s="55" t="s">
        <v>2693</v>
      </c>
      <c r="C1065" s="55" t="s">
        <v>2233</v>
      </c>
      <c r="D1065" s="55" t="s">
        <v>2790</v>
      </c>
      <c r="E1065" s="55" t="s">
        <v>2790</v>
      </c>
      <c r="F1065" s="55" t="s">
        <v>7435</v>
      </c>
      <c r="G1065" s="55" t="s">
        <v>7436</v>
      </c>
      <c r="H1065" s="55" t="s">
        <v>24</v>
      </c>
      <c r="I1065" s="55" t="s">
        <v>18</v>
      </c>
      <c r="J1065" s="55" t="s">
        <v>7437</v>
      </c>
      <c r="K1065" s="55" t="s">
        <v>20</v>
      </c>
      <c r="L1065" s="57" t="str">
        <f>HYPERLINK("https://nycdoe.sharepoint.com/:w:/s/BAP/EViY2KOc26hBl3PDTy0MJBMBZLFSx9r6e7ioJsXNFRVwwA", "4 out of 10")</f>
        <v>4 out of 10</v>
      </c>
      <c r="M1065" t="s">
        <v>7438</v>
      </c>
    </row>
    <row r="1066" spans="2:13">
      <c r="B1066" s="55" t="s">
        <v>2693</v>
      </c>
      <c r="C1066" s="55" t="s">
        <v>2233</v>
      </c>
      <c r="D1066" s="55" t="s">
        <v>2790</v>
      </c>
      <c r="E1066" s="55" t="s">
        <v>2504</v>
      </c>
      <c r="F1066" s="55" t="s">
        <v>7012</v>
      </c>
      <c r="G1066" s="55" t="s">
        <v>2506</v>
      </c>
      <c r="H1066" s="55" t="s">
        <v>43</v>
      </c>
      <c r="I1066" s="55" t="s">
        <v>18</v>
      </c>
      <c r="J1066" s="55" t="s">
        <v>7437</v>
      </c>
      <c r="K1066" s="55" t="s">
        <v>20</v>
      </c>
      <c r="L1066" s="57" t="str">
        <f>HYPERLINK("https://nycdoe.sharepoint.com/:w:/s/BAP/EViY2KOc26hBl3PDTy0MJBMBZLFSx9r6e7ioJsXNFRVwwA", "4 out of 10")</f>
        <v>4 out of 10</v>
      </c>
      <c r="M1066" t="s">
        <v>7438</v>
      </c>
    </row>
    <row r="1067" spans="2:13">
      <c r="B1067" s="55" t="s">
        <v>2693</v>
      </c>
      <c r="C1067" s="55" t="s">
        <v>2233</v>
      </c>
      <c r="D1067" s="55" t="s">
        <v>2794</v>
      </c>
      <c r="E1067" s="55" t="s">
        <v>2795</v>
      </c>
      <c r="F1067" s="55" t="s">
        <v>7439</v>
      </c>
      <c r="G1067" s="55" t="s">
        <v>2797</v>
      </c>
      <c r="H1067" s="55" t="s">
        <v>17</v>
      </c>
      <c r="I1067" s="55" t="s">
        <v>18</v>
      </c>
      <c r="J1067" s="55" t="s">
        <v>7440</v>
      </c>
      <c r="K1067" s="55" t="s">
        <v>20</v>
      </c>
      <c r="L1067" s="57" t="str">
        <f>HYPERLINK("https://nycdoe.sharepoint.com/:w:/s/BAP/EY57qSTaWBpKmYOMT3S1l_MBP-EnyRjFsWs3hKk8XUcajw", "4 out of 10")</f>
        <v>4 out of 10</v>
      </c>
      <c r="M1067" t="s">
        <v>7441</v>
      </c>
    </row>
    <row r="1068" spans="2:13">
      <c r="B1068" s="55" t="s">
        <v>2693</v>
      </c>
      <c r="C1068" s="55" t="s">
        <v>2233</v>
      </c>
      <c r="D1068" s="55" t="s">
        <v>2799</v>
      </c>
      <c r="E1068" s="55" t="s">
        <v>2799</v>
      </c>
      <c r="F1068" s="55" t="s">
        <v>7442</v>
      </c>
      <c r="G1068" s="55" t="s">
        <v>7443</v>
      </c>
      <c r="H1068" s="55" t="s">
        <v>17</v>
      </c>
      <c r="I1068" s="55"/>
      <c r="J1068" s="55" t="s">
        <v>7444</v>
      </c>
      <c r="K1068" s="55" t="s">
        <v>20</v>
      </c>
      <c r="L1068" s="57" t="str">
        <f>HYPERLINK("https://nycdoe.sharepoint.com/:w:/s/BAP/EbnmrNWnxi9Khbbqz76tvskBtRZSt752aBtoUtNdtowj2A", "6 out of 10")</f>
        <v>6 out of 10</v>
      </c>
      <c r="M1068" t="s">
        <v>7445</v>
      </c>
    </row>
    <row r="1069" spans="2:13">
      <c r="B1069" s="55" t="s">
        <v>2693</v>
      </c>
      <c r="C1069" s="55" t="s">
        <v>2233</v>
      </c>
      <c r="D1069" s="55" t="s">
        <v>2803</v>
      </c>
      <c r="E1069" s="55" t="s">
        <v>2768</v>
      </c>
      <c r="F1069" s="55" t="s">
        <v>7417</v>
      </c>
      <c r="G1069" s="55" t="s">
        <v>7418</v>
      </c>
      <c r="H1069" s="55" t="s">
        <v>24</v>
      </c>
      <c r="I1069" s="55" t="s">
        <v>18</v>
      </c>
      <c r="J1069" s="55" t="s">
        <v>7446</v>
      </c>
      <c r="K1069" s="55" t="s">
        <v>20</v>
      </c>
      <c r="L1069" s="57" t="str">
        <f>HYPERLINK("https://nycdoe.sharepoint.com/:w:/s/BAP/EYvA6QcLeSpFv06CWjl8hiUBoBA9sVqvdTFeUe_myIoABw", "3 out of 10")</f>
        <v>3 out of 10</v>
      </c>
      <c r="M1069" t="s">
        <v>7447</v>
      </c>
    </row>
    <row r="1070" spans="2:13">
      <c r="B1070" s="55" t="s">
        <v>2693</v>
      </c>
      <c r="C1070" s="55" t="s">
        <v>2233</v>
      </c>
      <c r="D1070" s="55" t="s">
        <v>2805</v>
      </c>
      <c r="E1070" s="55" t="s">
        <v>2794</v>
      </c>
      <c r="F1070" s="55" t="s">
        <v>7448</v>
      </c>
      <c r="G1070" s="55" t="s">
        <v>7449</v>
      </c>
      <c r="H1070" s="55" t="s">
        <v>24</v>
      </c>
      <c r="I1070" s="55" t="s">
        <v>18</v>
      </c>
      <c r="J1070" s="55" t="s">
        <v>7450</v>
      </c>
      <c r="K1070" s="55" t="s">
        <v>62</v>
      </c>
      <c r="L1070" s="57" t="str">
        <f>HYPERLINK("https://nycdoe.sharepoint.com/:w:/s/BAP/EXzqHVJVAyJFiNG4H1IEw-UBJN6bk52Y9u2b-fLu7UslBA", "10 out of 10")</f>
        <v>10 out of 10</v>
      </c>
      <c r="M1070" t="s">
        <v>7451</v>
      </c>
    </row>
    <row r="1071" spans="2:13">
      <c r="B1071" s="55" t="s">
        <v>2693</v>
      </c>
      <c r="C1071" s="55" t="s">
        <v>2233</v>
      </c>
      <c r="D1071" s="55" t="s">
        <v>2809</v>
      </c>
      <c r="E1071" s="55" t="s">
        <v>2810</v>
      </c>
      <c r="F1071" s="55" t="s">
        <v>7452</v>
      </c>
      <c r="G1071" s="55" t="s">
        <v>7453</v>
      </c>
      <c r="H1071" s="55" t="s">
        <v>56</v>
      </c>
      <c r="I1071" s="55"/>
      <c r="J1071" s="55" t="s">
        <v>7454</v>
      </c>
      <c r="K1071" s="55" t="s">
        <v>62</v>
      </c>
      <c r="L1071" s="57" t="str">
        <f>HYPERLINK("https://nycdoe.sharepoint.com/:w:/s/BAP/EYylwdWVzZRBmOwGLQXQI5QBdRbk9Uyn7JSB57uV_dUtvg", "9 out of 10")</f>
        <v>9 out of 10</v>
      </c>
      <c r="M1071" t="s">
        <v>7455</v>
      </c>
    </row>
    <row r="1072" spans="2:13">
      <c r="B1072" s="55" t="s">
        <v>2693</v>
      </c>
      <c r="C1072" s="55" t="s">
        <v>2233</v>
      </c>
      <c r="D1072" s="55" t="s">
        <v>2809</v>
      </c>
      <c r="E1072" s="55" t="s">
        <v>2814</v>
      </c>
      <c r="F1072" s="55" t="s">
        <v>7456</v>
      </c>
      <c r="G1072" s="55" t="s">
        <v>7457</v>
      </c>
      <c r="H1072" s="55" t="s">
        <v>56</v>
      </c>
      <c r="I1072" s="55"/>
      <c r="J1072" s="55" t="s">
        <v>7454</v>
      </c>
      <c r="K1072" s="55" t="s">
        <v>62</v>
      </c>
      <c r="L1072" s="57" t="str">
        <f>HYPERLINK("https://nycdoe.sharepoint.com/:w:/s/BAP/EYylwdWVzZRBmOwGLQXQI5QBdRbk9Uyn7JSB57uV_dUtvg", "9 out of 10")</f>
        <v>9 out of 10</v>
      </c>
      <c r="M1072" t="s">
        <v>7455</v>
      </c>
    </row>
    <row r="1073" spans="2:13">
      <c r="B1073" s="55" t="s">
        <v>2693</v>
      </c>
      <c r="C1073" s="55" t="s">
        <v>2233</v>
      </c>
      <c r="D1073" s="55" t="s">
        <v>2809</v>
      </c>
      <c r="E1073" s="55" t="s">
        <v>2817</v>
      </c>
      <c r="F1073" s="55" t="s">
        <v>7458</v>
      </c>
      <c r="G1073" s="55" t="s">
        <v>7459</v>
      </c>
      <c r="H1073" s="55" t="s">
        <v>56</v>
      </c>
      <c r="I1073" s="55"/>
      <c r="J1073" s="55" t="s">
        <v>7454</v>
      </c>
      <c r="K1073" s="55" t="s">
        <v>62</v>
      </c>
      <c r="L1073" s="57" t="str">
        <f>HYPERLINK("https://nycdoe.sharepoint.com/:w:/s/BAP/EYylwdWVzZRBmOwGLQXQI5QBdRbk9Uyn7JSB57uV_dUtvg", "9 out of 10")</f>
        <v>9 out of 10</v>
      </c>
      <c r="M1073" t="s">
        <v>7455</v>
      </c>
    </row>
    <row r="1074" spans="2:13">
      <c r="B1074" s="55" t="s">
        <v>2693</v>
      </c>
      <c r="C1074" s="55" t="s">
        <v>2233</v>
      </c>
      <c r="D1074" s="55" t="s">
        <v>2809</v>
      </c>
      <c r="E1074" s="55" t="s">
        <v>2820</v>
      </c>
      <c r="F1074" s="55" t="s">
        <v>7460</v>
      </c>
      <c r="G1074" s="55" t="s">
        <v>7461</v>
      </c>
      <c r="H1074" s="55" t="s">
        <v>56</v>
      </c>
      <c r="I1074" s="55"/>
      <c r="J1074" s="55" t="s">
        <v>7454</v>
      </c>
      <c r="K1074" s="55" t="s">
        <v>62</v>
      </c>
      <c r="L1074" s="57" t="str">
        <f>HYPERLINK("https://nycdoe.sharepoint.com/:w:/s/BAP/EYylwdWVzZRBmOwGLQXQI5QBdRbk9Uyn7JSB57uV_dUtvg", "9 out of 10")</f>
        <v>9 out of 10</v>
      </c>
      <c r="M1074" t="s">
        <v>7455</v>
      </c>
    </row>
    <row r="1075" spans="2:13">
      <c r="B1075" s="55" t="s">
        <v>2693</v>
      </c>
      <c r="C1075" s="55" t="s">
        <v>2233</v>
      </c>
      <c r="D1075" s="55" t="s">
        <v>2809</v>
      </c>
      <c r="E1075" s="55" t="s">
        <v>2602</v>
      </c>
      <c r="F1075" s="55" t="s">
        <v>7462</v>
      </c>
      <c r="G1075" s="55" t="s">
        <v>7463</v>
      </c>
      <c r="H1075" s="55" t="s">
        <v>24</v>
      </c>
      <c r="I1075" s="55"/>
      <c r="J1075" s="55" t="s">
        <v>7454</v>
      </c>
      <c r="K1075" s="55" t="s">
        <v>62</v>
      </c>
      <c r="L1075" s="57" t="str">
        <f>HYPERLINK("https://nycdoe.sharepoint.com/:w:/s/BAP/EYylwdWVzZRBmOwGLQXQI5QBdRbk9Uyn7JSB57uV_dUtvg", "9 out of 10")</f>
        <v>9 out of 10</v>
      </c>
      <c r="M1075" t="s">
        <v>7455</v>
      </c>
    </row>
    <row r="1076" spans="2:13">
      <c r="B1076" s="55" t="s">
        <v>2693</v>
      </c>
      <c r="C1076" s="55" t="s">
        <v>2233</v>
      </c>
      <c r="D1076" s="55" t="s">
        <v>2823</v>
      </c>
      <c r="E1076" s="55" t="s">
        <v>2823</v>
      </c>
      <c r="F1076" s="55" t="s">
        <v>7464</v>
      </c>
      <c r="G1076" s="55" t="s">
        <v>7465</v>
      </c>
      <c r="H1076" s="55" t="s">
        <v>56</v>
      </c>
      <c r="I1076" s="55"/>
      <c r="J1076" s="55" t="s">
        <v>7466</v>
      </c>
      <c r="K1076" s="55" t="s">
        <v>62</v>
      </c>
      <c r="L1076" s="57" t="str">
        <f>HYPERLINK("https://nycdoe.sharepoint.com/:w:/s/BAP/EV_gUrEwXg9AjySjLTyS3nMB8HaozPzjUxgsacOcviKEKQ", "9 out of 10")</f>
        <v>9 out of 10</v>
      </c>
      <c r="M1076" t="s">
        <v>7467</v>
      </c>
    </row>
    <row r="1077" spans="2:13">
      <c r="B1077" s="55" t="s">
        <v>2693</v>
      </c>
      <c r="C1077" s="55" t="s">
        <v>2233</v>
      </c>
      <c r="D1077" s="55" t="s">
        <v>2827</v>
      </c>
      <c r="E1077" s="55" t="s">
        <v>2832</v>
      </c>
      <c r="F1077" s="55" t="s">
        <v>7468</v>
      </c>
      <c r="G1077" s="55" t="s">
        <v>7469</v>
      </c>
      <c r="H1077" s="55" t="s">
        <v>56</v>
      </c>
      <c r="I1077" s="55"/>
      <c r="J1077" s="55" t="s">
        <v>7470</v>
      </c>
      <c r="K1077" s="55" t="s">
        <v>20</v>
      </c>
      <c r="L1077" s="57" t="str">
        <f>HYPERLINK("https://nycdoe.sharepoint.com/:w:/s/BAP/ETbYk3FdqY9Ctu4P4T2BeFEBWU2swvs2NtpUu_YmB5aB1g", "8 out of 10")</f>
        <v>8 out of 10</v>
      </c>
      <c r="M1077" t="s">
        <v>7471</v>
      </c>
    </row>
    <row r="1078" spans="2:13">
      <c r="B1078" s="55" t="s">
        <v>2693</v>
      </c>
      <c r="C1078" s="55" t="s">
        <v>2233</v>
      </c>
      <c r="D1078" s="55" t="s">
        <v>2827</v>
      </c>
      <c r="E1078" s="55" t="s">
        <v>2835</v>
      </c>
      <c r="F1078" s="55" t="s">
        <v>7472</v>
      </c>
      <c r="G1078" s="55" t="s">
        <v>7473</v>
      </c>
      <c r="H1078" s="55" t="s">
        <v>56</v>
      </c>
      <c r="I1078" s="55"/>
      <c r="J1078" s="55" t="s">
        <v>7470</v>
      </c>
      <c r="K1078" s="55" t="s">
        <v>20</v>
      </c>
      <c r="L1078" s="57" t="str">
        <f>HYPERLINK("https://nycdoe.sharepoint.com/:w:/s/BAP/ETbYk3FdqY9Ctu4P4T2BeFEBWU2swvs2NtpUu_YmB5aB1g", "8 out of 10")</f>
        <v>8 out of 10</v>
      </c>
      <c r="M1078" t="s">
        <v>7471</v>
      </c>
    </row>
    <row r="1079" spans="2:13">
      <c r="B1079" s="55" t="s">
        <v>2693</v>
      </c>
      <c r="C1079" s="55" t="s">
        <v>2233</v>
      </c>
      <c r="D1079" s="55" t="s">
        <v>2827</v>
      </c>
      <c r="E1079" s="55" t="s">
        <v>2838</v>
      </c>
      <c r="F1079" s="55" t="s">
        <v>7474</v>
      </c>
      <c r="G1079" s="55" t="s">
        <v>7475</v>
      </c>
      <c r="H1079" s="55" t="s">
        <v>56</v>
      </c>
      <c r="I1079" s="55"/>
      <c r="J1079" s="55" t="s">
        <v>7470</v>
      </c>
      <c r="K1079" s="55" t="s">
        <v>20</v>
      </c>
      <c r="L1079" s="57" t="str">
        <f>HYPERLINK("https://nycdoe.sharepoint.com/:w:/s/BAP/ETbYk3FdqY9Ctu4P4T2BeFEBWU2swvs2NtpUu_YmB5aB1g", "8 out of 10")</f>
        <v>8 out of 10</v>
      </c>
      <c r="M1079" t="s">
        <v>7471</v>
      </c>
    </row>
    <row r="1080" spans="2:13">
      <c r="B1080" s="55" t="s">
        <v>2693</v>
      </c>
      <c r="C1080" s="55" t="s">
        <v>2233</v>
      </c>
      <c r="D1080" s="55" t="s">
        <v>2827</v>
      </c>
      <c r="E1080" s="55" t="s">
        <v>2841</v>
      </c>
      <c r="F1080" s="55" t="s">
        <v>7476</v>
      </c>
      <c r="G1080" s="55" t="s">
        <v>7477</v>
      </c>
      <c r="H1080" s="55" t="s">
        <v>56</v>
      </c>
      <c r="I1080" s="55"/>
      <c r="J1080" s="55" t="s">
        <v>7470</v>
      </c>
      <c r="K1080" s="55" t="s">
        <v>20</v>
      </c>
      <c r="L1080" s="57" t="str">
        <f>HYPERLINK("https://nycdoe.sharepoint.com/:w:/s/BAP/ETbYk3FdqY9Ctu4P4T2BeFEBWU2swvs2NtpUu_YmB5aB1g", "8 out of 10")</f>
        <v>8 out of 10</v>
      </c>
      <c r="M1080" t="s">
        <v>7471</v>
      </c>
    </row>
    <row r="1081" spans="2:13">
      <c r="B1081" s="55" t="s">
        <v>2693</v>
      </c>
      <c r="C1081" s="55" t="s">
        <v>2233</v>
      </c>
      <c r="D1081" s="55" t="s">
        <v>2827</v>
      </c>
      <c r="E1081" s="55" t="s">
        <v>2844</v>
      </c>
      <c r="F1081" s="55" t="s">
        <v>7478</v>
      </c>
      <c r="G1081" s="55" t="s">
        <v>7479</v>
      </c>
      <c r="H1081" s="55" t="s">
        <v>43</v>
      </c>
      <c r="I1081" s="55"/>
      <c r="J1081" s="55" t="s">
        <v>7470</v>
      </c>
      <c r="K1081" s="55" t="s">
        <v>20</v>
      </c>
      <c r="L1081" s="57" t="str">
        <f>HYPERLINK("https://nycdoe.sharepoint.com/:w:/s/BAP/ETbYk3FdqY9Ctu4P4T2BeFEBWU2swvs2NtpUu_YmB5aB1g", "8 out of 10")</f>
        <v>8 out of 10</v>
      </c>
      <c r="M1081" t="s">
        <v>7471</v>
      </c>
    </row>
    <row r="1082" spans="2:13">
      <c r="B1082" s="55" t="s">
        <v>2693</v>
      </c>
      <c r="C1082" s="55" t="s">
        <v>2233</v>
      </c>
      <c r="D1082" s="55" t="s">
        <v>2847</v>
      </c>
      <c r="E1082" s="55" t="s">
        <v>2922</v>
      </c>
      <c r="F1082" s="55" t="s">
        <v>7480</v>
      </c>
      <c r="G1082" s="55" t="s">
        <v>7481</v>
      </c>
      <c r="H1082" s="55" t="s">
        <v>84</v>
      </c>
      <c r="I1082" s="55"/>
      <c r="J1082" s="55" t="s">
        <v>7482</v>
      </c>
      <c r="K1082" s="55" t="s">
        <v>62</v>
      </c>
      <c r="L1082" s="57" t="str">
        <f>HYPERLINK("https://nycdoe.sharepoint.com/:w:/s/BAP/EXR7jVIHh3ZKum4j-FPumvMBTKKHXD1JVk4Ta_wPERXeoQ", "10 out of 10")</f>
        <v>10 out of 10</v>
      </c>
      <c r="M1082" t="s">
        <v>7483</v>
      </c>
    </row>
    <row r="1083" spans="2:13">
      <c r="B1083" s="55" t="s">
        <v>2693</v>
      </c>
      <c r="C1083" s="55" t="s">
        <v>2233</v>
      </c>
      <c r="D1083" s="55" t="s">
        <v>2847</v>
      </c>
      <c r="E1083" s="55" t="s">
        <v>4490</v>
      </c>
      <c r="F1083" s="55" t="s">
        <v>4491</v>
      </c>
      <c r="G1083" s="55" t="s">
        <v>4492</v>
      </c>
      <c r="H1083" s="55" t="s">
        <v>56</v>
      </c>
      <c r="I1083" s="55"/>
      <c r="J1083" s="55" t="s">
        <v>7482</v>
      </c>
      <c r="K1083" s="55" t="s">
        <v>62</v>
      </c>
      <c r="L1083" s="57" t="str">
        <f>HYPERLINK("https://nycdoe.sharepoint.com/:w:/s/BAP/EXR7jVIHh3ZKum4j-FPumvMBTKKHXD1JVk4Ta_wPERXeoQ", "10 out of 10")</f>
        <v>10 out of 10</v>
      </c>
      <c r="M1083" t="s">
        <v>7483</v>
      </c>
    </row>
    <row r="1084" spans="2:13">
      <c r="B1084" s="55" t="s">
        <v>2693</v>
      </c>
      <c r="C1084" s="55" t="s">
        <v>2233</v>
      </c>
      <c r="D1084" s="55" t="s">
        <v>2852</v>
      </c>
      <c r="E1084" s="55" t="s">
        <v>2853</v>
      </c>
      <c r="F1084" s="55" t="s">
        <v>7484</v>
      </c>
      <c r="G1084" s="55" t="s">
        <v>7485</v>
      </c>
      <c r="H1084" s="55" t="s">
        <v>84</v>
      </c>
      <c r="I1084" s="55"/>
      <c r="J1084" s="55" t="s">
        <v>7486</v>
      </c>
      <c r="K1084" s="55" t="s">
        <v>62</v>
      </c>
      <c r="L1084" s="57" t="str">
        <f>HYPERLINK("https://nycdoe.sharepoint.com/:w:/s/BAP/Ebn1GTr4gjFOr-hWqK9ofwoBgo2L6k5Ty4rxorcl_tTTpw", "10 out of 10")</f>
        <v>10 out of 10</v>
      </c>
      <c r="M1084" t="s">
        <v>7487</v>
      </c>
    </row>
    <row r="1085" spans="2:13">
      <c r="B1085" s="55" t="s">
        <v>2693</v>
      </c>
      <c r="C1085" s="55" t="s">
        <v>2233</v>
      </c>
      <c r="D1085" s="55" t="s">
        <v>2857</v>
      </c>
      <c r="E1085" s="55" t="s">
        <v>2772</v>
      </c>
      <c r="F1085" s="55" t="s">
        <v>7421</v>
      </c>
      <c r="G1085" s="55" t="s">
        <v>7422</v>
      </c>
      <c r="H1085" s="55" t="s">
        <v>24</v>
      </c>
      <c r="I1085" s="55" t="s">
        <v>18</v>
      </c>
      <c r="J1085" s="55" t="s">
        <v>7488</v>
      </c>
      <c r="K1085" s="55" t="s">
        <v>62</v>
      </c>
      <c r="L1085" s="57" t="str">
        <f>HYPERLINK("https://nycdoe.sharepoint.com/:w:/s/BAP/EdGKCG8Z2mBGrFtkl-uA9i8B5Jm3dMCVMq8t1zi8OlekUg", "9 out of 10")</f>
        <v>9 out of 10</v>
      </c>
      <c r="M1085" t="s">
        <v>7489</v>
      </c>
    </row>
    <row r="1086" spans="2:13">
      <c r="B1086" s="55" t="s">
        <v>2693</v>
      </c>
      <c r="C1086" s="55" t="s">
        <v>2233</v>
      </c>
      <c r="D1086" s="55" t="s">
        <v>2859</v>
      </c>
      <c r="E1086" s="55" t="s">
        <v>2844</v>
      </c>
      <c r="F1086" s="55" t="s">
        <v>7478</v>
      </c>
      <c r="G1086" s="55" t="s">
        <v>7479</v>
      </c>
      <c r="H1086" s="55" t="s">
        <v>43</v>
      </c>
      <c r="I1086" s="55"/>
      <c r="J1086" s="55" t="s">
        <v>7490</v>
      </c>
      <c r="K1086" s="55" t="s">
        <v>20</v>
      </c>
      <c r="L1086" s="57" t="str">
        <f>HYPERLINK("https://nycdoe.sharepoint.com/:w:/s/BAP/EVisNvos1TlBtR_qnASSWZMBu0G-3cAlKf8Y8kuMHn21rg", "6 out of 10")</f>
        <v>6 out of 10</v>
      </c>
      <c r="M1086" t="s">
        <v>7491</v>
      </c>
    </row>
    <row r="1087" spans="2:13">
      <c r="B1087" s="55" t="s">
        <v>2861</v>
      </c>
      <c r="C1087" s="55" t="s">
        <v>2233</v>
      </c>
      <c r="D1087" s="55" t="s">
        <v>2862</v>
      </c>
      <c r="E1087" s="55" t="s">
        <v>2862</v>
      </c>
      <c r="F1087" s="55" t="s">
        <v>7492</v>
      </c>
      <c r="G1087" s="55" t="s">
        <v>7493</v>
      </c>
      <c r="H1087" s="55" t="s">
        <v>24</v>
      </c>
      <c r="I1087" s="55" t="s">
        <v>18</v>
      </c>
      <c r="J1087" s="55" t="s">
        <v>7494</v>
      </c>
      <c r="K1087" s="55" t="s">
        <v>62</v>
      </c>
      <c r="L1087" s="57" t="str">
        <f>HYPERLINK("https://nycdoe.sharepoint.com/:w:/s/BAP/EebgCp1LD8lEkyJQdco30ckBlxzVqOLQSSWV2MKoIlrZOA", "9 out of 10")</f>
        <v>9 out of 10</v>
      </c>
      <c r="M1087" t="s">
        <v>7495</v>
      </c>
    </row>
    <row r="1088" spans="2:13">
      <c r="B1088" s="55" t="s">
        <v>2861</v>
      </c>
      <c r="C1088" s="55" t="s">
        <v>2233</v>
      </c>
      <c r="D1088" s="55" t="s">
        <v>7496</v>
      </c>
      <c r="E1088" s="55" t="s">
        <v>7497</v>
      </c>
      <c r="F1088" s="55" t="s">
        <v>7498</v>
      </c>
      <c r="G1088" s="55" t="s">
        <v>7499</v>
      </c>
      <c r="H1088" s="55" t="s">
        <v>24</v>
      </c>
      <c r="I1088" s="55" t="s">
        <v>18</v>
      </c>
      <c r="J1088" s="55" t="s">
        <v>7500</v>
      </c>
      <c r="K1088" s="55" t="s">
        <v>20</v>
      </c>
      <c r="L1088" s="57" t="str">
        <f>HYPERLINK("https://nycdoe.sharepoint.com/:w:/s/BAP/EQKLydvyZgtLu2Shpu_mO_4ByzSQBZXBs6KwauqZqmf9gA", "1 out of 10")</f>
        <v>1 out of 10</v>
      </c>
      <c r="M1088" t="s">
        <v>7501</v>
      </c>
    </row>
    <row r="1089" spans="2:13">
      <c r="B1089" s="55" t="s">
        <v>2861</v>
      </c>
      <c r="C1089" s="55" t="s">
        <v>2233</v>
      </c>
      <c r="D1089" s="55" t="s">
        <v>7496</v>
      </c>
      <c r="E1089" s="55" t="s">
        <v>7502</v>
      </c>
      <c r="F1089" s="55" t="s">
        <v>7503</v>
      </c>
      <c r="G1089" s="55" t="s">
        <v>7504</v>
      </c>
      <c r="H1089" s="55" t="s">
        <v>17</v>
      </c>
      <c r="I1089" s="55" t="s">
        <v>18</v>
      </c>
      <c r="J1089" s="55" t="s">
        <v>7500</v>
      </c>
      <c r="K1089" s="55" t="s">
        <v>20</v>
      </c>
      <c r="L1089" s="57" t="str">
        <f>HYPERLINK("https://nycdoe.sharepoint.com/:w:/s/BAP/EQKLydvyZgtLu2Shpu_mO_4ByzSQBZXBs6KwauqZqmf9gA", "1 out of 10")</f>
        <v>1 out of 10</v>
      </c>
      <c r="M1089" t="s">
        <v>7501</v>
      </c>
    </row>
    <row r="1090" spans="2:13">
      <c r="B1090" s="55" t="s">
        <v>2861</v>
      </c>
      <c r="C1090" s="55" t="s">
        <v>2233</v>
      </c>
      <c r="D1090" s="55" t="s">
        <v>7496</v>
      </c>
      <c r="E1090" s="55" t="s">
        <v>7505</v>
      </c>
      <c r="F1090" s="55" t="s">
        <v>7506</v>
      </c>
      <c r="G1090" s="55" t="s">
        <v>7507</v>
      </c>
      <c r="H1090" s="55" t="s">
        <v>56</v>
      </c>
      <c r="I1090" s="55"/>
      <c r="J1090" s="55" t="s">
        <v>7500</v>
      </c>
      <c r="K1090" s="55" t="s">
        <v>20</v>
      </c>
      <c r="L1090" s="57" t="str">
        <f>HYPERLINK("https://nycdoe.sharepoint.com/:w:/s/BAP/EQKLydvyZgtLu2Shpu_mO_4ByzSQBZXBs6KwauqZqmf9gA", "1 out of 10")</f>
        <v>1 out of 10</v>
      </c>
      <c r="M1090" t="s">
        <v>7501</v>
      </c>
    </row>
    <row r="1091" spans="2:13">
      <c r="B1091" s="55" t="s">
        <v>2861</v>
      </c>
      <c r="C1091" s="55" t="s">
        <v>2233</v>
      </c>
      <c r="D1091" s="55" t="s">
        <v>2866</v>
      </c>
      <c r="E1091" s="55" t="s">
        <v>2867</v>
      </c>
      <c r="F1091" s="55" t="s">
        <v>7508</v>
      </c>
      <c r="G1091" s="55" t="s">
        <v>7509</v>
      </c>
      <c r="H1091" s="55" t="s">
        <v>995</v>
      </c>
      <c r="I1091" s="55"/>
      <c r="J1091" s="55" t="s">
        <v>7510</v>
      </c>
      <c r="K1091" s="55" t="s">
        <v>20</v>
      </c>
      <c r="L1091" s="57" t="str">
        <f>HYPERLINK("https://nycdoe.sharepoint.com/:w:/s/BAP/EV8XVYP-3KhEg5WEsqj-LzAB4zrco5eM_UeIK2pQspuTmg", "5 out of 10")</f>
        <v>5 out of 10</v>
      </c>
      <c r="M1091" t="s">
        <v>7511</v>
      </c>
    </row>
    <row r="1092" spans="2:13">
      <c r="B1092" s="55" t="s">
        <v>2861</v>
      </c>
      <c r="C1092" s="55" t="s">
        <v>2233</v>
      </c>
      <c r="D1092" s="55" t="s">
        <v>2866</v>
      </c>
      <c r="E1092" s="55" t="s">
        <v>2871</v>
      </c>
      <c r="F1092" s="55" t="s">
        <v>7512</v>
      </c>
      <c r="G1092" s="55" t="s">
        <v>7513</v>
      </c>
      <c r="H1092" s="55" t="s">
        <v>43</v>
      </c>
      <c r="I1092" s="55" t="s">
        <v>18</v>
      </c>
      <c r="J1092" s="55" t="s">
        <v>7510</v>
      </c>
      <c r="K1092" s="55" t="s">
        <v>20</v>
      </c>
      <c r="L1092" s="57" t="str">
        <f>HYPERLINK("https://nycdoe.sharepoint.com/:w:/s/BAP/EV8XVYP-3KhEg5WEsqj-LzAB4zrco5eM_UeIK2pQspuTmg", "5 out of 10")</f>
        <v>5 out of 10</v>
      </c>
      <c r="M1092" t="s">
        <v>7511</v>
      </c>
    </row>
    <row r="1093" spans="2:13">
      <c r="B1093" s="55" t="s">
        <v>2861</v>
      </c>
      <c r="C1093" s="55" t="s">
        <v>2233</v>
      </c>
      <c r="D1093" s="55" t="s">
        <v>2866</v>
      </c>
      <c r="E1093" s="55" t="s">
        <v>2874</v>
      </c>
      <c r="F1093" s="55" t="s">
        <v>7514</v>
      </c>
      <c r="G1093" s="55" t="s">
        <v>7515</v>
      </c>
      <c r="H1093" s="55" t="s">
        <v>24</v>
      </c>
      <c r="I1093" s="55" t="s">
        <v>18</v>
      </c>
      <c r="J1093" s="55" t="s">
        <v>7510</v>
      </c>
      <c r="K1093" s="55" t="s">
        <v>20</v>
      </c>
      <c r="L1093" s="57" t="str">
        <f>HYPERLINK("https://nycdoe.sharepoint.com/:w:/s/BAP/EV8XVYP-3KhEg5WEsqj-LzAB4zrco5eM_UeIK2pQspuTmg", "5 out of 10")</f>
        <v>5 out of 10</v>
      </c>
      <c r="M1093" t="s">
        <v>7511</v>
      </c>
    </row>
    <row r="1094" spans="2:13">
      <c r="B1094" s="55" t="s">
        <v>2861</v>
      </c>
      <c r="C1094" s="55" t="s">
        <v>2233</v>
      </c>
      <c r="D1094" s="55" t="s">
        <v>7516</v>
      </c>
      <c r="E1094" s="55" t="s">
        <v>7516</v>
      </c>
      <c r="F1094" s="55" t="s">
        <v>7517</v>
      </c>
      <c r="G1094" s="55" t="s">
        <v>7518</v>
      </c>
      <c r="H1094" s="55" t="s">
        <v>24</v>
      </c>
      <c r="I1094" s="55" t="s">
        <v>18</v>
      </c>
      <c r="J1094" s="55" t="s">
        <v>7519</v>
      </c>
      <c r="K1094" s="55" t="s">
        <v>20</v>
      </c>
      <c r="L1094" s="57" t="str">
        <f>HYPERLINK("https://nycdoe.sharepoint.com/:w:/s/BAP/EbuWziSaZ8NPkBLTj6zhG4gBtXtYspMZtnI7YI3h6NW3tw", "2 out of 10")</f>
        <v>2 out of 10</v>
      </c>
      <c r="M1094" t="s">
        <v>7520</v>
      </c>
    </row>
    <row r="1095" spans="2:13">
      <c r="B1095" s="55" t="s">
        <v>2861</v>
      </c>
      <c r="C1095" s="55" t="s">
        <v>2233</v>
      </c>
      <c r="D1095" s="55" t="s">
        <v>2877</v>
      </c>
      <c r="E1095" s="55" t="s">
        <v>2877</v>
      </c>
      <c r="F1095" s="55" t="s">
        <v>7521</v>
      </c>
      <c r="G1095" s="55" t="s">
        <v>7522</v>
      </c>
      <c r="H1095" s="55" t="s">
        <v>17</v>
      </c>
      <c r="I1095" s="55" t="s">
        <v>18</v>
      </c>
      <c r="J1095" s="55" t="s">
        <v>7523</v>
      </c>
      <c r="K1095" s="55" t="s">
        <v>62</v>
      </c>
      <c r="L1095" s="57" t="str">
        <f>HYPERLINK("https://nycdoe.sharepoint.com/:w:/s/BAP/ERlYZSeSswJFtxg3jj5lg0cBw9Hw7OzdGbDM0WlYOiv4gQ", "9 out of 10")</f>
        <v>9 out of 10</v>
      </c>
      <c r="M1095" t="s">
        <v>7524</v>
      </c>
    </row>
    <row r="1096" spans="2:13">
      <c r="B1096" s="55" t="s">
        <v>2861</v>
      </c>
      <c r="C1096" s="55" t="s">
        <v>2233</v>
      </c>
      <c r="D1096" s="55" t="s">
        <v>2877</v>
      </c>
      <c r="E1096" s="55" t="s">
        <v>2881</v>
      </c>
      <c r="F1096" s="55" t="s">
        <v>7525</v>
      </c>
      <c r="G1096" s="55" t="s">
        <v>7526</v>
      </c>
      <c r="H1096" s="55" t="s">
        <v>17</v>
      </c>
      <c r="I1096" s="55" t="s">
        <v>18</v>
      </c>
      <c r="J1096" s="55" t="s">
        <v>7523</v>
      </c>
      <c r="K1096" s="55" t="s">
        <v>62</v>
      </c>
      <c r="L1096" s="57" t="str">
        <f>HYPERLINK("https://nycdoe.sharepoint.com/:w:/s/BAP/ERlYZSeSswJFtxg3jj5lg0cBw9Hw7OzdGbDM0WlYOiv4gQ", "9 out of 10")</f>
        <v>9 out of 10</v>
      </c>
      <c r="M1096" t="s">
        <v>7524</v>
      </c>
    </row>
    <row r="1097" spans="2:13">
      <c r="B1097" s="55" t="s">
        <v>2861</v>
      </c>
      <c r="C1097" s="55" t="s">
        <v>2233</v>
      </c>
      <c r="D1097" s="55" t="s">
        <v>7527</v>
      </c>
      <c r="E1097" s="55" t="s">
        <v>7527</v>
      </c>
      <c r="F1097" s="55" t="s">
        <v>7528</v>
      </c>
      <c r="G1097" s="55" t="s">
        <v>7529</v>
      </c>
      <c r="H1097" s="55" t="s">
        <v>24</v>
      </c>
      <c r="I1097" s="55" t="s">
        <v>18</v>
      </c>
      <c r="J1097" s="55" t="s">
        <v>7530</v>
      </c>
      <c r="K1097" s="55" t="s">
        <v>20</v>
      </c>
      <c r="L1097" s="57" t="str">
        <f>HYPERLINK("https://nycdoe.sharepoint.com/:w:/s/BAP/EU10Wa97JrFHlF-nTEuvip8BXae2QbIn2OWFFYxa8V7y9A", "3 out of 10")</f>
        <v>3 out of 10</v>
      </c>
      <c r="M1097" t="s">
        <v>7531</v>
      </c>
    </row>
    <row r="1098" spans="2:13">
      <c r="B1098" s="55" t="s">
        <v>2861</v>
      </c>
      <c r="C1098" s="55" t="s">
        <v>2233</v>
      </c>
      <c r="D1098" s="55" t="s">
        <v>2884</v>
      </c>
      <c r="E1098" s="55" t="s">
        <v>2392</v>
      </c>
      <c r="F1098" s="55" t="s">
        <v>7077</v>
      </c>
      <c r="G1098" s="55" t="s">
        <v>7078</v>
      </c>
      <c r="H1098" s="55" t="s">
        <v>43</v>
      </c>
      <c r="I1098" s="55"/>
      <c r="J1098" s="55" t="s">
        <v>7532</v>
      </c>
      <c r="K1098" s="55" t="s">
        <v>62</v>
      </c>
      <c r="L1098" s="57" t="str">
        <f>HYPERLINK("https://nycdoe.sharepoint.com/:w:/s/BAP/EcW-PR9wSXJOhHEm0pWOPz0BqlUZOkY3z9FzgoTFh-U11g", "9 out of 10")</f>
        <v>9 out of 10</v>
      </c>
      <c r="M1098" t="s">
        <v>7533</v>
      </c>
    </row>
    <row r="1099" spans="2:13">
      <c r="B1099" s="55" t="s">
        <v>2861</v>
      </c>
      <c r="C1099" s="55" t="s">
        <v>2233</v>
      </c>
      <c r="D1099" s="55" t="s">
        <v>2884</v>
      </c>
      <c r="E1099" s="55" t="s">
        <v>2885</v>
      </c>
      <c r="F1099" s="55" t="s">
        <v>7534</v>
      </c>
      <c r="G1099" s="55" t="s">
        <v>7535</v>
      </c>
      <c r="H1099" s="55" t="s">
        <v>17</v>
      </c>
      <c r="I1099" s="55" t="s">
        <v>18</v>
      </c>
      <c r="J1099" s="55" t="s">
        <v>7532</v>
      </c>
      <c r="K1099" s="55" t="s">
        <v>62</v>
      </c>
      <c r="L1099" s="57" t="str">
        <f>HYPERLINK("https://nycdoe.sharepoint.com/:w:/s/BAP/EcW-PR9wSXJOhHEm0pWOPz0BqlUZOkY3z9FzgoTFh-U11g", "9 out of 10")</f>
        <v>9 out of 10</v>
      </c>
      <c r="M1099" t="s">
        <v>7533</v>
      </c>
    </row>
    <row r="1100" spans="2:13">
      <c r="B1100" s="55" t="s">
        <v>2861</v>
      </c>
      <c r="C1100" s="55" t="s">
        <v>2233</v>
      </c>
      <c r="D1100" s="55" t="s">
        <v>2884</v>
      </c>
      <c r="E1100" s="55" t="s">
        <v>2889</v>
      </c>
      <c r="F1100" s="55" t="s">
        <v>7536</v>
      </c>
      <c r="G1100" s="55" t="s">
        <v>7537</v>
      </c>
      <c r="H1100" s="55" t="s">
        <v>43</v>
      </c>
      <c r="I1100" s="55"/>
      <c r="J1100" s="55" t="s">
        <v>7532</v>
      </c>
      <c r="K1100" s="55" t="s">
        <v>62</v>
      </c>
      <c r="L1100" s="57" t="str">
        <f>HYPERLINK("https://nycdoe.sharepoint.com/:w:/s/BAP/EcW-PR9wSXJOhHEm0pWOPz0BqlUZOkY3z9FzgoTFh-U11g", "9 out of 10")</f>
        <v>9 out of 10</v>
      </c>
      <c r="M1100" t="s">
        <v>7533</v>
      </c>
    </row>
    <row r="1101" spans="2:13">
      <c r="B1101" s="55" t="s">
        <v>2861</v>
      </c>
      <c r="C1101" s="55" t="s">
        <v>2233</v>
      </c>
      <c r="D1101" s="55" t="s">
        <v>7538</v>
      </c>
      <c r="E1101" s="55" t="s">
        <v>7538</v>
      </c>
      <c r="F1101" s="55" t="s">
        <v>7539</v>
      </c>
      <c r="G1101" s="55" t="s">
        <v>7540</v>
      </c>
      <c r="H1101" s="55" t="s">
        <v>17</v>
      </c>
      <c r="I1101" s="55" t="s">
        <v>18</v>
      </c>
      <c r="J1101" s="55" t="s">
        <v>7541</v>
      </c>
      <c r="K1101" s="55" t="s">
        <v>20</v>
      </c>
      <c r="L1101" s="57" t="str">
        <f>HYPERLINK("https://nycdoe.sharepoint.com/:w:/s/BAP/EZSLdVAyK6ZNiga4RdDly-UB8_pG8PcyYs_jhl6wzf0KbQ", "1 out of 10")</f>
        <v>1 out of 10</v>
      </c>
      <c r="M1101" t="s">
        <v>7542</v>
      </c>
    </row>
    <row r="1102" spans="2:13">
      <c r="B1102" s="55" t="s">
        <v>2861</v>
      </c>
      <c r="C1102" s="55" t="s">
        <v>2233</v>
      </c>
      <c r="D1102" s="55" t="s">
        <v>7538</v>
      </c>
      <c r="E1102" s="55" t="s">
        <v>2392</v>
      </c>
      <c r="F1102" s="55" t="s">
        <v>7077</v>
      </c>
      <c r="G1102" s="55" t="s">
        <v>7078</v>
      </c>
      <c r="H1102" s="55" t="s">
        <v>43</v>
      </c>
      <c r="I1102" s="55"/>
      <c r="J1102" s="55" t="s">
        <v>7541</v>
      </c>
      <c r="K1102" s="55" t="s">
        <v>20</v>
      </c>
      <c r="L1102" s="57" t="str">
        <f>HYPERLINK("https://nycdoe.sharepoint.com/:w:/s/BAP/EZSLdVAyK6ZNiga4RdDly-UB8_pG8PcyYs_jhl6wzf0KbQ", "1 out of 10")</f>
        <v>1 out of 10</v>
      </c>
      <c r="M1102" t="s">
        <v>7542</v>
      </c>
    </row>
    <row r="1103" spans="2:13">
      <c r="B1103" s="55" t="s">
        <v>2861</v>
      </c>
      <c r="C1103" s="55" t="s">
        <v>2233</v>
      </c>
      <c r="D1103" s="55" t="s">
        <v>2892</v>
      </c>
      <c r="E1103" s="55" t="s">
        <v>2893</v>
      </c>
      <c r="F1103" s="55" t="s">
        <v>7543</v>
      </c>
      <c r="G1103" s="55" t="s">
        <v>7544</v>
      </c>
      <c r="H1103" s="55" t="s">
        <v>56</v>
      </c>
      <c r="I1103" s="55"/>
      <c r="J1103" s="55" t="s">
        <v>7545</v>
      </c>
      <c r="K1103" s="55" t="s">
        <v>20</v>
      </c>
      <c r="L1103" s="57" t="str">
        <f>HYPERLINK("https://nycdoe.sharepoint.com/:w:/s/BAP/EXSAu4eUmBpOpwH096zhFFABVxrC0gy_xAux7tmX6Xwh_g", "7 out of 10")</f>
        <v>7 out of 10</v>
      </c>
      <c r="M1103" t="s">
        <v>7546</v>
      </c>
    </row>
    <row r="1104" spans="2:13">
      <c r="B1104" s="55" t="s">
        <v>2861</v>
      </c>
      <c r="C1104" s="55" t="s">
        <v>2233</v>
      </c>
      <c r="D1104" s="55" t="s">
        <v>7547</v>
      </c>
      <c r="E1104" s="55" t="s">
        <v>7547</v>
      </c>
      <c r="F1104" s="55" t="s">
        <v>7548</v>
      </c>
      <c r="G1104" s="55" t="s">
        <v>7549</v>
      </c>
      <c r="H1104" s="55" t="s">
        <v>553</v>
      </c>
      <c r="I1104" s="55" t="s">
        <v>18</v>
      </c>
      <c r="J1104" s="55" t="s">
        <v>7550</v>
      </c>
      <c r="K1104" s="55" t="s">
        <v>20</v>
      </c>
      <c r="L1104" s="57" t="str">
        <f>HYPERLINK("https://nycdoe.sharepoint.com/:w:/s/BAP/EY2YatofxGlGp9NxGCQ3HOYBUwsZSQEiAzyvaiIs-kgiBw", "1 out of 10")</f>
        <v>1 out of 10</v>
      </c>
      <c r="M1104" t="s">
        <v>7551</v>
      </c>
    </row>
    <row r="1105" spans="2:13">
      <c r="B1105" s="55" t="s">
        <v>2861</v>
      </c>
      <c r="C1105" s="55" t="s">
        <v>2233</v>
      </c>
      <c r="D1105" s="55" t="s">
        <v>2897</v>
      </c>
      <c r="E1105" s="55" t="s">
        <v>2898</v>
      </c>
      <c r="F1105" s="55" t="s">
        <v>7552</v>
      </c>
      <c r="G1105" s="55" t="s">
        <v>7553</v>
      </c>
      <c r="H1105" s="55" t="s">
        <v>24</v>
      </c>
      <c r="I1105" s="55"/>
      <c r="J1105" s="55" t="s">
        <v>7554</v>
      </c>
      <c r="K1105" s="55" t="s">
        <v>20</v>
      </c>
      <c r="L1105" s="57" t="str">
        <f>HYPERLINK("https://nycdoe.sharepoint.com/:w:/s/BAP/ES7BZ0tdcHpDi7X4SB_ohAcB1OW__oltd3a-losSqFJxZA", "7 out of 10")</f>
        <v>7 out of 10</v>
      </c>
      <c r="M1105" t="s">
        <v>7555</v>
      </c>
    </row>
    <row r="1106" spans="2:13">
      <c r="B1106" s="55" t="s">
        <v>2861</v>
      </c>
      <c r="C1106" s="55" t="s">
        <v>2233</v>
      </c>
      <c r="D1106" s="55" t="s">
        <v>2897</v>
      </c>
      <c r="E1106" s="55" t="s">
        <v>2323</v>
      </c>
      <c r="F1106" s="55" t="s">
        <v>7046</v>
      </c>
      <c r="G1106" s="55" t="s">
        <v>2325</v>
      </c>
      <c r="H1106" s="55" t="s">
        <v>43</v>
      </c>
      <c r="I1106" s="55" t="s">
        <v>18</v>
      </c>
      <c r="J1106" s="55" t="s">
        <v>7554</v>
      </c>
      <c r="K1106" s="55" t="s">
        <v>20</v>
      </c>
      <c r="L1106" s="57" t="str">
        <f>HYPERLINK("https://nycdoe.sharepoint.com/:w:/s/BAP/ES7BZ0tdcHpDi7X4SB_ohAcB1OW__oltd3a-losSqFJxZA", "7 out of 10")</f>
        <v>7 out of 10</v>
      </c>
      <c r="M1106" t="s">
        <v>7555</v>
      </c>
    </row>
    <row r="1107" spans="2:13">
      <c r="B1107" s="55" t="s">
        <v>2861</v>
      </c>
      <c r="C1107" s="55" t="s">
        <v>2233</v>
      </c>
      <c r="D1107" s="55" t="s">
        <v>2897</v>
      </c>
      <c r="E1107" s="55" t="s">
        <v>2902</v>
      </c>
      <c r="F1107" s="55" t="s">
        <v>7556</v>
      </c>
      <c r="G1107" s="55" t="s">
        <v>7557</v>
      </c>
      <c r="H1107" s="55" t="s">
        <v>84</v>
      </c>
      <c r="I1107" s="55"/>
      <c r="J1107" s="55" t="s">
        <v>7554</v>
      </c>
      <c r="K1107" s="55" t="s">
        <v>20</v>
      </c>
      <c r="L1107" s="57" t="str">
        <f>HYPERLINK("https://nycdoe.sharepoint.com/:w:/s/BAP/ES7BZ0tdcHpDi7X4SB_ohAcB1OW__oltd3a-losSqFJxZA", "7 out of 10")</f>
        <v>7 out of 10</v>
      </c>
      <c r="M1107" t="s">
        <v>7555</v>
      </c>
    </row>
    <row r="1108" spans="2:13">
      <c r="B1108" s="55" t="s">
        <v>2861</v>
      </c>
      <c r="C1108" s="55" t="s">
        <v>2233</v>
      </c>
      <c r="D1108" s="55" t="s">
        <v>7558</v>
      </c>
      <c r="E1108" s="55" t="s">
        <v>7559</v>
      </c>
      <c r="F1108" s="55" t="s">
        <v>7560</v>
      </c>
      <c r="G1108" s="55" t="s">
        <v>7561</v>
      </c>
      <c r="H1108" s="55" t="s">
        <v>17</v>
      </c>
      <c r="I1108" s="55" t="s">
        <v>18</v>
      </c>
      <c r="J1108" s="55" t="s">
        <v>7562</v>
      </c>
      <c r="K1108" s="55" t="s">
        <v>20</v>
      </c>
      <c r="L1108" s="57" t="str">
        <f>HYPERLINK("https://nycdoe.sharepoint.com/:w:/s/BAP/EYr8Kj26DD9DkT7VwxyndM8BxJhUlMJvMDPePt6gIFm2Hw", "1 out of 10")</f>
        <v>1 out of 10</v>
      </c>
      <c r="M1108" t="s">
        <v>7563</v>
      </c>
    </row>
    <row r="1109" spans="2:13">
      <c r="B1109" s="55" t="s">
        <v>2861</v>
      </c>
      <c r="C1109" s="55" t="s">
        <v>2233</v>
      </c>
      <c r="D1109" s="55" t="s">
        <v>2905</v>
      </c>
      <c r="E1109" s="55" t="s">
        <v>2905</v>
      </c>
      <c r="F1109" s="55" t="s">
        <v>7564</v>
      </c>
      <c r="G1109" s="55" t="s">
        <v>7565</v>
      </c>
      <c r="H1109" s="55" t="s">
        <v>17</v>
      </c>
      <c r="I1109" s="55" t="s">
        <v>18</v>
      </c>
      <c r="J1109" s="55" t="s">
        <v>7566</v>
      </c>
      <c r="K1109" s="55" t="s">
        <v>20</v>
      </c>
      <c r="L1109" s="57" t="str">
        <f>HYPERLINK("https://nycdoe.sharepoint.com/:w:/s/BAP/EelR_tk78BlDgxiTx3YaxlgBlbWiHgr-F9qta4i2wDMb5g", "8 out of 10")</f>
        <v>8 out of 10</v>
      </c>
      <c r="M1109" t="s">
        <v>7567</v>
      </c>
    </row>
    <row r="1110" spans="2:13">
      <c r="B1110" s="55" t="s">
        <v>2861</v>
      </c>
      <c r="C1110" s="55" t="s">
        <v>2233</v>
      </c>
      <c r="D1110" s="55" t="s">
        <v>2905</v>
      </c>
      <c r="E1110" s="55" t="s">
        <v>2392</v>
      </c>
      <c r="F1110" s="55" t="s">
        <v>7077</v>
      </c>
      <c r="G1110" s="55" t="s">
        <v>7078</v>
      </c>
      <c r="H1110" s="55" t="s">
        <v>43</v>
      </c>
      <c r="I1110" s="55"/>
      <c r="J1110" s="55" t="s">
        <v>7566</v>
      </c>
      <c r="K1110" s="55" t="s">
        <v>20</v>
      </c>
      <c r="L1110" s="57" t="str">
        <f>HYPERLINK("https://nycdoe.sharepoint.com/:w:/s/BAP/EelR_tk78BlDgxiTx3YaxlgBlbWiHgr-F9qta4i2wDMb5g", "8 out of 10")</f>
        <v>8 out of 10</v>
      </c>
      <c r="M1110" t="s">
        <v>7567</v>
      </c>
    </row>
    <row r="1111" spans="2:13">
      <c r="B1111" s="55" t="s">
        <v>2861</v>
      </c>
      <c r="C1111" s="55" t="s">
        <v>2233</v>
      </c>
      <c r="D1111" s="55" t="s">
        <v>7568</v>
      </c>
      <c r="E1111" s="55" t="s">
        <v>7568</v>
      </c>
      <c r="F1111" s="55" t="s">
        <v>7569</v>
      </c>
      <c r="G1111" s="55" t="s">
        <v>7570</v>
      </c>
      <c r="H1111" s="55" t="s">
        <v>17</v>
      </c>
      <c r="I1111" s="55" t="s">
        <v>18</v>
      </c>
      <c r="J1111" s="55" t="s">
        <v>7571</v>
      </c>
      <c r="K1111" s="55" t="s">
        <v>20</v>
      </c>
      <c r="L1111" s="57" t="str">
        <f>HYPERLINK("https://nycdoe.sharepoint.com/:w:/s/BAP/EUJJBOrlBYFHmMeNaTB9yAUBk7OY13nD5dMSnJojesRu1Q", "4 out of 10")</f>
        <v>4 out of 10</v>
      </c>
      <c r="M1111" t="s">
        <v>7572</v>
      </c>
    </row>
    <row r="1112" spans="2:13">
      <c r="B1112" s="55" t="s">
        <v>2861</v>
      </c>
      <c r="C1112" s="55" t="s">
        <v>2233</v>
      </c>
      <c r="D1112" s="55" t="s">
        <v>7568</v>
      </c>
      <c r="E1112" s="55" t="s">
        <v>7573</v>
      </c>
      <c r="F1112" s="55" t="s">
        <v>7574</v>
      </c>
      <c r="G1112" s="55" t="s">
        <v>7575</v>
      </c>
      <c r="H1112" s="55" t="s">
        <v>52</v>
      </c>
      <c r="I1112" s="55"/>
      <c r="J1112" s="55" t="s">
        <v>7571</v>
      </c>
      <c r="K1112" s="55" t="s">
        <v>20</v>
      </c>
      <c r="L1112" s="57" t="str">
        <f>HYPERLINK("https://nycdoe.sharepoint.com/:w:/s/BAP/EUJJBOrlBYFHmMeNaTB9yAUBk7OY13nD5dMSnJojesRu1Q", "4 out of 10")</f>
        <v>4 out of 10</v>
      </c>
      <c r="M1112" t="s">
        <v>7572</v>
      </c>
    </row>
    <row r="1113" spans="2:13">
      <c r="B1113" s="55" t="s">
        <v>2861</v>
      </c>
      <c r="C1113" s="55" t="s">
        <v>2233</v>
      </c>
      <c r="D1113" s="55" t="s">
        <v>7568</v>
      </c>
      <c r="E1113" s="55" t="s">
        <v>2772</v>
      </c>
      <c r="F1113" s="55" t="s">
        <v>7421</v>
      </c>
      <c r="G1113" s="55" t="s">
        <v>7422</v>
      </c>
      <c r="H1113" s="55" t="s">
        <v>24</v>
      </c>
      <c r="I1113" s="55" t="s">
        <v>18</v>
      </c>
      <c r="J1113" s="55" t="s">
        <v>7571</v>
      </c>
      <c r="K1113" s="55" t="s">
        <v>20</v>
      </c>
      <c r="L1113" s="57" t="str">
        <f>HYPERLINK("https://nycdoe.sharepoint.com/:w:/s/BAP/EUJJBOrlBYFHmMeNaTB9yAUBk7OY13nD5dMSnJojesRu1Q", "4 out of 10")</f>
        <v>4 out of 10</v>
      </c>
      <c r="M1113" t="s">
        <v>7572</v>
      </c>
    </row>
    <row r="1114" spans="2:13">
      <c r="B1114" s="55" t="s">
        <v>2861</v>
      </c>
      <c r="C1114" s="55" t="s">
        <v>2233</v>
      </c>
      <c r="D1114" s="55" t="s">
        <v>7576</v>
      </c>
      <c r="E1114" s="55" t="s">
        <v>7576</v>
      </c>
      <c r="F1114" s="55" t="s">
        <v>7577</v>
      </c>
      <c r="G1114" s="55" t="s">
        <v>7578</v>
      </c>
      <c r="H1114" s="55" t="s">
        <v>24</v>
      </c>
      <c r="I1114" s="55" t="s">
        <v>18</v>
      </c>
      <c r="J1114" s="55" t="s">
        <v>7579</v>
      </c>
      <c r="K1114" s="55" t="s">
        <v>20</v>
      </c>
      <c r="L1114" s="57" t="str">
        <f>HYPERLINK("https://nycdoe.sharepoint.com/:w:/s/BAP/EbF0-lewCAlHhCXJYSeAO3YB0MFbrq2AGCbgDoBsvX63Tg", "1 out of 10")</f>
        <v>1 out of 10</v>
      </c>
      <c r="M1114" t="s">
        <v>7580</v>
      </c>
    </row>
    <row r="1115" spans="2:13">
      <c r="B1115" s="55" t="s">
        <v>2861</v>
      </c>
      <c r="C1115" s="55" t="s">
        <v>2233</v>
      </c>
      <c r="D1115" s="55" t="s">
        <v>7581</v>
      </c>
      <c r="E1115" s="55" t="s">
        <v>7581</v>
      </c>
      <c r="F1115" s="55" t="s">
        <v>7582</v>
      </c>
      <c r="G1115" s="55" t="s">
        <v>7583</v>
      </c>
      <c r="H1115" s="55" t="s">
        <v>24</v>
      </c>
      <c r="I1115" s="55"/>
      <c r="J1115" s="55" t="s">
        <v>7584</v>
      </c>
      <c r="K1115" s="55" t="s">
        <v>20</v>
      </c>
      <c r="L1115" s="57" t="str">
        <f>HYPERLINK("https://nycdoe.sharepoint.com/:w:/s/BAP/EQoHVqw0D6dLi4Rvo_lJf38BvFl9tPQZrIpCTAd6edWmEA", "1 out of 10")</f>
        <v>1 out of 10</v>
      </c>
      <c r="M1115" t="s">
        <v>7585</v>
      </c>
    </row>
    <row r="1116" spans="2:13">
      <c r="B1116" s="55" t="s">
        <v>2861</v>
      </c>
      <c r="C1116" s="55" t="s">
        <v>2233</v>
      </c>
      <c r="D1116" s="55" t="s">
        <v>2909</v>
      </c>
      <c r="E1116" s="55" t="s">
        <v>2392</v>
      </c>
      <c r="F1116" s="55" t="s">
        <v>7077</v>
      </c>
      <c r="G1116" s="55" t="s">
        <v>7078</v>
      </c>
      <c r="H1116" s="55" t="s">
        <v>43</v>
      </c>
      <c r="I1116" s="55"/>
      <c r="J1116" s="55" t="s">
        <v>7586</v>
      </c>
      <c r="K1116" s="55" t="s">
        <v>20</v>
      </c>
      <c r="L1116" s="57" t="str">
        <f>HYPERLINK("https://nycdoe.sharepoint.com/:w:/s/BAP/Ec0k_FRdHWZAqiqcRCCq2E0BAn3yxJudwnvgkZKw7FKBZQ", "7 out of 10")</f>
        <v>7 out of 10</v>
      </c>
      <c r="M1116" t="s">
        <v>7587</v>
      </c>
    </row>
    <row r="1117" spans="2:13">
      <c r="B1117" s="55" t="s">
        <v>2861</v>
      </c>
      <c r="C1117" s="55" t="s">
        <v>2233</v>
      </c>
      <c r="D1117" s="55" t="s">
        <v>2909</v>
      </c>
      <c r="E1117" s="55" t="s">
        <v>2909</v>
      </c>
      <c r="F1117" s="55" t="s">
        <v>7588</v>
      </c>
      <c r="G1117" s="55" t="s">
        <v>7589</v>
      </c>
      <c r="H1117" s="55" t="s">
        <v>56</v>
      </c>
      <c r="I1117" s="55"/>
      <c r="J1117" s="55" t="s">
        <v>7586</v>
      </c>
      <c r="K1117" s="55" t="s">
        <v>20</v>
      </c>
      <c r="L1117" s="57" t="str">
        <f>HYPERLINK("https://nycdoe.sharepoint.com/:w:/s/BAP/Ec0k_FRdHWZAqiqcRCCq2E0BAn3yxJudwnvgkZKw7FKBZQ", "7 out of 10")</f>
        <v>7 out of 10</v>
      </c>
      <c r="M1117" t="s">
        <v>7587</v>
      </c>
    </row>
    <row r="1118" spans="2:13">
      <c r="B1118" s="55" t="s">
        <v>2861</v>
      </c>
      <c r="C1118" s="55" t="s">
        <v>2233</v>
      </c>
      <c r="D1118" s="55" t="s">
        <v>2909</v>
      </c>
      <c r="E1118" s="55" t="s">
        <v>2913</v>
      </c>
      <c r="F1118" s="55" t="s">
        <v>7590</v>
      </c>
      <c r="G1118" s="55" t="s">
        <v>7591</v>
      </c>
      <c r="H1118" s="55" t="s">
        <v>52</v>
      </c>
      <c r="I1118" s="55"/>
      <c r="J1118" s="55" t="s">
        <v>7586</v>
      </c>
      <c r="K1118" s="55" t="s">
        <v>20</v>
      </c>
      <c r="L1118" s="57" t="str">
        <f>HYPERLINK("https://nycdoe.sharepoint.com/:w:/s/BAP/Ec0k_FRdHWZAqiqcRCCq2E0BAn3yxJudwnvgkZKw7FKBZQ", "7 out of 10")</f>
        <v>7 out of 10</v>
      </c>
      <c r="M1118" t="s">
        <v>7587</v>
      </c>
    </row>
    <row r="1119" spans="2:13">
      <c r="B1119" s="55" t="s">
        <v>2861</v>
      </c>
      <c r="C1119" s="55" t="s">
        <v>2233</v>
      </c>
      <c r="D1119" s="55" t="s">
        <v>2916</v>
      </c>
      <c r="E1119" s="55" t="s">
        <v>2917</v>
      </c>
      <c r="F1119" s="55" t="s">
        <v>7592</v>
      </c>
      <c r="G1119" s="55" t="s">
        <v>7593</v>
      </c>
      <c r="H1119" s="55" t="s">
        <v>56</v>
      </c>
      <c r="I1119" s="55"/>
      <c r="J1119" s="55" t="s">
        <v>7594</v>
      </c>
      <c r="K1119" s="55" t="s">
        <v>62</v>
      </c>
      <c r="L1119" s="57" t="str">
        <f>HYPERLINK("https://nycdoe.sharepoint.com/:w:/s/BAP/EZnH4Q4rMDlDvydg9oVcjcUBX-WynXWGeIDMqcBnqLuW1Q", "9 out of 10")</f>
        <v>9 out of 10</v>
      </c>
      <c r="M1119" t="s">
        <v>7595</v>
      </c>
    </row>
    <row r="1120" spans="2:13">
      <c r="B1120" s="55" t="s">
        <v>2861</v>
      </c>
      <c r="C1120" s="55" t="s">
        <v>2233</v>
      </c>
      <c r="D1120" s="55" t="s">
        <v>2916</v>
      </c>
      <c r="E1120" s="55" t="s">
        <v>7596</v>
      </c>
      <c r="F1120" s="55" t="s">
        <v>7597</v>
      </c>
      <c r="G1120" s="55" t="s">
        <v>7598</v>
      </c>
      <c r="H1120" s="55" t="s">
        <v>995</v>
      </c>
      <c r="I1120" s="55"/>
      <c r="J1120" s="55" t="s">
        <v>7594</v>
      </c>
      <c r="K1120" s="55" t="s">
        <v>62</v>
      </c>
      <c r="L1120" s="57" t="str">
        <f>HYPERLINK("https://nycdoe.sharepoint.com/:w:/s/BAP/EZnH4Q4rMDlDvydg9oVcjcUBX-WynXWGeIDMqcBnqLuW1Q", "9 out of 10")</f>
        <v>9 out of 10</v>
      </c>
      <c r="M1120" t="s">
        <v>7595</v>
      </c>
    </row>
    <row r="1121" spans="2:13">
      <c r="B1121" s="55" t="s">
        <v>2861</v>
      </c>
      <c r="C1121" s="55" t="s">
        <v>2233</v>
      </c>
      <c r="D1121" s="55" t="s">
        <v>2921</v>
      </c>
      <c r="E1121" s="55" t="s">
        <v>2848</v>
      </c>
      <c r="F1121" s="55" t="s">
        <v>7599</v>
      </c>
      <c r="G1121" s="55" t="s">
        <v>7600</v>
      </c>
      <c r="H1121" s="55" t="s">
        <v>56</v>
      </c>
      <c r="I1121" s="55"/>
      <c r="J1121" s="55" t="s">
        <v>7601</v>
      </c>
      <c r="K1121" s="55" t="s">
        <v>62</v>
      </c>
      <c r="L1121" s="57" t="str">
        <f>HYPERLINK("https://nycdoe.sharepoint.com/:w:/s/BAP/Ee1VIRC88jFIu9PjiKWnjJsBZ9aCGZP8KJdMUaiD_oXNkg", "9 out of 10")</f>
        <v>9 out of 10</v>
      </c>
      <c r="M1121" t="s">
        <v>7602</v>
      </c>
    </row>
    <row r="1122" spans="2:13">
      <c r="B1122" s="55" t="s">
        <v>2926</v>
      </c>
      <c r="C1122" s="55" t="s">
        <v>2233</v>
      </c>
      <c r="D1122" s="55" t="s">
        <v>2927</v>
      </c>
      <c r="E1122" s="55" t="s">
        <v>2928</v>
      </c>
      <c r="F1122" s="55" t="s">
        <v>7603</v>
      </c>
      <c r="G1122" s="55" t="s">
        <v>7604</v>
      </c>
      <c r="H1122" s="55" t="s">
        <v>84</v>
      </c>
      <c r="I1122" s="55"/>
      <c r="J1122" s="55" t="s">
        <v>7605</v>
      </c>
      <c r="K1122" s="55" t="s">
        <v>62</v>
      </c>
      <c r="L1122" s="57" t="str">
        <f>HYPERLINK("https://nycdoe.sharepoint.com/:w:/s/BAP/Ec9UGhliSY9Pokd8DMlouawBcu4naJACCp6yWc6e6V3UnA", "9 out of 10")</f>
        <v>9 out of 10</v>
      </c>
      <c r="M1122" t="s">
        <v>7606</v>
      </c>
    </row>
    <row r="1123" spans="2:13">
      <c r="B1123" s="55" t="s">
        <v>2926</v>
      </c>
      <c r="C1123" s="55" t="s">
        <v>2233</v>
      </c>
      <c r="D1123" s="55" t="s">
        <v>2927</v>
      </c>
      <c r="E1123" s="55" t="s">
        <v>2772</v>
      </c>
      <c r="F1123" s="55" t="s">
        <v>7421</v>
      </c>
      <c r="G1123" s="55" t="s">
        <v>7422</v>
      </c>
      <c r="H1123" s="55" t="s">
        <v>24</v>
      </c>
      <c r="I1123" s="55" t="s">
        <v>18</v>
      </c>
      <c r="J1123" s="55" t="s">
        <v>7605</v>
      </c>
      <c r="K1123" s="55" t="s">
        <v>62</v>
      </c>
      <c r="L1123" s="57" t="str">
        <f>HYPERLINK("https://nycdoe.sharepoint.com/:w:/s/BAP/Ec9UGhliSY9Pokd8DMlouawBcu4naJACCp6yWc6e6V3UnA", "9 out of 10")</f>
        <v>9 out of 10</v>
      </c>
      <c r="M1123" t="s">
        <v>7606</v>
      </c>
    </row>
    <row r="1124" spans="2:13">
      <c r="B1124" s="55" t="s">
        <v>2926</v>
      </c>
      <c r="C1124" s="55" t="s">
        <v>2233</v>
      </c>
      <c r="D1124" s="55" t="s">
        <v>2932</v>
      </c>
      <c r="E1124" s="55" t="s">
        <v>2932</v>
      </c>
      <c r="F1124" s="55" t="s">
        <v>7607</v>
      </c>
      <c r="G1124" s="55" t="s">
        <v>7608</v>
      </c>
      <c r="H1124" s="55" t="s">
        <v>17</v>
      </c>
      <c r="I1124" s="55" t="s">
        <v>18</v>
      </c>
      <c r="J1124" s="55" t="s">
        <v>7609</v>
      </c>
      <c r="K1124" s="55" t="s">
        <v>20</v>
      </c>
      <c r="L1124" s="57" t="str">
        <f>HYPERLINK("https://nycdoe.sharepoint.com/:w:/s/BAP/EWUSh4Ix1QpOhFpNvga5DosBjZA8ptHr1Q6DkoSvVnUPFw", "4 out of 10")</f>
        <v>4 out of 10</v>
      </c>
      <c r="M1124" t="s">
        <v>7610</v>
      </c>
    </row>
    <row r="1125" spans="2:13">
      <c r="B1125" s="55" t="s">
        <v>2926</v>
      </c>
      <c r="C1125" s="55" t="s">
        <v>2233</v>
      </c>
      <c r="D1125" s="55" t="s">
        <v>2932</v>
      </c>
      <c r="E1125" s="55" t="s">
        <v>2323</v>
      </c>
      <c r="F1125" s="55" t="s">
        <v>7046</v>
      </c>
      <c r="G1125" s="55" t="s">
        <v>2325</v>
      </c>
      <c r="H1125" s="55" t="s">
        <v>43</v>
      </c>
      <c r="I1125" s="55" t="s">
        <v>18</v>
      </c>
      <c r="J1125" s="55" t="s">
        <v>7609</v>
      </c>
      <c r="K1125" s="55" t="s">
        <v>20</v>
      </c>
      <c r="L1125" s="57" t="str">
        <f>HYPERLINK("https://nycdoe.sharepoint.com/:w:/s/BAP/EWUSh4Ix1QpOhFpNvga5DosBjZA8ptHr1Q6DkoSvVnUPFw", "4 out of 10")</f>
        <v>4 out of 10</v>
      </c>
      <c r="M1125" t="s">
        <v>7610</v>
      </c>
    </row>
    <row r="1126" spans="2:13">
      <c r="B1126" s="55" t="s">
        <v>2926</v>
      </c>
      <c r="C1126" s="55" t="s">
        <v>2233</v>
      </c>
      <c r="D1126" s="55" t="s">
        <v>2932</v>
      </c>
      <c r="E1126" s="55" t="s">
        <v>2936</v>
      </c>
      <c r="F1126" s="55" t="s">
        <v>7611</v>
      </c>
      <c r="G1126" s="55" t="s">
        <v>7612</v>
      </c>
      <c r="H1126" s="55" t="s">
        <v>24</v>
      </c>
      <c r="I1126" s="55"/>
      <c r="J1126" s="55" t="s">
        <v>7609</v>
      </c>
      <c r="K1126" s="55" t="s">
        <v>20</v>
      </c>
      <c r="L1126" s="57" t="str">
        <f>HYPERLINK("https://nycdoe.sharepoint.com/:w:/s/BAP/EWUSh4Ix1QpOhFpNvga5DosBjZA8ptHr1Q6DkoSvVnUPFw", "4 out of 10")</f>
        <v>4 out of 10</v>
      </c>
      <c r="M1126" t="s">
        <v>7610</v>
      </c>
    </row>
    <row r="1127" spans="2:13">
      <c r="B1127" s="55" t="s">
        <v>2926</v>
      </c>
      <c r="C1127" s="55" t="s">
        <v>2233</v>
      </c>
      <c r="D1127" s="55" t="s">
        <v>2939</v>
      </c>
      <c r="E1127" s="55" t="s">
        <v>2939</v>
      </c>
      <c r="F1127" s="55" t="s">
        <v>7613</v>
      </c>
      <c r="G1127" s="55" t="s">
        <v>7614</v>
      </c>
      <c r="H1127" s="55" t="s">
        <v>17</v>
      </c>
      <c r="I1127" s="55" t="s">
        <v>18</v>
      </c>
      <c r="J1127" s="55" t="s">
        <v>7615</v>
      </c>
      <c r="K1127" s="55" t="s">
        <v>20</v>
      </c>
      <c r="L1127" s="57" t="str">
        <f>HYPERLINK("https://nycdoe.sharepoint.com/:w:/s/BAP/Eeslhnw0V-5Nu56yxzLvZHkBpz0cHV2NYFiyjwohOsvOiw", "3 out of 10")</f>
        <v>3 out of 10</v>
      </c>
      <c r="M1127" t="s">
        <v>7616</v>
      </c>
    </row>
    <row r="1128" spans="2:13">
      <c r="B1128" s="55" t="s">
        <v>2926</v>
      </c>
      <c r="C1128" s="55" t="s">
        <v>2233</v>
      </c>
      <c r="D1128" s="55" t="s">
        <v>7617</v>
      </c>
      <c r="E1128" s="55" t="s">
        <v>7618</v>
      </c>
      <c r="F1128" s="55" t="s">
        <v>7619</v>
      </c>
      <c r="G1128" s="55" t="s">
        <v>7620</v>
      </c>
      <c r="H1128" s="55" t="s">
        <v>52</v>
      </c>
      <c r="I1128" s="55"/>
      <c r="J1128" s="55" t="s">
        <v>7621</v>
      </c>
      <c r="K1128" s="55" t="s">
        <v>20</v>
      </c>
      <c r="L1128" s="57" t="str">
        <f>HYPERLINK("https://nycdoe.sharepoint.com/:w:/s/BAP/ERes5GmSoR1Fgj-HH9hCatUBdJPoAmBlOoPVpBBQDhnpWg", "3 out of 10")</f>
        <v>3 out of 10</v>
      </c>
      <c r="M1128" t="s">
        <v>7622</v>
      </c>
    </row>
    <row r="1129" spans="2:13">
      <c r="B1129" s="55" t="s">
        <v>2926</v>
      </c>
      <c r="C1129" s="55" t="s">
        <v>2233</v>
      </c>
      <c r="D1129" s="55" t="s">
        <v>7617</v>
      </c>
      <c r="E1129" s="55" t="s">
        <v>7623</v>
      </c>
      <c r="F1129" s="55" t="s">
        <v>7624</v>
      </c>
      <c r="G1129" s="55" t="s">
        <v>7625</v>
      </c>
      <c r="H1129" s="55" t="s">
        <v>56</v>
      </c>
      <c r="I1129" s="55"/>
      <c r="J1129" s="55" t="s">
        <v>7621</v>
      </c>
      <c r="K1129" s="55" t="s">
        <v>20</v>
      </c>
      <c r="L1129" s="57" t="str">
        <f>HYPERLINK("https://nycdoe.sharepoint.com/:w:/s/BAP/ERes5GmSoR1Fgj-HH9hCatUBdJPoAmBlOoPVpBBQDhnpWg", "3 out of 10")</f>
        <v>3 out of 10</v>
      </c>
      <c r="M1129" t="s">
        <v>7622</v>
      </c>
    </row>
    <row r="1130" spans="2:13">
      <c r="B1130" s="55" t="s">
        <v>2926</v>
      </c>
      <c r="C1130" s="55" t="s">
        <v>2233</v>
      </c>
      <c r="D1130" s="55" t="s">
        <v>7617</v>
      </c>
      <c r="E1130" s="55" t="s">
        <v>7626</v>
      </c>
      <c r="F1130" s="55" t="s">
        <v>7627</v>
      </c>
      <c r="G1130" s="55" t="s">
        <v>7628</v>
      </c>
      <c r="H1130" s="55" t="s">
        <v>24</v>
      </c>
      <c r="I1130" s="55"/>
      <c r="J1130" s="55" t="s">
        <v>7621</v>
      </c>
      <c r="K1130" s="55" t="s">
        <v>20</v>
      </c>
      <c r="L1130" s="57" t="str">
        <f>HYPERLINK("https://nycdoe.sharepoint.com/:w:/s/BAP/ERes5GmSoR1Fgj-HH9hCatUBdJPoAmBlOoPVpBBQDhnpWg", "3 out of 10")</f>
        <v>3 out of 10</v>
      </c>
      <c r="M1130" t="s">
        <v>7622</v>
      </c>
    </row>
    <row r="1131" spans="2:13">
      <c r="B1131" s="55" t="s">
        <v>2926</v>
      </c>
      <c r="C1131" s="55" t="s">
        <v>2233</v>
      </c>
      <c r="D1131" s="55" t="s">
        <v>2943</v>
      </c>
      <c r="E1131" s="55" t="s">
        <v>2943</v>
      </c>
      <c r="F1131" s="55" t="s">
        <v>7629</v>
      </c>
      <c r="G1131" s="55" t="s">
        <v>7630</v>
      </c>
      <c r="H1131" s="55" t="s">
        <v>84</v>
      </c>
      <c r="I1131" s="55" t="s">
        <v>18</v>
      </c>
      <c r="J1131" s="55" t="s">
        <v>7631</v>
      </c>
      <c r="K1131" s="55" t="s">
        <v>20</v>
      </c>
      <c r="L1131" s="57" t="str">
        <f>HYPERLINK("https://nycdoe.sharepoint.com/:w:/s/BAP/ERyRkftRKHNJqpb3JnBpFsMBCyyzgdigziADvk13QK5JmA", "8 out of 10")</f>
        <v>8 out of 10</v>
      </c>
      <c r="M1131" t="s">
        <v>7632</v>
      </c>
    </row>
    <row r="1132" spans="2:13">
      <c r="B1132" s="55" t="s">
        <v>2926</v>
      </c>
      <c r="C1132" s="55" t="s">
        <v>2233</v>
      </c>
      <c r="D1132" s="55" t="s">
        <v>2947</v>
      </c>
      <c r="E1132" s="55" t="s">
        <v>2947</v>
      </c>
      <c r="F1132" s="55" t="s">
        <v>7633</v>
      </c>
      <c r="G1132" s="55" t="s">
        <v>7634</v>
      </c>
      <c r="H1132" s="55" t="s">
        <v>17</v>
      </c>
      <c r="I1132" s="55" t="s">
        <v>18</v>
      </c>
      <c r="J1132" s="55" t="s">
        <v>7635</v>
      </c>
      <c r="K1132" s="55" t="s">
        <v>62</v>
      </c>
      <c r="L1132" s="57" t="str">
        <f>HYPERLINK("https://nycdoe.sharepoint.com/:w:/s/BAP/EfBCcVlbb9xArQkBvIo9gokBJW7DY2x5CLIWaFDqms85nA", "9 out of 10")</f>
        <v>9 out of 10</v>
      </c>
      <c r="M1132" t="s">
        <v>7636</v>
      </c>
    </row>
    <row r="1133" spans="2:13">
      <c r="B1133" s="55" t="s">
        <v>2926</v>
      </c>
      <c r="C1133" s="55" t="s">
        <v>2233</v>
      </c>
      <c r="D1133" s="55" t="s">
        <v>2947</v>
      </c>
      <c r="E1133" s="55" t="s">
        <v>2951</v>
      </c>
      <c r="F1133" s="55" t="s">
        <v>7637</v>
      </c>
      <c r="G1133" s="55" t="s">
        <v>7638</v>
      </c>
      <c r="H1133" s="55" t="s">
        <v>84</v>
      </c>
      <c r="I1133" s="55"/>
      <c r="J1133" s="55" t="s">
        <v>7635</v>
      </c>
      <c r="K1133" s="55" t="s">
        <v>62</v>
      </c>
      <c r="L1133" s="57" t="str">
        <f>HYPERLINK("https://nycdoe.sharepoint.com/:w:/s/BAP/EfBCcVlbb9xArQkBvIo9gokBJW7DY2x5CLIWaFDqms85nA", "9 out of 10")</f>
        <v>9 out of 10</v>
      </c>
      <c r="M1133" t="s">
        <v>7636</v>
      </c>
    </row>
    <row r="1134" spans="2:13">
      <c r="B1134" s="55" t="s">
        <v>2926</v>
      </c>
      <c r="C1134" s="55" t="s">
        <v>2233</v>
      </c>
      <c r="D1134" s="55" t="s">
        <v>2947</v>
      </c>
      <c r="E1134" s="55" t="s">
        <v>2954</v>
      </c>
      <c r="F1134" s="55" t="s">
        <v>7639</v>
      </c>
      <c r="G1134" s="55" t="s">
        <v>7640</v>
      </c>
      <c r="H1134" s="55" t="s">
        <v>52</v>
      </c>
      <c r="I1134" s="55"/>
      <c r="J1134" s="55" t="s">
        <v>7635</v>
      </c>
      <c r="K1134" s="55" t="s">
        <v>62</v>
      </c>
      <c r="L1134" s="57" t="str">
        <f>HYPERLINK("https://nycdoe.sharepoint.com/:w:/s/BAP/EfBCcVlbb9xArQkBvIo9gokBJW7DY2x5CLIWaFDqms85nA", "9 out of 10")</f>
        <v>9 out of 10</v>
      </c>
      <c r="M1134" t="s">
        <v>7636</v>
      </c>
    </row>
    <row r="1135" spans="2:13">
      <c r="B1135" s="55" t="s">
        <v>2926</v>
      </c>
      <c r="C1135" s="55" t="s">
        <v>2233</v>
      </c>
      <c r="D1135" s="55" t="s">
        <v>2957</v>
      </c>
      <c r="E1135" s="55" t="s">
        <v>2957</v>
      </c>
      <c r="F1135" s="55" t="s">
        <v>7641</v>
      </c>
      <c r="G1135" s="55" t="s">
        <v>7642</v>
      </c>
      <c r="H1135" s="55" t="s">
        <v>17</v>
      </c>
      <c r="I1135" s="55" t="s">
        <v>18</v>
      </c>
      <c r="J1135" s="55" t="s">
        <v>7643</v>
      </c>
      <c r="K1135" s="55" t="s">
        <v>20</v>
      </c>
      <c r="L1135" s="57" t="str">
        <f>HYPERLINK("https://nycdoe.sharepoint.com/:w:/s/BAP/ERyfqZTdzENHhBnT8wzhtCABUv1boXWAHB71dT4oilZBCg", "7 out of 10")</f>
        <v>7 out of 10</v>
      </c>
      <c r="M1135" t="s">
        <v>7644</v>
      </c>
    </row>
    <row r="1136" spans="2:13">
      <c r="B1136" s="55" t="s">
        <v>2926</v>
      </c>
      <c r="C1136" s="55" t="s">
        <v>2233</v>
      </c>
      <c r="D1136" s="55" t="s">
        <v>2957</v>
      </c>
      <c r="E1136" s="55" t="s">
        <v>2961</v>
      </c>
      <c r="F1136" s="55" t="s">
        <v>7645</v>
      </c>
      <c r="G1136" s="55" t="s">
        <v>7646</v>
      </c>
      <c r="H1136" s="55" t="s">
        <v>84</v>
      </c>
      <c r="I1136" s="55"/>
      <c r="J1136" s="55" t="s">
        <v>7643</v>
      </c>
      <c r="K1136" s="55" t="s">
        <v>20</v>
      </c>
      <c r="L1136" s="57" t="str">
        <f>HYPERLINK("https://nycdoe.sharepoint.com/:w:/s/BAP/ERyfqZTdzENHhBnT8wzhtCABUv1boXWAHB71dT4oilZBCg", "7 out of 10")</f>
        <v>7 out of 10</v>
      </c>
      <c r="M1136" t="s">
        <v>7644</v>
      </c>
    </row>
    <row r="1137" spans="2:13">
      <c r="B1137" s="55" t="s">
        <v>2926</v>
      </c>
      <c r="C1137" s="55" t="s">
        <v>2233</v>
      </c>
      <c r="D1137" s="55" t="s">
        <v>2957</v>
      </c>
      <c r="E1137" s="55" t="s">
        <v>2964</v>
      </c>
      <c r="F1137" s="55" t="s">
        <v>7647</v>
      </c>
      <c r="G1137" s="55" t="s">
        <v>7648</v>
      </c>
      <c r="H1137" s="55" t="s">
        <v>43</v>
      </c>
      <c r="I1137" s="55"/>
      <c r="J1137" s="55" t="s">
        <v>7649</v>
      </c>
      <c r="K1137" s="55" t="s">
        <v>20</v>
      </c>
      <c r="L1137" s="57" t="str">
        <f>HYPERLINK("https://nycdoe.sharepoint.com/:w:/s/BAP/ERyfqZTdzENHhBnT8wzhtCABUv1boXWAHB71dT4oilZBCg", "7 out of 10")</f>
        <v>7 out of 10</v>
      </c>
      <c r="M1137" t="s">
        <v>7644</v>
      </c>
    </row>
    <row r="1138" spans="2:13">
      <c r="B1138" s="55" t="s">
        <v>2926</v>
      </c>
      <c r="C1138" s="55" t="s">
        <v>2233</v>
      </c>
      <c r="D1138" s="55" t="s">
        <v>7650</v>
      </c>
      <c r="E1138" s="55" t="s">
        <v>7650</v>
      </c>
      <c r="F1138" s="55" t="s">
        <v>7651</v>
      </c>
      <c r="G1138" s="55" t="s">
        <v>7652</v>
      </c>
      <c r="H1138" s="55" t="s">
        <v>17</v>
      </c>
      <c r="I1138" s="55" t="s">
        <v>18</v>
      </c>
      <c r="J1138" s="55" t="s">
        <v>7653</v>
      </c>
      <c r="K1138" s="55" t="s">
        <v>20</v>
      </c>
      <c r="L1138" s="57" t="str">
        <f>HYPERLINK("https://nycdoe.sharepoint.com/:w:/s/BAP/ER3QSYQ52udKmX1YUee1PRcB3GQICrmKyRSICqOmLG_3sg", "3 out of 10")</f>
        <v>3 out of 10</v>
      </c>
      <c r="M1138" t="s">
        <v>7654</v>
      </c>
    </row>
    <row r="1139" spans="2:13">
      <c r="B1139" s="55" t="s">
        <v>2926</v>
      </c>
      <c r="C1139" s="55" t="s">
        <v>2233</v>
      </c>
      <c r="D1139" s="55" t="s">
        <v>7655</v>
      </c>
      <c r="E1139" s="55" t="s">
        <v>7655</v>
      </c>
      <c r="F1139" s="55" t="s">
        <v>7656</v>
      </c>
      <c r="G1139" s="55" t="s">
        <v>7657</v>
      </c>
      <c r="H1139" s="55" t="s">
        <v>17</v>
      </c>
      <c r="I1139" s="55" t="s">
        <v>18</v>
      </c>
      <c r="J1139" s="55" t="s">
        <v>7658</v>
      </c>
      <c r="K1139" s="55" t="s">
        <v>20</v>
      </c>
      <c r="L1139" s="57" t="str">
        <f>HYPERLINK("https://nycdoe.sharepoint.com/:w:/s/BAP/Eb-oKy78MqdAn_gQStwWakgBftvSpiog_7LFzx9geuZx8A", "1 out of 10")</f>
        <v>1 out of 10</v>
      </c>
      <c r="M1139" t="s">
        <v>7659</v>
      </c>
    </row>
    <row r="1140" spans="2:13">
      <c r="B1140" s="55" t="s">
        <v>2926</v>
      </c>
      <c r="C1140" s="55" t="s">
        <v>2233</v>
      </c>
      <c r="D1140" s="55" t="s">
        <v>7655</v>
      </c>
      <c r="E1140" s="55" t="s">
        <v>2979</v>
      </c>
      <c r="F1140" s="55" t="s">
        <v>7660</v>
      </c>
      <c r="G1140" s="55" t="s">
        <v>7661</v>
      </c>
      <c r="H1140" s="55" t="s">
        <v>52</v>
      </c>
      <c r="I1140" s="55"/>
      <c r="J1140" s="55" t="s">
        <v>7658</v>
      </c>
      <c r="K1140" s="55" t="s">
        <v>20</v>
      </c>
      <c r="L1140" s="57" t="str">
        <f>HYPERLINK("https://nycdoe.sharepoint.com/:w:/s/BAP/Eb-oKy78MqdAn_gQStwWakgBftvSpiog_7LFzx9geuZx8A", "1 out of 10")</f>
        <v>1 out of 10</v>
      </c>
      <c r="M1140" t="s">
        <v>7659</v>
      </c>
    </row>
    <row r="1141" spans="2:13">
      <c r="B1141" s="55" t="s">
        <v>2926</v>
      </c>
      <c r="C1141" s="55" t="s">
        <v>2233</v>
      </c>
      <c r="D1141" s="55" t="s">
        <v>7662</v>
      </c>
      <c r="E1141" s="55" t="s">
        <v>7662</v>
      </c>
      <c r="F1141" s="55" t="s">
        <v>7663</v>
      </c>
      <c r="G1141" s="55" t="s">
        <v>7664</v>
      </c>
      <c r="H1141" s="55" t="s">
        <v>24</v>
      </c>
      <c r="I1141" s="55"/>
      <c r="J1141" s="55" t="s">
        <v>7665</v>
      </c>
      <c r="K1141" s="55" t="s">
        <v>20</v>
      </c>
      <c r="L1141" s="57" t="str">
        <f>HYPERLINK("https://nycdoe.sharepoint.com/:w:/s/BAP/EWXrFp2jWhpAqoS_NH2LzGcBI5fKdSR96WuRrWtmkp48xw", "1 out of 10")</f>
        <v>1 out of 10</v>
      </c>
      <c r="M1141" t="s">
        <v>7666</v>
      </c>
    </row>
    <row r="1142" spans="2:13">
      <c r="B1142" s="55" t="s">
        <v>2926</v>
      </c>
      <c r="C1142" s="55" t="s">
        <v>2233</v>
      </c>
      <c r="D1142" s="55" t="s">
        <v>2967</v>
      </c>
      <c r="E1142" s="55" t="s">
        <v>2967</v>
      </c>
      <c r="F1142" s="55" t="s">
        <v>7667</v>
      </c>
      <c r="G1142" s="55" t="s">
        <v>7668</v>
      </c>
      <c r="H1142" s="55" t="s">
        <v>17</v>
      </c>
      <c r="I1142" s="55" t="s">
        <v>18</v>
      </c>
      <c r="J1142" s="55" t="s">
        <v>7669</v>
      </c>
      <c r="K1142" s="55" t="s">
        <v>20</v>
      </c>
      <c r="L1142" s="57" t="str">
        <f>HYPERLINK("https://nycdoe.sharepoint.com/:w:/s/BAP/EYqIFpgINIpOmlUFfex3ExUBFDqConzHukEEJ98AJFw3sA", "3 out of 10")</f>
        <v>3 out of 10</v>
      </c>
      <c r="M1142" t="s">
        <v>7670</v>
      </c>
    </row>
    <row r="1143" spans="2:13">
      <c r="B1143" s="55" t="s">
        <v>2926</v>
      </c>
      <c r="C1143" s="55" t="s">
        <v>2233</v>
      </c>
      <c r="D1143" s="55" t="s">
        <v>2967</v>
      </c>
      <c r="E1143" s="55" t="s">
        <v>2971</v>
      </c>
      <c r="F1143" s="55" t="s">
        <v>7671</v>
      </c>
      <c r="G1143" s="55" t="s">
        <v>7672</v>
      </c>
      <c r="H1143" s="55" t="s">
        <v>24</v>
      </c>
      <c r="I1143" s="55"/>
      <c r="J1143" s="55" t="s">
        <v>7669</v>
      </c>
      <c r="K1143" s="55" t="s">
        <v>20</v>
      </c>
      <c r="L1143" s="57" t="str">
        <f>HYPERLINK("https://nycdoe.sharepoint.com/:w:/s/BAP/EYqIFpgINIpOmlUFfex3ExUBFDqConzHukEEJ98AJFw3sA", "3 out of 10")</f>
        <v>3 out of 10</v>
      </c>
      <c r="M1143" t="s">
        <v>7670</v>
      </c>
    </row>
    <row r="1144" spans="2:13">
      <c r="B1144" s="55" t="s">
        <v>2926</v>
      </c>
      <c r="C1144" s="55" t="s">
        <v>2233</v>
      </c>
      <c r="D1144" s="55" t="s">
        <v>7673</v>
      </c>
      <c r="E1144" s="55" t="s">
        <v>7673</v>
      </c>
      <c r="F1144" s="55" t="s">
        <v>7674</v>
      </c>
      <c r="G1144" s="55" t="s">
        <v>7675</v>
      </c>
      <c r="H1144" s="55" t="s">
        <v>17</v>
      </c>
      <c r="I1144" s="55" t="s">
        <v>18</v>
      </c>
      <c r="J1144" s="55" t="s">
        <v>7676</v>
      </c>
      <c r="K1144" s="55" t="s">
        <v>20</v>
      </c>
      <c r="L1144" s="57" t="str">
        <f>HYPERLINK("https://nycdoe.sharepoint.com/:w:/s/BAP/EQntKEGh7SBPmN_gMFYmtE0BY0KtyC3J6hN4U5YH8pqhIg", "2 out of 10")</f>
        <v>2 out of 10</v>
      </c>
      <c r="M1144" t="s">
        <v>7677</v>
      </c>
    </row>
    <row r="1145" spans="2:13">
      <c r="B1145" s="55" t="s">
        <v>2926</v>
      </c>
      <c r="C1145" s="55" t="s">
        <v>2233</v>
      </c>
      <c r="D1145" s="55" t="s">
        <v>7673</v>
      </c>
      <c r="E1145" s="55" t="s">
        <v>7678</v>
      </c>
      <c r="F1145" s="55" t="s">
        <v>7679</v>
      </c>
      <c r="G1145" s="55" t="s">
        <v>7680</v>
      </c>
      <c r="H1145" s="55" t="s">
        <v>43</v>
      </c>
      <c r="I1145" s="55" t="s">
        <v>18</v>
      </c>
      <c r="J1145" s="55" t="s">
        <v>7676</v>
      </c>
      <c r="K1145" s="55" t="s">
        <v>20</v>
      </c>
      <c r="L1145" s="57" t="str">
        <f>HYPERLINK("https://nycdoe.sharepoint.com/:w:/s/BAP/EQntKEGh7SBPmN_gMFYmtE0BY0KtyC3J6hN4U5YH8pqhIg", "2 out of 10")</f>
        <v>2 out of 10</v>
      </c>
      <c r="M1145" t="s">
        <v>7677</v>
      </c>
    </row>
    <row r="1146" spans="2:13">
      <c r="B1146" s="55" t="s">
        <v>2926</v>
      </c>
      <c r="C1146" s="55" t="s">
        <v>2233</v>
      </c>
      <c r="D1146" s="55" t="s">
        <v>2974</v>
      </c>
      <c r="E1146" s="55" t="s">
        <v>2975</v>
      </c>
      <c r="F1146" s="55" t="s">
        <v>7681</v>
      </c>
      <c r="G1146" s="55" t="s">
        <v>7682</v>
      </c>
      <c r="H1146" s="55" t="s">
        <v>43</v>
      </c>
      <c r="I1146" s="55"/>
      <c r="J1146" s="55" t="s">
        <v>7683</v>
      </c>
      <c r="K1146" s="55" t="s">
        <v>62</v>
      </c>
      <c r="L1146" s="57" t="str">
        <f>HYPERLINK("https://nycdoe.sharepoint.com/:w:/s/BAP/Ed3oXdgdlLJDlq4QtQN1d_MBcrwdoQTRtJVT8ZSpYzOE6w", "9 out of 10")</f>
        <v>9 out of 10</v>
      </c>
      <c r="M1146" t="s">
        <v>7684</v>
      </c>
    </row>
    <row r="1147" spans="2:13">
      <c r="B1147" s="55" t="s">
        <v>2926</v>
      </c>
      <c r="C1147" s="55" t="s">
        <v>2233</v>
      </c>
      <c r="D1147" s="55" t="s">
        <v>2974</v>
      </c>
      <c r="E1147" s="55" t="s">
        <v>2964</v>
      </c>
      <c r="F1147" s="55" t="s">
        <v>7647</v>
      </c>
      <c r="G1147" s="55" t="s">
        <v>7648</v>
      </c>
      <c r="H1147" s="55" t="s">
        <v>43</v>
      </c>
      <c r="I1147" s="55"/>
      <c r="J1147" s="55" t="s">
        <v>7683</v>
      </c>
      <c r="K1147" s="55" t="s">
        <v>62</v>
      </c>
      <c r="L1147" s="57" t="str">
        <f>HYPERLINK("https://nycdoe.sharepoint.com/:w:/s/BAP/Ed3oXdgdlLJDlq4QtQN1d_MBcrwdoQTRtJVT8ZSpYzOE6w", "9 out of 10")</f>
        <v>9 out of 10</v>
      </c>
      <c r="M1147" t="s">
        <v>7684</v>
      </c>
    </row>
    <row r="1148" spans="2:13">
      <c r="B1148" s="55" t="s">
        <v>2926</v>
      </c>
      <c r="C1148" s="55" t="s">
        <v>2233</v>
      </c>
      <c r="D1148" s="55" t="s">
        <v>2982</v>
      </c>
      <c r="E1148" s="55" t="s">
        <v>2982</v>
      </c>
      <c r="F1148" s="55" t="s">
        <v>7685</v>
      </c>
      <c r="G1148" s="55" t="s">
        <v>7686</v>
      </c>
      <c r="H1148" s="55" t="s">
        <v>17</v>
      </c>
      <c r="I1148" s="55" t="s">
        <v>18</v>
      </c>
      <c r="J1148" s="55" t="s">
        <v>7687</v>
      </c>
      <c r="K1148" s="55" t="s">
        <v>62</v>
      </c>
      <c r="L1148" s="57" t="str">
        <f>HYPERLINK("https://nycdoe.sharepoint.com/:w:/s/BAP/ETcithU_vR9IvGZO-zNazB0BRX7jUq09rXJGqBltLZy9ww", "9 out of 10")</f>
        <v>9 out of 10</v>
      </c>
      <c r="M1148" t="s">
        <v>7688</v>
      </c>
    </row>
    <row r="1149" spans="2:13">
      <c r="B1149" s="55" t="s">
        <v>2926</v>
      </c>
      <c r="C1149" s="55" t="s">
        <v>2233</v>
      </c>
      <c r="D1149" s="55" t="s">
        <v>2982</v>
      </c>
      <c r="E1149" s="55" t="s">
        <v>2772</v>
      </c>
      <c r="F1149" s="55" t="s">
        <v>7421</v>
      </c>
      <c r="G1149" s="55" t="s">
        <v>7422</v>
      </c>
      <c r="H1149" s="55" t="s">
        <v>24</v>
      </c>
      <c r="I1149" s="55" t="s">
        <v>18</v>
      </c>
      <c r="J1149" s="55" t="s">
        <v>7687</v>
      </c>
      <c r="K1149" s="55" t="s">
        <v>62</v>
      </c>
      <c r="L1149" s="57" t="str">
        <f>HYPERLINK("https://nycdoe.sharepoint.com/:w:/s/BAP/ETcithU_vR9IvGZO-zNazB0BRX7jUq09rXJGqBltLZy9ww", "9 out of 10")</f>
        <v>9 out of 10</v>
      </c>
      <c r="M1149" t="s">
        <v>7688</v>
      </c>
    </row>
    <row r="1150" spans="2:13">
      <c r="B1150" s="55" t="s">
        <v>2926</v>
      </c>
      <c r="C1150" s="55" t="s">
        <v>2233</v>
      </c>
      <c r="D1150" s="55" t="s">
        <v>2986</v>
      </c>
      <c r="E1150" s="55" t="s">
        <v>2987</v>
      </c>
      <c r="F1150" s="55" t="s">
        <v>7689</v>
      </c>
      <c r="G1150" s="55" t="s">
        <v>7690</v>
      </c>
      <c r="H1150" s="55" t="s">
        <v>17</v>
      </c>
      <c r="I1150" s="55"/>
      <c r="J1150" s="55" t="s">
        <v>7691</v>
      </c>
      <c r="K1150" s="55" t="s">
        <v>20</v>
      </c>
      <c r="L1150" s="57" t="str">
        <f>HYPERLINK("https://nycdoe.sharepoint.com/:w:/s/BAP/EVTBcRXQVO1JpnPMDdeCVxgBpihOxYALQYgIT76VHgECiQ", "1 out of 10")</f>
        <v>1 out of 10</v>
      </c>
      <c r="M1150" t="s">
        <v>7692</v>
      </c>
    </row>
    <row r="1151" spans="2:13">
      <c r="B1151" s="55" t="s">
        <v>2926</v>
      </c>
      <c r="C1151" s="55" t="s">
        <v>2233</v>
      </c>
      <c r="D1151" s="55" t="s">
        <v>7693</v>
      </c>
      <c r="E1151" s="55" t="s">
        <v>7694</v>
      </c>
      <c r="F1151" s="55" t="s">
        <v>7695</v>
      </c>
      <c r="G1151" s="55" t="s">
        <v>7696</v>
      </c>
      <c r="H1151" s="55" t="s">
        <v>24</v>
      </c>
      <c r="I1151" s="55" t="s">
        <v>18</v>
      </c>
      <c r="J1151" s="55" t="s">
        <v>7697</v>
      </c>
      <c r="K1151" s="55" t="s">
        <v>62</v>
      </c>
      <c r="L1151" s="57" t="str">
        <f>HYPERLINK("https://nycdoe.sharepoint.com/:w:/s/BAP/ES6_V32bCSxBhzidb_KMM1oBMUqeusLX6xcno7A06YMQ2g", "10 out of 10")</f>
        <v>10 out of 10</v>
      </c>
      <c r="M1151" t="s">
        <v>7698</v>
      </c>
    </row>
    <row r="1152" spans="2:13">
      <c r="B1152" s="55" t="s">
        <v>2926</v>
      </c>
      <c r="C1152" s="55" t="s">
        <v>2233</v>
      </c>
      <c r="D1152" s="55" t="s">
        <v>2606</v>
      </c>
      <c r="E1152" s="55" t="s">
        <v>2991</v>
      </c>
      <c r="F1152" s="55" t="s">
        <v>7699</v>
      </c>
      <c r="G1152" s="55" t="s">
        <v>7700</v>
      </c>
      <c r="H1152" s="55" t="s">
        <v>56</v>
      </c>
      <c r="I1152" s="55"/>
      <c r="J1152" s="55" t="s">
        <v>7701</v>
      </c>
      <c r="K1152" s="55" t="s">
        <v>62</v>
      </c>
      <c r="L1152" s="57" t="str">
        <f>HYPERLINK("https://nycdoe.sharepoint.com/:w:/s/BAP/ERDcNQ9U-fdBm-kGXCUuLYwBUGrJHfia8aQ2xe2-kOsFnQ", "9 out of 10")</f>
        <v>9 out of 10</v>
      </c>
      <c r="M1152" t="s">
        <v>7702</v>
      </c>
    </row>
    <row r="1153" spans="2:13">
      <c r="B1153" s="55" t="s">
        <v>2926</v>
      </c>
      <c r="C1153" s="55" t="s">
        <v>2233</v>
      </c>
      <c r="D1153" s="55" t="s">
        <v>2606</v>
      </c>
      <c r="E1153" s="55" t="s">
        <v>2995</v>
      </c>
      <c r="F1153" s="55" t="s">
        <v>7703</v>
      </c>
      <c r="G1153" s="55" t="s">
        <v>7704</v>
      </c>
      <c r="H1153" s="55" t="s">
        <v>43</v>
      </c>
      <c r="I1153" s="55"/>
      <c r="J1153" s="55" t="s">
        <v>7701</v>
      </c>
      <c r="K1153" s="55" t="s">
        <v>62</v>
      </c>
      <c r="L1153" s="57" t="str">
        <f>HYPERLINK("https://nycdoe.sharepoint.com/:w:/s/BAP/ERDcNQ9U-fdBm-kGXCUuLYwBUGrJHfia8aQ2xe2-kOsFnQ", "9 out of 10")</f>
        <v>9 out of 10</v>
      </c>
      <c r="M1153" t="s">
        <v>7702</v>
      </c>
    </row>
    <row r="1154" spans="2:13">
      <c r="B1154" s="55" t="s">
        <v>2926</v>
      </c>
      <c r="C1154" s="55" t="s">
        <v>2233</v>
      </c>
      <c r="D1154" s="55" t="s">
        <v>2998</v>
      </c>
      <c r="E1154" s="55" t="s">
        <v>2999</v>
      </c>
      <c r="F1154" s="55" t="s">
        <v>7705</v>
      </c>
      <c r="G1154" s="55" t="s">
        <v>7706</v>
      </c>
      <c r="H1154" s="55" t="s">
        <v>43</v>
      </c>
      <c r="I1154" s="55"/>
      <c r="J1154" s="55" t="s">
        <v>7707</v>
      </c>
      <c r="K1154" s="55" t="s">
        <v>62</v>
      </c>
      <c r="L1154" s="57" t="str">
        <f>HYPERLINK("https://nycdoe.sharepoint.com/:w:/s/BAP/ETGVbkhHFlpDq7LoSN0tvM8BlH0hIgYBUClZfrAryFzlfQ", "10 out of 10")</f>
        <v>10 out of 10</v>
      </c>
      <c r="M1154" t="s">
        <v>7708</v>
      </c>
    </row>
    <row r="1155" spans="2:13">
      <c r="B1155" s="55" t="s">
        <v>2926</v>
      </c>
      <c r="C1155" s="55" t="s">
        <v>2233</v>
      </c>
      <c r="D1155" s="55" t="s">
        <v>3003</v>
      </c>
      <c r="E1155" s="55" t="s">
        <v>3004</v>
      </c>
      <c r="F1155" s="55" t="s">
        <v>7709</v>
      </c>
      <c r="G1155" s="55" t="s">
        <v>7710</v>
      </c>
      <c r="H1155" s="55" t="s">
        <v>56</v>
      </c>
      <c r="I1155" s="55"/>
      <c r="J1155" s="55" t="s">
        <v>7711</v>
      </c>
      <c r="K1155" s="55" t="s">
        <v>20</v>
      </c>
      <c r="L1155" s="57" t="str">
        <f>HYPERLINK("https://nycdoe.sharepoint.com/:w:/s/BAP/Ee9sgp0JHONIp3qhe7QsykgBmXRNCOBL6rrosDcAdMsglQ", "1 out of 10")</f>
        <v>1 out of 10</v>
      </c>
      <c r="M1155" t="s">
        <v>7712</v>
      </c>
    </row>
    <row r="1156" spans="2:13">
      <c r="B1156" s="55" t="s">
        <v>2926</v>
      </c>
      <c r="C1156" s="55" t="s">
        <v>2233</v>
      </c>
      <c r="D1156" s="55" t="s">
        <v>3003</v>
      </c>
      <c r="E1156" s="55" t="s">
        <v>4490</v>
      </c>
      <c r="F1156" s="55" t="s">
        <v>4491</v>
      </c>
      <c r="G1156" s="55" t="s">
        <v>4492</v>
      </c>
      <c r="H1156" s="55" t="s">
        <v>56</v>
      </c>
      <c r="I1156" s="55"/>
      <c r="J1156" s="55" t="s">
        <v>7711</v>
      </c>
      <c r="K1156" s="55" t="s">
        <v>20</v>
      </c>
      <c r="L1156" s="57" t="str">
        <f>HYPERLINK("https://nycdoe.sharepoint.com/:w:/s/BAP/Ee9sgp0JHONIp3qhe7QsykgBmXRNCOBL6rrosDcAdMsglQ", "1 out of 10")</f>
        <v>1 out of 10</v>
      </c>
      <c r="M1156" t="s">
        <v>7712</v>
      </c>
    </row>
    <row r="1157" spans="2:13">
      <c r="B1157" s="55" t="s">
        <v>2926</v>
      </c>
      <c r="C1157" s="55" t="s">
        <v>2233</v>
      </c>
      <c r="D1157" s="55" t="s">
        <v>7713</v>
      </c>
      <c r="E1157" s="55" t="s">
        <v>7694</v>
      </c>
      <c r="F1157" s="55" t="s">
        <v>7695</v>
      </c>
      <c r="G1157" s="55" t="s">
        <v>7696</v>
      </c>
      <c r="H1157" s="55" t="s">
        <v>24</v>
      </c>
      <c r="I1157" s="55" t="s">
        <v>18</v>
      </c>
      <c r="J1157" s="55" t="s">
        <v>7714</v>
      </c>
      <c r="K1157" s="55" t="s">
        <v>20</v>
      </c>
      <c r="L1157" s="57" t="str">
        <f>HYPERLINK("https://nycdoe.sharepoint.com/:w:/s/BAP/ETt1Ib1_E5FHrMYvdOPo6QsBCgQZBdfPE73yyhSVhj1eNA", "1 out of 10")</f>
        <v>1 out of 10</v>
      </c>
      <c r="M1157" t="s">
        <v>7715</v>
      </c>
    </row>
    <row r="1158" spans="2:13">
      <c r="B1158" s="55" t="s">
        <v>2926</v>
      </c>
      <c r="C1158" s="55" t="s">
        <v>2233</v>
      </c>
      <c r="D1158" s="55" t="s">
        <v>3008</v>
      </c>
      <c r="E1158" s="55" t="s">
        <v>3009</v>
      </c>
      <c r="F1158" s="55" t="s">
        <v>7716</v>
      </c>
      <c r="G1158" s="55" t="s">
        <v>7717</v>
      </c>
      <c r="H1158" s="55" t="s">
        <v>84</v>
      </c>
      <c r="I1158" s="55"/>
      <c r="J1158" s="55" t="s">
        <v>7718</v>
      </c>
      <c r="K1158" s="55" t="s">
        <v>62</v>
      </c>
      <c r="L1158" s="57" t="str">
        <f>HYPERLINK("https://nycdoe.sharepoint.com/:w:/s/BAP/EXSl0oSHufhLnK2tr_2fvWsBHSSGpBx-4d6VzXqQqfZXvw", "10 out of 10")</f>
        <v>10 out of 10</v>
      </c>
      <c r="M1158" t="s">
        <v>7719</v>
      </c>
    </row>
    <row r="1159" spans="2:13">
      <c r="B1159" s="55" t="s">
        <v>3013</v>
      </c>
      <c r="C1159" s="55" t="s">
        <v>2233</v>
      </c>
      <c r="D1159" s="55" t="s">
        <v>3014</v>
      </c>
      <c r="E1159" s="55" t="s">
        <v>3014</v>
      </c>
      <c r="F1159" s="55" t="s">
        <v>7720</v>
      </c>
      <c r="G1159" s="55" t="s">
        <v>7721</v>
      </c>
      <c r="H1159" s="55" t="s">
        <v>17</v>
      </c>
      <c r="I1159" s="55" t="s">
        <v>18</v>
      </c>
      <c r="J1159" s="55" t="s">
        <v>7722</v>
      </c>
      <c r="K1159" s="55" t="s">
        <v>62</v>
      </c>
      <c r="L1159" s="57" t="str">
        <f>HYPERLINK("https://nycdoe.sharepoint.com/:w:/s/BAP/ESyyUez9yXpJixvpPTzaJQ8BKccZcpCGJXHqSXNoQFAFjg", "10 out of 10")</f>
        <v>10 out of 10</v>
      </c>
      <c r="M1159" t="s">
        <v>7723</v>
      </c>
    </row>
    <row r="1160" spans="2:13">
      <c r="B1160" s="55" t="s">
        <v>3013</v>
      </c>
      <c r="C1160" s="55" t="s">
        <v>2233</v>
      </c>
      <c r="D1160" s="55" t="s">
        <v>3014</v>
      </c>
      <c r="E1160" s="55" t="s">
        <v>4490</v>
      </c>
      <c r="F1160" s="55" t="s">
        <v>4491</v>
      </c>
      <c r="G1160" s="55" t="s">
        <v>4492</v>
      </c>
      <c r="H1160" s="55" t="s">
        <v>56</v>
      </c>
      <c r="I1160" s="55"/>
      <c r="J1160" s="55" t="s">
        <v>7722</v>
      </c>
      <c r="K1160" s="55" t="s">
        <v>62</v>
      </c>
      <c r="L1160" s="57" t="str">
        <f>HYPERLINK("https://nycdoe.sharepoint.com/:w:/s/BAP/ESyyUez9yXpJixvpPTzaJQ8BKccZcpCGJXHqSXNoQFAFjg", "10 out of 10")</f>
        <v>10 out of 10</v>
      </c>
      <c r="M1160" t="s">
        <v>7723</v>
      </c>
    </row>
    <row r="1161" spans="2:13">
      <c r="B1161" s="55" t="s">
        <v>3013</v>
      </c>
      <c r="C1161" s="55" t="s">
        <v>2233</v>
      </c>
      <c r="D1161" s="55" t="s">
        <v>3018</v>
      </c>
      <c r="E1161" s="55" t="s">
        <v>3018</v>
      </c>
      <c r="F1161" s="55" t="s">
        <v>7724</v>
      </c>
      <c r="G1161" s="55" t="s">
        <v>7725</v>
      </c>
      <c r="H1161" s="55" t="s">
        <v>17</v>
      </c>
      <c r="I1161" s="55" t="s">
        <v>18</v>
      </c>
      <c r="J1161" s="55" t="s">
        <v>7726</v>
      </c>
      <c r="K1161" s="55" t="s">
        <v>62</v>
      </c>
      <c r="L1161" s="57" t="str">
        <f>HYPERLINK("https://nycdoe.sharepoint.com/:w:/s/BAP/EWOoXRTyKL9LhbqXdK6LWsEBA3sirICq9oxLv4SrQQF28A", "10 out of 10")</f>
        <v>10 out of 10</v>
      </c>
      <c r="M1161" t="s">
        <v>7727</v>
      </c>
    </row>
    <row r="1162" spans="2:13">
      <c r="B1162" s="55" t="s">
        <v>3013</v>
      </c>
      <c r="C1162" s="55" t="s">
        <v>2233</v>
      </c>
      <c r="D1162" s="55" t="s">
        <v>3022</v>
      </c>
      <c r="E1162" s="55" t="s">
        <v>3022</v>
      </c>
      <c r="F1162" s="55" t="s">
        <v>7728</v>
      </c>
      <c r="G1162" s="55" t="s">
        <v>7729</v>
      </c>
      <c r="H1162" s="55" t="s">
        <v>17</v>
      </c>
      <c r="I1162" s="55" t="s">
        <v>18</v>
      </c>
      <c r="J1162" s="55" t="s">
        <v>7730</v>
      </c>
      <c r="K1162" s="55" t="s">
        <v>62</v>
      </c>
      <c r="L1162" s="57" t="str">
        <f>HYPERLINK("https://nycdoe.sharepoint.com/:w:/s/BAP/EVhrjeakmZ1AoHa_mMKM6vABBX3HSgWNGP6MJG_LbQQcjQ", "10 out of 10")</f>
        <v>10 out of 10</v>
      </c>
      <c r="M1162" t="s">
        <v>7731</v>
      </c>
    </row>
    <row r="1163" spans="2:13">
      <c r="B1163" s="55" t="s">
        <v>3013</v>
      </c>
      <c r="C1163" s="55" t="s">
        <v>2233</v>
      </c>
      <c r="D1163" s="55" t="s">
        <v>7732</v>
      </c>
      <c r="E1163" s="55" t="s">
        <v>7732</v>
      </c>
      <c r="F1163" s="55" t="s">
        <v>7733</v>
      </c>
      <c r="G1163" s="55" t="s">
        <v>7734</v>
      </c>
      <c r="H1163" s="55" t="s">
        <v>17</v>
      </c>
      <c r="I1163" s="55" t="s">
        <v>18</v>
      </c>
      <c r="J1163" s="55" t="s">
        <v>7735</v>
      </c>
      <c r="K1163" s="55" t="s">
        <v>20</v>
      </c>
      <c r="L1163" s="57" t="str">
        <f>HYPERLINK("https://nycdoe.sharepoint.com/:w:/s/BAP/EdBPg99Wsf9FhZjKwumB4iEBYncZVfueH2BqKbAk4UuUKA", "1 out of 10")</f>
        <v>1 out of 10</v>
      </c>
      <c r="M1163" t="s">
        <v>7736</v>
      </c>
    </row>
    <row r="1164" spans="2:13">
      <c r="B1164" s="55" t="s">
        <v>3013</v>
      </c>
      <c r="C1164" s="55" t="s">
        <v>2233</v>
      </c>
      <c r="D1164" s="55" t="s">
        <v>7732</v>
      </c>
      <c r="E1164" s="55" t="s">
        <v>2772</v>
      </c>
      <c r="F1164" s="55" t="s">
        <v>7421</v>
      </c>
      <c r="G1164" s="55" t="s">
        <v>7422</v>
      </c>
      <c r="H1164" s="55" t="s">
        <v>24</v>
      </c>
      <c r="I1164" s="55" t="s">
        <v>18</v>
      </c>
      <c r="J1164" s="55" t="s">
        <v>7735</v>
      </c>
      <c r="K1164" s="55" t="s">
        <v>20</v>
      </c>
      <c r="L1164" s="57" t="str">
        <f>HYPERLINK("https://nycdoe.sharepoint.com/:w:/s/BAP/EdBPg99Wsf9FhZjKwumB4iEBYncZVfueH2BqKbAk4UuUKA", "1 out of 10")</f>
        <v>1 out of 10</v>
      </c>
      <c r="M1164" t="s">
        <v>7736</v>
      </c>
    </row>
    <row r="1165" spans="2:13">
      <c r="B1165" s="55" t="s">
        <v>3013</v>
      </c>
      <c r="C1165" s="55" t="s">
        <v>2233</v>
      </c>
      <c r="D1165" s="55" t="s">
        <v>3026</v>
      </c>
      <c r="E1165" s="55" t="s">
        <v>3026</v>
      </c>
      <c r="F1165" s="55" t="s">
        <v>7737</v>
      </c>
      <c r="G1165" s="55" t="s">
        <v>7738</v>
      </c>
      <c r="H1165" s="55" t="s">
        <v>17</v>
      </c>
      <c r="I1165" s="55" t="s">
        <v>18</v>
      </c>
      <c r="J1165" s="55" t="s">
        <v>7739</v>
      </c>
      <c r="K1165" s="55" t="s">
        <v>62</v>
      </c>
      <c r="L1165" s="57" t="str">
        <f>HYPERLINK("https://nycdoe.sharepoint.com/:w:/s/BAP/EbGwZfgi7a1JlBCZCrKhelABJJORmw9nds4_Dxw0zyHERA", "10 out of 10")</f>
        <v>10 out of 10</v>
      </c>
      <c r="M1165" t="s">
        <v>7740</v>
      </c>
    </row>
    <row r="1166" spans="2:13">
      <c r="B1166" s="55" t="s">
        <v>3013</v>
      </c>
      <c r="C1166" s="55" t="s">
        <v>2233</v>
      </c>
      <c r="D1166" s="55" t="s">
        <v>7741</v>
      </c>
      <c r="E1166" s="55" t="s">
        <v>7741</v>
      </c>
      <c r="F1166" s="55" t="s">
        <v>7742</v>
      </c>
      <c r="G1166" s="55" t="s">
        <v>7743</v>
      </c>
      <c r="H1166" s="55" t="s">
        <v>52</v>
      </c>
      <c r="I1166" s="55"/>
      <c r="J1166" s="55" t="s">
        <v>7744</v>
      </c>
      <c r="K1166" s="55" t="s">
        <v>20</v>
      </c>
      <c r="L1166" s="57" t="str">
        <f>HYPERLINK("https://nycdoe.sharepoint.com/:w:/s/BAP/EeUuOiWLAXlKoTC43mz3TLEBj-R958WHsGg6LYdXHmhl-g", "1 out of 10")</f>
        <v>1 out of 10</v>
      </c>
      <c r="M1166" t="s">
        <v>7745</v>
      </c>
    </row>
    <row r="1167" spans="2:13">
      <c r="B1167" s="55" t="s">
        <v>3013</v>
      </c>
      <c r="C1167" s="55" t="s">
        <v>2233</v>
      </c>
      <c r="D1167" s="55" t="s">
        <v>7741</v>
      </c>
      <c r="E1167" s="55" t="s">
        <v>7746</v>
      </c>
      <c r="F1167" s="55" t="s">
        <v>7747</v>
      </c>
      <c r="G1167" s="55" t="s">
        <v>7748</v>
      </c>
      <c r="H1167" s="55" t="s">
        <v>56</v>
      </c>
      <c r="I1167" s="55"/>
      <c r="J1167" s="55" t="s">
        <v>7744</v>
      </c>
      <c r="K1167" s="55" t="s">
        <v>20</v>
      </c>
      <c r="L1167" s="57" t="str">
        <f>HYPERLINK("https://nycdoe.sharepoint.com/:w:/s/BAP/EeUuOiWLAXlKoTC43mz3TLEBj-R958WHsGg6LYdXHmhl-g", "1 out of 10")</f>
        <v>1 out of 10</v>
      </c>
      <c r="M1167" t="s">
        <v>7745</v>
      </c>
    </row>
    <row r="1168" spans="2:13">
      <c r="B1168" s="55" t="s">
        <v>3013</v>
      </c>
      <c r="C1168" s="55" t="s">
        <v>2233</v>
      </c>
      <c r="D1168" s="55" t="s">
        <v>7741</v>
      </c>
      <c r="E1168" s="55" t="s">
        <v>7749</v>
      </c>
      <c r="F1168" s="55" t="s">
        <v>7750</v>
      </c>
      <c r="G1168" s="55" t="s">
        <v>7751</v>
      </c>
      <c r="H1168" s="55" t="s">
        <v>56</v>
      </c>
      <c r="I1168" s="55"/>
      <c r="J1168" s="55" t="s">
        <v>7744</v>
      </c>
      <c r="K1168" s="55" t="s">
        <v>20</v>
      </c>
      <c r="L1168" s="57" t="str">
        <f>HYPERLINK("https://nycdoe.sharepoint.com/:w:/s/BAP/EeUuOiWLAXlKoTC43mz3TLEBj-R958WHsGg6LYdXHmhl-g", "1 out of 10")</f>
        <v>1 out of 10</v>
      </c>
      <c r="M1168" t="s">
        <v>7745</v>
      </c>
    </row>
    <row r="1169" spans="2:13">
      <c r="B1169" s="55" t="s">
        <v>3013</v>
      </c>
      <c r="C1169" s="55" t="s">
        <v>2233</v>
      </c>
      <c r="D1169" s="55" t="s">
        <v>3030</v>
      </c>
      <c r="E1169" s="55" t="s">
        <v>3031</v>
      </c>
      <c r="F1169" s="55" t="s">
        <v>7752</v>
      </c>
      <c r="G1169" s="55" t="s">
        <v>7753</v>
      </c>
      <c r="H1169" s="55" t="s">
        <v>43</v>
      </c>
      <c r="I1169" s="55"/>
      <c r="J1169" s="55" t="s">
        <v>7754</v>
      </c>
      <c r="K1169" s="55" t="s">
        <v>62</v>
      </c>
      <c r="L1169" s="57" t="str">
        <f>HYPERLINK("https://nycdoe.sharepoint.com/:w:/s/BAP/EU-OkTXMD0JPuc8didKMggEBzfw4Zn3wzs4i4lGL-WP_HQ", "10 out of 10")</f>
        <v>10 out of 10</v>
      </c>
      <c r="M1169" t="s">
        <v>7755</v>
      </c>
    </row>
    <row r="1170" spans="2:13">
      <c r="B1170" s="55" t="s">
        <v>3013</v>
      </c>
      <c r="C1170" s="55" t="s">
        <v>2233</v>
      </c>
      <c r="D1170" s="55" t="s">
        <v>3030</v>
      </c>
      <c r="E1170" s="55" t="s">
        <v>2323</v>
      </c>
      <c r="F1170" s="55" t="s">
        <v>7046</v>
      </c>
      <c r="G1170" s="55" t="s">
        <v>2325</v>
      </c>
      <c r="H1170" s="55" t="s">
        <v>43</v>
      </c>
      <c r="I1170" s="55" t="s">
        <v>18</v>
      </c>
      <c r="J1170" s="55" t="s">
        <v>7754</v>
      </c>
      <c r="K1170" s="55" t="s">
        <v>62</v>
      </c>
      <c r="L1170" s="57" t="str">
        <f>HYPERLINK("https://nycdoe.sharepoint.com/:w:/s/BAP/EU-OkTXMD0JPuc8didKMggEBzfw4Zn3wzs4i4lGL-WP_HQ", "10 out of 10")</f>
        <v>10 out of 10</v>
      </c>
      <c r="M1170" t="s">
        <v>7755</v>
      </c>
    </row>
    <row r="1171" spans="2:13">
      <c r="B1171" s="55" t="s">
        <v>3013</v>
      </c>
      <c r="C1171" s="55" t="s">
        <v>2233</v>
      </c>
      <c r="D1171" s="55" t="s">
        <v>3030</v>
      </c>
      <c r="E1171" s="55" t="s">
        <v>3035</v>
      </c>
      <c r="F1171" s="55" t="s">
        <v>7756</v>
      </c>
      <c r="G1171" s="55" t="s">
        <v>7757</v>
      </c>
      <c r="H1171" s="55" t="s">
        <v>52</v>
      </c>
      <c r="I1171" s="55"/>
      <c r="J1171" s="55" t="s">
        <v>7754</v>
      </c>
      <c r="K1171" s="55" t="s">
        <v>62</v>
      </c>
      <c r="L1171" s="57" t="str">
        <f>HYPERLINK("https://nycdoe.sharepoint.com/:w:/s/BAP/EU-OkTXMD0JPuc8didKMggEBzfw4Zn3wzs4i4lGL-WP_HQ", "10 out of 10")</f>
        <v>10 out of 10</v>
      </c>
      <c r="M1171" t="s">
        <v>7755</v>
      </c>
    </row>
    <row r="1172" spans="2:13">
      <c r="B1172" s="55" t="s">
        <v>3013</v>
      </c>
      <c r="C1172" s="55" t="s">
        <v>2233</v>
      </c>
      <c r="D1172" s="55" t="s">
        <v>3030</v>
      </c>
      <c r="E1172" s="55" t="s">
        <v>3038</v>
      </c>
      <c r="F1172" s="55" t="s">
        <v>7758</v>
      </c>
      <c r="G1172" s="55" t="s">
        <v>7759</v>
      </c>
      <c r="H1172" s="55" t="s">
        <v>52</v>
      </c>
      <c r="I1172" s="55"/>
      <c r="J1172" s="55" t="s">
        <v>7754</v>
      </c>
      <c r="K1172" s="55" t="s">
        <v>62</v>
      </c>
      <c r="L1172" s="57" t="str">
        <f>HYPERLINK("https://nycdoe.sharepoint.com/:w:/s/BAP/EU-OkTXMD0JPuc8didKMggEBzfw4Zn3wzs4i4lGL-WP_HQ", "10 out of 10")</f>
        <v>10 out of 10</v>
      </c>
      <c r="M1172" t="s">
        <v>7755</v>
      </c>
    </row>
    <row r="1173" spans="2:13">
      <c r="B1173" s="55" t="s">
        <v>3013</v>
      </c>
      <c r="C1173" s="55" t="s">
        <v>2233</v>
      </c>
      <c r="D1173" s="55" t="s">
        <v>3041</v>
      </c>
      <c r="E1173" s="55" t="s">
        <v>3042</v>
      </c>
      <c r="F1173" s="55" t="s">
        <v>7760</v>
      </c>
      <c r="G1173" s="55" t="s">
        <v>7761</v>
      </c>
      <c r="H1173" s="55" t="s">
        <v>24</v>
      </c>
      <c r="I1173" s="55" t="s">
        <v>18</v>
      </c>
      <c r="J1173" s="55" t="s">
        <v>7762</v>
      </c>
      <c r="K1173" s="55" t="s">
        <v>62</v>
      </c>
      <c r="L1173" s="57" t="str">
        <f>HYPERLINK("https://nycdoe.sharepoint.com/:w:/s/BAP/EYM3dL4TfRVLuD_GC47qcIQBq3QpzBDD_nO0xuJm86Ix7A", "10 out of 10")</f>
        <v>10 out of 10</v>
      </c>
      <c r="M1173" t="s">
        <v>7763</v>
      </c>
    </row>
    <row r="1174" spans="2:13">
      <c r="B1174" s="55" t="s">
        <v>3013</v>
      </c>
      <c r="C1174" s="55" t="s">
        <v>2233</v>
      </c>
      <c r="D1174" s="55" t="s">
        <v>3046</v>
      </c>
      <c r="E1174" s="55" t="s">
        <v>2943</v>
      </c>
      <c r="F1174" s="55" t="s">
        <v>7629</v>
      </c>
      <c r="G1174" s="55" t="s">
        <v>7630</v>
      </c>
      <c r="H1174" s="55" t="s">
        <v>84</v>
      </c>
      <c r="I1174" s="55" t="s">
        <v>18</v>
      </c>
      <c r="J1174" s="55" t="s">
        <v>7764</v>
      </c>
      <c r="K1174" s="55" t="s">
        <v>62</v>
      </c>
      <c r="L1174" s="57" t="str">
        <f>HYPERLINK("https://nycdoe.sharepoint.com/:w:/s/BAP/EYzKDQwgFhVNjvCMkFtAHaIB8vKiSDuINLs5rC7tLnmF8A", "9 out of 10")</f>
        <v>9 out of 10</v>
      </c>
      <c r="M1174" t="s">
        <v>7765</v>
      </c>
    </row>
    <row r="1175" spans="2:13">
      <c r="B1175" s="55" t="s">
        <v>3013</v>
      </c>
      <c r="C1175" s="55" t="s">
        <v>2233</v>
      </c>
      <c r="D1175" s="55" t="s">
        <v>3046</v>
      </c>
      <c r="E1175" s="55" t="s">
        <v>3046</v>
      </c>
      <c r="F1175" s="55" t="s">
        <v>7766</v>
      </c>
      <c r="G1175" s="55" t="s">
        <v>7767</v>
      </c>
      <c r="H1175" s="55" t="s">
        <v>17</v>
      </c>
      <c r="I1175" s="55" t="s">
        <v>18</v>
      </c>
      <c r="J1175" s="55" t="s">
        <v>7764</v>
      </c>
      <c r="K1175" s="55" t="s">
        <v>62</v>
      </c>
      <c r="L1175" s="57" t="str">
        <f>HYPERLINK("https://nycdoe.sharepoint.com/:w:/s/BAP/EYzKDQwgFhVNjvCMkFtAHaIB8vKiSDuINLs5rC7tLnmF8A", "9 out of 10")</f>
        <v>9 out of 10</v>
      </c>
      <c r="M1175" t="s">
        <v>7765</v>
      </c>
    </row>
    <row r="1176" spans="2:13">
      <c r="B1176" s="55" t="s">
        <v>3013</v>
      </c>
      <c r="C1176" s="55" t="s">
        <v>2233</v>
      </c>
      <c r="D1176" s="55" t="s">
        <v>3053</v>
      </c>
      <c r="E1176" s="55" t="s">
        <v>3053</v>
      </c>
      <c r="F1176" s="55" t="s">
        <v>7768</v>
      </c>
      <c r="G1176" s="55" t="s">
        <v>7769</v>
      </c>
      <c r="H1176" s="55" t="s">
        <v>17</v>
      </c>
      <c r="I1176" s="55" t="s">
        <v>18</v>
      </c>
      <c r="J1176" s="55" t="s">
        <v>7770</v>
      </c>
      <c r="K1176" s="55" t="s">
        <v>20</v>
      </c>
      <c r="L1176" s="57" t="str">
        <f>HYPERLINK("https://nycdoe.sharepoint.com/:w:/s/BAP/ERIjUybnVLdMkeY__KLJTosBVpD3WtrGMg_Nc7u4KPuoVA", "7 out of 10")</f>
        <v>7 out of 10</v>
      </c>
      <c r="M1176" t="s">
        <v>7771</v>
      </c>
    </row>
    <row r="1177" spans="2:13">
      <c r="B1177" s="55" t="s">
        <v>3013</v>
      </c>
      <c r="C1177" s="55" t="s">
        <v>2233</v>
      </c>
      <c r="D1177" s="55" t="s">
        <v>3053</v>
      </c>
      <c r="E1177" s="55" t="s">
        <v>3057</v>
      </c>
      <c r="F1177" s="55" t="s">
        <v>7772</v>
      </c>
      <c r="G1177" s="55" t="s">
        <v>7773</v>
      </c>
      <c r="H1177" s="55" t="s">
        <v>17</v>
      </c>
      <c r="I1177" s="55" t="s">
        <v>18</v>
      </c>
      <c r="J1177" s="55" t="s">
        <v>7770</v>
      </c>
      <c r="K1177" s="55" t="s">
        <v>20</v>
      </c>
      <c r="L1177" s="57" t="str">
        <f>HYPERLINK("https://nycdoe.sharepoint.com/:w:/s/BAP/ERIjUybnVLdMkeY__KLJTosBVpD3WtrGMg_Nc7u4KPuoVA", "7 out of 10")</f>
        <v>7 out of 10</v>
      </c>
      <c r="M1177" t="s">
        <v>7771</v>
      </c>
    </row>
    <row r="1178" spans="2:13">
      <c r="B1178" s="55" t="s">
        <v>3013</v>
      </c>
      <c r="C1178" s="55" t="s">
        <v>2233</v>
      </c>
      <c r="D1178" s="55" t="s">
        <v>7774</v>
      </c>
      <c r="E1178" s="55" t="s">
        <v>7775</v>
      </c>
      <c r="F1178" s="55" t="s">
        <v>7776</v>
      </c>
      <c r="G1178" s="55" t="s">
        <v>7777</v>
      </c>
      <c r="H1178" s="55" t="s">
        <v>17</v>
      </c>
      <c r="I1178" s="55"/>
      <c r="J1178" s="55" t="s">
        <v>7778</v>
      </c>
      <c r="K1178" s="55" t="s">
        <v>20</v>
      </c>
      <c r="L1178" s="57" t="str">
        <f>HYPERLINK("https://nycdoe.sharepoint.com/:w:/s/BAP/EYY4Wm4nA3xJu5Jo6AOdy6MBqp_qmJdH5w-e_KRkjwJLRA", "2 out of 10")</f>
        <v>2 out of 10</v>
      </c>
      <c r="M1178" t="s">
        <v>7779</v>
      </c>
    </row>
    <row r="1179" spans="2:13">
      <c r="B1179" s="55" t="s">
        <v>3013</v>
      </c>
      <c r="C1179" s="55" t="s">
        <v>2233</v>
      </c>
      <c r="D1179" s="55" t="s">
        <v>7774</v>
      </c>
      <c r="E1179" s="55" t="s">
        <v>7774</v>
      </c>
      <c r="F1179" s="55" t="s">
        <v>7780</v>
      </c>
      <c r="G1179" s="55" t="s">
        <v>7781</v>
      </c>
      <c r="H1179" s="55" t="s">
        <v>17</v>
      </c>
      <c r="I1179" s="55"/>
      <c r="J1179" s="55" t="s">
        <v>7778</v>
      </c>
      <c r="K1179" s="55" t="s">
        <v>20</v>
      </c>
      <c r="L1179" s="57" t="str">
        <f>HYPERLINK("https://nycdoe.sharepoint.com/:w:/s/BAP/EYY4Wm4nA3xJu5Jo6AOdy6MBqp_qmJdH5w-e_KRkjwJLRA", "2 out of 10")</f>
        <v>2 out of 10</v>
      </c>
      <c r="M1179" t="s">
        <v>7779</v>
      </c>
    </row>
    <row r="1180" spans="2:13">
      <c r="B1180" s="55" t="s">
        <v>3013</v>
      </c>
      <c r="C1180" s="55" t="s">
        <v>2233</v>
      </c>
      <c r="D1180" s="55" t="s">
        <v>3060</v>
      </c>
      <c r="E1180" s="55" t="s">
        <v>3060</v>
      </c>
      <c r="F1180" s="55" t="s">
        <v>7782</v>
      </c>
      <c r="G1180" s="55" t="s">
        <v>7783</v>
      </c>
      <c r="H1180" s="55" t="s">
        <v>52</v>
      </c>
      <c r="I1180" s="55"/>
      <c r="J1180" s="55" t="s">
        <v>7784</v>
      </c>
      <c r="K1180" s="55" t="s">
        <v>20</v>
      </c>
      <c r="L1180" s="57" t="str">
        <f>HYPERLINK("https://nycdoe.sharepoint.com/:w:/s/BAP/EWGNioARYrVMjylch3_1Fe0BH5UR7HFOncE8MEXYmlrvSg", "7 out of 10")</f>
        <v>7 out of 10</v>
      </c>
      <c r="M1180" t="s">
        <v>7785</v>
      </c>
    </row>
    <row r="1181" spans="2:13">
      <c r="B1181" s="55" t="s">
        <v>3013</v>
      </c>
      <c r="C1181" s="55" t="s">
        <v>2233</v>
      </c>
      <c r="D1181" s="55" t="s">
        <v>3060</v>
      </c>
      <c r="E1181" s="55" t="s">
        <v>3064</v>
      </c>
      <c r="F1181" s="55" t="s">
        <v>7786</v>
      </c>
      <c r="G1181" s="55" t="s">
        <v>7787</v>
      </c>
      <c r="H1181" s="55" t="s">
        <v>43</v>
      </c>
      <c r="I1181" s="55" t="s">
        <v>18</v>
      </c>
      <c r="J1181" s="55" t="s">
        <v>7784</v>
      </c>
      <c r="K1181" s="55" t="s">
        <v>20</v>
      </c>
      <c r="L1181" s="57" t="str">
        <f>HYPERLINK("https://nycdoe.sharepoint.com/:w:/s/BAP/EWGNioARYrVMjylch3_1Fe0BH5UR7HFOncE8MEXYmlrvSg", "7 out of 10")</f>
        <v>7 out of 10</v>
      </c>
      <c r="M1181" t="s">
        <v>7785</v>
      </c>
    </row>
    <row r="1182" spans="2:13">
      <c r="B1182" s="55" t="s">
        <v>3013</v>
      </c>
      <c r="C1182" s="55" t="s">
        <v>2233</v>
      </c>
      <c r="D1182" s="55" t="s">
        <v>3067</v>
      </c>
      <c r="E1182" s="55" t="s">
        <v>3067</v>
      </c>
      <c r="F1182" s="55" t="s">
        <v>7788</v>
      </c>
      <c r="G1182" s="55" t="s">
        <v>7789</v>
      </c>
      <c r="H1182" s="55" t="s">
        <v>17</v>
      </c>
      <c r="I1182" s="55" t="s">
        <v>18</v>
      </c>
      <c r="J1182" s="55" t="s">
        <v>7790</v>
      </c>
      <c r="K1182" s="55" t="s">
        <v>20</v>
      </c>
      <c r="L1182" s="57" t="str">
        <f>HYPERLINK("https://nycdoe.sharepoint.com/:w:/s/BAP/EY2pK3iSa7ZNr_zx317NbKgBTyEaXOOEtcZxMEJXSLmhKQ", "8 out of 10")</f>
        <v>8 out of 10</v>
      </c>
      <c r="M1182" t="s">
        <v>7791</v>
      </c>
    </row>
    <row r="1183" spans="2:13">
      <c r="B1183" s="55" t="s">
        <v>3013</v>
      </c>
      <c r="C1183" s="55" t="s">
        <v>2233</v>
      </c>
      <c r="D1183" s="55" t="s">
        <v>3071</v>
      </c>
      <c r="E1183" s="55" t="s">
        <v>3071</v>
      </c>
      <c r="F1183" s="55" t="s">
        <v>7792</v>
      </c>
      <c r="G1183" s="55" t="s">
        <v>7793</v>
      </c>
      <c r="H1183" s="55" t="s">
        <v>17</v>
      </c>
      <c r="I1183" s="55" t="s">
        <v>18</v>
      </c>
      <c r="J1183" s="55" t="s">
        <v>7794</v>
      </c>
      <c r="K1183" s="55" t="s">
        <v>20</v>
      </c>
      <c r="L1183" s="57" t="str">
        <f>HYPERLINK("https://nycdoe.sharepoint.com/:w:/s/BAP/EbWj5y4HET9HjpgtmBFSZU8BfzzS1RLB9MGEkU5jWH9wwA", "5 out of 10")</f>
        <v>5 out of 10</v>
      </c>
      <c r="M1183" t="s">
        <v>7795</v>
      </c>
    </row>
    <row r="1184" spans="2:13">
      <c r="B1184" s="55" t="s">
        <v>3013</v>
      </c>
      <c r="C1184" s="55" t="s">
        <v>2233</v>
      </c>
      <c r="D1184" s="55" t="s">
        <v>3071</v>
      </c>
      <c r="E1184" s="55" t="s">
        <v>3075</v>
      </c>
      <c r="F1184" s="55" t="s">
        <v>7796</v>
      </c>
      <c r="G1184" s="55" t="s">
        <v>7797</v>
      </c>
      <c r="H1184" s="55" t="s">
        <v>17</v>
      </c>
      <c r="I1184" s="55" t="s">
        <v>18</v>
      </c>
      <c r="J1184" s="55" t="s">
        <v>7794</v>
      </c>
      <c r="K1184" s="55" t="s">
        <v>20</v>
      </c>
      <c r="L1184" s="57" t="str">
        <f>HYPERLINK("https://nycdoe.sharepoint.com/:w:/s/BAP/EbWj5y4HET9HjpgtmBFSZU8BfzzS1RLB9MGEkU5jWH9wwA", "5 out of 10")</f>
        <v>5 out of 10</v>
      </c>
      <c r="M1184" t="s">
        <v>7795</v>
      </c>
    </row>
    <row r="1185" spans="2:13">
      <c r="B1185" s="55" t="s">
        <v>3013</v>
      </c>
      <c r="C1185" s="55" t="s">
        <v>2233</v>
      </c>
      <c r="D1185" s="55" t="s">
        <v>3078</v>
      </c>
      <c r="E1185" s="55" t="s">
        <v>3078</v>
      </c>
      <c r="F1185" s="55" t="s">
        <v>7798</v>
      </c>
      <c r="G1185" s="55" t="s">
        <v>7799</v>
      </c>
      <c r="H1185" s="55" t="s">
        <v>24</v>
      </c>
      <c r="I1185" s="55" t="s">
        <v>18</v>
      </c>
      <c r="J1185" s="55" t="s">
        <v>7800</v>
      </c>
      <c r="K1185" s="55" t="s">
        <v>20</v>
      </c>
      <c r="L1185" s="57" t="str">
        <f>HYPERLINK("https://nycdoe.sharepoint.com/:w:/s/BAP/EbjtKjs7hndBkeUdSCfnrSwBMzMPINtB-XHlini8nqJeMg", "6 out of 10")</f>
        <v>6 out of 10</v>
      </c>
      <c r="M1185" t="s">
        <v>7801</v>
      </c>
    </row>
    <row r="1186" spans="2:13">
      <c r="B1186" s="55" t="s">
        <v>3013</v>
      </c>
      <c r="C1186" s="55" t="s">
        <v>2233</v>
      </c>
      <c r="D1186" s="55" t="s">
        <v>3085</v>
      </c>
      <c r="E1186" s="55" t="s">
        <v>3086</v>
      </c>
      <c r="F1186" s="55" t="s">
        <v>7802</v>
      </c>
      <c r="G1186" s="55" t="s">
        <v>7803</v>
      </c>
      <c r="H1186" s="55" t="s">
        <v>24</v>
      </c>
      <c r="I1186" s="55"/>
      <c r="J1186" s="55" t="s">
        <v>7804</v>
      </c>
      <c r="K1186" s="55" t="s">
        <v>62</v>
      </c>
      <c r="L1186" s="57" t="str">
        <f>HYPERLINK("https://nycdoe.sharepoint.com/:w:/s/BAP/EQpUkuuy1PNImYIPwtNb4OUBNgUM79yMgbdJYQvs37DNGw", "10 out of 10")</f>
        <v>10 out of 10</v>
      </c>
      <c r="M1186" t="s">
        <v>7805</v>
      </c>
    </row>
    <row r="1187" spans="2:13">
      <c r="B1187" s="55" t="s">
        <v>3013</v>
      </c>
      <c r="C1187" s="55" t="s">
        <v>2233</v>
      </c>
      <c r="D1187" s="55" t="s">
        <v>3085</v>
      </c>
      <c r="E1187" s="55" t="s">
        <v>3090</v>
      </c>
      <c r="F1187" s="55" t="s">
        <v>7806</v>
      </c>
      <c r="G1187" s="55" t="s">
        <v>7807</v>
      </c>
      <c r="H1187" s="55" t="s">
        <v>17</v>
      </c>
      <c r="I1187" s="55"/>
      <c r="J1187" s="55" t="s">
        <v>7804</v>
      </c>
      <c r="K1187" s="55" t="s">
        <v>62</v>
      </c>
      <c r="L1187" s="57" t="str">
        <f>HYPERLINK("https://nycdoe.sharepoint.com/:w:/s/BAP/EQpUkuuy1PNImYIPwtNb4OUBNgUM79yMgbdJYQvs37DNGw", "10 out of 10")</f>
        <v>10 out of 10</v>
      </c>
      <c r="M1187" t="s">
        <v>7805</v>
      </c>
    </row>
    <row r="1188" spans="2:13">
      <c r="B1188" s="55" t="s">
        <v>3013</v>
      </c>
      <c r="C1188" s="55" t="s">
        <v>2233</v>
      </c>
      <c r="D1188" s="55" t="s">
        <v>3093</v>
      </c>
      <c r="E1188" s="55" t="s">
        <v>3093</v>
      </c>
      <c r="F1188" s="55" t="s">
        <v>7808</v>
      </c>
      <c r="G1188" s="55" t="s">
        <v>7809</v>
      </c>
      <c r="H1188" s="55" t="s">
        <v>17</v>
      </c>
      <c r="I1188" s="55"/>
      <c r="J1188" s="55" t="s">
        <v>7810</v>
      </c>
      <c r="K1188" s="55" t="s">
        <v>62</v>
      </c>
      <c r="L1188" s="57" t="str">
        <f>HYPERLINK("https://nycdoe.sharepoint.com/:w:/s/BAP/ESY_r0ZHzY1NkCt63eysiW4BXb3RcGwIAC6lPp_OdL2g0A", "10 out of 10")</f>
        <v>10 out of 10</v>
      </c>
      <c r="M1188" t="s">
        <v>7811</v>
      </c>
    </row>
    <row r="1189" spans="2:13">
      <c r="B1189" s="55" t="s">
        <v>3013</v>
      </c>
      <c r="C1189" s="55" t="s">
        <v>2233</v>
      </c>
      <c r="D1189" s="55" t="s">
        <v>7812</v>
      </c>
      <c r="E1189" s="55" t="s">
        <v>7812</v>
      </c>
      <c r="F1189" s="55" t="s">
        <v>7813</v>
      </c>
      <c r="G1189" s="55" t="s">
        <v>7814</v>
      </c>
      <c r="H1189" s="55" t="s">
        <v>24</v>
      </c>
      <c r="I1189" s="55" t="s">
        <v>18</v>
      </c>
      <c r="J1189" s="55" t="s">
        <v>7815</v>
      </c>
      <c r="K1189" s="55" t="s">
        <v>20</v>
      </c>
      <c r="L1189" s="57" t="str">
        <f>HYPERLINK("https://nycdoe.sharepoint.com/:w:/s/BAP/EaCS3dVhSe5Lt5J8vCc-kxsBmL8TlJNwm0oA6nomGTRVGA", "4 out of 10")</f>
        <v>4 out of 10</v>
      </c>
      <c r="M1189" t="s">
        <v>7816</v>
      </c>
    </row>
    <row r="1190" spans="2:13">
      <c r="B1190" s="55" t="s">
        <v>3013</v>
      </c>
      <c r="C1190" s="55" t="s">
        <v>2233</v>
      </c>
      <c r="D1190" s="55" t="s">
        <v>3097</v>
      </c>
      <c r="E1190" s="55" t="s">
        <v>2943</v>
      </c>
      <c r="F1190" s="55" t="s">
        <v>7629</v>
      </c>
      <c r="G1190" s="55" t="s">
        <v>7630</v>
      </c>
      <c r="H1190" s="55" t="s">
        <v>84</v>
      </c>
      <c r="I1190" s="55" t="s">
        <v>18</v>
      </c>
      <c r="J1190" s="55" t="s">
        <v>7817</v>
      </c>
      <c r="K1190" s="55" t="s">
        <v>20</v>
      </c>
      <c r="L1190" s="57" t="str">
        <f>HYPERLINK("https://nycdoe.sharepoint.com/:w:/s/BAP/EaLWnepRF5ZOsp9bAL5dB_8BZq7-xMtaKVw7MYXPONO-_g", "6 out of 10")</f>
        <v>6 out of 10</v>
      </c>
      <c r="M1190" t="s">
        <v>7818</v>
      </c>
    </row>
    <row r="1191" spans="2:13">
      <c r="B1191" s="55" t="s">
        <v>3013</v>
      </c>
      <c r="C1191" s="55" t="s">
        <v>2233</v>
      </c>
      <c r="D1191" s="55" t="s">
        <v>3097</v>
      </c>
      <c r="E1191" s="55" t="s">
        <v>3097</v>
      </c>
      <c r="F1191" s="55" t="s">
        <v>7819</v>
      </c>
      <c r="G1191" s="55" t="s">
        <v>3100</v>
      </c>
      <c r="H1191" s="55" t="s">
        <v>17</v>
      </c>
      <c r="I1191" s="55" t="s">
        <v>18</v>
      </c>
      <c r="J1191" s="55" t="s">
        <v>7817</v>
      </c>
      <c r="K1191" s="55" t="s">
        <v>20</v>
      </c>
      <c r="L1191" s="57" t="str">
        <f>HYPERLINK("https://nycdoe.sharepoint.com/:w:/s/BAP/EaLWnepRF5ZOsp9bAL5dB_8BZq7-xMtaKVw7MYXPONO-_g", "6 out of 10")</f>
        <v>6 out of 10</v>
      </c>
      <c r="M1191" t="s">
        <v>7818</v>
      </c>
    </row>
    <row r="1192" spans="2:13">
      <c r="B1192" s="55" t="s">
        <v>3013</v>
      </c>
      <c r="C1192" s="55" t="s">
        <v>2233</v>
      </c>
      <c r="D1192" s="55" t="s">
        <v>3101</v>
      </c>
      <c r="E1192" s="55" t="s">
        <v>2943</v>
      </c>
      <c r="F1192" s="55" t="s">
        <v>7629</v>
      </c>
      <c r="G1192" s="55" t="s">
        <v>7630</v>
      </c>
      <c r="H1192" s="55" t="s">
        <v>84</v>
      </c>
      <c r="I1192" s="55" t="s">
        <v>18</v>
      </c>
      <c r="J1192" s="55" t="s">
        <v>7820</v>
      </c>
      <c r="K1192" s="55" t="s">
        <v>62</v>
      </c>
      <c r="L1192" s="57" t="str">
        <f>HYPERLINK("https://nycdoe.sharepoint.com/:w:/s/BAP/ESQgqgRi7clLhmVA64xCvAUBnZhJI8wWCvUdytyUXI7H8g", "9 out of 10")</f>
        <v>9 out of 10</v>
      </c>
      <c r="M1192" t="s">
        <v>7821</v>
      </c>
    </row>
    <row r="1193" spans="2:13">
      <c r="B1193" s="55" t="s">
        <v>3013</v>
      </c>
      <c r="C1193" s="55" t="s">
        <v>2233</v>
      </c>
      <c r="D1193" s="55" t="s">
        <v>3101</v>
      </c>
      <c r="E1193" s="55" t="s">
        <v>3102</v>
      </c>
      <c r="F1193" s="55" t="s">
        <v>7822</v>
      </c>
      <c r="G1193" s="55" t="s">
        <v>7823</v>
      </c>
      <c r="H1193" s="55" t="s">
        <v>84</v>
      </c>
      <c r="I1193" s="55"/>
      <c r="J1193" s="55" t="s">
        <v>7820</v>
      </c>
      <c r="K1193" s="55" t="s">
        <v>62</v>
      </c>
      <c r="L1193" s="57" t="str">
        <f>HYPERLINK("https://nycdoe.sharepoint.com/:w:/s/BAP/ESQgqgRi7clLhmVA64xCvAUBnZhJI8wWCvUdytyUXI7H8g", "9 out of 10")</f>
        <v>9 out of 10</v>
      </c>
      <c r="M1193" t="s">
        <v>7821</v>
      </c>
    </row>
    <row r="1194" spans="2:13">
      <c r="B1194" s="55" t="s">
        <v>3013</v>
      </c>
      <c r="C1194" s="55" t="s">
        <v>2233</v>
      </c>
      <c r="D1194" s="55" t="s">
        <v>3101</v>
      </c>
      <c r="E1194" s="55" t="s">
        <v>3106</v>
      </c>
      <c r="F1194" s="55" t="s">
        <v>7824</v>
      </c>
      <c r="G1194" s="55" t="s">
        <v>7825</v>
      </c>
      <c r="H1194" s="55" t="s">
        <v>52</v>
      </c>
      <c r="I1194" s="55"/>
      <c r="J1194" s="55" t="s">
        <v>7820</v>
      </c>
      <c r="K1194" s="55" t="s">
        <v>62</v>
      </c>
      <c r="L1194" s="57" t="str">
        <f>HYPERLINK("https://nycdoe.sharepoint.com/:w:/s/BAP/ESQgqgRi7clLhmVA64xCvAUBnZhJI8wWCvUdytyUXI7H8g", "9 out of 10")</f>
        <v>9 out of 10</v>
      </c>
      <c r="M1194" t="s">
        <v>7821</v>
      </c>
    </row>
    <row r="1195" spans="2:13">
      <c r="B1195" s="55" t="s">
        <v>3013</v>
      </c>
      <c r="C1195" s="55" t="s">
        <v>2233</v>
      </c>
      <c r="D1195" s="55" t="s">
        <v>3109</v>
      </c>
      <c r="E1195" s="55" t="s">
        <v>3110</v>
      </c>
      <c r="F1195" s="55" t="s">
        <v>7826</v>
      </c>
      <c r="G1195" s="55" t="s">
        <v>7827</v>
      </c>
      <c r="H1195" s="55" t="s">
        <v>24</v>
      </c>
      <c r="I1195" s="55" t="s">
        <v>18</v>
      </c>
      <c r="J1195" s="55" t="s">
        <v>7828</v>
      </c>
      <c r="K1195" s="55" t="s">
        <v>62</v>
      </c>
      <c r="L1195" s="57" t="str">
        <f>HYPERLINK("https://nycdoe.sharepoint.com/:w:/s/BAP/EUGMP12WDF1Evx35JVwmRJ0BFuhquOakBAD30ZwhYTYhtg", "10 out of 10")</f>
        <v>10 out of 10</v>
      </c>
      <c r="M1195" t="s">
        <v>7829</v>
      </c>
    </row>
    <row r="1196" spans="2:13">
      <c r="B1196" s="55" t="s">
        <v>3013</v>
      </c>
      <c r="C1196" s="55" t="s">
        <v>2233</v>
      </c>
      <c r="D1196" s="55" t="s">
        <v>7830</v>
      </c>
      <c r="E1196" s="55" t="s">
        <v>2323</v>
      </c>
      <c r="F1196" s="55" t="s">
        <v>7046</v>
      </c>
      <c r="G1196" s="55" t="s">
        <v>2325</v>
      </c>
      <c r="H1196" s="55" t="s">
        <v>43</v>
      </c>
      <c r="I1196" s="55" t="s">
        <v>18</v>
      </c>
      <c r="J1196" s="55" t="s">
        <v>7831</v>
      </c>
      <c r="K1196" s="55" t="s">
        <v>20</v>
      </c>
      <c r="L1196" s="57" t="str">
        <f>HYPERLINK("https://nycdoe.sharepoint.com/:w:/s/BAP/EZ_31RdbEexFsMF0n8HfS_wB3KZQBx92gou10yrVyi_T6A", "4 out of 10")</f>
        <v>4 out of 10</v>
      </c>
      <c r="M1196" t="s">
        <v>7832</v>
      </c>
    </row>
    <row r="1197" spans="2:13">
      <c r="B1197" s="55" t="s">
        <v>3013</v>
      </c>
      <c r="C1197" s="55" t="s">
        <v>2233</v>
      </c>
      <c r="D1197" s="55" t="s">
        <v>3114</v>
      </c>
      <c r="E1197" s="55" t="s">
        <v>3115</v>
      </c>
      <c r="F1197" s="55" t="s">
        <v>7833</v>
      </c>
      <c r="G1197" s="55" t="s">
        <v>7834</v>
      </c>
      <c r="H1197" s="55" t="s">
        <v>56</v>
      </c>
      <c r="I1197" s="55"/>
      <c r="J1197" s="55" t="s">
        <v>7835</v>
      </c>
      <c r="K1197" s="55" t="s">
        <v>20</v>
      </c>
      <c r="L1197" s="57" t="str">
        <f>HYPERLINK("https://nycdoe.sharepoint.com/:w:/s/BAP/EbtH51paTO9Ck-sqWfHqSqABuZcnIAPqWvCuKmVOLLlTcA", "7 out of 10")</f>
        <v>7 out of 10</v>
      </c>
      <c r="M1197" t="s">
        <v>7836</v>
      </c>
    </row>
    <row r="1198" spans="2:13">
      <c r="B1198" s="55" t="s">
        <v>3013</v>
      </c>
      <c r="C1198" s="55" t="s">
        <v>2233</v>
      </c>
      <c r="D1198" s="55" t="s">
        <v>3114</v>
      </c>
      <c r="E1198" s="55" t="s">
        <v>3119</v>
      </c>
      <c r="F1198" s="55" t="s">
        <v>7837</v>
      </c>
      <c r="G1198" s="55" t="s">
        <v>7838</v>
      </c>
      <c r="H1198" s="55" t="s">
        <v>56</v>
      </c>
      <c r="I1198" s="55"/>
      <c r="J1198" s="55" t="s">
        <v>7835</v>
      </c>
      <c r="K1198" s="55" t="s">
        <v>20</v>
      </c>
      <c r="L1198" s="57" t="str">
        <f>HYPERLINK("https://nycdoe.sharepoint.com/:w:/s/BAP/EbtH51paTO9Ck-sqWfHqSqABuZcnIAPqWvCuKmVOLLlTcA", "7 out of 10")</f>
        <v>7 out of 10</v>
      </c>
      <c r="M1198" t="s">
        <v>7836</v>
      </c>
    </row>
    <row r="1199" spans="2:13">
      <c r="B1199" s="55" t="s">
        <v>3013</v>
      </c>
      <c r="C1199" s="55" t="s">
        <v>2233</v>
      </c>
      <c r="D1199" s="55" t="s">
        <v>3114</v>
      </c>
      <c r="E1199" s="55" t="s">
        <v>3122</v>
      </c>
      <c r="F1199" s="55" t="s">
        <v>7839</v>
      </c>
      <c r="G1199" s="55" t="s">
        <v>7840</v>
      </c>
      <c r="H1199" s="55" t="s">
        <v>56</v>
      </c>
      <c r="I1199" s="55"/>
      <c r="J1199" s="55" t="s">
        <v>7835</v>
      </c>
      <c r="K1199" s="55" t="s">
        <v>20</v>
      </c>
      <c r="L1199" s="57" t="str">
        <f>HYPERLINK("https://nycdoe.sharepoint.com/:w:/s/BAP/EbtH51paTO9Ck-sqWfHqSqABuZcnIAPqWvCuKmVOLLlTcA", "7 out of 10")</f>
        <v>7 out of 10</v>
      </c>
      <c r="M1199" t="s">
        <v>7836</v>
      </c>
    </row>
    <row r="1200" spans="2:13">
      <c r="B1200" s="55" t="s">
        <v>3013</v>
      </c>
      <c r="C1200" s="55" t="s">
        <v>2233</v>
      </c>
      <c r="D1200" s="55" t="s">
        <v>3114</v>
      </c>
      <c r="E1200" s="55" t="s">
        <v>3125</v>
      </c>
      <c r="F1200" s="55" t="s">
        <v>7841</v>
      </c>
      <c r="G1200" s="55" t="s">
        <v>7842</v>
      </c>
      <c r="H1200" s="55" t="s">
        <v>56</v>
      </c>
      <c r="I1200" s="55"/>
      <c r="J1200" s="55" t="s">
        <v>7835</v>
      </c>
      <c r="K1200" s="55" t="s">
        <v>20</v>
      </c>
      <c r="L1200" s="57" t="str">
        <f>HYPERLINK("https://nycdoe.sharepoint.com/:w:/s/BAP/EbtH51paTO9Ck-sqWfHqSqABuZcnIAPqWvCuKmVOLLlTcA", "7 out of 10")</f>
        <v>7 out of 10</v>
      </c>
      <c r="M1200" t="s">
        <v>7836</v>
      </c>
    </row>
    <row r="1201" spans="2:13">
      <c r="B1201" s="55" t="s">
        <v>3013</v>
      </c>
      <c r="C1201" s="55" t="s">
        <v>2233</v>
      </c>
      <c r="D1201" s="55" t="s">
        <v>7843</v>
      </c>
      <c r="E1201" s="55" t="s">
        <v>3152</v>
      </c>
      <c r="F1201" s="55" t="s">
        <v>7844</v>
      </c>
      <c r="G1201" s="55" t="s">
        <v>7845</v>
      </c>
      <c r="H1201" s="55" t="s">
        <v>24</v>
      </c>
      <c r="I1201" s="55"/>
      <c r="J1201" s="55" t="s">
        <v>7846</v>
      </c>
      <c r="K1201" s="55" t="s">
        <v>62</v>
      </c>
      <c r="L1201" s="57" t="str">
        <f>HYPERLINK("https://nycdoe.sharepoint.com/:w:/s/BAP/EaY5tqBn98lKkK2QsfpoXNQBqt3zfhqUp7TKH_N7xkip1A", "10 out of 10")</f>
        <v>10 out of 10</v>
      </c>
      <c r="M1201" t="s">
        <v>7847</v>
      </c>
    </row>
    <row r="1202" spans="2:13">
      <c r="B1202" s="55" t="s">
        <v>3013</v>
      </c>
      <c r="C1202" s="55" t="s">
        <v>2233</v>
      </c>
      <c r="D1202" s="55" t="s">
        <v>7843</v>
      </c>
      <c r="E1202" s="55" t="s">
        <v>3157</v>
      </c>
      <c r="F1202" s="55" t="s">
        <v>7848</v>
      </c>
      <c r="G1202" s="55" t="s">
        <v>7849</v>
      </c>
      <c r="H1202" s="55" t="s">
        <v>24</v>
      </c>
      <c r="I1202" s="55"/>
      <c r="J1202" s="55" t="s">
        <v>7846</v>
      </c>
      <c r="K1202" s="55" t="s">
        <v>62</v>
      </c>
      <c r="L1202" s="57" t="str">
        <f>HYPERLINK("https://nycdoe.sharepoint.com/:w:/s/BAP/EaY5tqBn98lKkK2QsfpoXNQBqt3zfhqUp7TKH_N7xkip1A", "10 out of 10")</f>
        <v>10 out of 10</v>
      </c>
      <c r="M1202" t="s">
        <v>7847</v>
      </c>
    </row>
    <row r="1203" spans="2:13">
      <c r="B1203" s="55" t="s">
        <v>3013</v>
      </c>
      <c r="C1203" s="55" t="s">
        <v>2233</v>
      </c>
      <c r="D1203" s="55" t="s">
        <v>3128</v>
      </c>
      <c r="E1203" s="55" t="s">
        <v>3128</v>
      </c>
      <c r="F1203" s="55" t="s">
        <v>7850</v>
      </c>
      <c r="G1203" s="55" t="s">
        <v>7851</v>
      </c>
      <c r="H1203" s="55" t="s">
        <v>52</v>
      </c>
      <c r="I1203" s="55"/>
      <c r="J1203" s="55" t="s">
        <v>7852</v>
      </c>
      <c r="K1203" s="55" t="s">
        <v>20</v>
      </c>
      <c r="L1203" s="57" t="str">
        <f>HYPERLINK("https://nycdoe.sharepoint.com/:w:/s/BAP/EWrEYBHT7hFDt4Ncmyk-nRsBJXqoj-OgaiwR3WNlEwW86w", "7 out of 10")</f>
        <v>7 out of 10</v>
      </c>
      <c r="M1203" t="s">
        <v>7853</v>
      </c>
    </row>
    <row r="1204" spans="2:13">
      <c r="B1204" s="55" t="s">
        <v>3013</v>
      </c>
      <c r="C1204" s="55" t="s">
        <v>2233</v>
      </c>
      <c r="D1204" s="55" t="s">
        <v>3132</v>
      </c>
      <c r="E1204" s="55" t="s">
        <v>3132</v>
      </c>
      <c r="F1204" s="55" t="s">
        <v>7854</v>
      </c>
      <c r="G1204" s="55" t="s">
        <v>7855</v>
      </c>
      <c r="H1204" s="55" t="s">
        <v>56</v>
      </c>
      <c r="I1204" s="55"/>
      <c r="J1204" s="55" t="s">
        <v>7856</v>
      </c>
      <c r="K1204" s="55" t="s">
        <v>20</v>
      </c>
      <c r="L1204" s="57" t="str">
        <f>HYPERLINK("https://nycdoe.sharepoint.com/:w:/s/BAP/EfbUy86om65PlldM1qFZ0E0BkgW3QxcMQ2YRC-8GyLwgyg", "6 out of 10")</f>
        <v>6 out of 10</v>
      </c>
      <c r="M1204" t="s">
        <v>7857</v>
      </c>
    </row>
    <row r="1205" spans="2:13">
      <c r="B1205" s="55" t="s">
        <v>3013</v>
      </c>
      <c r="C1205" s="55" t="s">
        <v>2233</v>
      </c>
      <c r="D1205" s="55" t="s">
        <v>3136</v>
      </c>
      <c r="E1205" s="55" t="s">
        <v>3137</v>
      </c>
      <c r="F1205" s="55" t="s">
        <v>7858</v>
      </c>
      <c r="G1205" s="55" t="s">
        <v>7859</v>
      </c>
      <c r="H1205" s="55" t="s">
        <v>56</v>
      </c>
      <c r="I1205" s="55"/>
      <c r="J1205" s="55" t="s">
        <v>7860</v>
      </c>
      <c r="K1205" s="55" t="s">
        <v>20</v>
      </c>
      <c r="L1205" s="57" t="str">
        <f>HYPERLINK("https://nycdoe.sharepoint.com/:w:/s/BAP/EXrthidTivNMnTKSXc2xdncBvKX-em7OpfFPhSnp6oLIgA", "4 out of 10")</f>
        <v>4 out of 10</v>
      </c>
      <c r="M1205" t="s">
        <v>7861</v>
      </c>
    </row>
    <row r="1206" spans="2:13">
      <c r="B1206" s="55" t="s">
        <v>3013</v>
      </c>
      <c r="C1206" s="55" t="s">
        <v>2233</v>
      </c>
      <c r="D1206" s="55" t="s">
        <v>3141</v>
      </c>
      <c r="E1206" s="55" t="s">
        <v>3142</v>
      </c>
      <c r="F1206" s="55" t="s">
        <v>7862</v>
      </c>
      <c r="G1206" s="55" t="s">
        <v>7863</v>
      </c>
      <c r="H1206" s="55" t="s">
        <v>84</v>
      </c>
      <c r="I1206" s="55"/>
      <c r="J1206" s="55" t="s">
        <v>7864</v>
      </c>
      <c r="K1206" s="55" t="s">
        <v>62</v>
      </c>
      <c r="L1206" s="57" t="str">
        <f>HYPERLINK("https://nycdoe.sharepoint.com/:w:/s/BAP/Ed5egoYDrN9CuWERre1nx1wBBT7WR9ejojOOVcy3GVhyzw", "10 out of 10")</f>
        <v>10 out of 10</v>
      </c>
      <c r="M1206" t="s">
        <v>7865</v>
      </c>
    </row>
    <row r="1207" spans="2:13">
      <c r="B1207" s="55" t="s">
        <v>3013</v>
      </c>
      <c r="C1207" s="55" t="s">
        <v>2233</v>
      </c>
      <c r="D1207" s="55" t="s">
        <v>3146</v>
      </c>
      <c r="E1207" s="55" t="s">
        <v>3147</v>
      </c>
      <c r="F1207" s="55" t="s">
        <v>7866</v>
      </c>
      <c r="G1207" s="55" t="s">
        <v>7867</v>
      </c>
      <c r="H1207" s="55" t="s">
        <v>56</v>
      </c>
      <c r="I1207" s="55"/>
      <c r="J1207" s="55" t="s">
        <v>7868</v>
      </c>
      <c r="K1207" s="55" t="s">
        <v>62</v>
      </c>
      <c r="L1207" s="57" t="str">
        <f>HYPERLINK("https://nycdoe.sharepoint.com/:w:/s/BAP/Ed3g-rP3-XZCi5vVHsprlisBTTMDv_p9JNAmjix_jDzXcA", "10 out of 10")</f>
        <v>10 out of 10</v>
      </c>
      <c r="M1207" t="s">
        <v>7869</v>
      </c>
    </row>
    <row r="1208" spans="2:13">
      <c r="B1208" s="55" t="s">
        <v>3161</v>
      </c>
      <c r="C1208" s="55" t="s">
        <v>3162</v>
      </c>
      <c r="D1208" s="55" t="s">
        <v>3163</v>
      </c>
      <c r="E1208" s="55" t="s">
        <v>4564</v>
      </c>
      <c r="F1208" s="55" t="s">
        <v>4565</v>
      </c>
      <c r="G1208" s="55" t="s">
        <v>4566</v>
      </c>
      <c r="H1208" s="55" t="s">
        <v>52</v>
      </c>
      <c r="I1208" s="55"/>
      <c r="J1208" s="55" t="s">
        <v>7870</v>
      </c>
      <c r="K1208" s="55" t="s">
        <v>62</v>
      </c>
      <c r="L1208" s="57" t="str">
        <f>HYPERLINK("https://nycdoe.sharepoint.com/:w:/s/BAP/EdTPhLQTXZNErK3fVt-RP5MBBU8XUcNPqEFti0GnpMnoqQ", "10 out of 10")</f>
        <v>10 out of 10</v>
      </c>
      <c r="M1208" t="s">
        <v>7871</v>
      </c>
    </row>
    <row r="1209" spans="2:13">
      <c r="B1209" s="55" t="s">
        <v>3161</v>
      </c>
      <c r="C1209" s="55" t="s">
        <v>3162</v>
      </c>
      <c r="D1209" s="55" t="s">
        <v>3163</v>
      </c>
      <c r="E1209" s="55" t="s">
        <v>3163</v>
      </c>
      <c r="F1209" s="55" t="s">
        <v>7872</v>
      </c>
      <c r="G1209" s="55" t="s">
        <v>7873</v>
      </c>
      <c r="H1209" s="55" t="s">
        <v>52</v>
      </c>
      <c r="I1209" s="55"/>
      <c r="J1209" s="55" t="s">
        <v>7870</v>
      </c>
      <c r="K1209" s="55" t="s">
        <v>62</v>
      </c>
      <c r="L1209" s="57" t="str">
        <f>HYPERLINK("https://nycdoe.sharepoint.com/:w:/s/BAP/EdTPhLQTXZNErK3fVt-RP5MBBU8XUcNPqEFti0GnpMnoqQ", "10 out of 10")</f>
        <v>10 out of 10</v>
      </c>
      <c r="M1209" t="s">
        <v>7871</v>
      </c>
    </row>
    <row r="1210" spans="2:13">
      <c r="B1210" s="55" t="s">
        <v>3161</v>
      </c>
      <c r="C1210" s="55" t="s">
        <v>3162</v>
      </c>
      <c r="D1210" s="55" t="s">
        <v>3163</v>
      </c>
      <c r="E1210" s="55" t="s">
        <v>3167</v>
      </c>
      <c r="F1210" s="55" t="s">
        <v>7874</v>
      </c>
      <c r="G1210" s="55" t="s">
        <v>3169</v>
      </c>
      <c r="H1210" s="55" t="s">
        <v>24</v>
      </c>
      <c r="I1210" s="55"/>
      <c r="J1210" s="55" t="s">
        <v>7870</v>
      </c>
      <c r="K1210" s="55" t="s">
        <v>62</v>
      </c>
      <c r="L1210" s="57" t="str">
        <f>HYPERLINK("https://nycdoe.sharepoint.com/:w:/s/BAP/EdTPhLQTXZNErK3fVt-RP5MBBU8XUcNPqEFti0GnpMnoqQ", "10 out of 10")</f>
        <v>10 out of 10</v>
      </c>
      <c r="M1210" t="s">
        <v>7871</v>
      </c>
    </row>
    <row r="1211" spans="2:13">
      <c r="B1211" s="55" t="s">
        <v>3161</v>
      </c>
      <c r="C1211" s="55" t="s">
        <v>3162</v>
      </c>
      <c r="D1211" s="55" t="s">
        <v>3170</v>
      </c>
      <c r="E1211" s="55" t="s">
        <v>3170</v>
      </c>
      <c r="F1211" s="55" t="s">
        <v>7875</v>
      </c>
      <c r="G1211" s="55" t="s">
        <v>7876</v>
      </c>
      <c r="H1211" s="55" t="s">
        <v>17</v>
      </c>
      <c r="I1211" s="55" t="s">
        <v>18</v>
      </c>
      <c r="J1211" s="55" t="s">
        <v>7877</v>
      </c>
      <c r="K1211" s="55" t="s">
        <v>62</v>
      </c>
      <c r="L1211" s="57" t="str">
        <f>HYPERLINK("https://nycdoe.sharepoint.com/:w:/s/BAP/ETwpTGz2NfNCkWVjvHpxFCwBMicG1H95HJr-LnY7SVZj9g", "10 out of 10")</f>
        <v>10 out of 10</v>
      </c>
      <c r="M1211" t="s">
        <v>7878</v>
      </c>
    </row>
    <row r="1212" spans="2:13">
      <c r="B1212" s="55" t="s">
        <v>3161</v>
      </c>
      <c r="C1212" s="55" t="s">
        <v>3162</v>
      </c>
      <c r="D1212" s="55" t="s">
        <v>3170</v>
      </c>
      <c r="E1212" s="55" t="s">
        <v>3174</v>
      </c>
      <c r="F1212" s="55" t="s">
        <v>7879</v>
      </c>
      <c r="G1212" s="55" t="s">
        <v>3176</v>
      </c>
      <c r="H1212" s="55" t="s">
        <v>43</v>
      </c>
      <c r="I1212" s="55"/>
      <c r="J1212" s="55" t="s">
        <v>7877</v>
      </c>
      <c r="K1212" s="55" t="s">
        <v>62</v>
      </c>
      <c r="L1212" s="57" t="str">
        <f>HYPERLINK("https://nycdoe.sharepoint.com/:w:/s/BAP/ETwpTGz2NfNCkWVjvHpxFCwBMicG1H95HJr-LnY7SVZj9g", "10 out of 10")</f>
        <v>10 out of 10</v>
      </c>
      <c r="M1212" t="s">
        <v>7878</v>
      </c>
    </row>
    <row r="1213" spans="2:13">
      <c r="B1213" s="55" t="s">
        <v>3161</v>
      </c>
      <c r="C1213" s="55" t="s">
        <v>3162</v>
      </c>
      <c r="D1213" s="55" t="s">
        <v>3167</v>
      </c>
      <c r="E1213" s="55" t="s">
        <v>3167</v>
      </c>
      <c r="F1213" s="55" t="s">
        <v>7874</v>
      </c>
      <c r="G1213" s="55" t="s">
        <v>3169</v>
      </c>
      <c r="H1213" s="55" t="s">
        <v>24</v>
      </c>
      <c r="I1213" s="55"/>
      <c r="J1213" s="55" t="s">
        <v>7880</v>
      </c>
      <c r="K1213" s="55" t="s">
        <v>20</v>
      </c>
      <c r="L1213" s="57" t="str">
        <f>HYPERLINK("https://nycdoe.sharepoint.com/:w:/s/BAP/Efng_t2O41BBt92dd2yj4TIBKQNnx2aeHPoHUaqt7ubVrg", "1 out of 10")</f>
        <v>1 out of 10</v>
      </c>
      <c r="M1213" t="s">
        <v>7881</v>
      </c>
    </row>
    <row r="1214" spans="2:13">
      <c r="B1214" s="55" t="s">
        <v>3161</v>
      </c>
      <c r="C1214" s="55" t="s">
        <v>3162</v>
      </c>
      <c r="D1214" s="55" t="s">
        <v>3177</v>
      </c>
      <c r="E1214" s="55" t="s">
        <v>3177</v>
      </c>
      <c r="F1214" s="55" t="s">
        <v>7882</v>
      </c>
      <c r="G1214" s="55" t="s">
        <v>7883</v>
      </c>
      <c r="H1214" s="55" t="s">
        <v>17</v>
      </c>
      <c r="I1214" s="55"/>
      <c r="J1214" s="55" t="s">
        <v>7884</v>
      </c>
      <c r="K1214" s="55" t="s">
        <v>62</v>
      </c>
      <c r="L1214" s="57" t="str">
        <f>HYPERLINK("https://nycdoe.sharepoint.com/:w:/s/BAP/ERS2agjJZJxPoV9hMcr4BPsBtKs0xGDcid1aRstLiaPNcg", "9 out of 10")</f>
        <v>9 out of 10</v>
      </c>
      <c r="M1214" t="s">
        <v>7885</v>
      </c>
    </row>
    <row r="1215" spans="2:13">
      <c r="B1215" s="55" t="s">
        <v>3161</v>
      </c>
      <c r="C1215" s="55" t="s">
        <v>3162</v>
      </c>
      <c r="D1215" s="55" t="s">
        <v>3181</v>
      </c>
      <c r="E1215" s="55" t="s">
        <v>3181</v>
      </c>
      <c r="F1215" s="55" t="s">
        <v>7886</v>
      </c>
      <c r="G1215" s="55" t="s">
        <v>7887</v>
      </c>
      <c r="H1215" s="55" t="s">
        <v>17</v>
      </c>
      <c r="I1215" s="55" t="s">
        <v>18</v>
      </c>
      <c r="J1215" s="55" t="s">
        <v>7888</v>
      </c>
      <c r="K1215" s="55" t="s">
        <v>62</v>
      </c>
      <c r="L1215" s="57" t="str">
        <f>HYPERLINK("https://nycdoe.sharepoint.com/:w:/s/BAP/Ef7_FpXKSQFIuC2xMs70X1UBRD6pe_YUv7VuBpCRalk02w", "9 out of 10")</f>
        <v>9 out of 10</v>
      </c>
      <c r="M1215" t="s">
        <v>7889</v>
      </c>
    </row>
    <row r="1216" spans="2:13">
      <c r="B1216" s="55" t="s">
        <v>3161</v>
      </c>
      <c r="C1216" s="55" t="s">
        <v>3162</v>
      </c>
      <c r="D1216" s="55" t="s">
        <v>3185</v>
      </c>
      <c r="E1216" s="55" t="s">
        <v>3185</v>
      </c>
      <c r="F1216" s="55" t="s">
        <v>7890</v>
      </c>
      <c r="G1216" s="55" t="s">
        <v>7891</v>
      </c>
      <c r="H1216" s="55" t="s">
        <v>17</v>
      </c>
      <c r="I1216" s="55"/>
      <c r="J1216" s="55" t="s">
        <v>7892</v>
      </c>
      <c r="K1216" s="55" t="s">
        <v>62</v>
      </c>
      <c r="L1216" s="57" t="str">
        <f>HYPERLINK("https://nycdoe.sharepoint.com/:w:/s/BAP/EXwuFQjNuf5Ggel6VqlbPrEB8z_n-j5Pg9ccD57GT1qhgQ", "9 out of 10")</f>
        <v>9 out of 10</v>
      </c>
      <c r="M1216" t="s">
        <v>7893</v>
      </c>
    </row>
    <row r="1217" spans="2:13">
      <c r="B1217" s="55" t="s">
        <v>3161</v>
      </c>
      <c r="C1217" s="55" t="s">
        <v>3162</v>
      </c>
      <c r="D1217" s="55" t="s">
        <v>3189</v>
      </c>
      <c r="E1217" s="55" t="s">
        <v>3189</v>
      </c>
      <c r="F1217" s="55" t="s">
        <v>7894</v>
      </c>
      <c r="G1217" s="55" t="s">
        <v>7895</v>
      </c>
      <c r="H1217" s="55" t="s">
        <v>17</v>
      </c>
      <c r="I1217" s="55" t="s">
        <v>18</v>
      </c>
      <c r="J1217" s="55" t="s">
        <v>7896</v>
      </c>
      <c r="K1217" s="55" t="s">
        <v>62</v>
      </c>
      <c r="L1217" s="57" t="str">
        <f>HYPERLINK("https://nycdoe.sharepoint.com/:w:/s/BAP/ETwafC1SmVpOp_eS8n0ctusBtGcA6uFyW7y-MT4s7-d_lA", "9 out of 10")</f>
        <v>9 out of 10</v>
      </c>
      <c r="M1217" t="s">
        <v>7897</v>
      </c>
    </row>
    <row r="1218" spans="2:13">
      <c r="B1218" s="55" t="s">
        <v>3161</v>
      </c>
      <c r="C1218" s="55" t="s">
        <v>3162</v>
      </c>
      <c r="D1218" s="55" t="s">
        <v>3193</v>
      </c>
      <c r="E1218" s="55" t="s">
        <v>3193</v>
      </c>
      <c r="F1218" s="55" t="s">
        <v>7898</v>
      </c>
      <c r="G1218" s="55" t="s">
        <v>7899</v>
      </c>
      <c r="H1218" s="55" t="s">
        <v>553</v>
      </c>
      <c r="I1218" s="55"/>
      <c r="J1218" s="55" t="s">
        <v>7900</v>
      </c>
      <c r="K1218" s="55" t="s">
        <v>62</v>
      </c>
      <c r="L1218" s="57" t="str">
        <f>HYPERLINK("https://nycdoe.sharepoint.com/:w:/s/BAP/EchRNqpWnvJBpY1kj89Sj50BGTzqu39rhykdtAiXWBjC1w", "10 out of 10")</f>
        <v>10 out of 10</v>
      </c>
      <c r="M1218" t="s">
        <v>7901</v>
      </c>
    </row>
    <row r="1219" spans="2:13">
      <c r="B1219" s="55" t="s">
        <v>3161</v>
      </c>
      <c r="C1219" s="55" t="s">
        <v>3162</v>
      </c>
      <c r="D1219" s="55" t="s">
        <v>3197</v>
      </c>
      <c r="E1219" s="55" t="s">
        <v>3197</v>
      </c>
      <c r="F1219" s="55" t="s">
        <v>7902</v>
      </c>
      <c r="G1219" s="55" t="s">
        <v>7903</v>
      </c>
      <c r="H1219" s="55" t="s">
        <v>24</v>
      </c>
      <c r="I1219" s="55"/>
      <c r="J1219" s="55" t="s">
        <v>7904</v>
      </c>
      <c r="K1219" s="55" t="s">
        <v>62</v>
      </c>
      <c r="L1219" s="57" t="str">
        <f>HYPERLINK("https://nycdoe.sharepoint.com/:w:/s/BAP/EXJ9KSQDIbxMpWocDnb6i28BkyILO0uohSqiTm4AQ2_vbw", "9 out of 10")</f>
        <v>9 out of 10</v>
      </c>
      <c r="M1219" t="s">
        <v>7905</v>
      </c>
    </row>
    <row r="1220" spans="2:13">
      <c r="B1220" s="55" t="s">
        <v>3161</v>
      </c>
      <c r="C1220" s="55" t="s">
        <v>3162</v>
      </c>
      <c r="D1220" s="55" t="s">
        <v>3201</v>
      </c>
      <c r="E1220" s="55" t="s">
        <v>3167</v>
      </c>
      <c r="F1220" s="55" t="s">
        <v>7874</v>
      </c>
      <c r="G1220" s="55" t="s">
        <v>3169</v>
      </c>
      <c r="H1220" s="55" t="s">
        <v>24</v>
      </c>
      <c r="I1220" s="55"/>
      <c r="J1220" s="55" t="s">
        <v>7906</v>
      </c>
      <c r="K1220" s="55" t="s">
        <v>62</v>
      </c>
      <c r="L1220" s="57" t="str">
        <f>HYPERLINK("https://nycdoe.sharepoint.com/:w:/s/BAP/EcYA6t1lKD9FliQ2P7Zp7icBDFNGrriEvaHYKX3fhoX6_g", "10 out of 10")</f>
        <v>10 out of 10</v>
      </c>
      <c r="M1220" t="s">
        <v>7907</v>
      </c>
    </row>
    <row r="1221" spans="2:13">
      <c r="B1221" s="55" t="s">
        <v>3161</v>
      </c>
      <c r="C1221" s="55" t="s">
        <v>3162</v>
      </c>
      <c r="D1221" s="55" t="s">
        <v>3201</v>
      </c>
      <c r="E1221" s="55" t="s">
        <v>3201</v>
      </c>
      <c r="F1221" s="55" t="s">
        <v>7908</v>
      </c>
      <c r="G1221" s="55" t="s">
        <v>7909</v>
      </c>
      <c r="H1221" s="55" t="s">
        <v>17</v>
      </c>
      <c r="I1221" s="55" t="s">
        <v>18</v>
      </c>
      <c r="J1221" s="55" t="s">
        <v>7906</v>
      </c>
      <c r="K1221" s="55" t="s">
        <v>62</v>
      </c>
      <c r="L1221" s="57" t="str">
        <f>HYPERLINK("https://nycdoe.sharepoint.com/:w:/s/BAP/EcYA6t1lKD9FliQ2P7Zp7icBDFNGrriEvaHYKX3fhoX6_g", "10 out of 10")</f>
        <v>10 out of 10</v>
      </c>
      <c r="M1221" t="s">
        <v>7907</v>
      </c>
    </row>
    <row r="1222" spans="2:13">
      <c r="B1222" s="55" t="s">
        <v>3161</v>
      </c>
      <c r="C1222" s="55" t="s">
        <v>3162</v>
      </c>
      <c r="D1222" s="55" t="s">
        <v>3205</v>
      </c>
      <c r="E1222" s="55" t="s">
        <v>3205</v>
      </c>
      <c r="F1222" s="55" t="s">
        <v>7910</v>
      </c>
      <c r="G1222" s="55" t="s">
        <v>7911</v>
      </c>
      <c r="H1222" s="55" t="s">
        <v>52</v>
      </c>
      <c r="I1222" s="55"/>
      <c r="J1222" s="55" t="s">
        <v>7912</v>
      </c>
      <c r="K1222" s="55" t="s">
        <v>62</v>
      </c>
      <c r="L1222" s="57" t="str">
        <f>HYPERLINK("https://nycdoe.sharepoint.com/:w:/s/BAP/EZ5HzOof1mBOoOSNZpXNjOgBJ78I4L8Zjl1wn5_McZ_psA", "9 out of 10")</f>
        <v>9 out of 10</v>
      </c>
      <c r="M1222" t="s">
        <v>7913</v>
      </c>
    </row>
    <row r="1223" spans="2:13">
      <c r="B1223" s="55" t="s">
        <v>3161</v>
      </c>
      <c r="C1223" s="55" t="s">
        <v>3162</v>
      </c>
      <c r="D1223" s="55" t="s">
        <v>3209</v>
      </c>
      <c r="E1223" s="55" t="s">
        <v>3209</v>
      </c>
      <c r="F1223" s="55" t="s">
        <v>7914</v>
      </c>
      <c r="G1223" s="55" t="s">
        <v>7915</v>
      </c>
      <c r="H1223" s="55" t="s">
        <v>17</v>
      </c>
      <c r="I1223" s="55" t="s">
        <v>18</v>
      </c>
      <c r="J1223" s="55" t="s">
        <v>7916</v>
      </c>
      <c r="K1223" s="55" t="s">
        <v>20</v>
      </c>
      <c r="L1223" s="57" t="str">
        <f>HYPERLINK("https://nycdoe.sharepoint.com/:w:/s/BAP/Edy0dNzEvPlJv1YnoFhR-0EBCrS3vC3Fs1Un1QPk0jJpEg", "8 out of 10")</f>
        <v>8 out of 10</v>
      </c>
      <c r="M1223" t="s">
        <v>7917</v>
      </c>
    </row>
    <row r="1224" spans="2:13">
      <c r="B1224" s="55" t="s">
        <v>3161</v>
      </c>
      <c r="C1224" s="55" t="s">
        <v>3162</v>
      </c>
      <c r="D1224" s="55" t="s">
        <v>3213</v>
      </c>
      <c r="E1224" s="55" t="s">
        <v>3213</v>
      </c>
      <c r="F1224" s="55" t="s">
        <v>7918</v>
      </c>
      <c r="G1224" s="55" t="s">
        <v>7919</v>
      </c>
      <c r="H1224" s="55" t="s">
        <v>17</v>
      </c>
      <c r="I1224" s="55" t="s">
        <v>18</v>
      </c>
      <c r="J1224" s="55" t="s">
        <v>7920</v>
      </c>
      <c r="K1224" s="55" t="s">
        <v>20</v>
      </c>
      <c r="L1224" s="57" t="str">
        <f>HYPERLINK("https://nycdoe.sharepoint.com/:w:/s/BAP/EczElrcegb9GhV9geUKWjboB-3iWa27ijeuSpaRLE304nw", "1 out of 10")</f>
        <v>1 out of 10</v>
      </c>
      <c r="M1224" t="s">
        <v>7921</v>
      </c>
    </row>
    <row r="1225" spans="2:13">
      <c r="B1225" s="55" t="s">
        <v>3161</v>
      </c>
      <c r="C1225" s="55" t="s">
        <v>3162</v>
      </c>
      <c r="D1225" s="55" t="s">
        <v>3213</v>
      </c>
      <c r="E1225" s="55" t="s">
        <v>3238</v>
      </c>
      <c r="F1225" s="55" t="s">
        <v>7922</v>
      </c>
      <c r="G1225" s="55" t="s">
        <v>7923</v>
      </c>
      <c r="H1225" s="55" t="s">
        <v>24</v>
      </c>
      <c r="I1225" s="55" t="s">
        <v>18</v>
      </c>
      <c r="J1225" s="55" t="s">
        <v>7920</v>
      </c>
      <c r="K1225" s="55" t="s">
        <v>20</v>
      </c>
      <c r="L1225" s="57" t="str">
        <f>HYPERLINK("https://nycdoe.sharepoint.com/:w:/s/BAP/EczElrcegb9GhV9geUKWjboB-3iWa27ijeuSpaRLE304nw", "1 out of 10")</f>
        <v>1 out of 10</v>
      </c>
      <c r="M1225" t="s">
        <v>7921</v>
      </c>
    </row>
    <row r="1226" spans="2:13">
      <c r="B1226" s="55" t="s">
        <v>3161</v>
      </c>
      <c r="C1226" s="55" t="s">
        <v>3162</v>
      </c>
      <c r="D1226" s="55" t="s">
        <v>3217</v>
      </c>
      <c r="E1226" s="55" t="s">
        <v>3217</v>
      </c>
      <c r="F1226" s="55" t="s">
        <v>7924</v>
      </c>
      <c r="G1226" s="55" t="s">
        <v>7925</v>
      </c>
      <c r="H1226" s="55" t="s">
        <v>52</v>
      </c>
      <c r="I1226" s="55"/>
      <c r="J1226" s="55" t="s">
        <v>7926</v>
      </c>
      <c r="K1226" s="55" t="s">
        <v>20</v>
      </c>
      <c r="L1226" s="57" t="str">
        <f>HYPERLINK("https://nycdoe.sharepoint.com/:w:/s/BAP/EZ6DEerOXItBinWIgih3lzABCPTExEdI9epXSBCC7GUvmw", "5 out of 10")</f>
        <v>5 out of 10</v>
      </c>
      <c r="M1226" t="s">
        <v>7927</v>
      </c>
    </row>
    <row r="1227" spans="2:13">
      <c r="B1227" s="55" t="s">
        <v>3161</v>
      </c>
      <c r="C1227" s="55" t="s">
        <v>3162</v>
      </c>
      <c r="D1227" s="55" t="s">
        <v>7928</v>
      </c>
      <c r="E1227" s="55" t="s">
        <v>7928</v>
      </c>
      <c r="F1227" s="55" t="s">
        <v>7929</v>
      </c>
      <c r="G1227" s="55" t="s">
        <v>7930</v>
      </c>
      <c r="H1227" s="55" t="s">
        <v>17</v>
      </c>
      <c r="I1227" s="55" t="s">
        <v>18</v>
      </c>
      <c r="J1227" s="55" t="s">
        <v>7931</v>
      </c>
      <c r="K1227" s="55" t="s">
        <v>20</v>
      </c>
      <c r="L1227" s="57" t="str">
        <f>HYPERLINK("https://nycdoe.sharepoint.com/:w:/s/BAP/EV-z4BaUG9VHn2SdC7tiWWkB3yShtrwF_TKJPiQi6n-sUA", "1 out of 10")</f>
        <v>1 out of 10</v>
      </c>
      <c r="M1227" t="s">
        <v>7932</v>
      </c>
    </row>
    <row r="1228" spans="2:13">
      <c r="B1228" s="55" t="s">
        <v>3161</v>
      </c>
      <c r="C1228" s="55" t="s">
        <v>3162</v>
      </c>
      <c r="D1228" s="55" t="s">
        <v>3221</v>
      </c>
      <c r="E1228" s="55" t="s">
        <v>3221</v>
      </c>
      <c r="F1228" s="55" t="s">
        <v>7933</v>
      </c>
      <c r="G1228" s="55" t="s">
        <v>7934</v>
      </c>
      <c r="H1228" s="55" t="s">
        <v>24</v>
      </c>
      <c r="I1228" s="55" t="s">
        <v>18</v>
      </c>
      <c r="J1228" s="55" t="s">
        <v>7935</v>
      </c>
      <c r="K1228" s="55" t="s">
        <v>62</v>
      </c>
      <c r="L1228" s="57" t="str">
        <f>HYPERLINK("https://nycdoe.sharepoint.com/:w:/s/BAP/EZjqjRvb0oRHl0Hy_jOOMpcBDjjemgC5dQ7V1zrHtFmN9Q", "9 out of 10")</f>
        <v>9 out of 10</v>
      </c>
      <c r="M1228" t="s">
        <v>7936</v>
      </c>
    </row>
    <row r="1229" spans="2:13">
      <c r="B1229" s="55" t="s">
        <v>3161</v>
      </c>
      <c r="C1229" s="55" t="s">
        <v>3162</v>
      </c>
      <c r="D1229" s="55" t="s">
        <v>3225</v>
      </c>
      <c r="E1229" s="55" t="s">
        <v>3225</v>
      </c>
      <c r="F1229" s="55" t="s">
        <v>7937</v>
      </c>
      <c r="G1229" s="55" t="s">
        <v>7938</v>
      </c>
      <c r="H1229" s="55" t="s">
        <v>17</v>
      </c>
      <c r="I1229" s="55" t="s">
        <v>18</v>
      </c>
      <c r="J1229" s="55" t="s">
        <v>7939</v>
      </c>
      <c r="K1229" s="55" t="s">
        <v>20</v>
      </c>
      <c r="L1229" s="57" t="str">
        <f>HYPERLINK("https://nycdoe.sharepoint.com/:w:/s/BAP/ERnlwI6ZruBJvMbX-A7LrSIBJPYNiErP5WSepolzxlMR3g", "7 out of 10")</f>
        <v>7 out of 10</v>
      </c>
      <c r="M1229" t="s">
        <v>7940</v>
      </c>
    </row>
    <row r="1230" spans="2:13">
      <c r="B1230" s="55" t="s">
        <v>3161</v>
      </c>
      <c r="C1230" s="55" t="s">
        <v>3162</v>
      </c>
      <c r="D1230" s="55" t="s">
        <v>3229</v>
      </c>
      <c r="E1230" s="55" t="s">
        <v>3229</v>
      </c>
      <c r="F1230" s="55" t="s">
        <v>7941</v>
      </c>
      <c r="G1230" s="55" t="s">
        <v>7942</v>
      </c>
      <c r="H1230" s="55" t="s">
        <v>17</v>
      </c>
      <c r="I1230" s="55"/>
      <c r="J1230" s="55" t="s">
        <v>7943</v>
      </c>
      <c r="K1230" s="55" t="s">
        <v>62</v>
      </c>
      <c r="L1230" s="57" t="str">
        <f>HYPERLINK("https://nycdoe.sharepoint.com/:w:/s/BAP/EX63Z0GZXT1CuMKpjn06mQwB1N4qRW4XKl2wEf7zgx7f4Q", "9 out of 10")</f>
        <v>9 out of 10</v>
      </c>
      <c r="M1230" t="s">
        <v>7944</v>
      </c>
    </row>
    <row r="1231" spans="2:13">
      <c r="B1231" s="55" t="s">
        <v>3161</v>
      </c>
      <c r="C1231" s="55" t="s">
        <v>3162</v>
      </c>
      <c r="D1231" s="55" t="s">
        <v>3233</v>
      </c>
      <c r="E1231" s="55" t="s">
        <v>3233</v>
      </c>
      <c r="F1231" s="55" t="s">
        <v>7945</v>
      </c>
      <c r="G1231" s="55" t="s">
        <v>7946</v>
      </c>
      <c r="H1231" s="55" t="s">
        <v>17</v>
      </c>
      <c r="I1231" s="55" t="s">
        <v>18</v>
      </c>
      <c r="J1231" s="55" t="s">
        <v>7947</v>
      </c>
      <c r="K1231" s="55" t="s">
        <v>62</v>
      </c>
      <c r="L1231" s="57" t="str">
        <f>HYPERLINK("https://nycdoe.sharepoint.com/:w:/s/BAP/EXt51caEbXJFoV1qcX1LOV4B9tP5sgNLpkXRrXATTD1WvA", "9 out of 10")</f>
        <v>9 out of 10</v>
      </c>
      <c r="M1231" t="s">
        <v>7948</v>
      </c>
    </row>
    <row r="1232" spans="2:13">
      <c r="B1232" s="55" t="s">
        <v>3161</v>
      </c>
      <c r="C1232" s="55" t="s">
        <v>3162</v>
      </c>
      <c r="D1232" s="55" t="s">
        <v>3237</v>
      </c>
      <c r="E1232" s="55" t="s">
        <v>3238</v>
      </c>
      <c r="F1232" s="55" t="s">
        <v>7922</v>
      </c>
      <c r="G1232" s="55" t="s">
        <v>7923</v>
      </c>
      <c r="H1232" s="55" t="s">
        <v>24</v>
      </c>
      <c r="I1232" s="55" t="s">
        <v>18</v>
      </c>
      <c r="J1232" s="55" t="s">
        <v>7949</v>
      </c>
      <c r="K1232" s="55" t="s">
        <v>20</v>
      </c>
      <c r="L1232" s="57" t="str">
        <f>HYPERLINK("https://nycdoe.sharepoint.com/:w:/s/BAP/Ea0hBcq628xLvweX6AwYCmUBs1HYpdd0CDsG7EFqx0E3DQ", "5 out of 10")</f>
        <v>5 out of 10</v>
      </c>
      <c r="M1232" t="s">
        <v>7950</v>
      </c>
    </row>
    <row r="1233" spans="2:13">
      <c r="B1233" s="55" t="s">
        <v>3161</v>
      </c>
      <c r="C1233" s="55" t="s">
        <v>3162</v>
      </c>
      <c r="D1233" s="55" t="s">
        <v>3237</v>
      </c>
      <c r="E1233" s="55" t="s">
        <v>3237</v>
      </c>
      <c r="F1233" s="55" t="s">
        <v>7951</v>
      </c>
      <c r="G1233" s="55" t="s">
        <v>7952</v>
      </c>
      <c r="H1233" s="55" t="s">
        <v>52</v>
      </c>
      <c r="I1233" s="55"/>
      <c r="J1233" s="55" t="s">
        <v>7949</v>
      </c>
      <c r="K1233" s="55" t="s">
        <v>20</v>
      </c>
      <c r="L1233" s="57" t="str">
        <f>HYPERLINK("https://nycdoe.sharepoint.com/:w:/s/BAP/Ea0hBcq628xLvweX6AwYCmUBs1HYpdd0CDsG7EFqx0E3DQ", "5 out of 10")</f>
        <v>5 out of 10</v>
      </c>
      <c r="M1233" t="s">
        <v>7950</v>
      </c>
    </row>
    <row r="1234" spans="2:13">
      <c r="B1234" s="55" t="s">
        <v>3161</v>
      </c>
      <c r="C1234" s="55" t="s">
        <v>3162</v>
      </c>
      <c r="D1234" s="55" t="s">
        <v>3244</v>
      </c>
      <c r="E1234" s="55" t="s">
        <v>3244</v>
      </c>
      <c r="F1234" s="55" t="s">
        <v>7953</v>
      </c>
      <c r="G1234" s="55" t="s">
        <v>7954</v>
      </c>
      <c r="H1234" s="55" t="s">
        <v>24</v>
      </c>
      <c r="I1234" s="55" t="s">
        <v>18</v>
      </c>
      <c r="J1234" s="55" t="s">
        <v>7955</v>
      </c>
      <c r="K1234" s="55" t="s">
        <v>62</v>
      </c>
      <c r="L1234" s="57" t="str">
        <f>HYPERLINK("https://nycdoe.sharepoint.com/:w:/s/BAP/EUX3_BaL9HdPmKztJNNZSHUBP37jjId7fEKzFMH_iCeCTg", "9 out of 10")</f>
        <v>9 out of 10</v>
      </c>
      <c r="M1234" t="s">
        <v>7956</v>
      </c>
    </row>
    <row r="1235" spans="2:13">
      <c r="B1235" s="55" t="s">
        <v>3161</v>
      </c>
      <c r="C1235" s="55" t="s">
        <v>3162</v>
      </c>
      <c r="D1235" s="55" t="s">
        <v>3248</v>
      </c>
      <c r="E1235" s="55" t="s">
        <v>3248</v>
      </c>
      <c r="F1235" s="55" t="s">
        <v>7957</v>
      </c>
      <c r="G1235" s="55" t="s">
        <v>7958</v>
      </c>
      <c r="H1235" s="55" t="s">
        <v>24</v>
      </c>
      <c r="I1235" s="55" t="s">
        <v>18</v>
      </c>
      <c r="J1235" s="55" t="s">
        <v>7959</v>
      </c>
      <c r="K1235" s="55" t="s">
        <v>62</v>
      </c>
      <c r="L1235" s="57" t="str">
        <f>HYPERLINK("https://nycdoe.sharepoint.com/:w:/s/BAP/EfvRvx5oTpdEgoKcqU3btCgBOaIfbegnFj7MLKjhX9L-3g", "9 out of 10")</f>
        <v>9 out of 10</v>
      </c>
      <c r="M1235" t="s">
        <v>7960</v>
      </c>
    </row>
    <row r="1236" spans="2:13">
      <c r="B1236" s="55" t="s">
        <v>3161</v>
      </c>
      <c r="C1236" s="55" t="s">
        <v>3162</v>
      </c>
      <c r="D1236" s="55" t="s">
        <v>3252</v>
      </c>
      <c r="E1236" s="55" t="s">
        <v>3252</v>
      </c>
      <c r="F1236" s="55" t="s">
        <v>7961</v>
      </c>
      <c r="G1236" s="55" t="s">
        <v>7962</v>
      </c>
      <c r="H1236" s="55" t="s">
        <v>24</v>
      </c>
      <c r="I1236" s="55"/>
      <c r="J1236" s="55" t="s">
        <v>7963</v>
      </c>
      <c r="K1236" s="55" t="s">
        <v>62</v>
      </c>
      <c r="L1236" s="57" t="str">
        <f>HYPERLINK("https://nycdoe.sharepoint.com/:w:/s/BAP/EXvfXn7VfNhGufpzodvf8qsBj1kDs4QLtuw9aG3dfugkGQ", "9 out of 10")</f>
        <v>9 out of 10</v>
      </c>
      <c r="M1236" t="s">
        <v>7964</v>
      </c>
    </row>
    <row r="1237" spans="2:13">
      <c r="B1237" s="55" t="s">
        <v>3161</v>
      </c>
      <c r="C1237" s="55" t="s">
        <v>3162</v>
      </c>
      <c r="D1237" s="55" t="s">
        <v>3256</v>
      </c>
      <c r="E1237" s="55" t="s">
        <v>3256</v>
      </c>
      <c r="F1237" s="55" t="s">
        <v>7965</v>
      </c>
      <c r="G1237" s="55" t="s">
        <v>7966</v>
      </c>
      <c r="H1237" s="55" t="s">
        <v>52</v>
      </c>
      <c r="I1237" s="55"/>
      <c r="J1237" s="55" t="s">
        <v>7967</v>
      </c>
      <c r="K1237" s="55" t="s">
        <v>62</v>
      </c>
      <c r="L1237" s="57" t="str">
        <f>HYPERLINK("https://nycdoe.sharepoint.com/:w:/s/BAP/EUPXLvUWrzBFt_xrJuMi8y0BxSZv-LkPq8gpqx4Dhvn1aQ", "9 out of 10")</f>
        <v>9 out of 10</v>
      </c>
      <c r="M1237" t="s">
        <v>7968</v>
      </c>
    </row>
    <row r="1238" spans="2:13">
      <c r="B1238" s="55" t="s">
        <v>3161</v>
      </c>
      <c r="C1238" s="55" t="s">
        <v>3162</v>
      </c>
      <c r="D1238" s="55" t="s">
        <v>3260</v>
      </c>
      <c r="E1238" s="55" t="s">
        <v>3260</v>
      </c>
      <c r="F1238" s="55" t="s">
        <v>7969</v>
      </c>
      <c r="G1238" s="55" t="s">
        <v>7970</v>
      </c>
      <c r="H1238" s="55" t="s">
        <v>17</v>
      </c>
      <c r="I1238" s="55" t="s">
        <v>18</v>
      </c>
      <c r="J1238" s="55" t="s">
        <v>7971</v>
      </c>
      <c r="K1238" s="55" t="s">
        <v>62</v>
      </c>
      <c r="L1238" s="57" t="str">
        <f>HYPERLINK("https://nycdoe.sharepoint.com/:w:/s/BAP/EUrwe41mrThDgnl0c1-5VbYBwr8A1mQn0fiatWSwFszuBQ", "9 out of 10")</f>
        <v>9 out of 10</v>
      </c>
      <c r="M1238" t="s">
        <v>7972</v>
      </c>
    </row>
    <row r="1239" spans="2:13">
      <c r="B1239" s="55" t="s">
        <v>3161</v>
      </c>
      <c r="C1239" s="55" t="s">
        <v>3162</v>
      </c>
      <c r="D1239" s="55" t="s">
        <v>3264</v>
      </c>
      <c r="E1239" s="55" t="s">
        <v>3264</v>
      </c>
      <c r="F1239" s="55" t="s">
        <v>7973</v>
      </c>
      <c r="G1239" s="55" t="s">
        <v>7974</v>
      </c>
      <c r="H1239" s="55" t="s">
        <v>17</v>
      </c>
      <c r="I1239" s="55" t="s">
        <v>18</v>
      </c>
      <c r="J1239" s="55" t="s">
        <v>7975</v>
      </c>
      <c r="K1239" s="55" t="s">
        <v>62</v>
      </c>
      <c r="L1239" s="57" t="str">
        <f>HYPERLINK("https://nycdoe.sharepoint.com/:w:/s/BAP/ERoO36UBC-ZLphZlSoW0-LUB8o3sJxmhZ3gaaC2GvVR7Iw", "9 out of 10")</f>
        <v>9 out of 10</v>
      </c>
      <c r="M1239" t="s">
        <v>7976</v>
      </c>
    </row>
    <row r="1240" spans="2:13">
      <c r="B1240" s="55" t="s">
        <v>3161</v>
      </c>
      <c r="C1240" s="55" t="s">
        <v>3162</v>
      </c>
      <c r="D1240" s="55" t="s">
        <v>3268</v>
      </c>
      <c r="E1240" s="55" t="s">
        <v>3268</v>
      </c>
      <c r="F1240" s="55" t="s">
        <v>7977</v>
      </c>
      <c r="G1240" s="55" t="s">
        <v>7978</v>
      </c>
      <c r="H1240" s="55" t="s">
        <v>17</v>
      </c>
      <c r="I1240" s="55"/>
      <c r="J1240" s="55" t="s">
        <v>7979</v>
      </c>
      <c r="K1240" s="55" t="s">
        <v>62</v>
      </c>
      <c r="L1240" s="57" t="str">
        <f>HYPERLINK("https://nycdoe.sharepoint.com/:w:/s/BAP/EUnm0HCgJ-lJrWgjMrUhzxsBcb43LE00J9KPKGVHFxhfUA", "9 out of 10")</f>
        <v>9 out of 10</v>
      </c>
      <c r="M1240" t="s">
        <v>7980</v>
      </c>
    </row>
    <row r="1241" spans="2:13">
      <c r="B1241" s="55" t="s">
        <v>3161</v>
      </c>
      <c r="C1241" s="55" t="s">
        <v>3162</v>
      </c>
      <c r="D1241" s="55" t="s">
        <v>3272</v>
      </c>
      <c r="E1241" s="55" t="s">
        <v>3272</v>
      </c>
      <c r="F1241" s="55" t="s">
        <v>7981</v>
      </c>
      <c r="G1241" s="55" t="s">
        <v>7982</v>
      </c>
      <c r="H1241" s="55" t="s">
        <v>17</v>
      </c>
      <c r="I1241" s="55" t="s">
        <v>18</v>
      </c>
      <c r="J1241" s="55" t="s">
        <v>7983</v>
      </c>
      <c r="K1241" s="55" t="s">
        <v>20</v>
      </c>
      <c r="L1241" s="57" t="str">
        <f>HYPERLINK("https://nycdoe.sharepoint.com/:w:/s/BAP/EfWxTLEXDDdGos-hPH9xsZ8BwVZp-5MQ3qzyMntnBnMGXg", "5 out of 10")</f>
        <v>5 out of 10</v>
      </c>
      <c r="M1241" t="s">
        <v>7984</v>
      </c>
    </row>
    <row r="1242" spans="2:13">
      <c r="B1242" s="55" t="s">
        <v>3161</v>
      </c>
      <c r="C1242" s="55" t="s">
        <v>3162</v>
      </c>
      <c r="D1242" s="55" t="s">
        <v>3276</v>
      </c>
      <c r="E1242" s="55" t="s">
        <v>3238</v>
      </c>
      <c r="F1242" s="55" t="s">
        <v>7922</v>
      </c>
      <c r="G1242" s="55" t="s">
        <v>7923</v>
      </c>
      <c r="H1242" s="55" t="s">
        <v>24</v>
      </c>
      <c r="I1242" s="55" t="s">
        <v>18</v>
      </c>
      <c r="J1242" s="55" t="s">
        <v>7985</v>
      </c>
      <c r="K1242" s="55" t="s">
        <v>62</v>
      </c>
      <c r="L1242" s="57" t="str">
        <f>HYPERLINK("https://nycdoe.sharepoint.com/:w:/s/BAP/EW2kD1GxffBCnsGCzBy40eEB29n_XPqB2EHGr2iyR4DmwA", "10 out of 10")</f>
        <v>10 out of 10</v>
      </c>
      <c r="M1242" t="s">
        <v>7986</v>
      </c>
    </row>
    <row r="1243" spans="2:13">
      <c r="B1243" s="55" t="s">
        <v>3161</v>
      </c>
      <c r="C1243" s="55" t="s">
        <v>3162</v>
      </c>
      <c r="D1243" s="55" t="s">
        <v>3276</v>
      </c>
      <c r="E1243" s="55" t="s">
        <v>3276</v>
      </c>
      <c r="F1243" s="55" t="s">
        <v>7987</v>
      </c>
      <c r="G1243" s="55" t="s">
        <v>3279</v>
      </c>
      <c r="H1243" s="55" t="s">
        <v>17</v>
      </c>
      <c r="I1243" s="55" t="s">
        <v>18</v>
      </c>
      <c r="J1243" s="55" t="s">
        <v>7985</v>
      </c>
      <c r="K1243" s="55" t="s">
        <v>62</v>
      </c>
      <c r="L1243" s="57" t="str">
        <f>HYPERLINK("https://nycdoe.sharepoint.com/:w:/s/BAP/EW2kD1GxffBCnsGCzBy40eEB29n_XPqB2EHGr2iyR4DmwA", "10 out of 10")</f>
        <v>10 out of 10</v>
      </c>
      <c r="M1243" t="s">
        <v>7986</v>
      </c>
    </row>
    <row r="1244" spans="2:13">
      <c r="B1244" s="55" t="s">
        <v>3161</v>
      </c>
      <c r="C1244" s="55" t="s">
        <v>3162</v>
      </c>
      <c r="D1244" s="55" t="s">
        <v>3280</v>
      </c>
      <c r="E1244" s="55" t="s">
        <v>3301</v>
      </c>
      <c r="F1244" s="55" t="s">
        <v>7988</v>
      </c>
      <c r="G1244" s="55" t="s">
        <v>7989</v>
      </c>
      <c r="H1244" s="55" t="s">
        <v>43</v>
      </c>
      <c r="I1244" s="55"/>
      <c r="J1244" s="55" t="s">
        <v>7990</v>
      </c>
      <c r="K1244" s="55" t="s">
        <v>62</v>
      </c>
      <c r="L1244" s="57" t="str">
        <f>HYPERLINK("https://nycdoe.sharepoint.com/:w:/s/BAP/Ee0pJffQ6O5LhMYreVqJ06sBZv-U-xXLRCZc52QgYYrrKA", "10 out of 10")</f>
        <v>10 out of 10</v>
      </c>
      <c r="M1244" t="s">
        <v>7991</v>
      </c>
    </row>
    <row r="1245" spans="2:13">
      <c r="B1245" s="55" t="s">
        <v>3161</v>
      </c>
      <c r="C1245" s="55" t="s">
        <v>3162</v>
      </c>
      <c r="D1245" s="55" t="s">
        <v>3280</v>
      </c>
      <c r="E1245" s="55" t="s">
        <v>3281</v>
      </c>
      <c r="F1245" s="55" t="s">
        <v>7992</v>
      </c>
      <c r="G1245" s="55" t="s">
        <v>7993</v>
      </c>
      <c r="H1245" s="55" t="s">
        <v>17</v>
      </c>
      <c r="I1245" s="55" t="s">
        <v>18</v>
      </c>
      <c r="J1245" s="55" t="s">
        <v>7990</v>
      </c>
      <c r="K1245" s="55" t="s">
        <v>62</v>
      </c>
      <c r="L1245" s="57" t="str">
        <f>HYPERLINK("https://nycdoe.sharepoint.com/:w:/s/BAP/Ee0pJffQ6O5LhMYreVqJ06sBZv-U-xXLRCZc52QgYYrrKA", "10 out of 10")</f>
        <v>10 out of 10</v>
      </c>
      <c r="M1245" t="s">
        <v>7991</v>
      </c>
    </row>
    <row r="1246" spans="2:13">
      <c r="B1246" s="55" t="s">
        <v>3161</v>
      </c>
      <c r="C1246" s="55" t="s">
        <v>3162</v>
      </c>
      <c r="D1246" s="55" t="s">
        <v>3285</v>
      </c>
      <c r="E1246" s="55" t="s">
        <v>3286</v>
      </c>
      <c r="F1246" s="55" t="s">
        <v>7994</v>
      </c>
      <c r="G1246" s="55" t="s">
        <v>7995</v>
      </c>
      <c r="H1246" s="55" t="s">
        <v>24</v>
      </c>
      <c r="I1246" s="55"/>
      <c r="J1246" s="55" t="s">
        <v>7996</v>
      </c>
      <c r="K1246" s="55" t="s">
        <v>62</v>
      </c>
      <c r="L1246" s="57" t="str">
        <f>HYPERLINK("https://nycdoe.sharepoint.com/:w:/s/BAP/EXBZS4y4CGxJr6g-fZdaze4BjpGMuIEoX68SvqB_4FZNWg", "10 out of 10")</f>
        <v>10 out of 10</v>
      </c>
      <c r="M1246" t="s">
        <v>7997</v>
      </c>
    </row>
    <row r="1247" spans="2:13">
      <c r="B1247" s="55" t="s">
        <v>3161</v>
      </c>
      <c r="C1247" s="55" t="s">
        <v>3162</v>
      </c>
      <c r="D1247" s="55" t="s">
        <v>3285</v>
      </c>
      <c r="E1247" s="55" t="s">
        <v>3174</v>
      </c>
      <c r="F1247" s="55" t="s">
        <v>7879</v>
      </c>
      <c r="G1247" s="55" t="s">
        <v>3176</v>
      </c>
      <c r="H1247" s="55" t="s">
        <v>43</v>
      </c>
      <c r="I1247" s="55"/>
      <c r="J1247" s="55" t="s">
        <v>7996</v>
      </c>
      <c r="K1247" s="55" t="s">
        <v>62</v>
      </c>
      <c r="L1247" s="57" t="str">
        <f>HYPERLINK("https://nycdoe.sharepoint.com/:w:/s/BAP/EXBZS4y4CGxJr6g-fZdaze4BjpGMuIEoX68SvqB_4FZNWg", "10 out of 10")</f>
        <v>10 out of 10</v>
      </c>
      <c r="M1247" t="s">
        <v>7997</v>
      </c>
    </row>
    <row r="1248" spans="2:13">
      <c r="B1248" s="55" t="s">
        <v>3161</v>
      </c>
      <c r="C1248" s="55" t="s">
        <v>3162</v>
      </c>
      <c r="D1248" s="55" t="s">
        <v>3290</v>
      </c>
      <c r="E1248" s="55" t="s">
        <v>3174</v>
      </c>
      <c r="F1248" s="55" t="s">
        <v>7879</v>
      </c>
      <c r="G1248" s="55" t="s">
        <v>3176</v>
      </c>
      <c r="H1248" s="55" t="s">
        <v>43</v>
      </c>
      <c r="I1248" s="55"/>
      <c r="J1248" s="55" t="s">
        <v>7998</v>
      </c>
      <c r="K1248" s="55" t="s">
        <v>62</v>
      </c>
      <c r="L1248" s="57" t="str">
        <f>HYPERLINK("https://nycdoe.sharepoint.com/:w:/s/BAP/EVkwPTghK4pLlpLGE4damW8B0gDxq88We7giIrnNf4TY_Q", "10 out of 10")</f>
        <v>10 out of 10</v>
      </c>
      <c r="M1248" t="s">
        <v>7999</v>
      </c>
    </row>
    <row r="1249" spans="2:13">
      <c r="B1249" s="55" t="s">
        <v>3161</v>
      </c>
      <c r="C1249" s="55" t="s">
        <v>3162</v>
      </c>
      <c r="D1249" s="55" t="s">
        <v>3290</v>
      </c>
      <c r="E1249" s="55" t="s">
        <v>3292</v>
      </c>
      <c r="F1249" s="55" t="s">
        <v>8000</v>
      </c>
      <c r="G1249" s="55" t="s">
        <v>8001</v>
      </c>
      <c r="H1249" s="55" t="s">
        <v>17</v>
      </c>
      <c r="I1249" s="55" t="s">
        <v>18</v>
      </c>
      <c r="J1249" s="55" t="s">
        <v>7998</v>
      </c>
      <c r="K1249" s="55" t="s">
        <v>62</v>
      </c>
      <c r="L1249" s="57" t="str">
        <f>HYPERLINK("https://nycdoe.sharepoint.com/:w:/s/BAP/EVkwPTghK4pLlpLGE4damW8B0gDxq88We7giIrnNf4TY_Q", "10 out of 10")</f>
        <v>10 out of 10</v>
      </c>
      <c r="M1249" t="s">
        <v>7999</v>
      </c>
    </row>
    <row r="1250" spans="2:13">
      <c r="B1250" s="55" t="s">
        <v>3161</v>
      </c>
      <c r="C1250" s="55" t="s">
        <v>3162</v>
      </c>
      <c r="D1250" s="55" t="s">
        <v>3295</v>
      </c>
      <c r="E1250" s="55" t="s">
        <v>3296</v>
      </c>
      <c r="F1250" s="55" t="s">
        <v>8002</v>
      </c>
      <c r="G1250" s="55" t="s">
        <v>8003</v>
      </c>
      <c r="H1250" s="55" t="s">
        <v>17</v>
      </c>
      <c r="I1250" s="55"/>
      <c r="J1250" s="55" t="s">
        <v>8004</v>
      </c>
      <c r="K1250" s="55" t="s">
        <v>62</v>
      </c>
      <c r="L1250" s="57" t="str">
        <f>HYPERLINK("https://nycdoe.sharepoint.com/:w:/s/BAP/EZgLQby5KclLrFRTb8aKwsEBEa9j_c3gGZcLJljtf8BGgQ", "10 out of 10")</f>
        <v>10 out of 10</v>
      </c>
      <c r="M1250" t="s">
        <v>8005</v>
      </c>
    </row>
    <row r="1251" spans="2:13">
      <c r="B1251" s="55" t="s">
        <v>3161</v>
      </c>
      <c r="C1251" s="55" t="s">
        <v>3162</v>
      </c>
      <c r="D1251" s="55" t="s">
        <v>3300</v>
      </c>
      <c r="E1251" s="55" t="s">
        <v>3301</v>
      </c>
      <c r="F1251" s="55" t="s">
        <v>7988</v>
      </c>
      <c r="G1251" s="55" t="s">
        <v>7989</v>
      </c>
      <c r="H1251" s="55" t="s">
        <v>43</v>
      </c>
      <c r="I1251" s="55"/>
      <c r="J1251" s="55" t="s">
        <v>8006</v>
      </c>
      <c r="K1251" s="55" t="s">
        <v>62</v>
      </c>
      <c r="L1251" s="57" t="str">
        <f>HYPERLINK("https://nycdoe.sharepoint.com/:w:/s/BAP/EZvIwQUmQHREjGFNGoGInVUBl9lrTHZR6uT1OufzKFZRVw", "10 out of 10")</f>
        <v>10 out of 10</v>
      </c>
      <c r="M1251" t="s">
        <v>8007</v>
      </c>
    </row>
    <row r="1252" spans="2:13">
      <c r="B1252" s="55" t="s">
        <v>3161</v>
      </c>
      <c r="C1252" s="55" t="s">
        <v>3162</v>
      </c>
      <c r="D1252" s="55" t="s">
        <v>3300</v>
      </c>
      <c r="E1252" s="55" t="s">
        <v>3300</v>
      </c>
      <c r="F1252" s="55" t="s">
        <v>8008</v>
      </c>
      <c r="G1252" s="55" t="s">
        <v>8009</v>
      </c>
      <c r="H1252" s="55" t="s">
        <v>17</v>
      </c>
      <c r="I1252" s="55" t="s">
        <v>18</v>
      </c>
      <c r="J1252" s="55" t="s">
        <v>8006</v>
      </c>
      <c r="K1252" s="55" t="s">
        <v>62</v>
      </c>
      <c r="L1252" s="57" t="str">
        <f>HYPERLINK("https://nycdoe.sharepoint.com/:w:/s/BAP/EZvIwQUmQHREjGFNGoGInVUBl9lrTHZR6uT1OufzKFZRVw", "10 out of 10")</f>
        <v>10 out of 10</v>
      </c>
      <c r="M1252" t="s">
        <v>8007</v>
      </c>
    </row>
    <row r="1253" spans="2:13">
      <c r="B1253" s="55" t="s">
        <v>3161</v>
      </c>
      <c r="C1253" s="55" t="s">
        <v>3162</v>
      </c>
      <c r="D1253" s="55" t="s">
        <v>3307</v>
      </c>
      <c r="E1253" s="55" t="s">
        <v>3308</v>
      </c>
      <c r="F1253" s="55" t="s">
        <v>8010</v>
      </c>
      <c r="G1253" s="55" t="s">
        <v>8011</v>
      </c>
      <c r="H1253" s="55" t="s">
        <v>17</v>
      </c>
      <c r="I1253" s="55" t="s">
        <v>18</v>
      </c>
      <c r="J1253" s="55" t="s">
        <v>8012</v>
      </c>
      <c r="K1253" s="55" t="s">
        <v>62</v>
      </c>
      <c r="L1253" s="57" t="str">
        <f>HYPERLINK("https://nycdoe.sharepoint.com/:w:/s/BAP/ETCoUrY8afBHoKuJ599l8qwB_lm862GtkNmIiG8hcM2jaw", "10 out of 10")</f>
        <v>10 out of 10</v>
      </c>
      <c r="M1253" t="s">
        <v>8013</v>
      </c>
    </row>
    <row r="1254" spans="2:13">
      <c r="B1254" s="55" t="s">
        <v>3161</v>
      </c>
      <c r="C1254" s="55" t="s">
        <v>3162</v>
      </c>
      <c r="D1254" s="55" t="s">
        <v>3312</v>
      </c>
      <c r="E1254" s="55" t="s">
        <v>3301</v>
      </c>
      <c r="F1254" s="55" t="s">
        <v>7988</v>
      </c>
      <c r="G1254" s="55" t="s">
        <v>7989</v>
      </c>
      <c r="H1254" s="55" t="s">
        <v>43</v>
      </c>
      <c r="I1254" s="55"/>
      <c r="J1254" s="55" t="s">
        <v>8014</v>
      </c>
      <c r="K1254" s="55" t="s">
        <v>62</v>
      </c>
      <c r="L1254" s="57" t="str">
        <f>HYPERLINK("https://nycdoe.sharepoint.com/:w:/s/BAP/EQH8XIbDIWBAlRSmQ49orgcBAsiDdLsplfbhZRgM95eFUg", "10 out of 10")</f>
        <v>10 out of 10</v>
      </c>
      <c r="M1254" t="s">
        <v>8015</v>
      </c>
    </row>
    <row r="1255" spans="2:13">
      <c r="B1255" s="55" t="s">
        <v>3161</v>
      </c>
      <c r="C1255" s="55" t="s">
        <v>3162</v>
      </c>
      <c r="D1255" s="55" t="s">
        <v>3312</v>
      </c>
      <c r="E1255" s="55" t="s">
        <v>3312</v>
      </c>
      <c r="F1255" s="55" t="s">
        <v>8016</v>
      </c>
      <c r="G1255" s="55" t="s">
        <v>8017</v>
      </c>
      <c r="H1255" s="55" t="s">
        <v>52</v>
      </c>
      <c r="I1255" s="55"/>
      <c r="J1255" s="55" t="s">
        <v>8014</v>
      </c>
      <c r="K1255" s="55" t="s">
        <v>62</v>
      </c>
      <c r="L1255" s="57" t="str">
        <f>HYPERLINK("https://nycdoe.sharepoint.com/:w:/s/BAP/EQH8XIbDIWBAlRSmQ49orgcBAsiDdLsplfbhZRgM95eFUg", "10 out of 10")</f>
        <v>10 out of 10</v>
      </c>
      <c r="M1255" t="s">
        <v>8015</v>
      </c>
    </row>
    <row r="1256" spans="2:13">
      <c r="B1256" s="55" t="s">
        <v>3161</v>
      </c>
      <c r="C1256" s="55" t="s">
        <v>3162</v>
      </c>
      <c r="D1256" s="55" t="s">
        <v>3316</v>
      </c>
      <c r="E1256" s="55" t="s">
        <v>3317</v>
      </c>
      <c r="F1256" s="55" t="s">
        <v>8018</v>
      </c>
      <c r="G1256" s="55" t="s">
        <v>8019</v>
      </c>
      <c r="H1256" s="55" t="s">
        <v>17</v>
      </c>
      <c r="I1256" s="55"/>
      <c r="J1256" s="55" t="s">
        <v>8020</v>
      </c>
      <c r="K1256" s="55" t="s">
        <v>62</v>
      </c>
      <c r="L1256" s="57" t="str">
        <f>HYPERLINK("https://nycdoe.sharepoint.com/:w:/s/BAP/EYe4DzomjBZJoyjgZoBBNoYB6twaRCtAGRab3Jslv-e42g", "10 out of 10")</f>
        <v>10 out of 10</v>
      </c>
      <c r="M1256" t="s">
        <v>8021</v>
      </c>
    </row>
    <row r="1257" spans="2:13">
      <c r="B1257" s="55" t="s">
        <v>3161</v>
      </c>
      <c r="C1257" s="55" t="s">
        <v>3162</v>
      </c>
      <c r="D1257" s="55" t="s">
        <v>3321</v>
      </c>
      <c r="E1257" s="55" t="s">
        <v>3322</v>
      </c>
      <c r="F1257" s="55" t="s">
        <v>8022</v>
      </c>
      <c r="G1257" s="55" t="s">
        <v>3324</v>
      </c>
      <c r="H1257" s="55" t="s">
        <v>17</v>
      </c>
      <c r="I1257" s="55"/>
      <c r="J1257" s="55" t="s">
        <v>8023</v>
      </c>
      <c r="K1257" s="55" t="s">
        <v>62</v>
      </c>
      <c r="L1257" s="57" t="str">
        <f>HYPERLINK("https://nycdoe.sharepoint.com/:w:/s/BAP/EQAh70J-2BxLiuTkyfoZmbcB3XZYnEOWfhZTxK3aijfLMw", "10 out of 10")</f>
        <v>10 out of 10</v>
      </c>
      <c r="M1257" t="s">
        <v>8024</v>
      </c>
    </row>
    <row r="1258" spans="2:13">
      <c r="B1258" s="55" t="s">
        <v>3161</v>
      </c>
      <c r="C1258" s="55" t="s">
        <v>3162</v>
      </c>
      <c r="D1258" s="55" t="s">
        <v>3321</v>
      </c>
      <c r="E1258" s="55" t="s">
        <v>3301</v>
      </c>
      <c r="F1258" s="55" t="s">
        <v>7988</v>
      </c>
      <c r="G1258" s="55" t="s">
        <v>7989</v>
      </c>
      <c r="H1258" s="55" t="s">
        <v>43</v>
      </c>
      <c r="I1258" s="55"/>
      <c r="J1258" s="55" t="s">
        <v>8023</v>
      </c>
      <c r="K1258" s="55" t="s">
        <v>62</v>
      </c>
      <c r="L1258" s="57" t="str">
        <f>HYPERLINK("https://nycdoe.sharepoint.com/:w:/s/BAP/EQAh70J-2BxLiuTkyfoZmbcB3XZYnEOWfhZTxK3aijfLMw", "10 out of 10")</f>
        <v>10 out of 10</v>
      </c>
      <c r="M1258" t="s">
        <v>8024</v>
      </c>
    </row>
    <row r="1259" spans="2:13">
      <c r="B1259" s="55" t="s">
        <v>3161</v>
      </c>
      <c r="C1259" s="55" t="s">
        <v>3162</v>
      </c>
      <c r="D1259" s="55" t="s">
        <v>3768</v>
      </c>
      <c r="E1259" s="55" t="s">
        <v>3281</v>
      </c>
      <c r="F1259" s="55" t="s">
        <v>7992</v>
      </c>
      <c r="G1259" s="55" t="s">
        <v>7993</v>
      </c>
      <c r="H1259" s="55" t="s">
        <v>17</v>
      </c>
      <c r="I1259" s="55" t="s">
        <v>18</v>
      </c>
      <c r="J1259" s="55" t="s">
        <v>8025</v>
      </c>
      <c r="K1259" s="55" t="s">
        <v>62</v>
      </c>
      <c r="L1259" s="57" t="str">
        <f>HYPERLINK("https://nycdoe.sharepoint.com/:w:/s/BAP/EV4nNISADKZOshHe7V_7L3kBY3OKpOnXbb1YJGDznnkGUA", "10 out of 10")</f>
        <v>10 out of 10</v>
      </c>
      <c r="M1259" t="s">
        <v>8026</v>
      </c>
    </row>
    <row r="1260" spans="2:13">
      <c r="B1260" s="55" t="s">
        <v>3161</v>
      </c>
      <c r="C1260" s="55" t="s">
        <v>3162</v>
      </c>
      <c r="D1260" s="55" t="s">
        <v>3326</v>
      </c>
      <c r="E1260" s="55" t="s">
        <v>3301</v>
      </c>
      <c r="F1260" s="55" t="s">
        <v>7988</v>
      </c>
      <c r="G1260" s="55" t="s">
        <v>7989</v>
      </c>
      <c r="H1260" s="55" t="s">
        <v>43</v>
      </c>
      <c r="I1260" s="55"/>
      <c r="J1260" s="55" t="s">
        <v>8027</v>
      </c>
      <c r="K1260" s="55" t="s">
        <v>62</v>
      </c>
      <c r="L1260" s="57" t="str">
        <f>HYPERLINK("https://nycdoe.sharepoint.com/:w:/s/BAP/EdV1THq75WhGmJGX2MOaR4kBhEvUBXm437DqzLwoucKcOA", "10 out of 10")</f>
        <v>10 out of 10</v>
      </c>
      <c r="M1260" t="s">
        <v>8028</v>
      </c>
    </row>
    <row r="1261" spans="2:13">
      <c r="B1261" s="55" t="s">
        <v>3161</v>
      </c>
      <c r="C1261" s="55" t="s">
        <v>3162</v>
      </c>
      <c r="D1261" s="55" t="s">
        <v>3326</v>
      </c>
      <c r="E1261" s="55" t="s">
        <v>3326</v>
      </c>
      <c r="F1261" s="55" t="s">
        <v>8029</v>
      </c>
      <c r="G1261" s="55" t="s">
        <v>8030</v>
      </c>
      <c r="H1261" s="55" t="s">
        <v>52</v>
      </c>
      <c r="I1261" s="55"/>
      <c r="J1261" s="55" t="s">
        <v>8027</v>
      </c>
      <c r="K1261" s="55" t="s">
        <v>62</v>
      </c>
      <c r="L1261" s="57" t="str">
        <f>HYPERLINK("https://nycdoe.sharepoint.com/:w:/s/BAP/EdV1THq75WhGmJGX2MOaR4kBhEvUBXm437DqzLwoucKcOA", "10 out of 10")</f>
        <v>10 out of 10</v>
      </c>
      <c r="M1261" t="s">
        <v>8028</v>
      </c>
    </row>
    <row r="1262" spans="2:13">
      <c r="B1262" s="55" t="s">
        <v>3161</v>
      </c>
      <c r="C1262" s="55" t="s">
        <v>3162</v>
      </c>
      <c r="D1262" s="55" t="s">
        <v>8031</v>
      </c>
      <c r="E1262" s="55" t="s">
        <v>8032</v>
      </c>
      <c r="F1262" s="55" t="s">
        <v>8033</v>
      </c>
      <c r="G1262" s="55" t="s">
        <v>8034</v>
      </c>
      <c r="H1262" s="55" t="s">
        <v>56</v>
      </c>
      <c r="I1262" s="55"/>
      <c r="J1262" s="55" t="s">
        <v>8035</v>
      </c>
      <c r="K1262" s="55" t="s">
        <v>20</v>
      </c>
      <c r="L1262" s="57" t="str">
        <f>HYPERLINK("https://nycdoe.sharepoint.com/:w:/s/BAP/ERGk6dg1QA9NpW89lJOPogsBibs36OT0vvCkcJiJV9Sjzw", "1 out of 10")</f>
        <v>1 out of 10</v>
      </c>
      <c r="M1262" t="s">
        <v>8036</v>
      </c>
    </row>
    <row r="1263" spans="2:13">
      <c r="B1263" s="55" t="s">
        <v>3161</v>
      </c>
      <c r="C1263" s="55" t="s">
        <v>3162</v>
      </c>
      <c r="D1263" s="55" t="s">
        <v>3330</v>
      </c>
      <c r="E1263" s="55" t="s">
        <v>3301</v>
      </c>
      <c r="F1263" s="55" t="s">
        <v>7988</v>
      </c>
      <c r="G1263" s="55" t="s">
        <v>7989</v>
      </c>
      <c r="H1263" s="55" t="s">
        <v>43</v>
      </c>
      <c r="I1263" s="55"/>
      <c r="J1263" s="55" t="s">
        <v>8037</v>
      </c>
      <c r="K1263" s="55" t="s">
        <v>20</v>
      </c>
      <c r="L1263" s="57" t="str">
        <f>HYPERLINK("https://nycdoe.sharepoint.com/:w:/s/BAP/EdtWs_glbFhPg7nU-ZxJ_ikBWIshJNE0DqnF3KEnkvbCCw", "8 out of 10")</f>
        <v>8 out of 10</v>
      </c>
      <c r="M1263" t="s">
        <v>8038</v>
      </c>
    </row>
    <row r="1264" spans="2:13">
      <c r="B1264" s="55" t="s">
        <v>3161</v>
      </c>
      <c r="C1264" s="55" t="s">
        <v>3162</v>
      </c>
      <c r="D1264" s="55" t="s">
        <v>3330</v>
      </c>
      <c r="E1264" s="55" t="s">
        <v>3330</v>
      </c>
      <c r="F1264" s="55" t="s">
        <v>8039</v>
      </c>
      <c r="G1264" s="55" t="s">
        <v>8040</v>
      </c>
      <c r="H1264" s="55" t="s">
        <v>56</v>
      </c>
      <c r="I1264" s="55"/>
      <c r="J1264" s="55" t="s">
        <v>8037</v>
      </c>
      <c r="K1264" s="55" t="s">
        <v>20</v>
      </c>
      <c r="L1264" s="57" t="str">
        <f>HYPERLINK("https://nycdoe.sharepoint.com/:w:/s/BAP/EdtWs_glbFhPg7nU-ZxJ_ikBWIshJNE0DqnF3KEnkvbCCw", "8 out of 10")</f>
        <v>8 out of 10</v>
      </c>
      <c r="M1264" t="s">
        <v>8038</v>
      </c>
    </row>
    <row r="1265" spans="2:13">
      <c r="B1265" s="55" t="s">
        <v>3161</v>
      </c>
      <c r="C1265" s="55" t="s">
        <v>3162</v>
      </c>
      <c r="D1265" s="55" t="s">
        <v>3330</v>
      </c>
      <c r="E1265" s="55" t="s">
        <v>4490</v>
      </c>
      <c r="F1265" s="55" t="s">
        <v>4491</v>
      </c>
      <c r="G1265" s="55" t="s">
        <v>4492</v>
      </c>
      <c r="H1265" s="55" t="s">
        <v>56</v>
      </c>
      <c r="I1265" s="55"/>
      <c r="J1265" s="55" t="s">
        <v>8037</v>
      </c>
      <c r="K1265" s="55" t="s">
        <v>20</v>
      </c>
      <c r="L1265" s="57" t="str">
        <f>HYPERLINK("https://nycdoe.sharepoint.com/:w:/s/BAP/EdtWs_glbFhPg7nU-ZxJ_ikBWIshJNE0DqnF3KEnkvbCCw", "8 out of 10")</f>
        <v>8 out of 10</v>
      </c>
      <c r="M1265" t="s">
        <v>8038</v>
      </c>
    </row>
    <row r="1266" spans="2:13">
      <c r="B1266" s="55" t="s">
        <v>3161</v>
      </c>
      <c r="C1266" s="55" t="s">
        <v>3162</v>
      </c>
      <c r="D1266" s="55" t="s">
        <v>8041</v>
      </c>
      <c r="E1266" s="55" t="s">
        <v>8042</v>
      </c>
      <c r="F1266" s="55" t="s">
        <v>8043</v>
      </c>
      <c r="G1266" s="55" t="s">
        <v>8044</v>
      </c>
      <c r="H1266" s="55" t="s">
        <v>43</v>
      </c>
      <c r="I1266" s="55"/>
      <c r="J1266" s="55" t="s">
        <v>8045</v>
      </c>
      <c r="K1266" s="55" t="s">
        <v>62</v>
      </c>
      <c r="L1266" s="57" t="str">
        <f>HYPERLINK("https://nycdoe.sharepoint.com/:w:/s/BAP/EWyk9mQOGdVHoz-r7rQ6IiQBgAO6Hp5ZXe_UAi_-DI7qrQ", "9 out of 10")</f>
        <v>9 out of 10</v>
      </c>
      <c r="M1266" t="s">
        <v>8046</v>
      </c>
    </row>
    <row r="1267" spans="2:13">
      <c r="B1267" s="55" t="s">
        <v>3161</v>
      </c>
      <c r="C1267" s="55" t="s">
        <v>3162</v>
      </c>
      <c r="D1267" s="55" t="s">
        <v>3334</v>
      </c>
      <c r="E1267" s="55" t="s">
        <v>3334</v>
      </c>
      <c r="F1267" s="55" t="s">
        <v>8047</v>
      </c>
      <c r="G1267" s="55" t="s">
        <v>8048</v>
      </c>
      <c r="H1267" s="55" t="s">
        <v>56</v>
      </c>
      <c r="I1267" s="55"/>
      <c r="J1267" s="55" t="s">
        <v>8049</v>
      </c>
      <c r="K1267" s="55" t="s">
        <v>62</v>
      </c>
      <c r="L1267" s="57" t="str">
        <f>HYPERLINK("https://nycdoe.sharepoint.com/:w:/s/BAP/EfA505VniedBu0cYp4TMrZ4BgOBcTTmc7dG2O7edE9YqJQ", "10 out of 10")</f>
        <v>10 out of 10</v>
      </c>
      <c r="M1267" t="s">
        <v>8050</v>
      </c>
    </row>
    <row r="1268" spans="2:13">
      <c r="B1268" s="55" t="s">
        <v>3161</v>
      </c>
      <c r="C1268" s="55" t="s">
        <v>3162</v>
      </c>
      <c r="D1268" s="55" t="s">
        <v>3334</v>
      </c>
      <c r="E1268" s="55" t="s">
        <v>3338</v>
      </c>
      <c r="F1268" s="55" t="s">
        <v>8051</v>
      </c>
      <c r="G1268" s="55" t="s">
        <v>8052</v>
      </c>
      <c r="H1268" s="55" t="s">
        <v>56</v>
      </c>
      <c r="I1268" s="55"/>
      <c r="J1268" s="55" t="s">
        <v>8049</v>
      </c>
      <c r="K1268" s="55" t="s">
        <v>62</v>
      </c>
      <c r="L1268" s="57" t="str">
        <f>HYPERLINK("https://nycdoe.sharepoint.com/:w:/s/BAP/EfA505VniedBu0cYp4TMrZ4BgOBcTTmc7dG2O7edE9YqJQ", "10 out of 10")</f>
        <v>10 out of 10</v>
      </c>
      <c r="M1268" t="s">
        <v>8050</v>
      </c>
    </row>
    <row r="1269" spans="2:13">
      <c r="B1269" s="55" t="s">
        <v>3161</v>
      </c>
      <c r="C1269" s="55" t="s">
        <v>3162</v>
      </c>
      <c r="D1269" s="55" t="s">
        <v>3341</v>
      </c>
      <c r="E1269" s="55" t="s">
        <v>3341</v>
      </c>
      <c r="F1269" s="55" t="s">
        <v>8053</v>
      </c>
      <c r="G1269" s="55" t="s">
        <v>8054</v>
      </c>
      <c r="H1269" s="55" t="s">
        <v>56</v>
      </c>
      <c r="I1269" s="55"/>
      <c r="J1269" s="55" t="s">
        <v>8055</v>
      </c>
      <c r="K1269" s="55" t="s">
        <v>62</v>
      </c>
      <c r="L1269" s="57" t="str">
        <f>HYPERLINK("https://nycdoe.sharepoint.com/:w:/s/BAP/Ebgyq_Mz-IRHpmwK8PXSxH0BVHUO8wRnxzHaEVhB-lF1gA", "10 out of 10")</f>
        <v>10 out of 10</v>
      </c>
      <c r="M1269" t="s">
        <v>8056</v>
      </c>
    </row>
    <row r="1270" spans="2:13">
      <c r="B1270" s="55" t="s">
        <v>3161</v>
      </c>
      <c r="C1270" s="55" t="s">
        <v>3162</v>
      </c>
      <c r="D1270" s="55" t="s">
        <v>3341</v>
      </c>
      <c r="E1270" s="55" t="s">
        <v>3345</v>
      </c>
      <c r="F1270" s="55" t="s">
        <v>8057</v>
      </c>
      <c r="G1270" s="55" t="s">
        <v>8058</v>
      </c>
      <c r="H1270" s="55" t="s">
        <v>56</v>
      </c>
      <c r="I1270" s="55"/>
      <c r="J1270" s="55" t="s">
        <v>8055</v>
      </c>
      <c r="K1270" s="55" t="s">
        <v>62</v>
      </c>
      <c r="L1270" s="57" t="str">
        <f>HYPERLINK("https://nycdoe.sharepoint.com/:w:/s/BAP/Ebgyq_Mz-IRHpmwK8PXSxH0BVHUO8wRnxzHaEVhB-lF1gA", "10 out of 10")</f>
        <v>10 out of 10</v>
      </c>
      <c r="M1270" t="s">
        <v>8056</v>
      </c>
    </row>
    <row r="1271" spans="2:13">
      <c r="B1271" s="55" t="s">
        <v>3161</v>
      </c>
      <c r="C1271" s="55" t="s">
        <v>3162</v>
      </c>
      <c r="D1271" s="55" t="s">
        <v>3348</v>
      </c>
      <c r="E1271" s="55" t="s">
        <v>3348</v>
      </c>
      <c r="F1271" s="55" t="s">
        <v>8059</v>
      </c>
      <c r="G1271" s="55" t="s">
        <v>8060</v>
      </c>
      <c r="H1271" s="55" t="s">
        <v>56</v>
      </c>
      <c r="I1271" s="55"/>
      <c r="J1271" s="55" t="s">
        <v>8061</v>
      </c>
      <c r="K1271" s="55" t="s">
        <v>62</v>
      </c>
      <c r="L1271" s="57" t="str">
        <f>HYPERLINK("https://nycdoe.sharepoint.com/:w:/s/BAP/EbxNNL_nb9BLoScyAn2Iy5kBouOUehu3nq2yHRchhYU0Ww", "9 out of 10")</f>
        <v>9 out of 10</v>
      </c>
      <c r="M1271" t="s">
        <v>8062</v>
      </c>
    </row>
    <row r="1272" spans="2:13">
      <c r="B1272" s="55" t="s">
        <v>3161</v>
      </c>
      <c r="C1272" s="55" t="s">
        <v>3162</v>
      </c>
      <c r="D1272" s="55" t="s">
        <v>3352</v>
      </c>
      <c r="E1272" s="55" t="s">
        <v>3352</v>
      </c>
      <c r="F1272" s="55" t="s">
        <v>8063</v>
      </c>
      <c r="G1272" s="55" t="s">
        <v>8064</v>
      </c>
      <c r="H1272" s="55" t="s">
        <v>56</v>
      </c>
      <c r="I1272" s="55"/>
      <c r="J1272" s="55" t="s">
        <v>8065</v>
      </c>
      <c r="K1272" s="55" t="s">
        <v>20</v>
      </c>
      <c r="L1272" s="57" t="str">
        <f>HYPERLINK("https://nycdoe.sharepoint.com/:w:/s/BAP/Ea6-HArJ8vFGi-4eh8eYFJMBdirC9gQok2yGtqWK7DBk0A", "6 out of 10")</f>
        <v>6 out of 10</v>
      </c>
      <c r="M1272" t="s">
        <v>8066</v>
      </c>
    </row>
    <row r="1273" spans="2:13">
      <c r="B1273" s="55" t="s">
        <v>3161</v>
      </c>
      <c r="C1273" s="55" t="s">
        <v>3162</v>
      </c>
      <c r="D1273" s="55" t="s">
        <v>3345</v>
      </c>
      <c r="E1273" s="55" t="s">
        <v>3356</v>
      </c>
      <c r="F1273" s="55" t="s">
        <v>8067</v>
      </c>
      <c r="G1273" s="55" t="s">
        <v>8068</v>
      </c>
      <c r="H1273" s="55" t="s">
        <v>17</v>
      </c>
      <c r="I1273" s="55"/>
      <c r="J1273" s="55" t="s">
        <v>8069</v>
      </c>
      <c r="K1273" s="55" t="s">
        <v>62</v>
      </c>
      <c r="L1273" s="57" t="str">
        <f>HYPERLINK("https://nycdoe.sharepoint.com/:w:/s/BAP/EakozIo16QtLg8rqk5-Ea18BV8lklXkIhzZtekrbacRweQ", "10 out of 10")</f>
        <v>10 out of 10</v>
      </c>
      <c r="M1273" t="s">
        <v>8070</v>
      </c>
    </row>
    <row r="1274" spans="2:13">
      <c r="B1274" s="55" t="s">
        <v>3161</v>
      </c>
      <c r="C1274" s="55" t="s">
        <v>3162</v>
      </c>
      <c r="D1274" s="55" t="s">
        <v>3360</v>
      </c>
      <c r="E1274" s="55" t="s">
        <v>3345</v>
      </c>
      <c r="F1274" s="55" t="s">
        <v>8057</v>
      </c>
      <c r="G1274" s="55" t="s">
        <v>8058</v>
      </c>
      <c r="H1274" s="55" t="s">
        <v>56</v>
      </c>
      <c r="I1274" s="55"/>
      <c r="J1274" s="55" t="s">
        <v>8071</v>
      </c>
      <c r="K1274" s="55" t="s">
        <v>62</v>
      </c>
      <c r="L1274" s="57" t="str">
        <f>HYPERLINK("https://nycdoe.sharepoint.com/:w:/s/BAP/Ecm073C0eWVOqiXd4Ga-KiQB1WQsS0h1uIKFYx2yZCaz7Q", "10 out of 10")</f>
        <v>10 out of 10</v>
      </c>
      <c r="M1274" t="s">
        <v>8072</v>
      </c>
    </row>
    <row r="1275" spans="2:13">
      <c r="B1275" s="55" t="s">
        <v>3161</v>
      </c>
      <c r="C1275" s="55" t="s">
        <v>3162</v>
      </c>
      <c r="D1275" s="55" t="s">
        <v>3362</v>
      </c>
      <c r="E1275" s="55" t="s">
        <v>3363</v>
      </c>
      <c r="F1275" s="55" t="s">
        <v>8073</v>
      </c>
      <c r="G1275" s="55" t="s">
        <v>8074</v>
      </c>
      <c r="H1275" s="55" t="s">
        <v>56</v>
      </c>
      <c r="I1275" s="55"/>
      <c r="J1275" s="55" t="s">
        <v>8075</v>
      </c>
      <c r="K1275" s="55" t="s">
        <v>62</v>
      </c>
      <c r="L1275" s="57" t="str">
        <f>HYPERLINK("https://nycdoe.sharepoint.com/:w:/s/BAP/EU7jlpDPxJRFomBQaHtpM-wBA9HP2xvaGVs0yHOI1aHoqg", "10 out of 10")</f>
        <v>10 out of 10</v>
      </c>
      <c r="M1275" t="s">
        <v>8076</v>
      </c>
    </row>
    <row r="1276" spans="2:13">
      <c r="B1276" s="55" t="s">
        <v>3161</v>
      </c>
      <c r="C1276" s="55" t="s">
        <v>3162</v>
      </c>
      <c r="D1276" s="55" t="s">
        <v>3362</v>
      </c>
      <c r="E1276" s="55" t="s">
        <v>3367</v>
      </c>
      <c r="F1276" s="55" t="s">
        <v>8077</v>
      </c>
      <c r="G1276" s="55" t="s">
        <v>8078</v>
      </c>
      <c r="H1276" s="55" t="s">
        <v>56</v>
      </c>
      <c r="I1276" s="55"/>
      <c r="J1276" s="55" t="s">
        <v>8075</v>
      </c>
      <c r="K1276" s="55" t="s">
        <v>62</v>
      </c>
      <c r="L1276" s="57" t="str">
        <f>HYPERLINK("https://nycdoe.sharepoint.com/:w:/s/BAP/EU7jlpDPxJRFomBQaHtpM-wBA9HP2xvaGVs0yHOI1aHoqg", "10 out of 10")</f>
        <v>10 out of 10</v>
      </c>
      <c r="M1276" t="s">
        <v>8076</v>
      </c>
    </row>
    <row r="1277" spans="2:13">
      <c r="B1277" s="55" t="s">
        <v>3161</v>
      </c>
      <c r="C1277" s="55" t="s">
        <v>3162</v>
      </c>
      <c r="D1277" s="55" t="s">
        <v>3362</v>
      </c>
      <c r="E1277" s="55" t="s">
        <v>3370</v>
      </c>
      <c r="F1277" s="55" t="s">
        <v>8079</v>
      </c>
      <c r="G1277" s="55" t="s">
        <v>8080</v>
      </c>
      <c r="H1277" s="55" t="s">
        <v>56</v>
      </c>
      <c r="I1277" s="55"/>
      <c r="J1277" s="55" t="s">
        <v>8075</v>
      </c>
      <c r="K1277" s="55" t="s">
        <v>62</v>
      </c>
      <c r="L1277" s="57" t="str">
        <f>HYPERLINK("https://nycdoe.sharepoint.com/:w:/s/BAP/EU7jlpDPxJRFomBQaHtpM-wBA9HP2xvaGVs0yHOI1aHoqg", "10 out of 10")</f>
        <v>10 out of 10</v>
      </c>
      <c r="M1277" t="s">
        <v>8076</v>
      </c>
    </row>
    <row r="1278" spans="2:13">
      <c r="B1278" s="55" t="s">
        <v>3161</v>
      </c>
      <c r="C1278" s="55" t="s">
        <v>3162</v>
      </c>
      <c r="D1278" s="55" t="s">
        <v>3373</v>
      </c>
      <c r="E1278" s="55" t="s">
        <v>3374</v>
      </c>
      <c r="F1278" s="55" t="s">
        <v>8081</v>
      </c>
      <c r="G1278" s="55" t="s">
        <v>8082</v>
      </c>
      <c r="H1278" s="55" t="s">
        <v>56</v>
      </c>
      <c r="I1278" s="55"/>
      <c r="J1278" s="55" t="s">
        <v>8083</v>
      </c>
      <c r="K1278" s="55" t="s">
        <v>62</v>
      </c>
      <c r="L1278" s="57" t="str">
        <f>HYPERLINK("https://nycdoe.sharepoint.com/:w:/s/BAP/EVPjGhRr_3hBlRvLB-vTC4cBlj-1cxyRM-na3c7kabiTBg", "10 out of 10")</f>
        <v>10 out of 10</v>
      </c>
      <c r="M1278" t="s">
        <v>8084</v>
      </c>
    </row>
    <row r="1279" spans="2:13">
      <c r="B1279" s="55" t="s">
        <v>3161</v>
      </c>
      <c r="C1279" s="55" t="s">
        <v>3162</v>
      </c>
      <c r="D1279" s="55" t="s">
        <v>3373</v>
      </c>
      <c r="E1279" s="55" t="s">
        <v>3378</v>
      </c>
      <c r="F1279" s="55" t="s">
        <v>8085</v>
      </c>
      <c r="G1279" s="55" t="s">
        <v>8086</v>
      </c>
      <c r="H1279" s="55" t="s">
        <v>56</v>
      </c>
      <c r="I1279" s="55"/>
      <c r="J1279" s="55" t="s">
        <v>8083</v>
      </c>
      <c r="K1279" s="55" t="s">
        <v>62</v>
      </c>
      <c r="L1279" s="57" t="str">
        <f>HYPERLINK("https://nycdoe.sharepoint.com/:w:/s/BAP/EVPjGhRr_3hBlRvLB-vTC4cBlj-1cxyRM-na3c7kabiTBg", "10 out of 10")</f>
        <v>10 out of 10</v>
      </c>
      <c r="M1279" t="s">
        <v>8084</v>
      </c>
    </row>
    <row r="1280" spans="2:13">
      <c r="B1280" s="55" t="s">
        <v>3161</v>
      </c>
      <c r="C1280" s="55" t="s">
        <v>3162</v>
      </c>
      <c r="D1280" s="55" t="s">
        <v>3373</v>
      </c>
      <c r="E1280" s="55" t="s">
        <v>3373</v>
      </c>
      <c r="F1280" s="55" t="s">
        <v>8087</v>
      </c>
      <c r="G1280" s="55" t="s">
        <v>8088</v>
      </c>
      <c r="H1280" s="55" t="s">
        <v>56</v>
      </c>
      <c r="I1280" s="55"/>
      <c r="J1280" s="55" t="s">
        <v>8083</v>
      </c>
      <c r="K1280" s="55" t="s">
        <v>62</v>
      </c>
      <c r="L1280" s="57" t="str">
        <f>HYPERLINK("https://nycdoe.sharepoint.com/:w:/s/BAP/EVPjGhRr_3hBlRvLB-vTC4cBlj-1cxyRM-na3c7kabiTBg", "10 out of 10")</f>
        <v>10 out of 10</v>
      </c>
      <c r="M1280" t="s">
        <v>8084</v>
      </c>
    </row>
    <row r="1281" spans="2:13">
      <c r="B1281" s="55" t="s">
        <v>3161</v>
      </c>
      <c r="C1281" s="55" t="s">
        <v>3162</v>
      </c>
      <c r="D1281" s="55" t="s">
        <v>3373</v>
      </c>
      <c r="E1281" s="55" t="s">
        <v>3383</v>
      </c>
      <c r="F1281" s="55" t="s">
        <v>8089</v>
      </c>
      <c r="G1281" s="55" t="s">
        <v>8090</v>
      </c>
      <c r="H1281" s="55" t="s">
        <v>56</v>
      </c>
      <c r="I1281" s="55"/>
      <c r="J1281" s="55" t="s">
        <v>8083</v>
      </c>
      <c r="K1281" s="55" t="s">
        <v>62</v>
      </c>
      <c r="L1281" s="57" t="str">
        <f>HYPERLINK("https://nycdoe.sharepoint.com/:w:/s/BAP/EVPjGhRr_3hBlRvLB-vTC4cBlj-1cxyRM-na3c7kabiTBg", "10 out of 10")</f>
        <v>10 out of 10</v>
      </c>
      <c r="M1281" t="s">
        <v>8084</v>
      </c>
    </row>
    <row r="1282" spans="2:13">
      <c r="B1282" s="55" t="s">
        <v>3161</v>
      </c>
      <c r="C1282" s="55" t="s">
        <v>3162</v>
      </c>
      <c r="D1282" s="55" t="s">
        <v>3373</v>
      </c>
      <c r="E1282" s="55" t="s">
        <v>4490</v>
      </c>
      <c r="F1282" s="55" t="s">
        <v>4491</v>
      </c>
      <c r="G1282" s="55" t="s">
        <v>4492</v>
      </c>
      <c r="H1282" s="55" t="s">
        <v>56</v>
      </c>
      <c r="I1282" s="55"/>
      <c r="J1282" s="55" t="s">
        <v>8083</v>
      </c>
      <c r="K1282" s="55" t="s">
        <v>62</v>
      </c>
      <c r="L1282" s="57" t="str">
        <f>HYPERLINK("https://nycdoe.sharepoint.com/:w:/s/BAP/EVPjGhRr_3hBlRvLB-vTC4cBlj-1cxyRM-na3c7kabiTBg", "10 out of 10")</f>
        <v>10 out of 10</v>
      </c>
      <c r="M1282" t="s">
        <v>8084</v>
      </c>
    </row>
    <row r="1283" spans="2:13">
      <c r="B1283" s="55" t="s">
        <v>3161</v>
      </c>
      <c r="C1283" s="55" t="s">
        <v>3162</v>
      </c>
      <c r="D1283" s="55" t="s">
        <v>3386</v>
      </c>
      <c r="E1283" s="55" t="s">
        <v>3391</v>
      </c>
      <c r="F1283" s="55" t="s">
        <v>8091</v>
      </c>
      <c r="G1283" s="55" t="s">
        <v>8092</v>
      </c>
      <c r="H1283" s="55" t="s">
        <v>52</v>
      </c>
      <c r="I1283" s="55"/>
      <c r="J1283" s="55" t="s">
        <v>8093</v>
      </c>
      <c r="K1283" s="55" t="s">
        <v>62</v>
      </c>
      <c r="L1283" s="57" t="str">
        <f>HYPERLINK("https://nycdoe.sharepoint.com/:w:/s/BAP/Eej90PRnVOtOunOqzfUe_-IBtpfnLaZf3Ew1TKtcoqUd0A", "9 out of 10")</f>
        <v>9 out of 10</v>
      </c>
      <c r="M1283" t="s">
        <v>8094</v>
      </c>
    </row>
    <row r="1284" spans="2:13">
      <c r="B1284" s="55" t="s">
        <v>3161</v>
      </c>
      <c r="C1284" s="55" t="s">
        <v>3162</v>
      </c>
      <c r="D1284" s="55" t="s">
        <v>3386</v>
      </c>
      <c r="E1284" s="55" t="s">
        <v>3386</v>
      </c>
      <c r="F1284" s="55" t="s">
        <v>8095</v>
      </c>
      <c r="G1284" s="55" t="s">
        <v>8096</v>
      </c>
      <c r="H1284" s="55" t="s">
        <v>84</v>
      </c>
      <c r="I1284" s="55"/>
      <c r="J1284" s="55" t="s">
        <v>8093</v>
      </c>
      <c r="K1284" s="55" t="s">
        <v>62</v>
      </c>
      <c r="L1284" s="57" t="str">
        <f>HYPERLINK("https://nycdoe.sharepoint.com/:w:/s/BAP/Eej90PRnVOtOunOqzfUe_-IBtpfnLaZf3Ew1TKtcoqUd0A", "9 out of 10")</f>
        <v>9 out of 10</v>
      </c>
      <c r="M1284" t="s">
        <v>8094</v>
      </c>
    </row>
    <row r="1285" spans="2:13">
      <c r="B1285" s="55" t="s">
        <v>3161</v>
      </c>
      <c r="C1285" s="55" t="s">
        <v>3162</v>
      </c>
      <c r="D1285" s="55" t="s">
        <v>8097</v>
      </c>
      <c r="E1285" s="55" t="s">
        <v>3238</v>
      </c>
      <c r="F1285" s="55" t="s">
        <v>7922</v>
      </c>
      <c r="G1285" s="55" t="s">
        <v>7923</v>
      </c>
      <c r="H1285" s="55" t="s">
        <v>24</v>
      </c>
      <c r="I1285" s="55" t="s">
        <v>18</v>
      </c>
      <c r="J1285" s="55" t="s">
        <v>8098</v>
      </c>
      <c r="K1285" s="55" t="s">
        <v>20</v>
      </c>
      <c r="L1285" s="57" t="str">
        <f>HYPERLINK("https://nycdoe.sharepoint.com/:w:/s/BAP/EWaHJnlEaiZMj7P2gajP6BgB76AGjhvCmfIXUnTJP7y9Uw", "4 out of 10")</f>
        <v>4 out of 10</v>
      </c>
      <c r="M1285" t="s">
        <v>8099</v>
      </c>
    </row>
    <row r="1286" spans="2:13">
      <c r="B1286" s="55" t="s">
        <v>3161</v>
      </c>
      <c r="C1286" s="55" t="s">
        <v>3162</v>
      </c>
      <c r="D1286" s="55" t="s">
        <v>8100</v>
      </c>
      <c r="E1286" s="55" t="s">
        <v>3170</v>
      </c>
      <c r="F1286" s="55" t="s">
        <v>7875</v>
      </c>
      <c r="G1286" s="55" t="s">
        <v>7876</v>
      </c>
      <c r="H1286" s="55" t="s">
        <v>17</v>
      </c>
      <c r="I1286" s="55" t="s">
        <v>18</v>
      </c>
      <c r="J1286" s="55" t="s">
        <v>8101</v>
      </c>
      <c r="K1286" s="55" t="s">
        <v>62</v>
      </c>
      <c r="L1286" s="57" t="str">
        <f>HYPERLINK("https://nycdoe.sharepoint.com/:w:/s/BAP/ESwSrlXV7iVBr7KbNllKdswB8lPytLO3DapV7ZgKa0aq4w", "9 out of 10")</f>
        <v>9 out of 10</v>
      </c>
      <c r="M1286" t="s">
        <v>8102</v>
      </c>
    </row>
    <row r="1287" spans="2:13">
      <c r="B1287" s="55" t="s">
        <v>3161</v>
      </c>
      <c r="C1287" s="55" t="s">
        <v>3162</v>
      </c>
      <c r="D1287" s="55" t="s">
        <v>3394</v>
      </c>
      <c r="E1287" s="55" t="s">
        <v>3395</v>
      </c>
      <c r="F1287" s="55" t="s">
        <v>8103</v>
      </c>
      <c r="G1287" s="55" t="s">
        <v>8104</v>
      </c>
      <c r="H1287" s="55" t="s">
        <v>84</v>
      </c>
      <c r="I1287" s="55"/>
      <c r="J1287" s="55" t="s">
        <v>8105</v>
      </c>
      <c r="K1287" s="55" t="s">
        <v>62</v>
      </c>
      <c r="L1287" s="57" t="str">
        <f>HYPERLINK("https://nycdoe.sharepoint.com/:w:/s/BAP/Eegr-Oa14MNJsw5U65e5do0BOrvXgYGAfwiq8fMCyc8ifQ", "10 out of 10")</f>
        <v>10 out of 10</v>
      </c>
      <c r="M1287" t="s">
        <v>8106</v>
      </c>
    </row>
    <row r="1288" spans="2:13">
      <c r="B1288" s="55" t="s">
        <v>3399</v>
      </c>
      <c r="C1288" s="55" t="s">
        <v>3162</v>
      </c>
      <c r="D1288" s="55" t="s">
        <v>3400</v>
      </c>
      <c r="E1288" s="55" t="s">
        <v>3400</v>
      </c>
      <c r="F1288" s="55" t="s">
        <v>8107</v>
      </c>
      <c r="G1288" s="55" t="s">
        <v>8108</v>
      </c>
      <c r="H1288" s="55" t="s">
        <v>17</v>
      </c>
      <c r="I1288" s="55" t="s">
        <v>18</v>
      </c>
      <c r="J1288" s="55" t="s">
        <v>8109</v>
      </c>
      <c r="K1288" s="55" t="s">
        <v>62</v>
      </c>
      <c r="L1288" s="57" t="str">
        <f>HYPERLINK("https://nycdoe.sharepoint.com/:w:/s/BAP/EamGaRq-aiRAmIKidnWiaDYBQ0bo1IcxiN3HSurf5Gr5ng", "9 out of 10")</f>
        <v>9 out of 10</v>
      </c>
      <c r="M1288" t="s">
        <v>8110</v>
      </c>
    </row>
    <row r="1289" spans="2:13">
      <c r="B1289" s="55" t="s">
        <v>3399</v>
      </c>
      <c r="C1289" s="55" t="s">
        <v>3162</v>
      </c>
      <c r="D1289" s="55" t="s">
        <v>3404</v>
      </c>
      <c r="E1289" s="55" t="s">
        <v>3404</v>
      </c>
      <c r="F1289" s="55" t="s">
        <v>8111</v>
      </c>
      <c r="G1289" s="55" t="s">
        <v>8112</v>
      </c>
      <c r="H1289" s="55" t="s">
        <v>17</v>
      </c>
      <c r="I1289" s="55" t="s">
        <v>18</v>
      </c>
      <c r="J1289" s="55" t="s">
        <v>8113</v>
      </c>
      <c r="K1289" s="55" t="s">
        <v>62</v>
      </c>
      <c r="L1289" s="57" t="str">
        <f>HYPERLINK("https://nycdoe.sharepoint.com/:w:/s/BAP/EZbv61cFoLhKgBawcDTXvrYBp04CztbJxD5NGHV0wlPIKQ", "9 out of 10")</f>
        <v>9 out of 10</v>
      </c>
      <c r="M1289" t="s">
        <v>8114</v>
      </c>
    </row>
    <row r="1290" spans="2:13">
      <c r="B1290" s="55" t="s">
        <v>3399</v>
      </c>
      <c r="C1290" s="55" t="s">
        <v>3162</v>
      </c>
      <c r="D1290" s="55" t="s">
        <v>8115</v>
      </c>
      <c r="E1290" s="55" t="s">
        <v>8115</v>
      </c>
      <c r="F1290" s="55" t="s">
        <v>8116</v>
      </c>
      <c r="G1290" s="55" t="s">
        <v>8117</v>
      </c>
      <c r="H1290" s="55" t="s">
        <v>17</v>
      </c>
      <c r="I1290" s="55" t="s">
        <v>18</v>
      </c>
      <c r="J1290" s="55" t="s">
        <v>8118</v>
      </c>
      <c r="K1290" s="55" t="s">
        <v>20</v>
      </c>
      <c r="L1290" s="57" t="str">
        <f>HYPERLINK("https://nycdoe.sharepoint.com/:w:/s/BAP/EZi5v8nPFmhGt7eYiSYc3NsB4-dZJOUe6lM3567w7lPi1A", "1 out of 10")</f>
        <v>1 out of 10</v>
      </c>
      <c r="M1290" t="s">
        <v>8119</v>
      </c>
    </row>
    <row r="1291" spans="2:13">
      <c r="B1291" s="55" t="s">
        <v>3399</v>
      </c>
      <c r="C1291" s="55" t="s">
        <v>3162</v>
      </c>
      <c r="D1291" s="55" t="s">
        <v>3408</v>
      </c>
      <c r="E1291" s="55" t="s">
        <v>3408</v>
      </c>
      <c r="F1291" s="55" t="s">
        <v>8120</v>
      </c>
      <c r="G1291" s="55" t="s">
        <v>8121</v>
      </c>
      <c r="H1291" s="55" t="s">
        <v>17</v>
      </c>
      <c r="I1291" s="55" t="s">
        <v>18</v>
      </c>
      <c r="J1291" s="55" t="s">
        <v>8122</v>
      </c>
      <c r="K1291" s="55" t="s">
        <v>62</v>
      </c>
      <c r="L1291" s="57" t="str">
        <f>HYPERLINK("https://nycdoe.sharepoint.com/:w:/s/BAP/EWQZ72IPRmNKq78FSoQXqDUBzuXzDgCup9Uz-3NxKoKyZA", "9 out of 10")</f>
        <v>9 out of 10</v>
      </c>
      <c r="M1291" t="s">
        <v>8123</v>
      </c>
    </row>
    <row r="1292" spans="2:13">
      <c r="B1292" s="55" t="s">
        <v>3399</v>
      </c>
      <c r="C1292" s="55" t="s">
        <v>3162</v>
      </c>
      <c r="D1292" s="55" t="s">
        <v>3412</v>
      </c>
      <c r="E1292" s="55" t="s">
        <v>3412</v>
      </c>
      <c r="F1292" s="55" t="s">
        <v>8124</v>
      </c>
      <c r="G1292" s="55" t="s">
        <v>8125</v>
      </c>
      <c r="H1292" s="55" t="s">
        <v>52</v>
      </c>
      <c r="I1292" s="55"/>
      <c r="J1292" s="55" t="s">
        <v>8126</v>
      </c>
      <c r="K1292" s="55" t="s">
        <v>62</v>
      </c>
      <c r="L1292" s="57" t="str">
        <f>HYPERLINK("https://nycdoe.sharepoint.com/:w:/s/BAP/ETyXvMb-vrZCj1ltfucZGD4BKVGt6Tr821mlPCQelh6SMw", "9 out of 10")</f>
        <v>9 out of 10</v>
      </c>
      <c r="M1292" t="s">
        <v>8127</v>
      </c>
    </row>
    <row r="1293" spans="2:13">
      <c r="B1293" s="55" t="s">
        <v>3399</v>
      </c>
      <c r="C1293" s="55" t="s">
        <v>3162</v>
      </c>
      <c r="D1293" s="55" t="s">
        <v>3412</v>
      </c>
      <c r="E1293" s="55" t="s">
        <v>3416</v>
      </c>
      <c r="F1293" s="55" t="s">
        <v>8128</v>
      </c>
      <c r="G1293" s="55" t="s">
        <v>3418</v>
      </c>
      <c r="H1293" s="55" t="s">
        <v>43</v>
      </c>
      <c r="I1293" s="55"/>
      <c r="J1293" s="55" t="s">
        <v>8126</v>
      </c>
      <c r="K1293" s="55" t="s">
        <v>62</v>
      </c>
      <c r="L1293" s="57" t="str">
        <f>HYPERLINK("https://nycdoe.sharepoint.com/:w:/s/BAP/ETyXvMb-vrZCj1ltfucZGD4BKVGt6Tr821mlPCQelh6SMw", "9 out of 10")</f>
        <v>9 out of 10</v>
      </c>
      <c r="M1293" t="s">
        <v>8127</v>
      </c>
    </row>
    <row r="1294" spans="2:13">
      <c r="B1294" s="55" t="s">
        <v>3399</v>
      </c>
      <c r="C1294" s="55" t="s">
        <v>3162</v>
      </c>
      <c r="D1294" s="55" t="s">
        <v>3412</v>
      </c>
      <c r="E1294" s="55" t="s">
        <v>3419</v>
      </c>
      <c r="F1294" s="55" t="s">
        <v>8129</v>
      </c>
      <c r="G1294" s="55" t="s">
        <v>8130</v>
      </c>
      <c r="H1294" s="55" t="s">
        <v>84</v>
      </c>
      <c r="I1294" s="55"/>
      <c r="J1294" s="55" t="s">
        <v>8126</v>
      </c>
      <c r="K1294" s="55" t="s">
        <v>62</v>
      </c>
      <c r="L1294" s="57" t="str">
        <f>HYPERLINK("https://nycdoe.sharepoint.com/:w:/s/BAP/ETyXvMb-vrZCj1ltfucZGD4BKVGt6Tr821mlPCQelh6SMw", "9 out of 10")</f>
        <v>9 out of 10</v>
      </c>
      <c r="M1294" t="s">
        <v>8127</v>
      </c>
    </row>
    <row r="1295" spans="2:13">
      <c r="B1295" s="55" t="s">
        <v>3399</v>
      </c>
      <c r="C1295" s="55" t="s">
        <v>3162</v>
      </c>
      <c r="D1295" s="55" t="s">
        <v>3422</v>
      </c>
      <c r="E1295" s="55" t="s">
        <v>3422</v>
      </c>
      <c r="F1295" s="55" t="s">
        <v>8131</v>
      </c>
      <c r="G1295" s="55" t="s">
        <v>8132</v>
      </c>
      <c r="H1295" s="55" t="s">
        <v>17</v>
      </c>
      <c r="I1295" s="55" t="s">
        <v>18</v>
      </c>
      <c r="J1295" s="55" t="s">
        <v>8133</v>
      </c>
      <c r="K1295" s="55" t="s">
        <v>62</v>
      </c>
      <c r="L1295" s="57" t="str">
        <f>HYPERLINK("https://nycdoe.sharepoint.com/:w:/s/BAP/EVwDrsfUZYVOtNk71i09BdcBCO8ijPW394ZhoadAyfiYMg", "9 out of 10")</f>
        <v>9 out of 10</v>
      </c>
      <c r="M1295" t="s">
        <v>8134</v>
      </c>
    </row>
    <row r="1296" spans="2:13">
      <c r="B1296" s="55" t="s">
        <v>3399</v>
      </c>
      <c r="C1296" s="55" t="s">
        <v>3162</v>
      </c>
      <c r="D1296" s="55" t="s">
        <v>8135</v>
      </c>
      <c r="E1296" s="55" t="s">
        <v>8135</v>
      </c>
      <c r="F1296" s="55" t="s">
        <v>8136</v>
      </c>
      <c r="G1296" s="55" t="s">
        <v>8137</v>
      </c>
      <c r="H1296" s="55" t="s">
        <v>17</v>
      </c>
      <c r="I1296" s="55" t="s">
        <v>18</v>
      </c>
      <c r="J1296" s="55" t="s">
        <v>8138</v>
      </c>
      <c r="K1296" s="55" t="s">
        <v>20</v>
      </c>
      <c r="L1296" s="57" t="str">
        <f>HYPERLINK("https://nycdoe.sharepoint.com/:w:/s/BAP/EUg_2RGvaJVJmo7lr2TWArMBGiKnY5a6MIbD0cqWzpg9Sg", "7 out of 10")</f>
        <v>7 out of 10</v>
      </c>
      <c r="M1296" t="s">
        <v>8139</v>
      </c>
    </row>
    <row r="1297" spans="2:13">
      <c r="B1297" s="55" t="s">
        <v>3399</v>
      </c>
      <c r="C1297" s="55" t="s">
        <v>3162</v>
      </c>
      <c r="D1297" s="55" t="s">
        <v>3426</v>
      </c>
      <c r="E1297" s="55" t="s">
        <v>3426</v>
      </c>
      <c r="F1297" s="55" t="s">
        <v>8140</v>
      </c>
      <c r="G1297" s="55" t="s">
        <v>8141</v>
      </c>
      <c r="H1297" s="55" t="s">
        <v>17</v>
      </c>
      <c r="I1297" s="55" t="s">
        <v>18</v>
      </c>
      <c r="J1297" s="55" t="s">
        <v>8142</v>
      </c>
      <c r="K1297" s="55" t="s">
        <v>20</v>
      </c>
      <c r="L1297" s="57" t="str">
        <f>HYPERLINK("https://nycdoe.sharepoint.com/:w:/s/BAP/EQv9aFLruzpNua9cccw3qfkB98_M_kICMhabK3ufbBvAXQ", "1 out of 10")</f>
        <v>1 out of 10</v>
      </c>
      <c r="M1297" t="s">
        <v>8143</v>
      </c>
    </row>
    <row r="1298" spans="2:13">
      <c r="B1298" s="55" t="s">
        <v>3399</v>
      </c>
      <c r="C1298" s="55" t="s">
        <v>3162</v>
      </c>
      <c r="D1298" s="55" t="s">
        <v>3430</v>
      </c>
      <c r="E1298" s="55" t="s">
        <v>3430</v>
      </c>
      <c r="F1298" s="55" t="s">
        <v>8144</v>
      </c>
      <c r="G1298" s="55" t="s">
        <v>8145</v>
      </c>
      <c r="H1298" s="55" t="s">
        <v>17</v>
      </c>
      <c r="I1298" s="55" t="s">
        <v>18</v>
      </c>
      <c r="J1298" s="55" t="s">
        <v>8146</v>
      </c>
      <c r="K1298" s="55" t="s">
        <v>62</v>
      </c>
      <c r="L1298" s="57" t="str">
        <f>HYPERLINK("https://nycdoe.sharepoint.com/:w:/s/BAP/EUAONiTvcYdNoowe4b9abP0BLW2IUU0GBe_yNyRV43FlSA", "9 out of 10")</f>
        <v>9 out of 10</v>
      </c>
      <c r="M1298" t="s">
        <v>8147</v>
      </c>
    </row>
    <row r="1299" spans="2:13">
      <c r="B1299" s="55" t="s">
        <v>3399</v>
      </c>
      <c r="C1299" s="55" t="s">
        <v>3162</v>
      </c>
      <c r="D1299" s="55" t="s">
        <v>3434</v>
      </c>
      <c r="E1299" s="55" t="s">
        <v>3434</v>
      </c>
      <c r="F1299" s="55" t="s">
        <v>8148</v>
      </c>
      <c r="G1299" s="55" t="s">
        <v>8149</v>
      </c>
      <c r="H1299" s="55" t="s">
        <v>17</v>
      </c>
      <c r="I1299" s="55" t="s">
        <v>18</v>
      </c>
      <c r="J1299" s="55" t="s">
        <v>8150</v>
      </c>
      <c r="K1299" s="55" t="s">
        <v>20</v>
      </c>
      <c r="L1299" s="57" t="str">
        <f>HYPERLINK("https://nycdoe.sharepoint.com/:w:/s/BAP/ERB8Q7_T9WVBq8UYDknyyewB_LGU0IJ5Jx14MwlQ1riO1w", "7 out of 10")</f>
        <v>7 out of 10</v>
      </c>
      <c r="M1299" t="s">
        <v>8151</v>
      </c>
    </row>
    <row r="1300" spans="2:13">
      <c r="B1300" s="55" t="s">
        <v>3399</v>
      </c>
      <c r="C1300" s="55" t="s">
        <v>3162</v>
      </c>
      <c r="D1300" s="55" t="s">
        <v>3438</v>
      </c>
      <c r="E1300" s="55" t="s">
        <v>3438</v>
      </c>
      <c r="F1300" s="55" t="s">
        <v>8152</v>
      </c>
      <c r="G1300" s="55" t="s">
        <v>8153</v>
      </c>
      <c r="H1300" s="55" t="s">
        <v>17</v>
      </c>
      <c r="I1300" s="55" t="s">
        <v>18</v>
      </c>
      <c r="J1300" s="55" t="s">
        <v>8154</v>
      </c>
      <c r="K1300" s="55" t="s">
        <v>62</v>
      </c>
      <c r="L1300" s="57" t="str">
        <f>HYPERLINK("https://nycdoe.sharepoint.com/:w:/s/BAP/EXh6wZUXm5xIoRcoWL7V1yIBg2mkEiKjRyR2jilKzGz0xg", "9 out of 10")</f>
        <v>9 out of 10</v>
      </c>
      <c r="M1300" t="s">
        <v>8155</v>
      </c>
    </row>
    <row r="1301" spans="2:13">
      <c r="B1301" s="55" t="s">
        <v>3399</v>
      </c>
      <c r="C1301" s="55" t="s">
        <v>3162</v>
      </c>
      <c r="D1301" s="55" t="s">
        <v>3442</v>
      </c>
      <c r="E1301" s="55" t="s">
        <v>3442</v>
      </c>
      <c r="F1301" s="55" t="s">
        <v>8156</v>
      </c>
      <c r="G1301" s="55" t="s">
        <v>8157</v>
      </c>
      <c r="H1301" s="55" t="s">
        <v>17</v>
      </c>
      <c r="I1301" s="55" t="s">
        <v>18</v>
      </c>
      <c r="J1301" s="55" t="s">
        <v>8158</v>
      </c>
      <c r="K1301" s="55" t="s">
        <v>62</v>
      </c>
      <c r="L1301" s="57" t="str">
        <f>HYPERLINK("https://nycdoe.sharepoint.com/:w:/s/BAP/EVq628AoV7dKmn-PLaz35K8BP1bX99fs_B0D-VRCBjiBiw", "9 out of 10")</f>
        <v>9 out of 10</v>
      </c>
      <c r="M1301" t="s">
        <v>8159</v>
      </c>
    </row>
    <row r="1302" spans="2:13">
      <c r="B1302" s="55" t="s">
        <v>3399</v>
      </c>
      <c r="C1302" s="55" t="s">
        <v>3162</v>
      </c>
      <c r="D1302" s="55" t="s">
        <v>3442</v>
      </c>
      <c r="E1302" s="55" t="s">
        <v>3174</v>
      </c>
      <c r="F1302" s="55" t="s">
        <v>7879</v>
      </c>
      <c r="G1302" s="55" t="s">
        <v>3176</v>
      </c>
      <c r="H1302" s="55" t="s">
        <v>43</v>
      </c>
      <c r="I1302" s="55"/>
      <c r="J1302" s="55" t="s">
        <v>8158</v>
      </c>
      <c r="K1302" s="55" t="s">
        <v>62</v>
      </c>
      <c r="L1302" s="57" t="str">
        <f>HYPERLINK("https://nycdoe.sharepoint.com/:w:/s/BAP/EVq628AoV7dKmn-PLaz35K8BP1bX99fs_B0D-VRCBjiBiw", "9 out of 10")</f>
        <v>9 out of 10</v>
      </c>
      <c r="M1302" t="s">
        <v>8159</v>
      </c>
    </row>
    <row r="1303" spans="2:13">
      <c r="B1303" s="55" t="s">
        <v>3399</v>
      </c>
      <c r="C1303" s="55" t="s">
        <v>3162</v>
      </c>
      <c r="D1303" s="55" t="s">
        <v>3446</v>
      </c>
      <c r="E1303" s="55" t="s">
        <v>3446</v>
      </c>
      <c r="F1303" s="55" t="s">
        <v>8160</v>
      </c>
      <c r="G1303" s="55" t="s">
        <v>8161</v>
      </c>
      <c r="H1303" s="55" t="s">
        <v>17</v>
      </c>
      <c r="I1303" s="55" t="s">
        <v>18</v>
      </c>
      <c r="J1303" s="55" t="s">
        <v>8162</v>
      </c>
      <c r="K1303" s="55" t="s">
        <v>62</v>
      </c>
      <c r="L1303" s="57" t="str">
        <f>HYPERLINK("https://nycdoe.sharepoint.com/:w:/s/BAP/EeWhmOExUdxIhF0Fj14BL3oBDMUeuj5b_D64SVaPVqF4fg", "9 out of 10")</f>
        <v>9 out of 10</v>
      </c>
      <c r="M1303" t="s">
        <v>8163</v>
      </c>
    </row>
    <row r="1304" spans="2:13">
      <c r="B1304" s="55" t="s">
        <v>3399</v>
      </c>
      <c r="C1304" s="55" t="s">
        <v>3162</v>
      </c>
      <c r="D1304" s="55" t="s">
        <v>8164</v>
      </c>
      <c r="E1304" s="55" t="s">
        <v>8164</v>
      </c>
      <c r="F1304" s="55" t="s">
        <v>8165</v>
      </c>
      <c r="G1304" s="55" t="s">
        <v>8166</v>
      </c>
      <c r="H1304" s="55" t="s">
        <v>24</v>
      </c>
      <c r="I1304" s="55" t="s">
        <v>18</v>
      </c>
      <c r="J1304" s="55" t="s">
        <v>8167</v>
      </c>
      <c r="K1304" s="55" t="s">
        <v>20</v>
      </c>
      <c r="L1304" s="57" t="str">
        <f>HYPERLINK("https://nycdoe.sharepoint.com/:w:/s/BAP/EQF3-oEbIvhAv3KWeQBDXa8B1r2JGL3_9tVuDL6RR42rqg", "4 out of 10")</f>
        <v>4 out of 10</v>
      </c>
      <c r="M1304" t="s">
        <v>8168</v>
      </c>
    </row>
    <row r="1305" spans="2:13">
      <c r="B1305" s="55" t="s">
        <v>3399</v>
      </c>
      <c r="C1305" s="55" t="s">
        <v>3162</v>
      </c>
      <c r="D1305" s="55" t="s">
        <v>3450</v>
      </c>
      <c r="E1305" s="55" t="s">
        <v>3450</v>
      </c>
      <c r="F1305" s="55" t="s">
        <v>8169</v>
      </c>
      <c r="G1305" s="55" t="s">
        <v>8170</v>
      </c>
      <c r="H1305" s="55" t="s">
        <v>17</v>
      </c>
      <c r="I1305" s="55" t="s">
        <v>18</v>
      </c>
      <c r="J1305" s="55" t="s">
        <v>8171</v>
      </c>
      <c r="K1305" s="55" t="s">
        <v>20</v>
      </c>
      <c r="L1305" s="57" t="str">
        <f>HYPERLINK("https://nycdoe.sharepoint.com/:w:/s/BAP/EXiddhCldgdMhQ4bCGxt21YBkapkzN-EYOuQnkvwey5o4w", "6 out of 10")</f>
        <v>6 out of 10</v>
      </c>
      <c r="M1305" t="s">
        <v>8172</v>
      </c>
    </row>
    <row r="1306" spans="2:13">
      <c r="B1306" s="55" t="s">
        <v>3399</v>
      </c>
      <c r="C1306" s="55" t="s">
        <v>3162</v>
      </c>
      <c r="D1306" s="55" t="s">
        <v>3454</v>
      </c>
      <c r="E1306" s="55" t="s">
        <v>3455</v>
      </c>
      <c r="F1306" s="55" t="s">
        <v>8173</v>
      </c>
      <c r="G1306" s="55" t="s">
        <v>8174</v>
      </c>
      <c r="H1306" s="55" t="s">
        <v>52</v>
      </c>
      <c r="I1306" s="55"/>
      <c r="J1306" s="55" t="s">
        <v>8175</v>
      </c>
      <c r="K1306" s="55" t="s">
        <v>62</v>
      </c>
      <c r="L1306" s="57" t="str">
        <f>HYPERLINK("https://nycdoe.sharepoint.com/:w:/s/BAP/Eb7zZQa2tsRGrCBNChMJTh4By2UZeVnCJJP34Lnkahrv_Q", "9 out of 10")</f>
        <v>9 out of 10</v>
      </c>
      <c r="M1306" t="s">
        <v>8176</v>
      </c>
    </row>
    <row r="1307" spans="2:13">
      <c r="B1307" s="55" t="s">
        <v>3399</v>
      </c>
      <c r="C1307" s="55" t="s">
        <v>3162</v>
      </c>
      <c r="D1307" s="55" t="s">
        <v>3454</v>
      </c>
      <c r="E1307" s="55" t="s">
        <v>3459</v>
      </c>
      <c r="F1307" s="55" t="s">
        <v>8177</v>
      </c>
      <c r="G1307" s="55" t="s">
        <v>8178</v>
      </c>
      <c r="H1307" s="55" t="s">
        <v>84</v>
      </c>
      <c r="I1307" s="55"/>
      <c r="J1307" s="55" t="s">
        <v>8175</v>
      </c>
      <c r="K1307" s="55" t="s">
        <v>62</v>
      </c>
      <c r="L1307" s="57" t="str">
        <f>HYPERLINK("https://nycdoe.sharepoint.com/:w:/s/BAP/Eb7zZQa2tsRGrCBNChMJTh4By2UZeVnCJJP34Lnkahrv_Q", "9 out of 10")</f>
        <v>9 out of 10</v>
      </c>
      <c r="M1307" t="s">
        <v>8176</v>
      </c>
    </row>
    <row r="1308" spans="2:13">
      <c r="B1308" s="55" t="s">
        <v>3399</v>
      </c>
      <c r="C1308" s="55" t="s">
        <v>3162</v>
      </c>
      <c r="D1308" s="55" t="s">
        <v>3454</v>
      </c>
      <c r="E1308" s="55" t="s">
        <v>3174</v>
      </c>
      <c r="F1308" s="55" t="s">
        <v>7879</v>
      </c>
      <c r="G1308" s="55" t="s">
        <v>3176</v>
      </c>
      <c r="H1308" s="55" t="s">
        <v>43</v>
      </c>
      <c r="I1308" s="55"/>
      <c r="J1308" s="55" t="s">
        <v>8175</v>
      </c>
      <c r="K1308" s="55" t="s">
        <v>62</v>
      </c>
      <c r="L1308" s="57" t="str">
        <f>HYPERLINK("https://nycdoe.sharepoint.com/:w:/s/BAP/Eb7zZQa2tsRGrCBNChMJTh4By2UZeVnCJJP34Lnkahrv_Q", "9 out of 10")</f>
        <v>9 out of 10</v>
      </c>
      <c r="M1308" t="s">
        <v>8176</v>
      </c>
    </row>
    <row r="1309" spans="2:13">
      <c r="B1309" s="55" t="s">
        <v>3399</v>
      </c>
      <c r="C1309" s="55" t="s">
        <v>3162</v>
      </c>
      <c r="D1309" s="55" t="s">
        <v>8179</v>
      </c>
      <c r="E1309" s="55" t="s">
        <v>8179</v>
      </c>
      <c r="F1309" s="55" t="s">
        <v>8180</v>
      </c>
      <c r="G1309" s="55" t="s">
        <v>8181</v>
      </c>
      <c r="H1309" s="55" t="s">
        <v>17</v>
      </c>
      <c r="I1309" s="55" t="s">
        <v>18</v>
      </c>
      <c r="J1309" s="55" t="s">
        <v>8182</v>
      </c>
      <c r="K1309" s="55" t="s">
        <v>62</v>
      </c>
      <c r="L1309" s="57" t="str">
        <f>HYPERLINK("https://nycdoe.sharepoint.com/:w:/s/BAP/EQ3WVUfZHg5Kj7NigzmFd6gB8NAx8ScZ-YLXJ2te3Rdyug", "9 out of 10")</f>
        <v>9 out of 10</v>
      </c>
      <c r="M1309" t="s">
        <v>8183</v>
      </c>
    </row>
    <row r="1310" spans="2:13">
      <c r="B1310" s="55" t="s">
        <v>3399</v>
      </c>
      <c r="C1310" s="55" t="s">
        <v>3162</v>
      </c>
      <c r="D1310" s="55" t="s">
        <v>8179</v>
      </c>
      <c r="E1310" s="55" t="s">
        <v>8184</v>
      </c>
      <c r="F1310" s="55" t="s">
        <v>8185</v>
      </c>
      <c r="G1310" s="55" t="s">
        <v>8186</v>
      </c>
      <c r="H1310" s="55" t="s">
        <v>52</v>
      </c>
      <c r="I1310" s="55"/>
      <c r="J1310" s="55" t="s">
        <v>8182</v>
      </c>
      <c r="K1310" s="55" t="s">
        <v>62</v>
      </c>
      <c r="L1310" s="57" t="str">
        <f>HYPERLINK("https://nycdoe.sharepoint.com/:w:/s/BAP/EQ3WVUfZHg5Kj7NigzmFd6gB8NAx8ScZ-YLXJ2te3Rdyug", "9 out of 10")</f>
        <v>9 out of 10</v>
      </c>
      <c r="M1310" t="s">
        <v>8183</v>
      </c>
    </row>
    <row r="1311" spans="2:13">
      <c r="B1311" s="55" t="s">
        <v>3399</v>
      </c>
      <c r="C1311" s="55" t="s">
        <v>3162</v>
      </c>
      <c r="D1311" s="55" t="s">
        <v>8187</v>
      </c>
      <c r="E1311" s="55" t="s">
        <v>8187</v>
      </c>
      <c r="F1311" s="55" t="s">
        <v>8188</v>
      </c>
      <c r="G1311" s="55" t="s">
        <v>8189</v>
      </c>
      <c r="H1311" s="55" t="s">
        <v>17</v>
      </c>
      <c r="I1311" s="55" t="s">
        <v>18</v>
      </c>
      <c r="J1311" s="55" t="s">
        <v>8190</v>
      </c>
      <c r="K1311" s="55" t="s">
        <v>20</v>
      </c>
      <c r="L1311" s="57" t="str">
        <f>HYPERLINK("https://nycdoe.sharepoint.com/:w:/s/BAP/ETSh3UyYVbZLgoBtu7-MZ0YB7V_PiozlvoRFi466P6MFwA", "1 out of 10")</f>
        <v>1 out of 10</v>
      </c>
      <c r="M1311" t="s">
        <v>8191</v>
      </c>
    </row>
    <row r="1312" spans="2:13">
      <c r="B1312" s="55" t="s">
        <v>3399</v>
      </c>
      <c r="C1312" s="55" t="s">
        <v>3162</v>
      </c>
      <c r="D1312" s="55" t="s">
        <v>3462</v>
      </c>
      <c r="E1312" s="55" t="s">
        <v>3462</v>
      </c>
      <c r="F1312" s="55" t="s">
        <v>8192</v>
      </c>
      <c r="G1312" s="55" t="s">
        <v>8193</v>
      </c>
      <c r="H1312" s="55" t="s">
        <v>52</v>
      </c>
      <c r="I1312" s="55"/>
      <c r="J1312" s="55" t="s">
        <v>8194</v>
      </c>
      <c r="K1312" s="55" t="s">
        <v>20</v>
      </c>
      <c r="L1312" s="57" t="str">
        <f>HYPERLINK("https://nycdoe.sharepoint.com/:w:/s/BAP/EQhK0yuVrlROtkVQjdrlNLABYwkeN6PGdkqgp7U2MkIEvg", "4 out of 10")</f>
        <v>4 out of 10</v>
      </c>
      <c r="M1312" t="s">
        <v>8195</v>
      </c>
    </row>
    <row r="1313" spans="2:13">
      <c r="B1313" s="55" t="s">
        <v>3399</v>
      </c>
      <c r="C1313" s="55" t="s">
        <v>3162</v>
      </c>
      <c r="D1313" s="55" t="s">
        <v>8196</v>
      </c>
      <c r="E1313" s="55" t="s">
        <v>8196</v>
      </c>
      <c r="F1313" s="55" t="s">
        <v>8197</v>
      </c>
      <c r="G1313" s="55" t="s">
        <v>8198</v>
      </c>
      <c r="H1313" s="55" t="s">
        <v>17</v>
      </c>
      <c r="I1313" s="55" t="s">
        <v>18</v>
      </c>
      <c r="J1313" s="55" t="s">
        <v>8199</v>
      </c>
      <c r="K1313" s="55" t="s">
        <v>20</v>
      </c>
      <c r="L1313" s="57" t="str">
        <f>HYPERLINK("https://nycdoe.sharepoint.com/:w:/s/BAP/EXBYW8vzfw9Jl5zGUdEd-CIBRM1_8GZdVl16ovFsJcjQ_g", "1 out of 10")</f>
        <v>1 out of 10</v>
      </c>
      <c r="M1313" t="s">
        <v>8200</v>
      </c>
    </row>
    <row r="1314" spans="2:13">
      <c r="B1314" s="55" t="s">
        <v>3399</v>
      </c>
      <c r="C1314" s="55" t="s">
        <v>3162</v>
      </c>
      <c r="D1314" s="55" t="s">
        <v>8201</v>
      </c>
      <c r="E1314" s="55" t="s">
        <v>8201</v>
      </c>
      <c r="F1314" s="55" t="s">
        <v>8202</v>
      </c>
      <c r="G1314" s="55" t="s">
        <v>8203</v>
      </c>
      <c r="H1314" s="55" t="s">
        <v>52</v>
      </c>
      <c r="I1314" s="55"/>
      <c r="J1314" s="55" t="s">
        <v>8204</v>
      </c>
      <c r="K1314" s="55" t="s">
        <v>20</v>
      </c>
      <c r="L1314" s="57" t="str">
        <f>HYPERLINK("https://nycdoe.sharepoint.com/:w:/s/BAP/EVm62dVhHflIsiPcp67cnkgBJuCMm8KjFbNPlbIcUSHtHQ", "1 out of 10")</f>
        <v>1 out of 10</v>
      </c>
      <c r="M1314" t="s">
        <v>8205</v>
      </c>
    </row>
    <row r="1315" spans="2:13">
      <c r="B1315" s="55" t="s">
        <v>3399</v>
      </c>
      <c r="C1315" s="55" t="s">
        <v>3162</v>
      </c>
      <c r="D1315" s="55" t="s">
        <v>8206</v>
      </c>
      <c r="E1315" s="55" t="s">
        <v>8206</v>
      </c>
      <c r="F1315" s="55" t="s">
        <v>8207</v>
      </c>
      <c r="G1315" s="55" t="s">
        <v>8208</v>
      </c>
      <c r="H1315" s="55" t="s">
        <v>17</v>
      </c>
      <c r="I1315" s="55" t="s">
        <v>18</v>
      </c>
      <c r="J1315" s="55" t="s">
        <v>8209</v>
      </c>
      <c r="K1315" s="55" t="s">
        <v>20</v>
      </c>
      <c r="L1315" s="57" t="str">
        <f>HYPERLINK("https://nycdoe.sharepoint.com/:w:/s/BAP/EZZa6LLeEFlCnif24PqVPj0BVL2feYenMjB-dNP8knk_0w", "1 out of 10")</f>
        <v>1 out of 10</v>
      </c>
      <c r="M1315" t="s">
        <v>8210</v>
      </c>
    </row>
    <row r="1316" spans="2:13">
      <c r="B1316" s="55" t="s">
        <v>3399</v>
      </c>
      <c r="C1316" s="55" t="s">
        <v>3162</v>
      </c>
      <c r="D1316" s="55" t="s">
        <v>3466</v>
      </c>
      <c r="E1316" s="55" t="s">
        <v>3539</v>
      </c>
      <c r="F1316" s="55" t="s">
        <v>8211</v>
      </c>
      <c r="G1316" s="55" t="s">
        <v>3541</v>
      </c>
      <c r="H1316" s="55" t="s">
        <v>43</v>
      </c>
      <c r="I1316" s="55"/>
      <c r="J1316" s="55" t="s">
        <v>8212</v>
      </c>
      <c r="K1316" s="55" t="s">
        <v>20</v>
      </c>
      <c r="L1316" s="57" t="str">
        <f>HYPERLINK("https://nycdoe.sharepoint.com/:w:/s/BAP/Ed3txwvvdxtKp_UTWsj7BNoBJfKecSLJoKOPk5esKUz4Fg", "1 out of 10")</f>
        <v>1 out of 10</v>
      </c>
      <c r="M1316" t="s">
        <v>8213</v>
      </c>
    </row>
    <row r="1317" spans="2:13">
      <c r="B1317" s="55" t="s">
        <v>3399</v>
      </c>
      <c r="C1317" s="55" t="s">
        <v>3162</v>
      </c>
      <c r="D1317" s="55" t="s">
        <v>3466</v>
      </c>
      <c r="E1317" s="55" t="s">
        <v>3466</v>
      </c>
      <c r="F1317" s="55" t="s">
        <v>8214</v>
      </c>
      <c r="G1317" s="55" t="s">
        <v>8215</v>
      </c>
      <c r="H1317" s="55" t="s">
        <v>17</v>
      </c>
      <c r="I1317" s="55" t="s">
        <v>18</v>
      </c>
      <c r="J1317" s="55" t="s">
        <v>8212</v>
      </c>
      <c r="K1317" s="55" t="s">
        <v>20</v>
      </c>
      <c r="L1317" s="57" t="str">
        <f>HYPERLINK("https://nycdoe.sharepoint.com/:w:/s/BAP/Ed3txwvvdxtKp_UTWsj7BNoBJfKecSLJoKOPk5esKUz4Fg", "1 out of 10")</f>
        <v>1 out of 10</v>
      </c>
      <c r="M1317" t="s">
        <v>8213</v>
      </c>
    </row>
    <row r="1318" spans="2:13">
      <c r="B1318" s="55" t="s">
        <v>3399</v>
      </c>
      <c r="C1318" s="55" t="s">
        <v>3162</v>
      </c>
      <c r="D1318" s="55" t="s">
        <v>8216</v>
      </c>
      <c r="E1318" s="55" t="s">
        <v>8216</v>
      </c>
      <c r="F1318" s="55" t="s">
        <v>8217</v>
      </c>
      <c r="G1318" s="55" t="s">
        <v>8218</v>
      </c>
      <c r="H1318" s="55" t="s">
        <v>17</v>
      </c>
      <c r="I1318" s="55" t="s">
        <v>18</v>
      </c>
      <c r="J1318" s="55" t="s">
        <v>8219</v>
      </c>
      <c r="K1318" s="55" t="s">
        <v>20</v>
      </c>
      <c r="L1318" s="57" t="str">
        <f>HYPERLINK("https://nycdoe.sharepoint.com/:w:/s/BAP/EeUvCeSNxs1Hj7dGyRQnBVwBilqrJKtWrf2nJq_ckWubiQ", "1 out of 10")</f>
        <v>1 out of 10</v>
      </c>
      <c r="M1318" t="s">
        <v>8220</v>
      </c>
    </row>
    <row r="1319" spans="2:13">
      <c r="B1319" s="55" t="s">
        <v>3399</v>
      </c>
      <c r="C1319" s="55" t="s">
        <v>3162</v>
      </c>
      <c r="D1319" s="55" t="s">
        <v>8221</v>
      </c>
      <c r="E1319" s="55" t="s">
        <v>8221</v>
      </c>
      <c r="F1319" s="55" t="s">
        <v>8222</v>
      </c>
      <c r="G1319" s="55" t="s">
        <v>8223</v>
      </c>
      <c r="H1319" s="55" t="s">
        <v>24</v>
      </c>
      <c r="I1319" s="55" t="s">
        <v>18</v>
      </c>
      <c r="J1319" s="55" t="s">
        <v>8224</v>
      </c>
      <c r="K1319" s="55" t="s">
        <v>20</v>
      </c>
      <c r="L1319" s="57" t="str">
        <f>HYPERLINK("https://nycdoe.sharepoint.com/:w:/s/BAP/EYo4a1vj-0NDho9rTfKfnlcBzERqG3vv8VXAF4a7YKHRmA", "1 out of 10")</f>
        <v>1 out of 10</v>
      </c>
      <c r="M1319" t="s">
        <v>8225</v>
      </c>
    </row>
    <row r="1320" spans="2:13">
      <c r="B1320" s="55" t="s">
        <v>3399</v>
      </c>
      <c r="C1320" s="55" t="s">
        <v>3162</v>
      </c>
      <c r="D1320" s="55" t="s">
        <v>3470</v>
      </c>
      <c r="E1320" s="55" t="s">
        <v>3470</v>
      </c>
      <c r="F1320" s="55" t="s">
        <v>8226</v>
      </c>
      <c r="G1320" s="55" t="s">
        <v>3472</v>
      </c>
      <c r="H1320" s="55" t="s">
        <v>52</v>
      </c>
      <c r="I1320" s="55"/>
      <c r="J1320" s="55" t="s">
        <v>8227</v>
      </c>
      <c r="K1320" s="55" t="s">
        <v>20</v>
      </c>
      <c r="L1320" s="57" t="str">
        <f>HYPERLINK("https://nycdoe.sharepoint.com/:w:/s/BAP/EYOru0SyPYJAu9DE7_J0wbQBzC6r1_OYj32Zr16PVfspcg", "6 out of 10")</f>
        <v>6 out of 10</v>
      </c>
      <c r="M1320" t="s">
        <v>8228</v>
      </c>
    </row>
    <row r="1321" spans="2:13">
      <c r="B1321" s="55" t="s">
        <v>3399</v>
      </c>
      <c r="C1321" s="55" t="s">
        <v>3162</v>
      </c>
      <c r="D1321" s="55" t="s">
        <v>3470</v>
      </c>
      <c r="E1321" s="55" t="s">
        <v>3474</v>
      </c>
      <c r="F1321" s="55" t="s">
        <v>8229</v>
      </c>
      <c r="G1321" s="55" t="s">
        <v>8230</v>
      </c>
      <c r="H1321" s="55" t="s">
        <v>84</v>
      </c>
      <c r="I1321" s="55"/>
      <c r="J1321" s="55" t="s">
        <v>8227</v>
      </c>
      <c r="K1321" s="55" t="s">
        <v>20</v>
      </c>
      <c r="L1321" s="57" t="str">
        <f>HYPERLINK("https://nycdoe.sharepoint.com/:w:/s/BAP/EYOru0SyPYJAu9DE7_J0wbQBzC6r1_OYj32Zr16PVfspcg", "6 out of 10")</f>
        <v>6 out of 10</v>
      </c>
      <c r="M1321" t="s">
        <v>8228</v>
      </c>
    </row>
    <row r="1322" spans="2:13">
      <c r="B1322" s="55" t="s">
        <v>3399</v>
      </c>
      <c r="C1322" s="55" t="s">
        <v>3162</v>
      </c>
      <c r="D1322" s="55" t="s">
        <v>3477</v>
      </c>
      <c r="E1322" s="55" t="s">
        <v>3477</v>
      </c>
      <c r="F1322" s="55" t="s">
        <v>8231</v>
      </c>
      <c r="G1322" s="55" t="s">
        <v>8232</v>
      </c>
      <c r="H1322" s="55" t="s">
        <v>553</v>
      </c>
      <c r="I1322" s="55" t="s">
        <v>18</v>
      </c>
      <c r="J1322" s="55" t="s">
        <v>8233</v>
      </c>
      <c r="K1322" s="55" t="s">
        <v>62</v>
      </c>
      <c r="L1322" s="57" t="str">
        <f>HYPERLINK("https://nycdoe.sharepoint.com/:w:/s/BAP/Eb82TOWBzSZBuCy9wi6AyDcBnw321iS3_1PwWqKBwFhPDQ", "10 out of 10")</f>
        <v>10 out of 10</v>
      </c>
      <c r="M1322" t="s">
        <v>8234</v>
      </c>
    </row>
    <row r="1323" spans="2:13">
      <c r="B1323" s="55" t="s">
        <v>3399</v>
      </c>
      <c r="C1323" s="55" t="s">
        <v>3162</v>
      </c>
      <c r="D1323" s="55" t="s">
        <v>3481</v>
      </c>
      <c r="E1323" s="55" t="s">
        <v>3481</v>
      </c>
      <c r="F1323" s="55" t="s">
        <v>8235</v>
      </c>
      <c r="G1323" s="55" t="s">
        <v>8236</v>
      </c>
      <c r="H1323" s="55" t="s">
        <v>553</v>
      </c>
      <c r="I1323" s="55" t="s">
        <v>18</v>
      </c>
      <c r="J1323" s="55" t="s">
        <v>8237</v>
      </c>
      <c r="K1323" s="55" t="s">
        <v>62</v>
      </c>
      <c r="L1323" s="57" t="str">
        <f>HYPERLINK("https://nycdoe.sharepoint.com/:w:/s/BAP/EcjifOOBOABGnTSjg-SAtnQB5KnXRGrrgL5JtG0yl16SFA", "10 out of 10")</f>
        <v>10 out of 10</v>
      </c>
      <c r="M1323" t="s">
        <v>8238</v>
      </c>
    </row>
    <row r="1324" spans="2:13">
      <c r="B1324" s="55" t="s">
        <v>3399</v>
      </c>
      <c r="C1324" s="55" t="s">
        <v>3162</v>
      </c>
      <c r="D1324" s="55" t="s">
        <v>3485</v>
      </c>
      <c r="E1324" s="55" t="s">
        <v>3486</v>
      </c>
      <c r="F1324" s="55" t="s">
        <v>8239</v>
      </c>
      <c r="G1324" s="55" t="s">
        <v>8240</v>
      </c>
      <c r="H1324" s="55" t="s">
        <v>52</v>
      </c>
      <c r="I1324" s="55"/>
      <c r="J1324" s="55" t="s">
        <v>8241</v>
      </c>
      <c r="K1324" s="55" t="s">
        <v>62</v>
      </c>
      <c r="L1324" s="57" t="str">
        <f>HYPERLINK("https://nycdoe.sharepoint.com/:w:/s/BAP/ETKvpyA1igtErcILE4xbnIIBoxKfZD-H0C0a8q-G8oLrog", "9 out of 10")</f>
        <v>9 out of 10</v>
      </c>
      <c r="M1324" t="s">
        <v>8242</v>
      </c>
    </row>
    <row r="1325" spans="2:13">
      <c r="B1325" s="55" t="s">
        <v>3399</v>
      </c>
      <c r="C1325" s="55" t="s">
        <v>3162</v>
      </c>
      <c r="D1325" s="55" t="s">
        <v>3490</v>
      </c>
      <c r="E1325" s="55" t="s">
        <v>3490</v>
      </c>
      <c r="F1325" s="55" t="s">
        <v>8243</v>
      </c>
      <c r="G1325" s="55" t="s">
        <v>8244</v>
      </c>
      <c r="H1325" s="55" t="s">
        <v>56</v>
      </c>
      <c r="I1325" s="55"/>
      <c r="J1325" s="55" t="s">
        <v>8245</v>
      </c>
      <c r="K1325" s="55" t="s">
        <v>20</v>
      </c>
      <c r="L1325" s="57" t="str">
        <f>HYPERLINK("https://nycdoe.sharepoint.com/:w:/s/BAP/Ec20RqbOkU5Kvofw-6Q0N9MB0CHO7QwKNk8ojVHgLGdL2Q", "7 out of 10")</f>
        <v>7 out of 10</v>
      </c>
      <c r="M1325" t="s">
        <v>8246</v>
      </c>
    </row>
    <row r="1326" spans="2:13">
      <c r="B1326" s="55" t="s">
        <v>3399</v>
      </c>
      <c r="C1326" s="55" t="s">
        <v>3162</v>
      </c>
      <c r="D1326" s="55" t="s">
        <v>3494</v>
      </c>
      <c r="E1326" s="55" t="s">
        <v>3494</v>
      </c>
      <c r="F1326" s="55" t="s">
        <v>8247</v>
      </c>
      <c r="G1326" s="55" t="s">
        <v>8248</v>
      </c>
      <c r="H1326" s="55" t="s">
        <v>24</v>
      </c>
      <c r="I1326" s="55" t="s">
        <v>18</v>
      </c>
      <c r="J1326" s="55" t="s">
        <v>8249</v>
      </c>
      <c r="K1326" s="55" t="s">
        <v>62</v>
      </c>
      <c r="L1326" s="57" t="str">
        <f>HYPERLINK("https://nycdoe.sharepoint.com/:w:/s/BAP/EWz8QT6bVFdHmosMi5Ijy6kBb2i50o6unagTta-ztlCJew", "10 out of 10")</f>
        <v>10 out of 10</v>
      </c>
      <c r="M1326" t="s">
        <v>8250</v>
      </c>
    </row>
    <row r="1327" spans="2:13">
      <c r="B1327" s="55" t="s">
        <v>3399</v>
      </c>
      <c r="C1327" s="55" t="s">
        <v>3162</v>
      </c>
      <c r="D1327" s="55" t="s">
        <v>3494</v>
      </c>
      <c r="E1327" s="55" t="s">
        <v>3498</v>
      </c>
      <c r="F1327" s="55" t="s">
        <v>8251</v>
      </c>
      <c r="G1327" s="55" t="s">
        <v>3500</v>
      </c>
      <c r="H1327" s="55" t="s">
        <v>43</v>
      </c>
      <c r="I1327" s="55"/>
      <c r="J1327" s="55" t="s">
        <v>8249</v>
      </c>
      <c r="K1327" s="55" t="s">
        <v>62</v>
      </c>
      <c r="L1327" s="57" t="str">
        <f>HYPERLINK("https://nycdoe.sharepoint.com/:w:/s/BAP/EWz8QT6bVFdHmosMi5Ijy6kBb2i50o6unagTta-ztlCJew", "10 out of 10")</f>
        <v>10 out of 10</v>
      </c>
      <c r="M1327" t="s">
        <v>8250</v>
      </c>
    </row>
    <row r="1328" spans="2:13">
      <c r="B1328" s="55" t="s">
        <v>3399</v>
      </c>
      <c r="C1328" s="55" t="s">
        <v>3162</v>
      </c>
      <c r="D1328" s="55" t="s">
        <v>3501</v>
      </c>
      <c r="E1328" s="55" t="s">
        <v>3174</v>
      </c>
      <c r="F1328" s="55" t="s">
        <v>7879</v>
      </c>
      <c r="G1328" s="55" t="s">
        <v>3176</v>
      </c>
      <c r="H1328" s="55" t="s">
        <v>43</v>
      </c>
      <c r="I1328" s="55"/>
      <c r="J1328" s="55" t="s">
        <v>8252</v>
      </c>
      <c r="K1328" s="55" t="s">
        <v>62</v>
      </c>
      <c r="L1328" s="57" t="str">
        <f>HYPERLINK("https://nycdoe.sharepoint.com/:w:/s/BAP/EQMELIIZpllMv7RqTBIXBCUBpoV6GlykR3epc0i2uqWY4A", "10 out of 10")</f>
        <v>10 out of 10</v>
      </c>
      <c r="M1328" t="s">
        <v>8253</v>
      </c>
    </row>
    <row r="1329" spans="2:13">
      <c r="B1329" s="55" t="s">
        <v>3399</v>
      </c>
      <c r="C1329" s="55" t="s">
        <v>3162</v>
      </c>
      <c r="D1329" s="55" t="s">
        <v>3501</v>
      </c>
      <c r="E1329" s="55" t="s">
        <v>3503</v>
      </c>
      <c r="F1329" s="55" t="s">
        <v>8254</v>
      </c>
      <c r="G1329" s="55" t="s">
        <v>8255</v>
      </c>
      <c r="H1329" s="55" t="s">
        <v>56</v>
      </c>
      <c r="I1329" s="55"/>
      <c r="J1329" s="55" t="s">
        <v>8252</v>
      </c>
      <c r="K1329" s="55" t="s">
        <v>62</v>
      </c>
      <c r="L1329" s="57" t="str">
        <f>HYPERLINK("https://nycdoe.sharepoint.com/:w:/s/BAP/EQMELIIZpllMv7RqTBIXBCUBpoV6GlykR3epc0i2uqWY4A", "10 out of 10")</f>
        <v>10 out of 10</v>
      </c>
      <c r="M1329" t="s">
        <v>8253</v>
      </c>
    </row>
    <row r="1330" spans="2:13">
      <c r="B1330" s="55" t="s">
        <v>3506</v>
      </c>
      <c r="C1330" s="55" t="s">
        <v>3162</v>
      </c>
      <c r="D1330" s="55" t="s">
        <v>8256</v>
      </c>
      <c r="E1330" s="55" t="s">
        <v>8256</v>
      </c>
      <c r="F1330" s="55" t="s">
        <v>8257</v>
      </c>
      <c r="G1330" s="55" t="s">
        <v>8258</v>
      </c>
      <c r="H1330" s="55" t="s">
        <v>17</v>
      </c>
      <c r="I1330" s="55" t="s">
        <v>18</v>
      </c>
      <c r="J1330" s="55" t="s">
        <v>8259</v>
      </c>
      <c r="K1330" s="55" t="s">
        <v>20</v>
      </c>
      <c r="L1330" s="57" t="str">
        <f>HYPERLINK("https://nycdoe.sharepoint.com/:w:/s/BAP/EaeTRGOTxZJBh8s4uu3GOksBCGWEdDduMrx6pwh-CIsyUg", "1 out of 10")</f>
        <v>1 out of 10</v>
      </c>
      <c r="M1330" t="s">
        <v>8260</v>
      </c>
    </row>
    <row r="1331" spans="2:13">
      <c r="B1331" s="55" t="s">
        <v>3506</v>
      </c>
      <c r="C1331" s="55" t="s">
        <v>3162</v>
      </c>
      <c r="D1331" s="55" t="s">
        <v>8256</v>
      </c>
      <c r="E1331" s="55" t="s">
        <v>3552</v>
      </c>
      <c r="F1331" s="55" t="s">
        <v>8261</v>
      </c>
      <c r="G1331" s="55" t="s">
        <v>3554</v>
      </c>
      <c r="H1331" s="55" t="s">
        <v>24</v>
      </c>
      <c r="I1331" s="55" t="s">
        <v>18</v>
      </c>
      <c r="J1331" s="55" t="s">
        <v>8259</v>
      </c>
      <c r="K1331" s="55" t="s">
        <v>20</v>
      </c>
      <c r="L1331" s="57" t="str">
        <f>HYPERLINK("https://nycdoe.sharepoint.com/:w:/s/BAP/EaeTRGOTxZJBh8s4uu3GOksBCGWEdDduMrx6pwh-CIsyUg", "1 out of 10")</f>
        <v>1 out of 10</v>
      </c>
      <c r="M1331" t="s">
        <v>8260</v>
      </c>
    </row>
    <row r="1332" spans="2:13">
      <c r="B1332" s="55" t="s">
        <v>3506</v>
      </c>
      <c r="C1332" s="55" t="s">
        <v>3162</v>
      </c>
      <c r="D1332" s="55" t="s">
        <v>8262</v>
      </c>
      <c r="E1332" s="55" t="s">
        <v>8262</v>
      </c>
      <c r="F1332" s="55" t="s">
        <v>8263</v>
      </c>
      <c r="G1332" s="55" t="s">
        <v>8264</v>
      </c>
      <c r="H1332" s="55" t="s">
        <v>17</v>
      </c>
      <c r="I1332" s="55" t="s">
        <v>18</v>
      </c>
      <c r="J1332" s="55" t="s">
        <v>8265</v>
      </c>
      <c r="K1332" s="55" t="s">
        <v>20</v>
      </c>
      <c r="L1332" s="57" t="str">
        <f>HYPERLINK("https://nycdoe.sharepoint.com/:w:/s/BAP/Efdi9dKAFGZLgBL0GX9bSnoBdoIlSx2UvBR00E1pmc_cyA", "3 out of 10")</f>
        <v>3 out of 10</v>
      </c>
      <c r="M1332" t="s">
        <v>8266</v>
      </c>
    </row>
    <row r="1333" spans="2:13">
      <c r="B1333" s="55" t="s">
        <v>3506</v>
      </c>
      <c r="C1333" s="55" t="s">
        <v>3162</v>
      </c>
      <c r="D1333" s="55" t="s">
        <v>3585</v>
      </c>
      <c r="E1333" s="55" t="s">
        <v>3585</v>
      </c>
      <c r="F1333" s="55" t="s">
        <v>8267</v>
      </c>
      <c r="G1333" s="55" t="s">
        <v>8268</v>
      </c>
      <c r="H1333" s="55" t="s">
        <v>17</v>
      </c>
      <c r="I1333" s="55" t="s">
        <v>18</v>
      </c>
      <c r="J1333" s="55" t="s">
        <v>8269</v>
      </c>
      <c r="K1333" s="55" t="s">
        <v>62</v>
      </c>
      <c r="L1333" s="57" t="str">
        <f>HYPERLINK("https://nycdoe.sharepoint.com/:w:/s/BAP/ESTGPUiiHqpPt5TwjsGznZkBo8m1yQEYO3UpfhudQg-R6A", "9 out of 10")</f>
        <v>9 out of 10</v>
      </c>
      <c r="M1333" t="s">
        <v>8270</v>
      </c>
    </row>
    <row r="1334" spans="2:13">
      <c r="B1334" s="55" t="s">
        <v>3506</v>
      </c>
      <c r="C1334" s="55" t="s">
        <v>3162</v>
      </c>
      <c r="D1334" s="55" t="s">
        <v>3585</v>
      </c>
      <c r="E1334" s="55" t="s">
        <v>3498</v>
      </c>
      <c r="F1334" s="55" t="s">
        <v>8251</v>
      </c>
      <c r="G1334" s="55" t="s">
        <v>3500</v>
      </c>
      <c r="H1334" s="55" t="s">
        <v>43</v>
      </c>
      <c r="I1334" s="55"/>
      <c r="J1334" s="55" t="s">
        <v>8271</v>
      </c>
      <c r="K1334" s="55" t="s">
        <v>62</v>
      </c>
      <c r="L1334" s="57" t="str">
        <f>HYPERLINK("https://nycdoe.sharepoint.com/:w:/s/BAP/ESTGPUiiHqpPt5TwjsGznZkBo8m1yQEYO3UpfhudQg-R6A", "9 out of 10")</f>
        <v>9 out of 10</v>
      </c>
      <c r="M1334" t="s">
        <v>8270</v>
      </c>
    </row>
    <row r="1335" spans="2:13">
      <c r="B1335" s="55" t="s">
        <v>3506</v>
      </c>
      <c r="C1335" s="55" t="s">
        <v>3162</v>
      </c>
      <c r="D1335" s="55" t="s">
        <v>3507</v>
      </c>
      <c r="E1335" s="55" t="s">
        <v>3507</v>
      </c>
      <c r="F1335" s="55" t="s">
        <v>8272</v>
      </c>
      <c r="G1335" s="55" t="s">
        <v>8273</v>
      </c>
      <c r="H1335" s="55" t="s">
        <v>17</v>
      </c>
      <c r="I1335" s="55" t="s">
        <v>18</v>
      </c>
      <c r="J1335" s="55" t="s">
        <v>8274</v>
      </c>
      <c r="K1335" s="55" t="s">
        <v>62</v>
      </c>
      <c r="L1335" s="57" t="str">
        <f>HYPERLINK("https://nycdoe.sharepoint.com/:w:/s/BAP/EaeWW1pcXWJBiVlr5s21jqgB7E_HvkfuzLcSFVzaDTXOzA", "9 out of 10")</f>
        <v>9 out of 10</v>
      </c>
      <c r="M1335" t="s">
        <v>8275</v>
      </c>
    </row>
    <row r="1336" spans="2:13">
      <c r="B1336" s="55" t="s">
        <v>3506</v>
      </c>
      <c r="C1336" s="55" t="s">
        <v>3162</v>
      </c>
      <c r="D1336" s="55" t="s">
        <v>3511</v>
      </c>
      <c r="E1336" s="55" t="s">
        <v>3511</v>
      </c>
      <c r="F1336" s="55" t="s">
        <v>8276</v>
      </c>
      <c r="G1336" s="55" t="s">
        <v>8277</v>
      </c>
      <c r="H1336" s="55" t="s">
        <v>52</v>
      </c>
      <c r="I1336" s="55"/>
      <c r="J1336" s="55" t="s">
        <v>8278</v>
      </c>
      <c r="K1336" s="55" t="s">
        <v>62</v>
      </c>
      <c r="L1336" s="57" t="str">
        <f>HYPERLINK("https://nycdoe.sharepoint.com/:w:/s/BAP/ETlV4tHwG9xDl3NRbqrddPMBG5K8z8JtUtfYpS8RxMlqqQ", "9 out of 10")</f>
        <v>9 out of 10</v>
      </c>
      <c r="M1336" t="s">
        <v>8279</v>
      </c>
    </row>
    <row r="1337" spans="2:13">
      <c r="B1337" s="55" t="s">
        <v>3506</v>
      </c>
      <c r="C1337" s="55" t="s">
        <v>3162</v>
      </c>
      <c r="D1337" s="55" t="s">
        <v>3515</v>
      </c>
      <c r="E1337" s="55" t="s">
        <v>3515</v>
      </c>
      <c r="F1337" s="55" t="s">
        <v>8280</v>
      </c>
      <c r="G1337" s="55" t="s">
        <v>8281</v>
      </c>
      <c r="H1337" s="55" t="s">
        <v>52</v>
      </c>
      <c r="I1337" s="55"/>
      <c r="J1337" s="55" t="s">
        <v>8282</v>
      </c>
      <c r="K1337" s="55" t="s">
        <v>62</v>
      </c>
      <c r="L1337" s="57" t="str">
        <f>HYPERLINK("https://nycdoe.sharepoint.com/:w:/s/BAP/EaQzBjwQSaRGq6HXzABtHcoB8eIERLMWPOShQ8Ji9arL_g", "9 out of 10")</f>
        <v>9 out of 10</v>
      </c>
      <c r="M1337" t="s">
        <v>8283</v>
      </c>
    </row>
    <row r="1338" spans="2:13">
      <c r="B1338" s="55" t="s">
        <v>3506</v>
      </c>
      <c r="C1338" s="55" t="s">
        <v>3162</v>
      </c>
      <c r="D1338" s="55" t="s">
        <v>3519</v>
      </c>
      <c r="E1338" s="55" t="s">
        <v>3519</v>
      </c>
      <c r="F1338" s="55" t="s">
        <v>8284</v>
      </c>
      <c r="G1338" s="55" t="s">
        <v>8285</v>
      </c>
      <c r="H1338" s="55" t="s">
        <v>17</v>
      </c>
      <c r="I1338" s="55" t="s">
        <v>18</v>
      </c>
      <c r="J1338" s="55" t="s">
        <v>8286</v>
      </c>
      <c r="K1338" s="55" t="s">
        <v>20</v>
      </c>
      <c r="L1338" s="57" t="str">
        <f>HYPERLINK("https://nycdoe.sharepoint.com/:w:/s/BAP/EQqvny2VsfNMiZuBrVV35JwBsvfpuWVtQB_4B4jiFjP53Q", "1 out of 10")</f>
        <v>1 out of 10</v>
      </c>
      <c r="M1338" t="s">
        <v>8287</v>
      </c>
    </row>
    <row r="1339" spans="2:13">
      <c r="B1339" s="55" t="s">
        <v>3506</v>
      </c>
      <c r="C1339" s="55" t="s">
        <v>3162</v>
      </c>
      <c r="D1339" s="55" t="s">
        <v>8288</v>
      </c>
      <c r="E1339" s="55" t="s">
        <v>8288</v>
      </c>
      <c r="F1339" s="55" t="s">
        <v>8289</v>
      </c>
      <c r="G1339" s="55" t="s">
        <v>8290</v>
      </c>
      <c r="H1339" s="55" t="s">
        <v>17</v>
      </c>
      <c r="I1339" s="55" t="s">
        <v>18</v>
      </c>
      <c r="J1339" s="55" t="s">
        <v>8291</v>
      </c>
      <c r="K1339" s="55" t="s">
        <v>20</v>
      </c>
      <c r="L1339" s="57" t="str">
        <f>HYPERLINK("https://nycdoe.sharepoint.com/:w:/s/BAP/EVDI5xrikLFGhY05zUbGxNYBacC06oEvsfd66UUx3XtCng", "1 out of 10")</f>
        <v>1 out of 10</v>
      </c>
      <c r="M1339" t="s">
        <v>8292</v>
      </c>
    </row>
    <row r="1340" spans="2:13">
      <c r="B1340" s="55" t="s">
        <v>3506</v>
      </c>
      <c r="C1340" s="55" t="s">
        <v>3162</v>
      </c>
      <c r="D1340" s="55" t="s">
        <v>3523</v>
      </c>
      <c r="E1340" s="55" t="s">
        <v>3523</v>
      </c>
      <c r="F1340" s="55" t="s">
        <v>8293</v>
      </c>
      <c r="G1340" s="55" t="s">
        <v>8294</v>
      </c>
      <c r="H1340" s="55" t="s">
        <v>17</v>
      </c>
      <c r="I1340" s="55" t="s">
        <v>18</v>
      </c>
      <c r="J1340" s="55" t="s">
        <v>8295</v>
      </c>
      <c r="K1340" s="55" t="s">
        <v>20</v>
      </c>
      <c r="L1340" s="57" t="str">
        <f>HYPERLINK("https://nycdoe.sharepoint.com/:w:/s/BAP/EQnfvJFcz-1KpBsP9iaJMU0BCCcVDWgc6Jn-3QnOJKhzgg", "4 out of 10")</f>
        <v>4 out of 10</v>
      </c>
      <c r="M1340" t="s">
        <v>8296</v>
      </c>
    </row>
    <row r="1341" spans="2:13">
      <c r="B1341" s="55" t="s">
        <v>3506</v>
      </c>
      <c r="C1341" s="55" t="s">
        <v>3162</v>
      </c>
      <c r="D1341" s="55" t="s">
        <v>3527</v>
      </c>
      <c r="E1341" s="55" t="s">
        <v>3527</v>
      </c>
      <c r="F1341" s="55" t="s">
        <v>8297</v>
      </c>
      <c r="G1341" s="55" t="s">
        <v>3529</v>
      </c>
      <c r="H1341" s="55" t="s">
        <v>17</v>
      </c>
      <c r="I1341" s="55" t="s">
        <v>18</v>
      </c>
      <c r="J1341" s="55" t="s">
        <v>8298</v>
      </c>
      <c r="K1341" s="55" t="s">
        <v>20</v>
      </c>
      <c r="L1341" s="57" t="str">
        <f>HYPERLINK("https://nycdoe.sharepoint.com/:w:/s/BAP/EZNx72xkiQZAueIlHRP9bDcBG8WUboXsWVCRpj-p_Focxg", "4 out of 10")</f>
        <v>4 out of 10</v>
      </c>
      <c r="M1341" t="s">
        <v>8299</v>
      </c>
    </row>
    <row r="1342" spans="2:13">
      <c r="B1342" s="55" t="s">
        <v>3506</v>
      </c>
      <c r="C1342" s="55" t="s">
        <v>3162</v>
      </c>
      <c r="D1342" s="55" t="s">
        <v>3527</v>
      </c>
      <c r="E1342" s="55" t="s">
        <v>3498</v>
      </c>
      <c r="F1342" s="55" t="s">
        <v>8251</v>
      </c>
      <c r="G1342" s="55" t="s">
        <v>3500</v>
      </c>
      <c r="H1342" s="55" t="s">
        <v>43</v>
      </c>
      <c r="I1342" s="55"/>
      <c r="J1342" s="55" t="s">
        <v>8298</v>
      </c>
      <c r="K1342" s="55" t="s">
        <v>20</v>
      </c>
      <c r="L1342" s="57" t="str">
        <f>HYPERLINK("https://nycdoe.sharepoint.com/:w:/s/BAP/EZNx72xkiQZAueIlHRP9bDcBG8WUboXsWVCRpj-p_Focxg", "4 out of 10")</f>
        <v>4 out of 10</v>
      </c>
      <c r="M1342" t="s">
        <v>8299</v>
      </c>
    </row>
    <row r="1343" spans="2:13">
      <c r="B1343" s="55" t="s">
        <v>3506</v>
      </c>
      <c r="C1343" s="55" t="s">
        <v>3162</v>
      </c>
      <c r="D1343" s="55" t="s">
        <v>3531</v>
      </c>
      <c r="E1343" s="55" t="s">
        <v>3531</v>
      </c>
      <c r="F1343" s="55" t="s">
        <v>8300</v>
      </c>
      <c r="G1343" s="55" t="s">
        <v>8301</v>
      </c>
      <c r="H1343" s="55" t="s">
        <v>52</v>
      </c>
      <c r="I1343" s="55"/>
      <c r="J1343" s="55" t="s">
        <v>8302</v>
      </c>
      <c r="K1343" s="55" t="s">
        <v>20</v>
      </c>
      <c r="L1343" s="57" t="str">
        <f>HYPERLINK("https://nycdoe.sharepoint.com/:w:/s/BAP/EdOSi3_d4zNPjL48mpPaYMoBOnnd9N13Ne9hay-xKbxGWw", "3 out of 10")</f>
        <v>3 out of 10</v>
      </c>
      <c r="M1343" t="s">
        <v>8303</v>
      </c>
    </row>
    <row r="1344" spans="2:13">
      <c r="B1344" s="55" t="s">
        <v>3506</v>
      </c>
      <c r="C1344" s="55" t="s">
        <v>3162</v>
      </c>
      <c r="D1344" s="55" t="s">
        <v>8304</v>
      </c>
      <c r="E1344" s="55" t="s">
        <v>8304</v>
      </c>
      <c r="F1344" s="55" t="s">
        <v>8305</v>
      </c>
      <c r="G1344" s="55" t="s">
        <v>8306</v>
      </c>
      <c r="H1344" s="55" t="s">
        <v>17</v>
      </c>
      <c r="I1344" s="55" t="s">
        <v>18</v>
      </c>
      <c r="J1344" s="55" t="s">
        <v>8307</v>
      </c>
      <c r="K1344" s="55" t="s">
        <v>20</v>
      </c>
      <c r="L1344" s="57" t="str">
        <f>HYPERLINK("https://nycdoe.sharepoint.com/:w:/s/BAP/EdoKoePZDe5FunpTAneNNFkBTn5bhR588naX9WrqGfMz7w", "1 out of 10")</f>
        <v>1 out of 10</v>
      </c>
      <c r="M1344" t="s">
        <v>8308</v>
      </c>
    </row>
    <row r="1345" spans="2:13">
      <c r="B1345" s="55" t="s">
        <v>3506</v>
      </c>
      <c r="C1345" s="55" t="s">
        <v>3162</v>
      </c>
      <c r="D1345" s="55" t="s">
        <v>8309</v>
      </c>
      <c r="E1345" s="55" t="s">
        <v>8309</v>
      </c>
      <c r="F1345" s="55" t="s">
        <v>8310</v>
      </c>
      <c r="G1345" s="55" t="s">
        <v>8311</v>
      </c>
      <c r="H1345" s="55" t="s">
        <v>17</v>
      </c>
      <c r="I1345" s="55" t="s">
        <v>18</v>
      </c>
      <c r="J1345" s="55" t="s">
        <v>8312</v>
      </c>
      <c r="K1345" s="55" t="s">
        <v>20</v>
      </c>
      <c r="L1345" s="57" t="str">
        <f>HYPERLINK("https://nycdoe.sharepoint.com/:w:/s/BAP/EYi0zuw79OBKkQpX6yzb54QBflwbCjRfUYvMddhgXQorDw", "3 out of 10")</f>
        <v>3 out of 10</v>
      </c>
      <c r="M1345" t="s">
        <v>8313</v>
      </c>
    </row>
    <row r="1346" spans="2:13">
      <c r="B1346" s="55" t="s">
        <v>3506</v>
      </c>
      <c r="C1346" s="55" t="s">
        <v>3162</v>
      </c>
      <c r="D1346" s="55" t="s">
        <v>3535</v>
      </c>
      <c r="E1346" s="55" t="s">
        <v>3535</v>
      </c>
      <c r="F1346" s="55" t="s">
        <v>8314</v>
      </c>
      <c r="G1346" s="55" t="s">
        <v>8315</v>
      </c>
      <c r="H1346" s="55" t="s">
        <v>52</v>
      </c>
      <c r="I1346" s="55"/>
      <c r="J1346" s="55" t="s">
        <v>8316</v>
      </c>
      <c r="K1346" s="55" t="s">
        <v>20</v>
      </c>
      <c r="L1346" s="57" t="str">
        <f>HYPERLINK("https://nycdoe.sharepoint.com/:w:/s/BAP/ES2uhvkPPHxEudD3YN5qdd0BsSCZ9foSuRSFla4Zp0DpVw", "1 out of 10")</f>
        <v>1 out of 10</v>
      </c>
      <c r="M1346" t="s">
        <v>8317</v>
      </c>
    </row>
    <row r="1347" spans="2:13">
      <c r="B1347" s="55" t="s">
        <v>3506</v>
      </c>
      <c r="C1347" s="55" t="s">
        <v>3162</v>
      </c>
      <c r="D1347" s="55" t="s">
        <v>8318</v>
      </c>
      <c r="E1347" s="55" t="s">
        <v>8318</v>
      </c>
      <c r="F1347" s="55" t="s">
        <v>8319</v>
      </c>
      <c r="G1347" s="55" t="s">
        <v>8320</v>
      </c>
      <c r="H1347" s="55" t="s">
        <v>17</v>
      </c>
      <c r="I1347" s="55" t="s">
        <v>18</v>
      </c>
      <c r="J1347" s="55" t="s">
        <v>8321</v>
      </c>
      <c r="K1347" s="55" t="s">
        <v>20</v>
      </c>
      <c r="L1347" s="57" t="str">
        <f>HYPERLINK("https://nycdoe.sharepoint.com/:w:/s/BAP/EeaBtrpRSyZAnQtwxsEQ6zEBXfIw4MJD1fD7Nw1N-L0dtw", "4 out of 10")</f>
        <v>4 out of 10</v>
      </c>
      <c r="M1347" t="s">
        <v>8322</v>
      </c>
    </row>
    <row r="1348" spans="2:13">
      <c r="B1348" s="55" t="s">
        <v>3506</v>
      </c>
      <c r="C1348" s="55" t="s">
        <v>3162</v>
      </c>
      <c r="D1348" s="55" t="s">
        <v>3539</v>
      </c>
      <c r="E1348" s="55" t="s">
        <v>3539</v>
      </c>
      <c r="F1348" s="55" t="s">
        <v>8211</v>
      </c>
      <c r="G1348" s="55" t="s">
        <v>3541</v>
      </c>
      <c r="H1348" s="55" t="s">
        <v>43</v>
      </c>
      <c r="I1348" s="55"/>
      <c r="J1348" s="55" t="s">
        <v>8323</v>
      </c>
      <c r="K1348" s="55" t="s">
        <v>20</v>
      </c>
      <c r="L1348" s="57" t="str">
        <f>HYPERLINK("https://nycdoe.sharepoint.com/:w:/s/BAP/EdHjV2dquNZFvC9sHPCRukMBzRi_cgVGpbDFCY7bL9gHIQ", "4 out of 10")</f>
        <v>4 out of 10</v>
      </c>
      <c r="M1348" t="s">
        <v>8324</v>
      </c>
    </row>
    <row r="1349" spans="2:13">
      <c r="B1349" s="55" t="s">
        <v>3506</v>
      </c>
      <c r="C1349" s="55" t="s">
        <v>3162</v>
      </c>
      <c r="D1349" s="55" t="s">
        <v>3543</v>
      </c>
      <c r="E1349" s="55" t="s">
        <v>3544</v>
      </c>
      <c r="F1349" s="55" t="s">
        <v>8325</v>
      </c>
      <c r="G1349" s="55" t="s">
        <v>3546</v>
      </c>
      <c r="H1349" s="55" t="s">
        <v>24</v>
      </c>
      <c r="I1349" s="55" t="s">
        <v>18</v>
      </c>
      <c r="J1349" s="55" t="s">
        <v>8326</v>
      </c>
      <c r="K1349" s="55" t="s">
        <v>20</v>
      </c>
      <c r="L1349" s="57" t="str">
        <f>HYPERLINK("https://nycdoe.sharepoint.com/:w:/s/BAP/EStxqXqH0LBGiZPrHxcGOF4BDRsh_lQyzqEzJAuiC12Pwg", "1 out of 10")</f>
        <v>1 out of 10</v>
      </c>
      <c r="M1349" t="s">
        <v>8327</v>
      </c>
    </row>
    <row r="1350" spans="2:13">
      <c r="B1350" s="55" t="s">
        <v>3506</v>
      </c>
      <c r="C1350" s="55" t="s">
        <v>3162</v>
      </c>
      <c r="D1350" s="55" t="s">
        <v>3548</v>
      </c>
      <c r="E1350" s="55" t="s">
        <v>3548</v>
      </c>
      <c r="F1350" s="55" t="s">
        <v>8328</v>
      </c>
      <c r="G1350" s="55" t="s">
        <v>8329</v>
      </c>
      <c r="H1350" s="55" t="s">
        <v>17</v>
      </c>
      <c r="I1350" s="55" t="s">
        <v>18</v>
      </c>
      <c r="J1350" s="55" t="s">
        <v>8330</v>
      </c>
      <c r="K1350" s="55" t="s">
        <v>62</v>
      </c>
      <c r="L1350" s="57" t="str">
        <f>HYPERLINK("https://nycdoe.sharepoint.com/:w:/s/BAP/ERQNagi1LhBIkXSKhnma3D0B-QZ6k4wlYRYB7CofJ_WZ6Q", "10 out of 10")</f>
        <v>10 out of 10</v>
      </c>
      <c r="M1350" t="s">
        <v>8331</v>
      </c>
    </row>
    <row r="1351" spans="2:13">
      <c r="B1351" s="55" t="s">
        <v>3506</v>
      </c>
      <c r="C1351" s="55" t="s">
        <v>3162</v>
      </c>
      <c r="D1351" s="55" t="s">
        <v>3548</v>
      </c>
      <c r="E1351" s="55" t="s">
        <v>3552</v>
      </c>
      <c r="F1351" s="55" t="s">
        <v>8261</v>
      </c>
      <c r="G1351" s="55" t="s">
        <v>3554</v>
      </c>
      <c r="H1351" s="55" t="s">
        <v>24</v>
      </c>
      <c r="I1351" s="55" t="s">
        <v>18</v>
      </c>
      <c r="J1351" s="55" t="s">
        <v>8330</v>
      </c>
      <c r="K1351" s="55" t="s">
        <v>62</v>
      </c>
      <c r="L1351" s="57" t="str">
        <f>HYPERLINK("https://nycdoe.sharepoint.com/:w:/s/BAP/ERQNagi1LhBIkXSKhnma3D0B-QZ6k4wlYRYB7CofJ_WZ6Q", "10 out of 10")</f>
        <v>10 out of 10</v>
      </c>
      <c r="M1351" t="s">
        <v>8331</v>
      </c>
    </row>
    <row r="1352" spans="2:13">
      <c r="B1352" s="55" t="s">
        <v>3506</v>
      </c>
      <c r="C1352" s="55" t="s">
        <v>3162</v>
      </c>
      <c r="D1352" s="55" t="s">
        <v>3555</v>
      </c>
      <c r="E1352" s="55" t="s">
        <v>3555</v>
      </c>
      <c r="F1352" s="55" t="s">
        <v>8332</v>
      </c>
      <c r="G1352" s="55" t="s">
        <v>8333</v>
      </c>
      <c r="H1352" s="55" t="s">
        <v>17</v>
      </c>
      <c r="I1352" s="55" t="s">
        <v>18</v>
      </c>
      <c r="J1352" s="55" t="s">
        <v>8334</v>
      </c>
      <c r="K1352" s="55" t="s">
        <v>62</v>
      </c>
      <c r="L1352" s="57" t="str">
        <f>HYPERLINK("https://nycdoe.sharepoint.com/:w:/s/BAP/EZTqBzBc7_ZMl2-u0FMBPH8BmSdz6UKUW_OsGDGSIHEEHA", "9 out of 10")</f>
        <v>9 out of 10</v>
      </c>
      <c r="M1352" t="s">
        <v>8335</v>
      </c>
    </row>
    <row r="1353" spans="2:13">
      <c r="B1353" s="55" t="s">
        <v>3506</v>
      </c>
      <c r="C1353" s="55" t="s">
        <v>3162</v>
      </c>
      <c r="D1353" s="55" t="s">
        <v>3559</v>
      </c>
      <c r="E1353" s="55" t="s">
        <v>3559</v>
      </c>
      <c r="F1353" s="55" t="s">
        <v>8336</v>
      </c>
      <c r="G1353" s="55" t="s">
        <v>8337</v>
      </c>
      <c r="H1353" s="55" t="s">
        <v>17</v>
      </c>
      <c r="I1353" s="55" t="s">
        <v>18</v>
      </c>
      <c r="J1353" s="55" t="s">
        <v>8338</v>
      </c>
      <c r="K1353" s="55" t="s">
        <v>20</v>
      </c>
      <c r="L1353" s="57" t="str">
        <f>HYPERLINK("https://nycdoe.sharepoint.com/:w:/s/BAP/ERixo33Fzi9Ek719Obkq9twBbwSXCJoWHwd-BZmz_9BgsQ", "4 out of 10")</f>
        <v>4 out of 10</v>
      </c>
      <c r="M1353" t="s">
        <v>8339</v>
      </c>
    </row>
    <row r="1354" spans="2:13">
      <c r="B1354" s="55" t="s">
        <v>3506</v>
      </c>
      <c r="C1354" s="55" t="s">
        <v>3162</v>
      </c>
      <c r="D1354" s="55" t="s">
        <v>3559</v>
      </c>
      <c r="E1354" s="55" t="s">
        <v>3498</v>
      </c>
      <c r="F1354" s="55" t="s">
        <v>8251</v>
      </c>
      <c r="G1354" s="55" t="s">
        <v>3500</v>
      </c>
      <c r="H1354" s="55" t="s">
        <v>43</v>
      </c>
      <c r="I1354" s="55"/>
      <c r="J1354" s="55" t="s">
        <v>8338</v>
      </c>
      <c r="K1354" s="55" t="s">
        <v>20</v>
      </c>
      <c r="L1354" s="57" t="str">
        <f>HYPERLINK("https://nycdoe.sharepoint.com/:w:/s/BAP/ERixo33Fzi9Ek719Obkq9twBbwSXCJoWHwd-BZmz_9BgsQ", "4 out of 10")</f>
        <v>4 out of 10</v>
      </c>
      <c r="M1354" t="s">
        <v>8339</v>
      </c>
    </row>
    <row r="1355" spans="2:13">
      <c r="B1355" s="55" t="s">
        <v>3506</v>
      </c>
      <c r="C1355" s="55" t="s">
        <v>3162</v>
      </c>
      <c r="D1355" s="55" t="s">
        <v>8340</v>
      </c>
      <c r="E1355" s="55" t="s">
        <v>8340</v>
      </c>
      <c r="F1355" s="55" t="s">
        <v>8341</v>
      </c>
      <c r="G1355" s="55" t="s">
        <v>8342</v>
      </c>
      <c r="H1355" s="55" t="s">
        <v>17</v>
      </c>
      <c r="I1355" s="55" t="s">
        <v>18</v>
      </c>
      <c r="J1355" s="55" t="s">
        <v>8343</v>
      </c>
      <c r="K1355" s="55" t="s">
        <v>20</v>
      </c>
      <c r="L1355" s="57" t="str">
        <f>HYPERLINK("https://nycdoe.sharepoint.com/:w:/s/BAP/EQSu52OlQ3tJo4bDZEpW4W4B26Fk5PK00YZuD6TQXc8VmQ", "1 out of 10")</f>
        <v>1 out of 10</v>
      </c>
      <c r="M1355" t="s">
        <v>8344</v>
      </c>
    </row>
    <row r="1356" spans="2:13">
      <c r="B1356" s="55" t="s">
        <v>3506</v>
      </c>
      <c r="C1356" s="55" t="s">
        <v>3162</v>
      </c>
      <c r="D1356" s="55" t="s">
        <v>8340</v>
      </c>
      <c r="E1356" s="55" t="s">
        <v>3552</v>
      </c>
      <c r="F1356" s="55" t="s">
        <v>8261</v>
      </c>
      <c r="G1356" s="55" t="s">
        <v>3554</v>
      </c>
      <c r="H1356" s="55" t="s">
        <v>24</v>
      </c>
      <c r="I1356" s="55" t="s">
        <v>18</v>
      </c>
      <c r="J1356" s="55" t="s">
        <v>8343</v>
      </c>
      <c r="K1356" s="55" t="s">
        <v>20</v>
      </c>
      <c r="L1356" s="57" t="str">
        <f>HYPERLINK("https://nycdoe.sharepoint.com/:w:/s/BAP/EQSu52OlQ3tJo4bDZEpW4W4B26Fk5PK00YZuD6TQXc8VmQ", "1 out of 10")</f>
        <v>1 out of 10</v>
      </c>
      <c r="M1356" t="s">
        <v>8344</v>
      </c>
    </row>
    <row r="1357" spans="2:13">
      <c r="B1357" s="55" t="s">
        <v>3506</v>
      </c>
      <c r="C1357" s="55" t="s">
        <v>3162</v>
      </c>
      <c r="D1357" s="55" t="s">
        <v>3563</v>
      </c>
      <c r="E1357" s="55" t="s">
        <v>3563</v>
      </c>
      <c r="F1357" s="55" t="s">
        <v>8345</v>
      </c>
      <c r="G1357" s="55" t="s">
        <v>3565</v>
      </c>
      <c r="H1357" s="55" t="s">
        <v>24</v>
      </c>
      <c r="I1357" s="55"/>
      <c r="J1357" s="55" t="s">
        <v>8346</v>
      </c>
      <c r="K1357" s="55" t="s">
        <v>62</v>
      </c>
      <c r="L1357" s="57" t="str">
        <f>HYPERLINK("https://nycdoe.sharepoint.com/:w:/s/BAP/ERLr4xfRBCpFm4vWDS6d5ugBsHjl2FEc20H5HmRWqfCECQ", "10 out of 10")</f>
        <v>10 out of 10</v>
      </c>
      <c r="M1357" t="s">
        <v>8347</v>
      </c>
    </row>
    <row r="1358" spans="2:13">
      <c r="B1358" s="55" t="s">
        <v>3506</v>
      </c>
      <c r="C1358" s="55" t="s">
        <v>3162</v>
      </c>
      <c r="D1358" s="55" t="s">
        <v>3563</v>
      </c>
      <c r="E1358" s="55" t="s">
        <v>3498</v>
      </c>
      <c r="F1358" s="55" t="s">
        <v>8251</v>
      </c>
      <c r="G1358" s="55" t="s">
        <v>3500</v>
      </c>
      <c r="H1358" s="55" t="s">
        <v>43</v>
      </c>
      <c r="I1358" s="55"/>
      <c r="J1358" s="55" t="s">
        <v>8346</v>
      </c>
      <c r="K1358" s="55" t="s">
        <v>62</v>
      </c>
      <c r="L1358" s="57" t="str">
        <f>HYPERLINK("https://nycdoe.sharepoint.com/:w:/s/BAP/ERLr4xfRBCpFm4vWDS6d5ugBsHjl2FEc20H5HmRWqfCECQ", "10 out of 10")</f>
        <v>10 out of 10</v>
      </c>
      <c r="M1358" t="s">
        <v>8347</v>
      </c>
    </row>
    <row r="1359" spans="2:13">
      <c r="B1359" s="55" t="s">
        <v>3506</v>
      </c>
      <c r="C1359" s="55" t="s">
        <v>3162</v>
      </c>
      <c r="D1359" s="55" t="s">
        <v>3567</v>
      </c>
      <c r="E1359" s="55" t="s">
        <v>3544</v>
      </c>
      <c r="F1359" s="55" t="s">
        <v>8325</v>
      </c>
      <c r="G1359" s="55" t="s">
        <v>3546</v>
      </c>
      <c r="H1359" s="55" t="s">
        <v>24</v>
      </c>
      <c r="I1359" s="55" t="s">
        <v>18</v>
      </c>
      <c r="J1359" s="55" t="s">
        <v>8348</v>
      </c>
      <c r="K1359" s="55" t="s">
        <v>20</v>
      </c>
      <c r="L1359" s="57" t="str">
        <f>HYPERLINK("https://nycdoe.sharepoint.com/:w:/s/BAP/EQzS1ee4y5hEqQp5q2sHx6sBgQScd9-F6YsHMvtiKSd7OA", "5 out of 10")</f>
        <v>5 out of 10</v>
      </c>
      <c r="M1359" t="s">
        <v>8349</v>
      </c>
    </row>
    <row r="1360" spans="2:13">
      <c r="B1360" s="55" t="s">
        <v>3506</v>
      </c>
      <c r="C1360" s="55" t="s">
        <v>3162</v>
      </c>
      <c r="D1360" s="55" t="s">
        <v>3567</v>
      </c>
      <c r="E1360" s="55" t="s">
        <v>3567</v>
      </c>
      <c r="F1360" s="55" t="s">
        <v>8350</v>
      </c>
      <c r="G1360" s="55" t="s">
        <v>8351</v>
      </c>
      <c r="H1360" s="55" t="s">
        <v>17</v>
      </c>
      <c r="I1360" s="55" t="s">
        <v>18</v>
      </c>
      <c r="J1360" s="55" t="s">
        <v>8348</v>
      </c>
      <c r="K1360" s="55" t="s">
        <v>20</v>
      </c>
      <c r="L1360" s="57" t="str">
        <f>HYPERLINK("https://nycdoe.sharepoint.com/:w:/s/BAP/EQzS1ee4y5hEqQp5q2sHx6sBgQScd9-F6YsHMvtiKSd7OA", "5 out of 10")</f>
        <v>5 out of 10</v>
      </c>
      <c r="M1360" t="s">
        <v>8349</v>
      </c>
    </row>
    <row r="1361" spans="2:13">
      <c r="B1361" s="55" t="s">
        <v>3506</v>
      </c>
      <c r="C1361" s="55" t="s">
        <v>3162</v>
      </c>
      <c r="D1361" s="55" t="s">
        <v>3571</v>
      </c>
      <c r="E1361" s="55" t="s">
        <v>3571</v>
      </c>
      <c r="F1361" s="55" t="s">
        <v>8352</v>
      </c>
      <c r="G1361" s="55" t="s">
        <v>8353</v>
      </c>
      <c r="H1361" s="55" t="s">
        <v>52</v>
      </c>
      <c r="I1361" s="55"/>
      <c r="J1361" s="55" t="s">
        <v>8354</v>
      </c>
      <c r="K1361" s="55" t="s">
        <v>20</v>
      </c>
      <c r="L1361" s="57" t="str">
        <f>HYPERLINK("https://nycdoe.sharepoint.com/:w:/s/BAP/EbunyBq0fBJNkuFbK1JzFQ4BVI9126V1ynSgCinTtLN1Og", "1 out of 10")</f>
        <v>1 out of 10</v>
      </c>
      <c r="M1361" t="s">
        <v>8355</v>
      </c>
    </row>
    <row r="1362" spans="2:13">
      <c r="B1362" s="55" t="s">
        <v>3506</v>
      </c>
      <c r="C1362" s="55" t="s">
        <v>3162</v>
      </c>
      <c r="D1362" s="55" t="s">
        <v>8356</v>
      </c>
      <c r="E1362" s="55" t="s">
        <v>8356</v>
      </c>
      <c r="F1362" s="55" t="s">
        <v>8357</v>
      </c>
      <c r="G1362" s="55" t="s">
        <v>8358</v>
      </c>
      <c r="H1362" s="55" t="s">
        <v>17</v>
      </c>
      <c r="I1362" s="55" t="s">
        <v>18</v>
      </c>
      <c r="J1362" s="55" t="s">
        <v>8359</v>
      </c>
      <c r="K1362" s="55" t="s">
        <v>20</v>
      </c>
      <c r="L1362" s="57" t="str">
        <f>HYPERLINK("https://nycdoe.sharepoint.com/:w:/s/BAP/ESwgn5-nEoNGgDm1BzRxj38BYgQoRZ77OKP30FGbzibBvQ", "4 out of 10")</f>
        <v>4 out of 10</v>
      </c>
      <c r="M1362" t="s">
        <v>8360</v>
      </c>
    </row>
    <row r="1363" spans="2:13">
      <c r="B1363" s="55" t="s">
        <v>3506</v>
      </c>
      <c r="C1363" s="55" t="s">
        <v>3162</v>
      </c>
      <c r="D1363" s="55" t="s">
        <v>3575</v>
      </c>
      <c r="E1363" s="55" t="s">
        <v>3552</v>
      </c>
      <c r="F1363" s="55" t="s">
        <v>8261</v>
      </c>
      <c r="G1363" s="55" t="s">
        <v>3554</v>
      </c>
      <c r="H1363" s="55" t="s">
        <v>24</v>
      </c>
      <c r="I1363" s="55" t="s">
        <v>18</v>
      </c>
      <c r="J1363" s="55" t="s">
        <v>8361</v>
      </c>
      <c r="K1363" s="55" t="s">
        <v>62</v>
      </c>
      <c r="L1363" s="57" t="str">
        <f>HYPERLINK("https://nycdoe.sharepoint.com/:w:/s/BAP/ERZHCNWokGBIhUBNO50mIpgBuVTs_BysGGk6jU1Qx6AQtQ", "10 out of 10")</f>
        <v>10 out of 10</v>
      </c>
      <c r="M1363" t="s">
        <v>8362</v>
      </c>
    </row>
    <row r="1364" spans="2:13">
      <c r="B1364" s="55" t="s">
        <v>3506</v>
      </c>
      <c r="C1364" s="55" t="s">
        <v>3162</v>
      </c>
      <c r="D1364" s="55" t="s">
        <v>3575</v>
      </c>
      <c r="E1364" s="55" t="s">
        <v>3575</v>
      </c>
      <c r="F1364" s="55" t="s">
        <v>8363</v>
      </c>
      <c r="G1364" s="55" t="s">
        <v>3578</v>
      </c>
      <c r="H1364" s="55" t="s">
        <v>24</v>
      </c>
      <c r="I1364" s="55" t="s">
        <v>18</v>
      </c>
      <c r="J1364" s="55" t="s">
        <v>8361</v>
      </c>
      <c r="K1364" s="55" t="s">
        <v>62</v>
      </c>
      <c r="L1364" s="57" t="str">
        <f>HYPERLINK("https://nycdoe.sharepoint.com/:w:/s/BAP/ERZHCNWokGBIhUBNO50mIpgBuVTs_BysGGk6jU1Qx6AQtQ", "10 out of 10")</f>
        <v>10 out of 10</v>
      </c>
      <c r="M1364" t="s">
        <v>8362</v>
      </c>
    </row>
    <row r="1365" spans="2:13">
      <c r="B1365" s="55" t="s">
        <v>3506</v>
      </c>
      <c r="C1365" s="55" t="s">
        <v>3162</v>
      </c>
      <c r="D1365" s="55" t="s">
        <v>3579</v>
      </c>
      <c r="E1365" s="55" t="s">
        <v>3580</v>
      </c>
      <c r="F1365" s="55" t="s">
        <v>8364</v>
      </c>
      <c r="G1365" s="55" t="s">
        <v>3582</v>
      </c>
      <c r="H1365" s="55" t="s">
        <v>17</v>
      </c>
      <c r="I1365" s="55" t="s">
        <v>18</v>
      </c>
      <c r="J1365" s="55" t="s">
        <v>8365</v>
      </c>
      <c r="K1365" s="55" t="s">
        <v>62</v>
      </c>
      <c r="L1365" s="57" t="str">
        <f>HYPERLINK("https://nycdoe.sharepoint.com/:w:/s/BAP/ESKndv8-mQxAoapkiir38sIBNcRXooG-TZgsYws4iJNIPg", "10 out of 10")</f>
        <v>10 out of 10</v>
      </c>
      <c r="M1365" t="s">
        <v>8366</v>
      </c>
    </row>
    <row r="1366" spans="2:13">
      <c r="B1366" s="55" t="s">
        <v>3506</v>
      </c>
      <c r="C1366" s="55" t="s">
        <v>3162</v>
      </c>
      <c r="D1366" s="55" t="s">
        <v>3584</v>
      </c>
      <c r="E1366" s="55" t="s">
        <v>3589</v>
      </c>
      <c r="F1366" s="55" t="s">
        <v>8367</v>
      </c>
      <c r="G1366" s="55" t="s">
        <v>8368</v>
      </c>
      <c r="H1366" s="55" t="s">
        <v>17</v>
      </c>
      <c r="I1366" s="55" t="s">
        <v>18</v>
      </c>
      <c r="J1366" s="55" t="s">
        <v>8369</v>
      </c>
      <c r="K1366" s="55" t="s">
        <v>20</v>
      </c>
      <c r="L1366" s="57" t="str">
        <f>HYPERLINK("https://nycdoe.sharepoint.com/:w:/s/BAP/EY9_dOci-NRHuhd_oOtG0VUBbSzVvo0pFxisvSa1mj-ZwA", "2 out of 10")</f>
        <v>2 out of 10</v>
      </c>
      <c r="M1366" t="s">
        <v>8370</v>
      </c>
    </row>
    <row r="1367" spans="2:13">
      <c r="B1367" s="55" t="s">
        <v>3506</v>
      </c>
      <c r="C1367" s="55" t="s">
        <v>3162</v>
      </c>
      <c r="D1367" s="55" t="s">
        <v>3592</v>
      </c>
      <c r="E1367" s="55" t="s">
        <v>3593</v>
      </c>
      <c r="F1367" s="55" t="s">
        <v>8371</v>
      </c>
      <c r="G1367" s="55" t="s">
        <v>8372</v>
      </c>
      <c r="H1367" s="55" t="s">
        <v>56</v>
      </c>
      <c r="I1367" s="55"/>
      <c r="J1367" s="55" t="s">
        <v>8373</v>
      </c>
      <c r="K1367" s="55" t="s">
        <v>20</v>
      </c>
      <c r="L1367" s="57" t="str">
        <f>HYPERLINK("https://nycdoe.sharepoint.com/:w:/s/BAP/EQ7qBRVyzUlFpb4T5emwUXsBnwI_LoPXRDobMjP8mYtP3A", "5 out of 10")</f>
        <v>5 out of 10</v>
      </c>
      <c r="M1367" t="s">
        <v>8374</v>
      </c>
    </row>
    <row r="1368" spans="2:13">
      <c r="B1368" s="55" t="s">
        <v>3506</v>
      </c>
      <c r="C1368" s="55" t="s">
        <v>3162</v>
      </c>
      <c r="D1368" s="55" t="s">
        <v>3592</v>
      </c>
      <c r="E1368" s="55" t="s">
        <v>3597</v>
      </c>
      <c r="F1368" s="55" t="s">
        <v>8375</v>
      </c>
      <c r="G1368" s="55" t="s">
        <v>3599</v>
      </c>
      <c r="H1368" s="55" t="s">
        <v>43</v>
      </c>
      <c r="I1368" s="55"/>
      <c r="J1368" s="55" t="s">
        <v>8373</v>
      </c>
      <c r="K1368" s="55" t="s">
        <v>20</v>
      </c>
      <c r="L1368" s="57" t="str">
        <f>HYPERLINK("https://nycdoe.sharepoint.com/:w:/s/BAP/EQ7qBRVyzUlFpb4T5emwUXsBnwI_LoPXRDobMjP8mYtP3A", "5 out of 10")</f>
        <v>5 out of 10</v>
      </c>
      <c r="M1368" t="s">
        <v>8374</v>
      </c>
    </row>
    <row r="1369" spans="2:13">
      <c r="B1369" s="55" t="s">
        <v>3506</v>
      </c>
      <c r="C1369" s="55" t="s">
        <v>3162</v>
      </c>
      <c r="D1369" s="55" t="s">
        <v>3600</v>
      </c>
      <c r="E1369" s="55" t="s">
        <v>3600</v>
      </c>
      <c r="F1369" s="55" t="s">
        <v>8376</v>
      </c>
      <c r="G1369" s="55" t="s">
        <v>8377</v>
      </c>
      <c r="H1369" s="55" t="s">
        <v>56</v>
      </c>
      <c r="I1369" s="55"/>
      <c r="J1369" s="55" t="s">
        <v>8378</v>
      </c>
      <c r="K1369" s="55" t="s">
        <v>62</v>
      </c>
      <c r="L1369" s="57" t="str">
        <f>HYPERLINK("https://nycdoe.sharepoint.com/:w:/s/BAP/EZsCpA0GzX1Gu0tD-FfFtJMBCRQgUWn3EBTG3hDtWX8m_g", "9 out of 10")</f>
        <v>9 out of 10</v>
      </c>
      <c r="M1369" t="s">
        <v>8379</v>
      </c>
    </row>
    <row r="1370" spans="2:13">
      <c r="B1370" s="55" t="s">
        <v>3506</v>
      </c>
      <c r="C1370" s="55" t="s">
        <v>3162</v>
      </c>
      <c r="D1370" s="55" t="s">
        <v>3600</v>
      </c>
      <c r="E1370" s="55" t="s">
        <v>3498</v>
      </c>
      <c r="F1370" s="55" t="s">
        <v>8251</v>
      </c>
      <c r="G1370" s="55" t="s">
        <v>3500</v>
      </c>
      <c r="H1370" s="55" t="s">
        <v>43</v>
      </c>
      <c r="I1370" s="55"/>
      <c r="J1370" s="55" t="s">
        <v>8378</v>
      </c>
      <c r="K1370" s="55" t="s">
        <v>62</v>
      </c>
      <c r="L1370" s="57" t="str">
        <f>HYPERLINK("https://nycdoe.sharepoint.com/:w:/s/BAP/EZsCpA0GzX1Gu0tD-FfFtJMBCRQgUWn3EBTG3hDtWX8m_g", "9 out of 10")</f>
        <v>9 out of 10</v>
      </c>
      <c r="M1370" t="s">
        <v>8379</v>
      </c>
    </row>
    <row r="1371" spans="2:13">
      <c r="B1371" s="55" t="s">
        <v>3506</v>
      </c>
      <c r="C1371" s="55" t="s">
        <v>3162</v>
      </c>
      <c r="D1371" s="55" t="s">
        <v>3604</v>
      </c>
      <c r="E1371" s="55" t="s">
        <v>3539</v>
      </c>
      <c r="F1371" s="55" t="s">
        <v>8211</v>
      </c>
      <c r="G1371" s="55" t="s">
        <v>3541</v>
      </c>
      <c r="H1371" s="55" t="s">
        <v>43</v>
      </c>
      <c r="I1371" s="55"/>
      <c r="J1371" s="55" t="s">
        <v>8380</v>
      </c>
      <c r="K1371" s="55" t="s">
        <v>62</v>
      </c>
      <c r="L1371" s="57" t="str">
        <f>HYPERLINK("https://nycdoe.sharepoint.com/:w:/s/BAP/EbtF9-UWpIdIl0foumDcfhMBE9i-CZgJU3_-cKqR4DQVOg", "9 out of 10")</f>
        <v>9 out of 10</v>
      </c>
      <c r="M1371" t="s">
        <v>8381</v>
      </c>
    </row>
    <row r="1372" spans="2:13">
      <c r="B1372" s="55" t="s">
        <v>3506</v>
      </c>
      <c r="C1372" s="55" t="s">
        <v>3162</v>
      </c>
      <c r="D1372" s="55" t="s">
        <v>3604</v>
      </c>
      <c r="E1372" s="55" t="s">
        <v>3604</v>
      </c>
      <c r="F1372" s="55" t="s">
        <v>8382</v>
      </c>
      <c r="G1372" s="55" t="s">
        <v>8383</v>
      </c>
      <c r="H1372" s="55" t="s">
        <v>56</v>
      </c>
      <c r="I1372" s="55"/>
      <c r="J1372" s="55" t="s">
        <v>8380</v>
      </c>
      <c r="K1372" s="55" t="s">
        <v>62</v>
      </c>
      <c r="L1372" s="57" t="str">
        <f>HYPERLINK("https://nycdoe.sharepoint.com/:w:/s/BAP/EbtF9-UWpIdIl0foumDcfhMBE9i-CZgJU3_-cKqR4DQVOg", "9 out of 10")</f>
        <v>9 out of 10</v>
      </c>
      <c r="M1372" t="s">
        <v>8381</v>
      </c>
    </row>
    <row r="1373" spans="2:13">
      <c r="B1373" s="55" t="s">
        <v>3506</v>
      </c>
      <c r="C1373" s="55" t="s">
        <v>3162</v>
      </c>
      <c r="D1373" s="55" t="s">
        <v>3604</v>
      </c>
      <c r="E1373" s="55" t="s">
        <v>4490</v>
      </c>
      <c r="F1373" s="55" t="s">
        <v>4491</v>
      </c>
      <c r="G1373" s="55" t="s">
        <v>4492</v>
      </c>
      <c r="H1373" s="55" t="s">
        <v>56</v>
      </c>
      <c r="I1373" s="55"/>
      <c r="J1373" s="55" t="s">
        <v>8380</v>
      </c>
      <c r="K1373" s="55" t="s">
        <v>62</v>
      </c>
      <c r="L1373" s="57" t="str">
        <f>HYPERLINK("https://nycdoe.sharepoint.com/:w:/s/BAP/EbtF9-UWpIdIl0foumDcfhMBE9i-CZgJU3_-cKqR4DQVOg", "9 out of 10")</f>
        <v>9 out of 10</v>
      </c>
      <c r="M1373" t="s">
        <v>8381</v>
      </c>
    </row>
    <row r="1374" spans="2:13">
      <c r="B1374" s="55" t="s">
        <v>3506</v>
      </c>
      <c r="C1374" s="55" t="s">
        <v>3162</v>
      </c>
      <c r="D1374" s="55" t="s">
        <v>8384</v>
      </c>
      <c r="E1374" s="55" t="s">
        <v>3604</v>
      </c>
      <c r="F1374" s="55" t="s">
        <v>8382</v>
      </c>
      <c r="G1374" s="55" t="s">
        <v>8383</v>
      </c>
      <c r="H1374" s="55" t="s">
        <v>56</v>
      </c>
      <c r="I1374" s="55"/>
      <c r="J1374" s="55" t="s">
        <v>8380</v>
      </c>
      <c r="K1374" s="55" t="s">
        <v>62</v>
      </c>
      <c r="L1374" s="57" t="str">
        <f>HYPERLINK("https://nycdoe.sharepoint.com/:w:/s/BAP/EW3ABU6dHxNOtPOTTdKlOdAB1oudUTGGc4nV7cIQztNTzA", "10 out of 10")</f>
        <v>10 out of 10</v>
      </c>
      <c r="M1374" t="s">
        <v>8385</v>
      </c>
    </row>
    <row r="1375" spans="2:13">
      <c r="B1375" s="55" t="s">
        <v>3506</v>
      </c>
      <c r="C1375" s="55" t="s">
        <v>3162</v>
      </c>
      <c r="D1375" s="55" t="s">
        <v>3608</v>
      </c>
      <c r="E1375" s="55" t="s">
        <v>3539</v>
      </c>
      <c r="F1375" s="55" t="s">
        <v>8211</v>
      </c>
      <c r="G1375" s="55" t="s">
        <v>3541</v>
      </c>
      <c r="H1375" s="55" t="s">
        <v>43</v>
      </c>
      <c r="I1375" s="55"/>
      <c r="J1375" s="55" t="s">
        <v>8386</v>
      </c>
      <c r="K1375" s="55" t="s">
        <v>20</v>
      </c>
      <c r="L1375" s="57" t="str">
        <f>HYPERLINK("https://nycdoe.sharepoint.com/:w:/s/BAP/ERFJZ6aCKFROin-ehx771EsBU6rs2G7oL9xVOYimIFdTXg", "8 out of 10")</f>
        <v>8 out of 10</v>
      </c>
      <c r="M1375" t="s">
        <v>8387</v>
      </c>
    </row>
    <row r="1376" spans="2:13">
      <c r="B1376" s="55" t="s">
        <v>3506</v>
      </c>
      <c r="C1376" s="55" t="s">
        <v>3162</v>
      </c>
      <c r="D1376" s="55" t="s">
        <v>3608</v>
      </c>
      <c r="E1376" s="55" t="s">
        <v>3321</v>
      </c>
      <c r="F1376" s="55" t="s">
        <v>8388</v>
      </c>
      <c r="G1376" s="55" t="s">
        <v>8389</v>
      </c>
      <c r="H1376" s="55" t="s">
        <v>56</v>
      </c>
      <c r="I1376" s="55"/>
      <c r="J1376" s="55" t="s">
        <v>8386</v>
      </c>
      <c r="K1376" s="55" t="s">
        <v>20</v>
      </c>
      <c r="L1376" s="57" t="str">
        <f>HYPERLINK("https://nycdoe.sharepoint.com/:w:/s/BAP/ERFJZ6aCKFROin-ehx771EsBU6rs2G7oL9xVOYimIFdTXg", "8 out of 10")</f>
        <v>8 out of 10</v>
      </c>
      <c r="M1376" t="s">
        <v>8387</v>
      </c>
    </row>
    <row r="1377" spans="2:13">
      <c r="B1377" s="55" t="s">
        <v>3506</v>
      </c>
      <c r="C1377" s="55" t="s">
        <v>3162</v>
      </c>
      <c r="D1377" s="55" t="s">
        <v>3608</v>
      </c>
      <c r="E1377" s="55" t="s">
        <v>3608</v>
      </c>
      <c r="F1377" s="55" t="s">
        <v>8390</v>
      </c>
      <c r="G1377" s="55" t="s">
        <v>8391</v>
      </c>
      <c r="H1377" s="55" t="s">
        <v>56</v>
      </c>
      <c r="I1377" s="55"/>
      <c r="J1377" s="55" t="s">
        <v>8386</v>
      </c>
      <c r="K1377" s="55" t="s">
        <v>20</v>
      </c>
      <c r="L1377" s="57" t="str">
        <f>HYPERLINK("https://nycdoe.sharepoint.com/:w:/s/BAP/ERFJZ6aCKFROin-ehx771EsBU6rs2G7oL9xVOYimIFdTXg", "8 out of 10")</f>
        <v>8 out of 10</v>
      </c>
      <c r="M1377" t="s">
        <v>8387</v>
      </c>
    </row>
    <row r="1378" spans="2:13">
      <c r="B1378" s="55" t="s">
        <v>3506</v>
      </c>
      <c r="C1378" s="55" t="s">
        <v>3162</v>
      </c>
      <c r="D1378" s="55" t="s">
        <v>8392</v>
      </c>
      <c r="E1378" s="55" t="s">
        <v>3600</v>
      </c>
      <c r="F1378" s="55" t="s">
        <v>8376</v>
      </c>
      <c r="G1378" s="55" t="s">
        <v>8377</v>
      </c>
      <c r="H1378" s="55" t="s">
        <v>56</v>
      </c>
      <c r="I1378" s="55"/>
      <c r="J1378" s="55" t="s">
        <v>8393</v>
      </c>
      <c r="K1378" s="55" t="s">
        <v>62</v>
      </c>
      <c r="L1378" s="57" t="str">
        <f>HYPERLINK("https://nycdoe.sharepoint.com/:w:/s/BAP/EZ-exhGwzGpHhEh2uujeDW4BJdqv5BMUzkYsixABo2fI3Q", "10 out of 10")</f>
        <v>10 out of 10</v>
      </c>
      <c r="M1378" t="s">
        <v>8394</v>
      </c>
    </row>
    <row r="1379" spans="2:13">
      <c r="B1379" s="55" t="s">
        <v>3506</v>
      </c>
      <c r="C1379" s="55" t="s">
        <v>3162</v>
      </c>
      <c r="D1379" s="55" t="s">
        <v>3614</v>
      </c>
      <c r="E1379" s="55" t="s">
        <v>3614</v>
      </c>
      <c r="F1379" s="55" t="s">
        <v>8395</v>
      </c>
      <c r="G1379" s="55" t="s">
        <v>8396</v>
      </c>
      <c r="H1379" s="55" t="s">
        <v>56</v>
      </c>
      <c r="I1379" s="55"/>
      <c r="J1379" s="55" t="s">
        <v>8397</v>
      </c>
      <c r="K1379" s="55" t="s">
        <v>62</v>
      </c>
      <c r="L1379" s="57" t="str">
        <f>HYPERLINK("https://nycdoe.sharepoint.com/:w:/s/BAP/EbEFfpHjDmhNpx4o3IbSbF8BW9RbW25wG2MtGLT4SucimA", "10 out of 10")</f>
        <v>10 out of 10</v>
      </c>
      <c r="M1379" t="s">
        <v>8398</v>
      </c>
    </row>
    <row r="1380" spans="2:13">
      <c r="B1380" s="55" t="s">
        <v>3506</v>
      </c>
      <c r="C1380" s="55" t="s">
        <v>3162</v>
      </c>
      <c r="D1380" s="55" t="s">
        <v>3614</v>
      </c>
      <c r="E1380" s="55" t="s">
        <v>3597</v>
      </c>
      <c r="F1380" s="55" t="s">
        <v>8375</v>
      </c>
      <c r="G1380" s="55" t="s">
        <v>3599</v>
      </c>
      <c r="H1380" s="55" t="s">
        <v>43</v>
      </c>
      <c r="I1380" s="55"/>
      <c r="J1380" s="55" t="s">
        <v>8397</v>
      </c>
      <c r="K1380" s="55" t="s">
        <v>62</v>
      </c>
      <c r="L1380" s="57" t="str">
        <f>HYPERLINK("https://nycdoe.sharepoint.com/:w:/s/BAP/EbEFfpHjDmhNpx4o3IbSbF8BW9RbW25wG2MtGLT4SucimA", "10 out of 10")</f>
        <v>10 out of 10</v>
      </c>
      <c r="M1380" t="s">
        <v>8398</v>
      </c>
    </row>
    <row r="1381" spans="2:13">
      <c r="B1381" s="55" t="s">
        <v>3506</v>
      </c>
      <c r="C1381" s="55" t="s">
        <v>3162</v>
      </c>
      <c r="D1381" s="55" t="s">
        <v>8399</v>
      </c>
      <c r="E1381" s="55" t="s">
        <v>3552</v>
      </c>
      <c r="F1381" s="55" t="s">
        <v>8261</v>
      </c>
      <c r="G1381" s="55" t="s">
        <v>3554</v>
      </c>
      <c r="H1381" s="55" t="s">
        <v>24</v>
      </c>
      <c r="I1381" s="55" t="s">
        <v>18</v>
      </c>
      <c r="J1381" s="55" t="s">
        <v>8400</v>
      </c>
      <c r="K1381" s="55" t="s">
        <v>20</v>
      </c>
      <c r="L1381" s="57" t="str">
        <f>HYPERLINK("https://nycdoe.sharepoint.com/:w:/s/BAP/ERsSIczPKgxDh_oRIz_EM-gBWfQfKx99eVZ-C8fc1pqFfw", "1 out of 10")</f>
        <v>1 out of 10</v>
      </c>
      <c r="M1381" t="s">
        <v>8401</v>
      </c>
    </row>
    <row r="1382" spans="2:13">
      <c r="B1382" s="55" t="s">
        <v>3506</v>
      </c>
      <c r="C1382" s="55" t="s">
        <v>3162</v>
      </c>
      <c r="D1382" s="55" t="s">
        <v>3597</v>
      </c>
      <c r="E1382" s="55" t="s">
        <v>3597</v>
      </c>
      <c r="F1382" s="55" t="s">
        <v>8375</v>
      </c>
      <c r="G1382" s="55" t="s">
        <v>3599</v>
      </c>
      <c r="H1382" s="55" t="s">
        <v>43</v>
      </c>
      <c r="I1382" s="55"/>
      <c r="J1382" s="55" t="s">
        <v>8402</v>
      </c>
      <c r="K1382" s="55" t="s">
        <v>62</v>
      </c>
      <c r="L1382" s="57" t="str">
        <f>HYPERLINK("https://nycdoe.sharepoint.com/:w:/s/BAP/ESuzuJRVQlZNpZaXMPsKyAEB9PlTX9s8Vw2zk4RR_tBvlw", "9 out of 10")</f>
        <v>9 out of 10</v>
      </c>
      <c r="M1382" t="s">
        <v>8403</v>
      </c>
    </row>
    <row r="1383" spans="2:13">
      <c r="B1383" s="55" t="s">
        <v>3619</v>
      </c>
      <c r="C1383" s="55" t="s">
        <v>3162</v>
      </c>
      <c r="D1383" s="55" t="s">
        <v>3620</v>
      </c>
      <c r="E1383" s="55" t="s">
        <v>3620</v>
      </c>
      <c r="F1383" s="55" t="s">
        <v>8404</v>
      </c>
      <c r="G1383" s="55" t="s">
        <v>8405</v>
      </c>
      <c r="H1383" s="55" t="s">
        <v>24</v>
      </c>
      <c r="I1383" s="55" t="s">
        <v>18</v>
      </c>
      <c r="J1383" s="55" t="s">
        <v>8406</v>
      </c>
      <c r="K1383" s="55" t="s">
        <v>62</v>
      </c>
      <c r="L1383" s="57" t="str">
        <f>HYPERLINK("https://nycdoe.sharepoint.com/:w:/s/BAP/EYfakg99jLBCuQEZcci0VuEBldnzGGO52qrgrf0HVHeY5g", "9 out of 10")</f>
        <v>9 out of 10</v>
      </c>
      <c r="M1383" t="s">
        <v>8407</v>
      </c>
    </row>
    <row r="1384" spans="2:13">
      <c r="B1384" s="55" t="s">
        <v>3619</v>
      </c>
      <c r="C1384" s="55" t="s">
        <v>3162</v>
      </c>
      <c r="D1384" s="55" t="s">
        <v>3620</v>
      </c>
      <c r="E1384" s="55" t="s">
        <v>3416</v>
      </c>
      <c r="F1384" s="55" t="s">
        <v>8128</v>
      </c>
      <c r="G1384" s="55" t="s">
        <v>3418</v>
      </c>
      <c r="H1384" s="55" t="s">
        <v>43</v>
      </c>
      <c r="I1384" s="55"/>
      <c r="J1384" s="55" t="s">
        <v>8406</v>
      </c>
      <c r="K1384" s="55" t="s">
        <v>62</v>
      </c>
      <c r="L1384" s="57" t="str">
        <f>HYPERLINK("https://nycdoe.sharepoint.com/:w:/s/BAP/EYfakg99jLBCuQEZcci0VuEBldnzGGO52qrgrf0HVHeY5g", "9 out of 10")</f>
        <v>9 out of 10</v>
      </c>
      <c r="M1384" t="s">
        <v>8407</v>
      </c>
    </row>
    <row r="1385" spans="2:13">
      <c r="B1385" s="55" t="s">
        <v>3619</v>
      </c>
      <c r="C1385" s="55" t="s">
        <v>3162</v>
      </c>
      <c r="D1385" s="55" t="s">
        <v>3624</v>
      </c>
      <c r="E1385" s="55" t="s">
        <v>3624</v>
      </c>
      <c r="F1385" s="55" t="s">
        <v>8408</v>
      </c>
      <c r="G1385" s="55" t="s">
        <v>3626</v>
      </c>
      <c r="H1385" s="55" t="s">
        <v>24</v>
      </c>
      <c r="I1385" s="55" t="s">
        <v>18</v>
      </c>
      <c r="J1385" s="55" t="s">
        <v>8409</v>
      </c>
      <c r="K1385" s="55" t="s">
        <v>62</v>
      </c>
      <c r="L1385" s="57" t="str">
        <f>HYPERLINK("https://nycdoe.sharepoint.com/:w:/s/BAP/ETwZnuz8wMRJq_FRIPPywZYBK9QckqGJvmtUG0SYWN9-lA", "10 out of 10")</f>
        <v>10 out of 10</v>
      </c>
      <c r="M1385" t="s">
        <v>8410</v>
      </c>
    </row>
    <row r="1386" spans="2:13">
      <c r="B1386" s="55" t="s">
        <v>3619</v>
      </c>
      <c r="C1386" s="55" t="s">
        <v>3162</v>
      </c>
      <c r="D1386" s="55" t="s">
        <v>3624</v>
      </c>
      <c r="E1386" s="55" t="s">
        <v>3628</v>
      </c>
      <c r="F1386" s="55" t="s">
        <v>8411</v>
      </c>
      <c r="G1386" s="55" t="s">
        <v>3630</v>
      </c>
      <c r="H1386" s="55" t="s">
        <v>43</v>
      </c>
      <c r="I1386" s="55" t="s">
        <v>18</v>
      </c>
      <c r="J1386" s="55" t="s">
        <v>8409</v>
      </c>
      <c r="K1386" s="55" t="s">
        <v>62</v>
      </c>
      <c r="L1386" s="57" t="str">
        <f>HYPERLINK("https://nycdoe.sharepoint.com/:w:/s/BAP/ETwZnuz8wMRJq_FRIPPywZYBK9QckqGJvmtUG0SYWN9-lA", "10 out of 10")</f>
        <v>10 out of 10</v>
      </c>
      <c r="M1386" t="s">
        <v>8410</v>
      </c>
    </row>
    <row r="1387" spans="2:13">
      <c r="B1387" s="55" t="s">
        <v>3619</v>
      </c>
      <c r="C1387" s="55" t="s">
        <v>3162</v>
      </c>
      <c r="D1387" s="55" t="s">
        <v>3631</v>
      </c>
      <c r="E1387" s="55" t="s">
        <v>3631</v>
      </c>
      <c r="F1387" s="55" t="s">
        <v>8412</v>
      </c>
      <c r="G1387" s="55" t="s">
        <v>3633</v>
      </c>
      <c r="H1387" s="55" t="s">
        <v>553</v>
      </c>
      <c r="I1387" s="55" t="s">
        <v>18</v>
      </c>
      <c r="J1387" s="55" t="s">
        <v>8413</v>
      </c>
      <c r="K1387" s="55" t="s">
        <v>62</v>
      </c>
      <c r="L1387" s="57" t="str">
        <f>HYPERLINK("https://nycdoe.sharepoint.com/:w:/s/BAP/EW5kW4q5pJ1Fv41g3YAgQ_4BK1GuEoc9etGOEWIlO-fwoA", "10 out of 10")</f>
        <v>10 out of 10</v>
      </c>
      <c r="M1387" t="s">
        <v>8414</v>
      </c>
    </row>
    <row r="1388" spans="2:13">
      <c r="B1388" s="55" t="s">
        <v>3619</v>
      </c>
      <c r="C1388" s="55" t="s">
        <v>3162</v>
      </c>
      <c r="D1388" s="55" t="s">
        <v>3635</v>
      </c>
      <c r="E1388" s="55" t="s">
        <v>3635</v>
      </c>
      <c r="F1388" s="55" t="s">
        <v>8415</v>
      </c>
      <c r="G1388" s="55" t="s">
        <v>8416</v>
      </c>
      <c r="H1388" s="55" t="s">
        <v>52</v>
      </c>
      <c r="I1388" s="55"/>
      <c r="J1388" s="55" t="s">
        <v>8417</v>
      </c>
      <c r="K1388" s="55" t="s">
        <v>20</v>
      </c>
      <c r="L1388" s="57" t="str">
        <f>HYPERLINK("https://nycdoe.sharepoint.com/:w:/s/BAP/Eb4wJ0O4mAlMpYOyNx0mmfcBvn34Vn2elQuiPOBaUscXBw", "8 out of 10")</f>
        <v>8 out of 10</v>
      </c>
      <c r="M1388" t="s">
        <v>8418</v>
      </c>
    </row>
    <row r="1389" spans="2:13">
      <c r="B1389" s="55" t="s">
        <v>3619</v>
      </c>
      <c r="C1389" s="55" t="s">
        <v>3162</v>
      </c>
      <c r="D1389" s="55" t="s">
        <v>3635</v>
      </c>
      <c r="E1389" s="55" t="s">
        <v>3639</v>
      </c>
      <c r="F1389" s="55" t="s">
        <v>8419</v>
      </c>
      <c r="G1389" s="55" t="s">
        <v>8420</v>
      </c>
      <c r="H1389" s="55" t="s">
        <v>52</v>
      </c>
      <c r="I1389" s="55"/>
      <c r="J1389" s="55" t="s">
        <v>8417</v>
      </c>
      <c r="K1389" s="55" t="s">
        <v>20</v>
      </c>
      <c r="L1389" s="57" t="str">
        <f>HYPERLINK("https://nycdoe.sharepoint.com/:w:/s/BAP/Eb4wJ0O4mAlMpYOyNx0mmfcBvn34Vn2elQuiPOBaUscXBw", "8 out of 10")</f>
        <v>8 out of 10</v>
      </c>
      <c r="M1389" t="s">
        <v>8418</v>
      </c>
    </row>
    <row r="1390" spans="2:13">
      <c r="B1390" s="55" t="s">
        <v>3619</v>
      </c>
      <c r="C1390" s="55" t="s">
        <v>3162</v>
      </c>
      <c r="D1390" s="55" t="s">
        <v>3635</v>
      </c>
      <c r="E1390" s="55" t="s">
        <v>3642</v>
      </c>
      <c r="F1390" s="55" t="s">
        <v>8421</v>
      </c>
      <c r="G1390" s="55" t="s">
        <v>8422</v>
      </c>
      <c r="H1390" s="55" t="s">
        <v>17</v>
      </c>
      <c r="I1390" s="55"/>
      <c r="J1390" s="55" t="s">
        <v>8417</v>
      </c>
      <c r="K1390" s="55" t="s">
        <v>20</v>
      </c>
      <c r="L1390" s="57" t="str">
        <f>HYPERLINK("https://nycdoe.sharepoint.com/:w:/s/BAP/Eb4wJ0O4mAlMpYOyNx0mmfcBvn34Vn2elQuiPOBaUscXBw", "8 out of 10")</f>
        <v>8 out of 10</v>
      </c>
      <c r="M1390" t="s">
        <v>8418</v>
      </c>
    </row>
    <row r="1391" spans="2:13">
      <c r="B1391" s="55" t="s">
        <v>3619</v>
      </c>
      <c r="C1391" s="55" t="s">
        <v>3162</v>
      </c>
      <c r="D1391" s="55" t="s">
        <v>3645</v>
      </c>
      <c r="E1391" s="55" t="s">
        <v>3645</v>
      </c>
      <c r="F1391" s="55" t="s">
        <v>8423</v>
      </c>
      <c r="G1391" s="55" t="s">
        <v>8424</v>
      </c>
      <c r="H1391" s="55" t="s">
        <v>17</v>
      </c>
      <c r="I1391" s="55" t="s">
        <v>18</v>
      </c>
      <c r="J1391" s="55" t="s">
        <v>8425</v>
      </c>
      <c r="K1391" s="55" t="s">
        <v>20</v>
      </c>
      <c r="L1391" s="57" t="str">
        <f>HYPERLINK("https://nycdoe.sharepoint.com/:w:/s/BAP/ETmnwbJ-coxBppW1DftSg0sBvu0d-xzve34krnagRGQkgQ", "4 out of 10")</f>
        <v>4 out of 10</v>
      </c>
      <c r="M1391" t="s">
        <v>8426</v>
      </c>
    </row>
    <row r="1392" spans="2:13">
      <c r="B1392" s="55" t="s">
        <v>3619</v>
      </c>
      <c r="C1392" s="55" t="s">
        <v>3162</v>
      </c>
      <c r="D1392" s="55" t="s">
        <v>3649</v>
      </c>
      <c r="E1392" s="55" t="s">
        <v>3649</v>
      </c>
      <c r="F1392" s="55" t="s">
        <v>8427</v>
      </c>
      <c r="G1392" s="55" t="s">
        <v>8428</v>
      </c>
      <c r="H1392" s="55" t="s">
        <v>17</v>
      </c>
      <c r="I1392" s="55" t="s">
        <v>18</v>
      </c>
      <c r="J1392" s="55" t="s">
        <v>8429</v>
      </c>
      <c r="K1392" s="55" t="s">
        <v>62</v>
      </c>
      <c r="L1392" s="57" t="str">
        <f>HYPERLINK("https://nycdoe.sharepoint.com/:w:/s/BAP/ESNMbntqmvBBnePSYctGkGEBocFY016N8PtcrUaTeRg1tQ", "9 out of 10")</f>
        <v>9 out of 10</v>
      </c>
      <c r="M1392" t="s">
        <v>8430</v>
      </c>
    </row>
    <row r="1393" spans="2:13">
      <c r="B1393" s="55" t="s">
        <v>3619</v>
      </c>
      <c r="C1393" s="55" t="s">
        <v>3162</v>
      </c>
      <c r="D1393" s="55" t="s">
        <v>3653</v>
      </c>
      <c r="E1393" s="55" t="s">
        <v>3653</v>
      </c>
      <c r="F1393" s="55" t="s">
        <v>8431</v>
      </c>
      <c r="G1393" s="55" t="s">
        <v>8432</v>
      </c>
      <c r="H1393" s="55" t="s">
        <v>17</v>
      </c>
      <c r="I1393" s="55" t="s">
        <v>18</v>
      </c>
      <c r="J1393" s="55" t="s">
        <v>8433</v>
      </c>
      <c r="K1393" s="55" t="s">
        <v>20</v>
      </c>
      <c r="L1393" s="57" t="str">
        <f>HYPERLINK("https://nycdoe.sharepoint.com/:w:/s/BAP/EWnowobswOVHpmHpClOXyBsBt8yJ6Vsg0DNj3rcL_i5g9w", "8 out of 10")</f>
        <v>8 out of 10</v>
      </c>
      <c r="M1393" t="s">
        <v>8434</v>
      </c>
    </row>
    <row r="1394" spans="2:13">
      <c r="B1394" s="55" t="s">
        <v>3619</v>
      </c>
      <c r="C1394" s="55" t="s">
        <v>3162</v>
      </c>
      <c r="D1394" s="55" t="s">
        <v>3657</v>
      </c>
      <c r="E1394" s="55" t="s">
        <v>3657</v>
      </c>
      <c r="F1394" s="55" t="s">
        <v>8435</v>
      </c>
      <c r="G1394" s="55" t="s">
        <v>8436</v>
      </c>
      <c r="H1394" s="55" t="s">
        <v>17</v>
      </c>
      <c r="I1394" s="55" t="s">
        <v>18</v>
      </c>
      <c r="J1394" s="55" t="s">
        <v>8437</v>
      </c>
      <c r="K1394" s="55" t="s">
        <v>62</v>
      </c>
      <c r="L1394" s="57" t="str">
        <f>HYPERLINK("https://nycdoe.sharepoint.com/:w:/s/BAP/Ee-6RdPT4x1KuBeqS-6wIjUBmS_kriJALnth0eOtKwBlKg", "9 out of 10")</f>
        <v>9 out of 10</v>
      </c>
      <c r="M1394" t="s">
        <v>8438</v>
      </c>
    </row>
    <row r="1395" spans="2:13">
      <c r="B1395" s="55" t="s">
        <v>3619</v>
      </c>
      <c r="C1395" s="55" t="s">
        <v>3162</v>
      </c>
      <c r="D1395" s="55" t="s">
        <v>3661</v>
      </c>
      <c r="E1395" s="55" t="s">
        <v>3661</v>
      </c>
      <c r="F1395" s="55" t="s">
        <v>8439</v>
      </c>
      <c r="G1395" s="55" t="s">
        <v>8440</v>
      </c>
      <c r="H1395" s="55" t="s">
        <v>17</v>
      </c>
      <c r="I1395" s="55" t="s">
        <v>18</v>
      </c>
      <c r="J1395" s="55" t="s">
        <v>8441</v>
      </c>
      <c r="K1395" s="55" t="s">
        <v>62</v>
      </c>
      <c r="L1395" s="57" t="str">
        <f>HYPERLINK("https://nycdoe.sharepoint.com/:w:/s/BAP/EaAK01XLADtAn-_Ux0Row8IBAjcucKOI2SfweqakRsG-0A", "9 out of 10")</f>
        <v>9 out of 10</v>
      </c>
      <c r="M1395" t="s">
        <v>8442</v>
      </c>
    </row>
    <row r="1396" spans="2:13">
      <c r="B1396" s="55" t="s">
        <v>3619</v>
      </c>
      <c r="C1396" s="55" t="s">
        <v>3162</v>
      </c>
      <c r="D1396" s="55" t="s">
        <v>8443</v>
      </c>
      <c r="E1396" s="55" t="s">
        <v>8443</v>
      </c>
      <c r="F1396" s="55" t="s">
        <v>8444</v>
      </c>
      <c r="G1396" s="55" t="s">
        <v>8445</v>
      </c>
      <c r="H1396" s="55" t="s">
        <v>17</v>
      </c>
      <c r="I1396" s="55" t="s">
        <v>18</v>
      </c>
      <c r="J1396" s="55" t="s">
        <v>8446</v>
      </c>
      <c r="K1396" s="55" t="s">
        <v>62</v>
      </c>
      <c r="L1396" s="57" t="str">
        <f>HYPERLINK("https://nycdoe.sharepoint.com/:w:/s/BAP/EUP0CXY71kNNlKh2xXB8vDgB_HZRXKBG2kf0uRjxBEYj8w", "9 out of 10")</f>
        <v>9 out of 10</v>
      </c>
      <c r="M1396" t="s">
        <v>8447</v>
      </c>
    </row>
    <row r="1397" spans="2:13">
      <c r="B1397" s="55" t="s">
        <v>3619</v>
      </c>
      <c r="C1397" s="55" t="s">
        <v>3162</v>
      </c>
      <c r="D1397" s="55" t="s">
        <v>3665</v>
      </c>
      <c r="E1397" s="55" t="s">
        <v>3665</v>
      </c>
      <c r="F1397" s="55" t="s">
        <v>8448</v>
      </c>
      <c r="G1397" s="55" t="s">
        <v>8449</v>
      </c>
      <c r="H1397" s="55" t="s">
        <v>17</v>
      </c>
      <c r="I1397" s="55" t="s">
        <v>18</v>
      </c>
      <c r="J1397" s="55" t="s">
        <v>8450</v>
      </c>
      <c r="K1397" s="55" t="s">
        <v>20</v>
      </c>
      <c r="L1397" s="57" t="str">
        <f>HYPERLINK("https://nycdoe.sharepoint.com/:w:/s/BAP/EQHwTBcYKChFpjsX57xa9vsBrAk2mXleBKaHUsXVGyEX7w", "8 out of 10")</f>
        <v>8 out of 10</v>
      </c>
      <c r="M1397" t="s">
        <v>8451</v>
      </c>
    </row>
    <row r="1398" spans="2:13">
      <c r="B1398" s="55" t="s">
        <v>3619</v>
      </c>
      <c r="C1398" s="55" t="s">
        <v>3162</v>
      </c>
      <c r="D1398" s="55" t="s">
        <v>3669</v>
      </c>
      <c r="E1398" s="55" t="s">
        <v>3669</v>
      </c>
      <c r="F1398" s="55" t="s">
        <v>8452</v>
      </c>
      <c r="G1398" s="55" t="s">
        <v>8453</v>
      </c>
      <c r="H1398" s="55" t="s">
        <v>17</v>
      </c>
      <c r="I1398" s="55" t="s">
        <v>18</v>
      </c>
      <c r="J1398" s="55" t="s">
        <v>8454</v>
      </c>
      <c r="K1398" s="55" t="s">
        <v>62</v>
      </c>
      <c r="L1398" s="57" t="str">
        <f>HYPERLINK("https://nycdoe.sharepoint.com/:w:/s/BAP/EQTOmVnzsOVGnXizJ9oGBWMBNpz1IWVTuCnb_En_kJWb9g", "9 out of 10")</f>
        <v>9 out of 10</v>
      </c>
      <c r="M1398" t="s">
        <v>8455</v>
      </c>
    </row>
    <row r="1399" spans="2:13">
      <c r="B1399" s="55" t="s">
        <v>3619</v>
      </c>
      <c r="C1399" s="55" t="s">
        <v>3162</v>
      </c>
      <c r="D1399" s="55" t="s">
        <v>3673</v>
      </c>
      <c r="E1399" s="55" t="s">
        <v>3673</v>
      </c>
      <c r="F1399" s="55" t="s">
        <v>8456</v>
      </c>
      <c r="G1399" s="55" t="s">
        <v>8457</v>
      </c>
      <c r="H1399" s="55" t="s">
        <v>17</v>
      </c>
      <c r="I1399" s="55" t="s">
        <v>18</v>
      </c>
      <c r="J1399" s="55" t="s">
        <v>8458</v>
      </c>
      <c r="K1399" s="55" t="s">
        <v>20</v>
      </c>
      <c r="L1399" s="57" t="str">
        <f>HYPERLINK("https://nycdoe.sharepoint.com/:w:/s/BAP/EVZtd-GThm9IrFgesZwOt6YB9MjePu9dsaiXbCDpvYKbFw", "8 out of 10")</f>
        <v>8 out of 10</v>
      </c>
      <c r="M1399" t="s">
        <v>8459</v>
      </c>
    </row>
    <row r="1400" spans="2:13">
      <c r="B1400" s="55" t="s">
        <v>3619</v>
      </c>
      <c r="C1400" s="55" t="s">
        <v>3162</v>
      </c>
      <c r="D1400" s="55" t="s">
        <v>3677</v>
      </c>
      <c r="E1400" s="55" t="s">
        <v>3677</v>
      </c>
      <c r="F1400" s="55" t="s">
        <v>8460</v>
      </c>
      <c r="G1400" s="55" t="s">
        <v>8461</v>
      </c>
      <c r="H1400" s="55" t="s">
        <v>24</v>
      </c>
      <c r="I1400" s="55" t="s">
        <v>18</v>
      </c>
      <c r="J1400" s="55" t="s">
        <v>8462</v>
      </c>
      <c r="K1400" s="55" t="s">
        <v>20</v>
      </c>
      <c r="L1400" s="57" t="str">
        <f>HYPERLINK("https://nycdoe.sharepoint.com/:w:/s/BAP/ERzCtEobw4RFsV1esNh8FtwBWdbPQ9-iZXlU3ipFiyTmRw", "1 out of 10")</f>
        <v>1 out of 10</v>
      </c>
      <c r="M1400" t="s">
        <v>8463</v>
      </c>
    </row>
    <row r="1401" spans="2:13">
      <c r="B1401" s="55" t="s">
        <v>3619</v>
      </c>
      <c r="C1401" s="55" t="s">
        <v>3162</v>
      </c>
      <c r="D1401" s="55" t="s">
        <v>3677</v>
      </c>
      <c r="E1401" s="55" t="s">
        <v>3628</v>
      </c>
      <c r="F1401" s="55" t="s">
        <v>8411</v>
      </c>
      <c r="G1401" s="55" t="s">
        <v>3630</v>
      </c>
      <c r="H1401" s="55" t="s">
        <v>43</v>
      </c>
      <c r="I1401" s="55" t="s">
        <v>18</v>
      </c>
      <c r="J1401" s="55" t="s">
        <v>8462</v>
      </c>
      <c r="K1401" s="55" t="s">
        <v>20</v>
      </c>
      <c r="L1401" s="57" t="str">
        <f>HYPERLINK("https://nycdoe.sharepoint.com/:w:/s/BAP/ERzCtEobw4RFsV1esNh8FtwBWdbPQ9-iZXlU3ipFiyTmRw", "1 out of 10")</f>
        <v>1 out of 10</v>
      </c>
      <c r="M1401" t="s">
        <v>8463</v>
      </c>
    </row>
    <row r="1402" spans="2:13">
      <c r="B1402" s="55" t="s">
        <v>3619</v>
      </c>
      <c r="C1402" s="55" t="s">
        <v>3162</v>
      </c>
      <c r="D1402" s="55" t="s">
        <v>3681</v>
      </c>
      <c r="E1402" s="55" t="s">
        <v>3681</v>
      </c>
      <c r="F1402" s="55" t="s">
        <v>8464</v>
      </c>
      <c r="G1402" s="55" t="s">
        <v>8465</v>
      </c>
      <c r="H1402" s="55" t="s">
        <v>24</v>
      </c>
      <c r="I1402" s="55"/>
      <c r="J1402" s="55" t="s">
        <v>8466</v>
      </c>
      <c r="K1402" s="55" t="s">
        <v>20</v>
      </c>
      <c r="L1402" s="57" t="str">
        <f>HYPERLINK("https://nycdoe.sharepoint.com/:w:/s/BAP/ETuCw2VQu9FEkuuz0Eze5WkBYknvp3H-PR8pWkTEV4D_sQ", "8 out of 10")</f>
        <v>8 out of 10</v>
      </c>
      <c r="M1402" t="s">
        <v>8467</v>
      </c>
    </row>
    <row r="1403" spans="2:13">
      <c r="B1403" s="55" t="s">
        <v>3619</v>
      </c>
      <c r="C1403" s="55" t="s">
        <v>3162</v>
      </c>
      <c r="D1403" s="55" t="s">
        <v>3685</v>
      </c>
      <c r="E1403" s="55" t="s">
        <v>3685</v>
      </c>
      <c r="F1403" s="55" t="s">
        <v>8468</v>
      </c>
      <c r="G1403" s="55" t="s">
        <v>8469</v>
      </c>
      <c r="H1403" s="55" t="s">
        <v>52</v>
      </c>
      <c r="I1403" s="55"/>
      <c r="J1403" s="55" t="s">
        <v>8470</v>
      </c>
      <c r="K1403" s="55" t="s">
        <v>62</v>
      </c>
      <c r="L1403" s="57" t="str">
        <f>HYPERLINK("https://nycdoe.sharepoint.com/:w:/s/BAP/EVpPmKa1-axMl0oXAcaY044BuTaQH3GwLwMFHj-83XOG1w", "10 out of 10")</f>
        <v>10 out of 10</v>
      </c>
      <c r="M1403" t="s">
        <v>8471</v>
      </c>
    </row>
    <row r="1404" spans="2:13">
      <c r="B1404" s="55" t="s">
        <v>3619</v>
      </c>
      <c r="C1404" s="55" t="s">
        <v>3162</v>
      </c>
      <c r="D1404" s="55" t="s">
        <v>8472</v>
      </c>
      <c r="E1404" s="55" t="s">
        <v>8472</v>
      </c>
      <c r="F1404" s="55" t="s">
        <v>8473</v>
      </c>
      <c r="G1404" s="55" t="s">
        <v>8474</v>
      </c>
      <c r="H1404" s="55" t="s">
        <v>24</v>
      </c>
      <c r="I1404" s="55" t="s">
        <v>18</v>
      </c>
      <c r="J1404" s="55" t="s">
        <v>8475</v>
      </c>
      <c r="K1404" s="55" t="s">
        <v>20</v>
      </c>
      <c r="L1404" s="57" t="str">
        <f>HYPERLINK("https://nycdoe.sharepoint.com/:w:/s/BAP/EQDgQkAJxEhMiCR896xEO0IBBqV7O2gDk2DPesFYUNqxBg", "1 out of 10")</f>
        <v>1 out of 10</v>
      </c>
      <c r="M1404" t="s">
        <v>8476</v>
      </c>
    </row>
    <row r="1405" spans="2:13">
      <c r="B1405" s="55" t="s">
        <v>3619</v>
      </c>
      <c r="C1405" s="55" t="s">
        <v>3162</v>
      </c>
      <c r="D1405" s="55" t="s">
        <v>8477</v>
      </c>
      <c r="E1405" s="55" t="s">
        <v>8477</v>
      </c>
      <c r="F1405" s="55" t="s">
        <v>8478</v>
      </c>
      <c r="G1405" s="55" t="s">
        <v>8479</v>
      </c>
      <c r="H1405" s="55" t="s">
        <v>17</v>
      </c>
      <c r="I1405" s="55" t="s">
        <v>18</v>
      </c>
      <c r="J1405" s="55" t="s">
        <v>8480</v>
      </c>
      <c r="K1405" s="55" t="s">
        <v>20</v>
      </c>
      <c r="L1405" s="57" t="str">
        <f>HYPERLINK("https://nycdoe.sharepoint.com/:w:/s/BAP/EUDKAvdSpIJGkggZXJqYWx8Bu6H9yqQ-_PGK3m-KymdrRw", "4 out of 10")</f>
        <v>4 out of 10</v>
      </c>
      <c r="M1405" t="s">
        <v>8481</v>
      </c>
    </row>
    <row r="1406" spans="2:13">
      <c r="B1406" s="55" t="s">
        <v>3619</v>
      </c>
      <c r="C1406" s="55" t="s">
        <v>3162</v>
      </c>
      <c r="D1406" s="55" t="s">
        <v>3689</v>
      </c>
      <c r="E1406" s="55" t="s">
        <v>3690</v>
      </c>
      <c r="F1406" s="55" t="s">
        <v>8482</v>
      </c>
      <c r="G1406" s="55" t="s">
        <v>8483</v>
      </c>
      <c r="H1406" s="55" t="s">
        <v>84</v>
      </c>
      <c r="I1406" s="55"/>
      <c r="J1406" s="55" t="s">
        <v>8484</v>
      </c>
      <c r="K1406" s="55" t="s">
        <v>20</v>
      </c>
      <c r="L1406" s="57" t="str">
        <f>HYPERLINK("https://nycdoe.sharepoint.com/:w:/s/BAP/EaBCETf1HOFHiDS2Gg3juGgBPCusb_5_QWj3ShKpoQgWLQ", "4 out of 10")</f>
        <v>4 out of 10</v>
      </c>
      <c r="M1406" t="s">
        <v>8485</v>
      </c>
    </row>
    <row r="1407" spans="2:13">
      <c r="B1407" s="55" t="s">
        <v>3619</v>
      </c>
      <c r="C1407" s="55" t="s">
        <v>3162</v>
      </c>
      <c r="D1407" s="55" t="s">
        <v>8486</v>
      </c>
      <c r="E1407" s="55" t="s">
        <v>8486</v>
      </c>
      <c r="F1407" s="55" t="s">
        <v>8487</v>
      </c>
      <c r="G1407" s="55" t="s">
        <v>8488</v>
      </c>
      <c r="H1407" s="55" t="s">
        <v>24</v>
      </c>
      <c r="I1407" s="55" t="s">
        <v>18</v>
      </c>
      <c r="J1407" s="55" t="s">
        <v>8489</v>
      </c>
      <c r="K1407" s="55" t="s">
        <v>20</v>
      </c>
      <c r="L1407" s="57" t="str">
        <f>HYPERLINK("https://nycdoe.sharepoint.com/:w:/s/BAP/EXZw5I-DTf1AgMyHHG0ACYwB6Z-epAkM7AR7WVx2Ncut2w", "3 out of 10")</f>
        <v>3 out of 10</v>
      </c>
      <c r="M1407" t="s">
        <v>8490</v>
      </c>
    </row>
    <row r="1408" spans="2:13">
      <c r="B1408" s="55" t="s">
        <v>3619</v>
      </c>
      <c r="C1408" s="55" t="s">
        <v>3162</v>
      </c>
      <c r="D1408" s="55" t="s">
        <v>3694</v>
      </c>
      <c r="E1408" s="55" t="s">
        <v>3628</v>
      </c>
      <c r="F1408" s="55" t="s">
        <v>8411</v>
      </c>
      <c r="G1408" s="55" t="s">
        <v>3630</v>
      </c>
      <c r="H1408" s="55" t="s">
        <v>43</v>
      </c>
      <c r="I1408" s="55" t="s">
        <v>18</v>
      </c>
      <c r="J1408" s="55" t="s">
        <v>8491</v>
      </c>
      <c r="K1408" s="55" t="s">
        <v>20</v>
      </c>
      <c r="L1408" s="57" t="str">
        <f>HYPERLINK("https://nycdoe.sharepoint.com/:w:/s/BAP/EXCYoceEPs9HhLquzhsnHtYBmfKerK3h6UuTiWpUiHODMw", "4 out of 10")</f>
        <v>4 out of 10</v>
      </c>
      <c r="M1408" t="s">
        <v>8492</v>
      </c>
    </row>
    <row r="1409" spans="2:13">
      <c r="B1409" s="55" t="s">
        <v>3619</v>
      </c>
      <c r="C1409" s="55" t="s">
        <v>3162</v>
      </c>
      <c r="D1409" s="55" t="s">
        <v>3694</v>
      </c>
      <c r="E1409" s="55" t="s">
        <v>3696</v>
      </c>
      <c r="F1409" s="55" t="s">
        <v>8493</v>
      </c>
      <c r="G1409" s="55" t="s">
        <v>8494</v>
      </c>
      <c r="H1409" s="55" t="s">
        <v>24</v>
      </c>
      <c r="I1409" s="55" t="s">
        <v>18</v>
      </c>
      <c r="J1409" s="55" t="s">
        <v>8491</v>
      </c>
      <c r="K1409" s="55" t="s">
        <v>20</v>
      </c>
      <c r="L1409" s="57" t="str">
        <f>HYPERLINK("https://nycdoe.sharepoint.com/:w:/s/BAP/EXCYoceEPs9HhLquzhsnHtYBmfKerK3h6UuTiWpUiHODMw", "4 out of 10")</f>
        <v>4 out of 10</v>
      </c>
      <c r="M1409" t="s">
        <v>8492</v>
      </c>
    </row>
    <row r="1410" spans="2:13">
      <c r="B1410" s="55" t="s">
        <v>3619</v>
      </c>
      <c r="C1410" s="55" t="s">
        <v>3162</v>
      </c>
      <c r="D1410" s="55" t="s">
        <v>3699</v>
      </c>
      <c r="E1410" s="55" t="s">
        <v>3699</v>
      </c>
      <c r="F1410" s="55" t="s">
        <v>8495</v>
      </c>
      <c r="G1410" s="55" t="s">
        <v>8496</v>
      </c>
      <c r="H1410" s="55" t="s">
        <v>52</v>
      </c>
      <c r="I1410" s="55"/>
      <c r="J1410" s="55" t="s">
        <v>8497</v>
      </c>
      <c r="K1410" s="55" t="s">
        <v>20</v>
      </c>
      <c r="L1410" s="57" t="str">
        <f>HYPERLINK("https://nycdoe.sharepoint.com/:w:/s/BAP/EQVSefCQ13ZDmr9o-UNAJxwB943DTYM7KcxRMwZgENignQ", "8 out of 10")</f>
        <v>8 out of 10</v>
      </c>
      <c r="M1410" t="s">
        <v>8498</v>
      </c>
    </row>
    <row r="1411" spans="2:13">
      <c r="B1411" s="55" t="s">
        <v>3619</v>
      </c>
      <c r="C1411" s="55" t="s">
        <v>3162</v>
      </c>
      <c r="D1411" s="55" t="s">
        <v>3699</v>
      </c>
      <c r="E1411" s="55" t="s">
        <v>3703</v>
      </c>
      <c r="F1411" s="55" t="s">
        <v>8499</v>
      </c>
      <c r="G1411" s="55" t="s">
        <v>8500</v>
      </c>
      <c r="H1411" s="55" t="s">
        <v>56</v>
      </c>
      <c r="I1411" s="55"/>
      <c r="J1411" s="55" t="s">
        <v>8497</v>
      </c>
      <c r="K1411" s="55" t="s">
        <v>20</v>
      </c>
      <c r="L1411" s="57" t="str">
        <f>HYPERLINK("https://nycdoe.sharepoint.com/:w:/s/BAP/EQVSefCQ13ZDmr9o-UNAJxwB943DTYM7KcxRMwZgENignQ", "8 out of 10")</f>
        <v>8 out of 10</v>
      </c>
      <c r="M1411" t="s">
        <v>8498</v>
      </c>
    </row>
    <row r="1412" spans="2:13">
      <c r="B1412" s="55" t="s">
        <v>3619</v>
      </c>
      <c r="C1412" s="55" t="s">
        <v>3162</v>
      </c>
      <c r="D1412" s="55" t="s">
        <v>3706</v>
      </c>
      <c r="E1412" s="55" t="s">
        <v>3706</v>
      </c>
      <c r="F1412" s="55" t="s">
        <v>8501</v>
      </c>
      <c r="G1412" s="55" t="s">
        <v>8502</v>
      </c>
      <c r="H1412" s="55" t="s">
        <v>24</v>
      </c>
      <c r="I1412" s="55" t="s">
        <v>18</v>
      </c>
      <c r="J1412" s="55" t="s">
        <v>8503</v>
      </c>
      <c r="K1412" s="55" t="s">
        <v>20</v>
      </c>
      <c r="L1412" s="57" t="str">
        <f>HYPERLINK("https://nycdoe.sharepoint.com/:w:/s/BAP/EZggWGfpyg1Lkh1kjpALtrcBx6xblJBw9t0IG7BjsdhBcA", "4 out of 10")</f>
        <v>4 out of 10</v>
      </c>
      <c r="M1412" t="s">
        <v>8504</v>
      </c>
    </row>
    <row r="1413" spans="2:13">
      <c r="B1413" s="55" t="s">
        <v>3619</v>
      </c>
      <c r="C1413" s="55" t="s">
        <v>3162</v>
      </c>
      <c r="D1413" s="55" t="s">
        <v>3710</v>
      </c>
      <c r="E1413" s="55" t="s">
        <v>3710</v>
      </c>
      <c r="F1413" s="55" t="s">
        <v>8505</v>
      </c>
      <c r="G1413" s="55" t="s">
        <v>8506</v>
      </c>
      <c r="H1413" s="55" t="s">
        <v>52</v>
      </c>
      <c r="I1413" s="55"/>
      <c r="J1413" s="55" t="s">
        <v>8507</v>
      </c>
      <c r="K1413" s="55" t="s">
        <v>20</v>
      </c>
      <c r="L1413" s="57" t="str">
        <f>HYPERLINK("https://nycdoe.sharepoint.com/:w:/s/BAP/EY2XsOApa4RNifIfeYAXwAQBwH5cl_0LgRFxrxig03P2lQ", "8 out of 10")</f>
        <v>8 out of 10</v>
      </c>
      <c r="M1413" t="s">
        <v>8508</v>
      </c>
    </row>
    <row r="1414" spans="2:13">
      <c r="B1414" s="55" t="s">
        <v>3619</v>
      </c>
      <c r="C1414" s="55" t="s">
        <v>3162</v>
      </c>
      <c r="D1414" s="55" t="s">
        <v>3710</v>
      </c>
      <c r="E1414" s="55" t="s">
        <v>3416</v>
      </c>
      <c r="F1414" s="55" t="s">
        <v>8128</v>
      </c>
      <c r="G1414" s="55" t="s">
        <v>3418</v>
      </c>
      <c r="H1414" s="55" t="s">
        <v>43</v>
      </c>
      <c r="I1414" s="55"/>
      <c r="J1414" s="55" t="s">
        <v>8507</v>
      </c>
      <c r="K1414" s="55" t="s">
        <v>20</v>
      </c>
      <c r="L1414" s="57" t="str">
        <f>HYPERLINK("https://nycdoe.sharepoint.com/:w:/s/BAP/EY2XsOApa4RNifIfeYAXwAQBwH5cl_0LgRFxrxig03P2lQ", "8 out of 10")</f>
        <v>8 out of 10</v>
      </c>
      <c r="M1414" t="s">
        <v>8508</v>
      </c>
    </row>
    <row r="1415" spans="2:13">
      <c r="B1415" s="55" t="s">
        <v>3619</v>
      </c>
      <c r="C1415" s="55" t="s">
        <v>3162</v>
      </c>
      <c r="D1415" s="55" t="s">
        <v>3714</v>
      </c>
      <c r="E1415" s="55" t="s">
        <v>3715</v>
      </c>
      <c r="F1415" s="55" t="s">
        <v>8509</v>
      </c>
      <c r="G1415" s="55" t="s">
        <v>8510</v>
      </c>
      <c r="H1415" s="55" t="s">
        <v>17</v>
      </c>
      <c r="I1415" s="55" t="s">
        <v>18</v>
      </c>
      <c r="J1415" s="55" t="s">
        <v>8511</v>
      </c>
      <c r="K1415" s="55" t="s">
        <v>20</v>
      </c>
      <c r="L1415" s="57" t="str">
        <f>HYPERLINK("https://nycdoe.sharepoint.com/:w:/s/BAP/EVnSmH_UE05NuASHu8EDDVQBT0SWzN04bQTbu9mVLzKMgw", "1 out of 10")</f>
        <v>1 out of 10</v>
      </c>
      <c r="M1415" t="s">
        <v>8512</v>
      </c>
    </row>
    <row r="1416" spans="2:13">
      <c r="B1416" s="55" t="s">
        <v>3619</v>
      </c>
      <c r="C1416" s="55" t="s">
        <v>3162</v>
      </c>
      <c r="D1416" s="55" t="s">
        <v>3719</v>
      </c>
      <c r="E1416" s="55" t="s">
        <v>3238</v>
      </c>
      <c r="F1416" s="55" t="s">
        <v>7922</v>
      </c>
      <c r="G1416" s="55" t="s">
        <v>7923</v>
      </c>
      <c r="H1416" s="55" t="s">
        <v>24</v>
      </c>
      <c r="I1416" s="55" t="s">
        <v>18</v>
      </c>
      <c r="J1416" s="55" t="s">
        <v>8513</v>
      </c>
      <c r="K1416" s="55" t="s">
        <v>20</v>
      </c>
      <c r="L1416" s="57" t="str">
        <f>HYPERLINK("https://nycdoe.sharepoint.com/:w:/s/BAP/EfQ7oWLw0q9Ds1ckiT_PCNwBALU-V1tBRZ-ONE6ho7ehtg", "7 out of 10")</f>
        <v>7 out of 10</v>
      </c>
      <c r="M1416" t="s">
        <v>8514</v>
      </c>
    </row>
    <row r="1417" spans="2:13">
      <c r="B1417" s="55" t="s">
        <v>3619</v>
      </c>
      <c r="C1417" s="55" t="s">
        <v>3162</v>
      </c>
      <c r="D1417" s="55" t="s">
        <v>3719</v>
      </c>
      <c r="E1417" s="55" t="s">
        <v>3719</v>
      </c>
      <c r="F1417" s="55" t="s">
        <v>8515</v>
      </c>
      <c r="G1417" s="55" t="s">
        <v>8516</v>
      </c>
      <c r="H1417" s="55" t="s">
        <v>17</v>
      </c>
      <c r="I1417" s="55" t="s">
        <v>18</v>
      </c>
      <c r="J1417" s="55" t="s">
        <v>8513</v>
      </c>
      <c r="K1417" s="55" t="s">
        <v>20</v>
      </c>
      <c r="L1417" s="57" t="str">
        <f>HYPERLINK("https://nycdoe.sharepoint.com/:w:/s/BAP/EfQ7oWLw0q9Ds1ckiT_PCNwBALU-V1tBRZ-ONE6ho7ehtg", "7 out of 10")</f>
        <v>7 out of 10</v>
      </c>
      <c r="M1417" t="s">
        <v>8514</v>
      </c>
    </row>
    <row r="1418" spans="2:13">
      <c r="B1418" s="55" t="s">
        <v>3619</v>
      </c>
      <c r="C1418" s="55" t="s">
        <v>3162</v>
      </c>
      <c r="D1418" s="55" t="s">
        <v>3723</v>
      </c>
      <c r="E1418" s="55" t="s">
        <v>4564</v>
      </c>
      <c r="F1418" s="55" t="s">
        <v>4565</v>
      </c>
      <c r="G1418" s="55" t="s">
        <v>4566</v>
      </c>
      <c r="H1418" s="55" t="s">
        <v>52</v>
      </c>
      <c r="I1418" s="55"/>
      <c r="J1418" s="55" t="s">
        <v>8517</v>
      </c>
      <c r="K1418" s="55" t="s">
        <v>62</v>
      </c>
      <c r="L1418" s="57" t="str">
        <f>HYPERLINK("https://nycdoe.sharepoint.com/:w:/s/BAP/EdqFHkUQDLpMjI8BwFc4tmcBUJkPl1_VR4qlNycJ3GYtRg", "9 out of 10")</f>
        <v>9 out of 10</v>
      </c>
      <c r="M1418" t="s">
        <v>8518</v>
      </c>
    </row>
    <row r="1419" spans="2:13">
      <c r="B1419" s="55" t="s">
        <v>3619</v>
      </c>
      <c r="C1419" s="55" t="s">
        <v>3162</v>
      </c>
      <c r="D1419" s="55" t="s">
        <v>3723</v>
      </c>
      <c r="E1419" s="55" t="s">
        <v>3723</v>
      </c>
      <c r="F1419" s="55" t="s">
        <v>8519</v>
      </c>
      <c r="G1419" s="55" t="s">
        <v>8520</v>
      </c>
      <c r="H1419" s="55" t="s">
        <v>52</v>
      </c>
      <c r="I1419" s="55"/>
      <c r="J1419" s="55" t="s">
        <v>8517</v>
      </c>
      <c r="K1419" s="55" t="s">
        <v>62</v>
      </c>
      <c r="L1419" s="57" t="str">
        <f>HYPERLINK("https://nycdoe.sharepoint.com/:w:/s/BAP/EdqFHkUQDLpMjI8BwFc4tmcBUJkPl1_VR4qlNycJ3GYtRg", "9 out of 10")</f>
        <v>9 out of 10</v>
      </c>
      <c r="M1419" t="s">
        <v>8518</v>
      </c>
    </row>
    <row r="1420" spans="2:13">
      <c r="B1420" s="55" t="s">
        <v>3619</v>
      </c>
      <c r="C1420" s="55" t="s">
        <v>3162</v>
      </c>
      <c r="D1420" s="55" t="s">
        <v>3723</v>
      </c>
      <c r="E1420" s="55" t="s">
        <v>3416</v>
      </c>
      <c r="F1420" s="55" t="s">
        <v>8128</v>
      </c>
      <c r="G1420" s="55" t="s">
        <v>3418</v>
      </c>
      <c r="H1420" s="55" t="s">
        <v>43</v>
      </c>
      <c r="I1420" s="55"/>
      <c r="J1420" s="55" t="s">
        <v>8517</v>
      </c>
      <c r="K1420" s="55" t="s">
        <v>62</v>
      </c>
      <c r="L1420" s="57" t="str">
        <f>HYPERLINK("https://nycdoe.sharepoint.com/:w:/s/BAP/EdqFHkUQDLpMjI8BwFc4tmcBUJkPl1_VR4qlNycJ3GYtRg", "9 out of 10")</f>
        <v>9 out of 10</v>
      </c>
      <c r="M1420" t="s">
        <v>8518</v>
      </c>
    </row>
    <row r="1421" spans="2:13">
      <c r="B1421" s="55" t="s">
        <v>3619</v>
      </c>
      <c r="C1421" s="55" t="s">
        <v>3162</v>
      </c>
      <c r="D1421" s="55" t="s">
        <v>3723</v>
      </c>
      <c r="E1421" s="55" t="s">
        <v>3727</v>
      </c>
      <c r="F1421" s="55" t="s">
        <v>8521</v>
      </c>
      <c r="G1421" s="55" t="s">
        <v>8522</v>
      </c>
      <c r="H1421" s="55" t="s">
        <v>52</v>
      </c>
      <c r="I1421" s="55"/>
      <c r="J1421" s="55" t="s">
        <v>8517</v>
      </c>
      <c r="K1421" s="55" t="s">
        <v>62</v>
      </c>
      <c r="L1421" s="57" t="str">
        <f>HYPERLINK("https://nycdoe.sharepoint.com/:w:/s/BAP/EdqFHkUQDLpMjI8BwFc4tmcBUJkPl1_VR4qlNycJ3GYtRg", "9 out of 10")</f>
        <v>9 out of 10</v>
      </c>
      <c r="M1421" t="s">
        <v>8518</v>
      </c>
    </row>
    <row r="1422" spans="2:13">
      <c r="B1422" s="55" t="s">
        <v>3619</v>
      </c>
      <c r="C1422" s="55" t="s">
        <v>3162</v>
      </c>
      <c r="D1422" s="55" t="s">
        <v>3723</v>
      </c>
      <c r="E1422" s="55" t="s">
        <v>3730</v>
      </c>
      <c r="F1422" s="55" t="s">
        <v>8523</v>
      </c>
      <c r="G1422" s="55" t="s">
        <v>8524</v>
      </c>
      <c r="H1422" s="55" t="s">
        <v>56</v>
      </c>
      <c r="I1422" s="55"/>
      <c r="J1422" s="55" t="s">
        <v>8517</v>
      </c>
      <c r="K1422" s="55" t="s">
        <v>62</v>
      </c>
      <c r="L1422" s="57" t="str">
        <f>HYPERLINK("https://nycdoe.sharepoint.com/:w:/s/BAP/EdqFHkUQDLpMjI8BwFc4tmcBUJkPl1_VR4qlNycJ3GYtRg", "9 out of 10")</f>
        <v>9 out of 10</v>
      </c>
      <c r="M1422" t="s">
        <v>8518</v>
      </c>
    </row>
    <row r="1423" spans="2:13">
      <c r="B1423" s="55" t="s">
        <v>3619</v>
      </c>
      <c r="C1423" s="55" t="s">
        <v>3162</v>
      </c>
      <c r="D1423" s="55" t="s">
        <v>3733</v>
      </c>
      <c r="E1423" s="55" t="s">
        <v>3733</v>
      </c>
      <c r="F1423" s="55" t="s">
        <v>8525</v>
      </c>
      <c r="G1423" s="55" t="s">
        <v>8526</v>
      </c>
      <c r="H1423" s="55" t="s">
        <v>24</v>
      </c>
      <c r="I1423" s="55" t="s">
        <v>18</v>
      </c>
      <c r="J1423" s="55" t="s">
        <v>8527</v>
      </c>
      <c r="K1423" s="55" t="s">
        <v>20</v>
      </c>
      <c r="L1423" s="57" t="str">
        <f>HYPERLINK("https://nycdoe.sharepoint.com/:w:/s/BAP/EcF-kUJahpxMrHH0FqmfBMwBa_cDw0BuogjpTDPD60LpqA", "4 out of 10")</f>
        <v>4 out of 10</v>
      </c>
      <c r="M1423" t="s">
        <v>8528</v>
      </c>
    </row>
    <row r="1424" spans="2:13">
      <c r="B1424" s="55" t="s">
        <v>3619</v>
      </c>
      <c r="C1424" s="55" t="s">
        <v>3162</v>
      </c>
      <c r="D1424" s="55" t="s">
        <v>3737</v>
      </c>
      <c r="E1424" s="55" t="s">
        <v>3737</v>
      </c>
      <c r="F1424" s="55" t="s">
        <v>8529</v>
      </c>
      <c r="G1424" s="55" t="s">
        <v>8530</v>
      </c>
      <c r="H1424" s="55" t="s">
        <v>17</v>
      </c>
      <c r="I1424" s="55" t="s">
        <v>18</v>
      </c>
      <c r="J1424" s="55" t="s">
        <v>8531</v>
      </c>
      <c r="K1424" s="55" t="s">
        <v>62</v>
      </c>
      <c r="L1424" s="57" t="str">
        <f>HYPERLINK("https://nycdoe.sharepoint.com/:w:/s/BAP/EeWFQI6o6tVBlBiwX7lG4SIBk86Iu2Eq_NlbDW5h6DAeFg", "9 out of 10")</f>
        <v>9 out of 10</v>
      </c>
      <c r="M1424" t="s">
        <v>8532</v>
      </c>
    </row>
    <row r="1425" spans="2:13">
      <c r="B1425" s="55" t="s">
        <v>3619</v>
      </c>
      <c r="C1425" s="55" t="s">
        <v>3162</v>
      </c>
      <c r="D1425" s="55" t="s">
        <v>3737</v>
      </c>
      <c r="E1425" s="55" t="s">
        <v>3628</v>
      </c>
      <c r="F1425" s="55" t="s">
        <v>8411</v>
      </c>
      <c r="G1425" s="55" t="s">
        <v>3630</v>
      </c>
      <c r="H1425" s="55" t="s">
        <v>43</v>
      </c>
      <c r="I1425" s="55" t="s">
        <v>18</v>
      </c>
      <c r="J1425" s="55" t="s">
        <v>8531</v>
      </c>
      <c r="K1425" s="55" t="s">
        <v>62</v>
      </c>
      <c r="L1425" s="57" t="str">
        <f>HYPERLINK("https://nycdoe.sharepoint.com/:w:/s/BAP/EeWFQI6o6tVBlBiwX7lG4SIBk86Iu2Eq_NlbDW5h6DAeFg", "9 out of 10")</f>
        <v>9 out of 10</v>
      </c>
      <c r="M1425" t="s">
        <v>8532</v>
      </c>
    </row>
    <row r="1426" spans="2:13">
      <c r="B1426" s="55" t="s">
        <v>3619</v>
      </c>
      <c r="C1426" s="55" t="s">
        <v>3162</v>
      </c>
      <c r="D1426" s="55" t="s">
        <v>3741</v>
      </c>
      <c r="E1426" s="55" t="s">
        <v>3238</v>
      </c>
      <c r="F1426" s="55" t="s">
        <v>7922</v>
      </c>
      <c r="G1426" s="55" t="s">
        <v>7923</v>
      </c>
      <c r="H1426" s="55" t="s">
        <v>24</v>
      </c>
      <c r="I1426" s="55" t="s">
        <v>18</v>
      </c>
      <c r="J1426" s="55" t="s">
        <v>8533</v>
      </c>
      <c r="K1426" s="55" t="s">
        <v>62</v>
      </c>
      <c r="L1426" s="57" t="str">
        <f>HYPERLINK("https://nycdoe.sharepoint.com/:w:/s/BAP/EeAJ4uvUA9ZDtZtOX9ImfNwBYkTvYVlQ2gBIbBP_t26dYg", "10 out of 10")</f>
        <v>10 out of 10</v>
      </c>
      <c r="M1426" t="s">
        <v>8534</v>
      </c>
    </row>
    <row r="1427" spans="2:13">
      <c r="B1427" s="55" t="s">
        <v>3619</v>
      </c>
      <c r="C1427" s="55" t="s">
        <v>3162</v>
      </c>
      <c r="D1427" s="55" t="s">
        <v>3741</v>
      </c>
      <c r="E1427" s="55" t="s">
        <v>3741</v>
      </c>
      <c r="F1427" s="55" t="s">
        <v>8535</v>
      </c>
      <c r="G1427" s="55" t="s">
        <v>8536</v>
      </c>
      <c r="H1427" s="55" t="s">
        <v>17</v>
      </c>
      <c r="I1427" s="55" t="s">
        <v>18</v>
      </c>
      <c r="J1427" s="55" t="s">
        <v>8533</v>
      </c>
      <c r="K1427" s="55" t="s">
        <v>62</v>
      </c>
      <c r="L1427" s="57" t="str">
        <f>HYPERLINK("https://nycdoe.sharepoint.com/:w:/s/BAP/EeAJ4uvUA9ZDtZtOX9ImfNwBYkTvYVlQ2gBIbBP_t26dYg", "10 out of 10")</f>
        <v>10 out of 10</v>
      </c>
      <c r="M1427" t="s">
        <v>8534</v>
      </c>
    </row>
    <row r="1428" spans="2:13">
      <c r="B1428" s="55" t="s">
        <v>3619</v>
      </c>
      <c r="C1428" s="55" t="s">
        <v>3162</v>
      </c>
      <c r="D1428" s="55" t="s">
        <v>3745</v>
      </c>
      <c r="E1428" s="55" t="s">
        <v>3746</v>
      </c>
      <c r="F1428" s="55" t="s">
        <v>8537</v>
      </c>
      <c r="G1428" s="55" t="s">
        <v>8538</v>
      </c>
      <c r="H1428" s="55" t="s">
        <v>17</v>
      </c>
      <c r="I1428" s="55" t="s">
        <v>18</v>
      </c>
      <c r="J1428" s="55" t="s">
        <v>8539</v>
      </c>
      <c r="K1428" s="55" t="s">
        <v>62</v>
      </c>
      <c r="L1428" s="57" t="str">
        <f>HYPERLINK("https://nycdoe.sharepoint.com/:w:/s/BAP/EYhRmaEimd5KhUiui-GCxkwBARWiGn1W1q895xDMtbkjSg", "10 out of 10")</f>
        <v>10 out of 10</v>
      </c>
      <c r="M1428" t="s">
        <v>8540</v>
      </c>
    </row>
    <row r="1429" spans="2:13">
      <c r="B1429" s="55" t="s">
        <v>3619</v>
      </c>
      <c r="C1429" s="55" t="s">
        <v>3162</v>
      </c>
      <c r="D1429" s="55" t="s">
        <v>3750</v>
      </c>
      <c r="E1429" s="55" t="s">
        <v>3750</v>
      </c>
      <c r="F1429" s="55" t="s">
        <v>8541</v>
      </c>
      <c r="G1429" s="55" t="s">
        <v>3752</v>
      </c>
      <c r="H1429" s="55" t="s">
        <v>17</v>
      </c>
      <c r="I1429" s="55" t="s">
        <v>18</v>
      </c>
      <c r="J1429" s="55" t="s">
        <v>8542</v>
      </c>
      <c r="K1429" s="55" t="s">
        <v>62</v>
      </c>
      <c r="L1429" s="57" t="str">
        <f>HYPERLINK("https://nycdoe.sharepoint.com/:w:/s/BAP/EXFeSdO__RdFmEqq4G6lBr8BBfrWelvdNhkezdvrxndlDw", "10 out of 10")</f>
        <v>10 out of 10</v>
      </c>
      <c r="M1429" t="s">
        <v>8543</v>
      </c>
    </row>
    <row r="1430" spans="2:13">
      <c r="B1430" s="55" t="s">
        <v>3619</v>
      </c>
      <c r="C1430" s="55" t="s">
        <v>3162</v>
      </c>
      <c r="D1430" s="55" t="s">
        <v>3754</v>
      </c>
      <c r="E1430" s="55" t="s">
        <v>3754</v>
      </c>
      <c r="F1430" s="55" t="s">
        <v>8544</v>
      </c>
      <c r="G1430" s="55" t="s">
        <v>8545</v>
      </c>
      <c r="H1430" s="55" t="s">
        <v>17</v>
      </c>
      <c r="I1430" s="55" t="s">
        <v>18</v>
      </c>
      <c r="J1430" s="55" t="s">
        <v>8546</v>
      </c>
      <c r="K1430" s="55" t="s">
        <v>62</v>
      </c>
      <c r="L1430" s="57" t="str">
        <f>HYPERLINK("https://nycdoe.sharepoint.com/:w:/s/BAP/EUbIGEiSWnxPiATRr4HtU7wBsRMfl_vsE2T12l7e2Iarxw", "10 out of 10")</f>
        <v>10 out of 10</v>
      </c>
      <c r="M1430" t="s">
        <v>8547</v>
      </c>
    </row>
    <row r="1431" spans="2:13">
      <c r="B1431" s="55" t="s">
        <v>3619</v>
      </c>
      <c r="C1431" s="55" t="s">
        <v>3162</v>
      </c>
      <c r="D1431" s="55" t="s">
        <v>3758</v>
      </c>
      <c r="E1431" s="55" t="s">
        <v>3416</v>
      </c>
      <c r="F1431" s="55" t="s">
        <v>8128</v>
      </c>
      <c r="G1431" s="55" t="s">
        <v>3418</v>
      </c>
      <c r="H1431" s="55" t="s">
        <v>43</v>
      </c>
      <c r="I1431" s="55"/>
      <c r="J1431" s="55" t="s">
        <v>8548</v>
      </c>
      <c r="K1431" s="55" t="s">
        <v>62</v>
      </c>
      <c r="L1431" s="57" t="str">
        <f>HYPERLINK("https://nycdoe.sharepoint.com/:w:/s/BAP/EcsBLOgnVs5HnUFSr9airJcB7qC5f8Q2KUkX60HtmmCyrA", "10 out of 10")</f>
        <v>10 out of 10</v>
      </c>
      <c r="M1431" t="s">
        <v>8549</v>
      </c>
    </row>
    <row r="1432" spans="2:13">
      <c r="B1432" s="55" t="s">
        <v>3619</v>
      </c>
      <c r="C1432" s="55" t="s">
        <v>3162</v>
      </c>
      <c r="D1432" s="55" t="s">
        <v>3758</v>
      </c>
      <c r="E1432" s="55" t="s">
        <v>3760</v>
      </c>
      <c r="F1432" s="55" t="s">
        <v>8550</v>
      </c>
      <c r="G1432" s="55" t="s">
        <v>8551</v>
      </c>
      <c r="H1432" s="55" t="s">
        <v>17</v>
      </c>
      <c r="I1432" s="55" t="s">
        <v>18</v>
      </c>
      <c r="J1432" s="55" t="s">
        <v>8548</v>
      </c>
      <c r="K1432" s="55" t="s">
        <v>62</v>
      </c>
      <c r="L1432" s="57" t="str">
        <f>HYPERLINK("https://nycdoe.sharepoint.com/:w:/s/BAP/EcsBLOgnVs5HnUFSr9airJcB7qC5f8Q2KUkX60HtmmCyrA", "10 out of 10")</f>
        <v>10 out of 10</v>
      </c>
      <c r="M1432" t="s">
        <v>8549</v>
      </c>
    </row>
    <row r="1433" spans="2:13">
      <c r="B1433" s="55" t="s">
        <v>3619</v>
      </c>
      <c r="C1433" s="55" t="s">
        <v>3162</v>
      </c>
      <c r="D1433" s="55" t="s">
        <v>3317</v>
      </c>
      <c r="E1433" s="55" t="s">
        <v>3795</v>
      </c>
      <c r="F1433" s="55" t="s">
        <v>8552</v>
      </c>
      <c r="G1433" s="55" t="s">
        <v>8553</v>
      </c>
      <c r="H1433" s="55" t="s">
        <v>24</v>
      </c>
      <c r="I1433" s="55" t="s">
        <v>18</v>
      </c>
      <c r="J1433" s="55" t="s">
        <v>8554</v>
      </c>
      <c r="K1433" s="55" t="s">
        <v>62</v>
      </c>
      <c r="L1433" s="57" t="str">
        <f>HYPERLINK("https://nycdoe.sharepoint.com/:w:/s/BAP/EcmXO6lQvzdHmz6wDlB18l0Bzb11qKWdhN9bumPVMnr2yg", "10 out of 10")</f>
        <v>10 out of 10</v>
      </c>
      <c r="M1433" t="s">
        <v>8555</v>
      </c>
    </row>
    <row r="1434" spans="2:13">
      <c r="B1434" s="55" t="s">
        <v>3619</v>
      </c>
      <c r="C1434" s="55" t="s">
        <v>3162</v>
      </c>
      <c r="D1434" s="55" t="s">
        <v>3763</v>
      </c>
      <c r="E1434" s="55" t="s">
        <v>3764</v>
      </c>
      <c r="F1434" s="55" t="s">
        <v>8556</v>
      </c>
      <c r="G1434" s="55" t="s">
        <v>8557</v>
      </c>
      <c r="H1434" s="55" t="s">
        <v>56</v>
      </c>
      <c r="I1434" s="55"/>
      <c r="J1434" s="55" t="s">
        <v>8558</v>
      </c>
      <c r="K1434" s="55" t="s">
        <v>62</v>
      </c>
      <c r="L1434" s="57" t="str">
        <f>HYPERLINK("https://nycdoe.sharepoint.com/:w:/s/BAP/Ea-IIjZW9QRDk5wPv4QRkEkBCMrklqZosdIN7jOcFvg3Rg", "9 out of 10")</f>
        <v>9 out of 10</v>
      </c>
      <c r="M1434" t="s">
        <v>8559</v>
      </c>
    </row>
    <row r="1435" spans="2:13">
      <c r="B1435" s="55" t="s">
        <v>3619</v>
      </c>
      <c r="C1435" s="55" t="s">
        <v>3162</v>
      </c>
      <c r="D1435" s="55" t="s">
        <v>3763</v>
      </c>
      <c r="E1435" s="55" t="s">
        <v>3768</v>
      </c>
      <c r="F1435" s="55" t="s">
        <v>8560</v>
      </c>
      <c r="G1435" s="55" t="s">
        <v>8561</v>
      </c>
      <c r="H1435" s="55" t="s">
        <v>56</v>
      </c>
      <c r="I1435" s="55"/>
      <c r="J1435" s="55" t="s">
        <v>8558</v>
      </c>
      <c r="K1435" s="55" t="s">
        <v>62</v>
      </c>
      <c r="L1435" s="57" t="str">
        <f>HYPERLINK("https://nycdoe.sharepoint.com/:w:/s/BAP/Ea-IIjZW9QRDk5wPv4QRkEkBCMrklqZosdIN7jOcFvg3Rg", "9 out of 10")</f>
        <v>9 out of 10</v>
      </c>
      <c r="M1435" t="s">
        <v>8559</v>
      </c>
    </row>
    <row r="1436" spans="2:13">
      <c r="B1436" s="55" t="s">
        <v>3619</v>
      </c>
      <c r="C1436" s="55" t="s">
        <v>3162</v>
      </c>
      <c r="D1436" s="55" t="s">
        <v>3763</v>
      </c>
      <c r="E1436" s="55" t="s">
        <v>3763</v>
      </c>
      <c r="F1436" s="55" t="s">
        <v>8562</v>
      </c>
      <c r="G1436" s="55" t="s">
        <v>8563</v>
      </c>
      <c r="H1436" s="55" t="s">
        <v>56</v>
      </c>
      <c r="I1436" s="55"/>
      <c r="J1436" s="55" t="s">
        <v>8558</v>
      </c>
      <c r="K1436" s="55" t="s">
        <v>62</v>
      </c>
      <c r="L1436" s="57" t="str">
        <f>HYPERLINK("https://nycdoe.sharepoint.com/:w:/s/BAP/Ea-IIjZW9QRDk5wPv4QRkEkBCMrklqZosdIN7jOcFvg3Rg", "9 out of 10")</f>
        <v>9 out of 10</v>
      </c>
      <c r="M1436" t="s">
        <v>8559</v>
      </c>
    </row>
    <row r="1437" spans="2:13">
      <c r="B1437" s="55" t="s">
        <v>3619</v>
      </c>
      <c r="C1437" s="55" t="s">
        <v>3162</v>
      </c>
      <c r="D1437" s="55" t="s">
        <v>3763</v>
      </c>
      <c r="E1437" s="55" t="s">
        <v>3383</v>
      </c>
      <c r="F1437" s="55" t="s">
        <v>8089</v>
      </c>
      <c r="G1437" s="55" t="s">
        <v>8090</v>
      </c>
      <c r="H1437" s="55" t="s">
        <v>56</v>
      </c>
      <c r="I1437" s="55"/>
      <c r="J1437" s="55" t="s">
        <v>8558</v>
      </c>
      <c r="K1437" s="55" t="s">
        <v>62</v>
      </c>
      <c r="L1437" s="57" t="str">
        <f>HYPERLINK("https://nycdoe.sharepoint.com/:w:/s/BAP/Ea-IIjZW9QRDk5wPv4QRkEkBCMrklqZosdIN7jOcFvg3Rg", "9 out of 10")</f>
        <v>9 out of 10</v>
      </c>
      <c r="M1437" t="s">
        <v>8559</v>
      </c>
    </row>
    <row r="1438" spans="2:13">
      <c r="B1438" s="55" t="s">
        <v>3619</v>
      </c>
      <c r="C1438" s="55" t="s">
        <v>3162</v>
      </c>
      <c r="D1438" s="55" t="s">
        <v>3763</v>
      </c>
      <c r="E1438" s="55" t="s">
        <v>4490</v>
      </c>
      <c r="F1438" s="55" t="s">
        <v>4491</v>
      </c>
      <c r="G1438" s="55" t="s">
        <v>4492</v>
      </c>
      <c r="H1438" s="55" t="s">
        <v>56</v>
      </c>
      <c r="I1438" s="55"/>
      <c r="J1438" s="55" t="s">
        <v>8558</v>
      </c>
      <c r="K1438" s="55" t="s">
        <v>62</v>
      </c>
      <c r="L1438" s="57" t="str">
        <f>HYPERLINK("https://nycdoe.sharepoint.com/:w:/s/BAP/Ea-IIjZW9QRDk5wPv4QRkEkBCMrklqZosdIN7jOcFvg3Rg", "9 out of 10")</f>
        <v>9 out of 10</v>
      </c>
      <c r="M1438" t="s">
        <v>8559</v>
      </c>
    </row>
    <row r="1439" spans="2:13">
      <c r="B1439" s="55" t="s">
        <v>3619</v>
      </c>
      <c r="C1439" s="55" t="s">
        <v>3162</v>
      </c>
      <c r="D1439" s="55" t="s">
        <v>3773</v>
      </c>
      <c r="E1439" s="55" t="s">
        <v>3628</v>
      </c>
      <c r="F1439" s="55" t="s">
        <v>8411</v>
      </c>
      <c r="G1439" s="55" t="s">
        <v>3630</v>
      </c>
      <c r="H1439" s="55" t="s">
        <v>43</v>
      </c>
      <c r="I1439" s="55" t="s">
        <v>18</v>
      </c>
      <c r="J1439" s="55" t="s">
        <v>8564</v>
      </c>
      <c r="K1439" s="55" t="s">
        <v>20</v>
      </c>
      <c r="L1439" s="57" t="str">
        <f>HYPERLINK("https://nycdoe.sharepoint.com/:w:/s/BAP/EQpmzsnM32FCuQpwHF5H7IUBgN43OuH7eR4Z0sNGk36aSg", "8 out of 10")</f>
        <v>8 out of 10</v>
      </c>
      <c r="M1439" t="s">
        <v>8565</v>
      </c>
    </row>
    <row r="1440" spans="2:13">
      <c r="B1440" s="55" t="s">
        <v>3619</v>
      </c>
      <c r="C1440" s="55" t="s">
        <v>3162</v>
      </c>
      <c r="D1440" s="55" t="s">
        <v>3773</v>
      </c>
      <c r="E1440" s="55" t="s">
        <v>3745</v>
      </c>
      <c r="F1440" s="55" t="s">
        <v>8566</v>
      </c>
      <c r="G1440" s="55" t="s">
        <v>8567</v>
      </c>
      <c r="H1440" s="55" t="s">
        <v>84</v>
      </c>
      <c r="I1440" s="55"/>
      <c r="J1440" s="55" t="s">
        <v>8564</v>
      </c>
      <c r="K1440" s="55" t="s">
        <v>20</v>
      </c>
      <c r="L1440" s="57" t="str">
        <f>HYPERLINK("https://nycdoe.sharepoint.com/:w:/s/BAP/EQpmzsnM32FCuQpwHF5H7IUBgN43OuH7eR4Z0sNGk36aSg", "8 out of 10")</f>
        <v>8 out of 10</v>
      </c>
      <c r="M1440" t="s">
        <v>8565</v>
      </c>
    </row>
    <row r="1441" spans="2:13">
      <c r="B1441" s="55" t="s">
        <v>3619</v>
      </c>
      <c r="C1441" s="55" t="s">
        <v>3162</v>
      </c>
      <c r="D1441" s="55" t="s">
        <v>3773</v>
      </c>
      <c r="E1441" s="55" t="s">
        <v>3777</v>
      </c>
      <c r="F1441" s="55" t="s">
        <v>8568</v>
      </c>
      <c r="G1441" s="55" t="s">
        <v>8569</v>
      </c>
      <c r="H1441" s="55" t="s">
        <v>56</v>
      </c>
      <c r="I1441" s="55"/>
      <c r="J1441" s="55" t="s">
        <v>8564</v>
      </c>
      <c r="K1441" s="55" t="s">
        <v>20</v>
      </c>
      <c r="L1441" s="57" t="str">
        <f>HYPERLINK("https://nycdoe.sharepoint.com/:w:/s/BAP/EQpmzsnM32FCuQpwHF5H7IUBgN43OuH7eR4Z0sNGk36aSg", "8 out of 10")</f>
        <v>8 out of 10</v>
      </c>
      <c r="M1441" t="s">
        <v>8565</v>
      </c>
    </row>
    <row r="1442" spans="2:13">
      <c r="B1442" s="55" t="s">
        <v>3619</v>
      </c>
      <c r="C1442" s="55" t="s">
        <v>3162</v>
      </c>
      <c r="D1442" s="55" t="s">
        <v>3773</v>
      </c>
      <c r="E1442" s="55" t="s">
        <v>3780</v>
      </c>
      <c r="F1442" s="55" t="s">
        <v>8570</v>
      </c>
      <c r="G1442" s="55" t="s">
        <v>8571</v>
      </c>
      <c r="H1442" s="55" t="s">
        <v>56</v>
      </c>
      <c r="I1442" s="55"/>
      <c r="J1442" s="55" t="s">
        <v>8564</v>
      </c>
      <c r="K1442" s="55" t="s">
        <v>20</v>
      </c>
      <c r="L1442" s="57" t="str">
        <f>HYPERLINK("https://nycdoe.sharepoint.com/:w:/s/BAP/EQpmzsnM32FCuQpwHF5H7IUBgN43OuH7eR4Z0sNGk36aSg", "8 out of 10")</f>
        <v>8 out of 10</v>
      </c>
      <c r="M1442" t="s">
        <v>8565</v>
      </c>
    </row>
    <row r="1443" spans="2:13">
      <c r="B1443" s="55" t="s">
        <v>3619</v>
      </c>
      <c r="C1443" s="55" t="s">
        <v>3162</v>
      </c>
      <c r="D1443" s="55" t="s">
        <v>3773</v>
      </c>
      <c r="E1443" s="55" t="s">
        <v>3783</v>
      </c>
      <c r="F1443" s="55" t="s">
        <v>8572</v>
      </c>
      <c r="G1443" s="55" t="s">
        <v>8573</v>
      </c>
      <c r="H1443" s="55" t="s">
        <v>56</v>
      </c>
      <c r="I1443" s="55"/>
      <c r="J1443" s="55" t="s">
        <v>8564</v>
      </c>
      <c r="K1443" s="55" t="s">
        <v>20</v>
      </c>
      <c r="L1443" s="57" t="str">
        <f>HYPERLINK("https://nycdoe.sharepoint.com/:w:/s/BAP/EQpmzsnM32FCuQpwHF5H7IUBgN43OuH7eR4Z0sNGk36aSg", "8 out of 10")</f>
        <v>8 out of 10</v>
      </c>
      <c r="M1443" t="s">
        <v>8565</v>
      </c>
    </row>
    <row r="1444" spans="2:13">
      <c r="B1444" s="55" t="s">
        <v>3619</v>
      </c>
      <c r="C1444" s="55" t="s">
        <v>3162</v>
      </c>
      <c r="D1444" s="55" t="s">
        <v>8574</v>
      </c>
      <c r="E1444" s="55" t="s">
        <v>3628</v>
      </c>
      <c r="F1444" s="55" t="s">
        <v>8411</v>
      </c>
      <c r="G1444" s="55" t="s">
        <v>3630</v>
      </c>
      <c r="H1444" s="55" t="s">
        <v>43</v>
      </c>
      <c r="I1444" s="55" t="s">
        <v>18</v>
      </c>
      <c r="J1444" s="55" t="s">
        <v>8575</v>
      </c>
      <c r="K1444" s="55" t="s">
        <v>62</v>
      </c>
      <c r="L1444" s="57" t="str">
        <f>HYPERLINK("https://nycdoe.sharepoint.com/:w:/s/BAP/EUZ3XNTLPC9JiphybBO9B3gBTT-z_E2Fw1x3q9VSsadfLg", "10 out of 10")</f>
        <v>10 out of 10</v>
      </c>
      <c r="M1444" t="s">
        <v>8576</v>
      </c>
    </row>
    <row r="1445" spans="2:13">
      <c r="B1445" s="55" t="s">
        <v>3619</v>
      </c>
      <c r="C1445" s="55" t="s">
        <v>3162</v>
      </c>
      <c r="D1445" s="55" t="s">
        <v>3786</v>
      </c>
      <c r="E1445" s="55" t="s">
        <v>3786</v>
      </c>
      <c r="F1445" s="55" t="s">
        <v>8577</v>
      </c>
      <c r="G1445" s="55" t="s">
        <v>8578</v>
      </c>
      <c r="H1445" s="55" t="s">
        <v>56</v>
      </c>
      <c r="I1445" s="55"/>
      <c r="J1445" s="55" t="s">
        <v>8579</v>
      </c>
      <c r="K1445" s="55" t="s">
        <v>20</v>
      </c>
      <c r="L1445" s="57" t="str">
        <f>HYPERLINK("https://nycdoe.sharepoint.com/:w:/s/BAP/EQl4jWQRZftMkRnxAmAFAOUBfMmjEB_847B5dEQK1eIu2w", "1 out of 10")</f>
        <v>1 out of 10</v>
      </c>
      <c r="M1445" t="s">
        <v>8580</v>
      </c>
    </row>
    <row r="1446" spans="2:13">
      <c r="B1446" s="55" t="s">
        <v>3619</v>
      </c>
      <c r="C1446" s="55" t="s">
        <v>3162</v>
      </c>
      <c r="D1446" s="55" t="s">
        <v>3786</v>
      </c>
      <c r="E1446" s="55" t="s">
        <v>4490</v>
      </c>
      <c r="F1446" s="55" t="s">
        <v>4491</v>
      </c>
      <c r="G1446" s="55" t="s">
        <v>4492</v>
      </c>
      <c r="H1446" s="55" t="s">
        <v>56</v>
      </c>
      <c r="I1446" s="55"/>
      <c r="J1446" s="55" t="s">
        <v>8579</v>
      </c>
      <c r="K1446" s="55" t="s">
        <v>20</v>
      </c>
      <c r="L1446" s="57" t="str">
        <f>HYPERLINK("https://nycdoe.sharepoint.com/:w:/s/BAP/EQl4jWQRZftMkRnxAmAFAOUBfMmjEB_847B5dEQK1eIu2w", "1 out of 10")</f>
        <v>1 out of 10</v>
      </c>
      <c r="M1446" t="s">
        <v>8580</v>
      </c>
    </row>
    <row r="1447" spans="2:13">
      <c r="B1447" s="55" t="s">
        <v>3619</v>
      </c>
      <c r="C1447" s="55" t="s">
        <v>3162</v>
      </c>
      <c r="D1447" s="55" t="s">
        <v>3790</v>
      </c>
      <c r="E1447" s="55" t="s">
        <v>3790</v>
      </c>
      <c r="F1447" s="55" t="s">
        <v>8581</v>
      </c>
      <c r="G1447" s="55" t="s">
        <v>8582</v>
      </c>
      <c r="H1447" s="55" t="s">
        <v>56</v>
      </c>
      <c r="I1447" s="55"/>
      <c r="J1447" s="55" t="s">
        <v>8583</v>
      </c>
      <c r="K1447" s="55" t="s">
        <v>62</v>
      </c>
      <c r="L1447" s="57" t="str">
        <f>HYPERLINK("https://nycdoe.sharepoint.com/:w:/s/BAP/EXlH9OVD9RdOi-HaEaLkTKoB9_upGJi5xdv2Tq2tDrY9zw", "9 out of 10")</f>
        <v>9 out of 10</v>
      </c>
      <c r="M1447" t="s">
        <v>8584</v>
      </c>
    </row>
    <row r="1448" spans="2:13">
      <c r="B1448" s="55" t="s">
        <v>3619</v>
      </c>
      <c r="C1448" s="55" t="s">
        <v>3162</v>
      </c>
      <c r="D1448" s="55" t="s">
        <v>3790</v>
      </c>
      <c r="E1448" s="55" t="s">
        <v>4490</v>
      </c>
      <c r="F1448" s="55" t="s">
        <v>4491</v>
      </c>
      <c r="G1448" s="55" t="s">
        <v>4492</v>
      </c>
      <c r="H1448" s="55" t="s">
        <v>56</v>
      </c>
      <c r="I1448" s="55"/>
      <c r="J1448" s="55" t="s">
        <v>8583</v>
      </c>
      <c r="K1448" s="55" t="s">
        <v>62</v>
      </c>
      <c r="L1448" s="57" t="str">
        <f>HYPERLINK("https://nycdoe.sharepoint.com/:w:/s/BAP/EXlH9OVD9RdOi-HaEaLkTKoB9_upGJi5xdv2Tq2tDrY9zw", "9 out of 10")</f>
        <v>9 out of 10</v>
      </c>
      <c r="M1448" t="s">
        <v>8584</v>
      </c>
    </row>
    <row r="1449" spans="2:13">
      <c r="B1449" s="55" t="s">
        <v>3619</v>
      </c>
      <c r="C1449" s="55" t="s">
        <v>3162</v>
      </c>
      <c r="D1449" s="55" t="s">
        <v>3794</v>
      </c>
      <c r="E1449" s="55" t="s">
        <v>8585</v>
      </c>
      <c r="F1449" s="55" t="s">
        <v>8586</v>
      </c>
      <c r="G1449" s="55" t="s">
        <v>8587</v>
      </c>
      <c r="H1449" s="55" t="s">
        <v>17</v>
      </c>
      <c r="I1449" s="55" t="s">
        <v>18</v>
      </c>
      <c r="J1449" s="55" t="s">
        <v>8588</v>
      </c>
      <c r="K1449" s="55" t="s">
        <v>20</v>
      </c>
      <c r="L1449" s="57" t="str">
        <f>HYPERLINK("https://nycdoe.sharepoint.com/:w:/s/BAP/EWDt5GMXPJFAlD2_lmUZc4kBhyUfI8D36SI-XwSl03nBJQ", "1 out of 10")</f>
        <v>1 out of 10</v>
      </c>
      <c r="M1449" t="s">
        <v>8589</v>
      </c>
    </row>
    <row r="1450" spans="2:13">
      <c r="B1450" s="55" t="s">
        <v>3619</v>
      </c>
      <c r="C1450" s="55" t="s">
        <v>3162</v>
      </c>
      <c r="D1450" s="55" t="s">
        <v>3799</v>
      </c>
      <c r="E1450" s="55" t="s">
        <v>3416</v>
      </c>
      <c r="F1450" s="55" t="s">
        <v>8128</v>
      </c>
      <c r="G1450" s="55" t="s">
        <v>3418</v>
      </c>
      <c r="H1450" s="55" t="s">
        <v>43</v>
      </c>
      <c r="I1450" s="55"/>
      <c r="J1450" s="55" t="s">
        <v>8590</v>
      </c>
      <c r="K1450" s="55" t="s">
        <v>62</v>
      </c>
      <c r="L1450" s="57" t="str">
        <f>HYPERLINK("https://nycdoe.sharepoint.com/:w:/s/BAP/EfRuvK7fJ45Ch-Z1DStmKtkBQNElLiLgbVwgYfq1fYVzOA", "10 out of 10")</f>
        <v>10 out of 10</v>
      </c>
      <c r="M1450" t="s">
        <v>8591</v>
      </c>
    </row>
    <row r="1451" spans="2:13">
      <c r="B1451" s="55" t="s">
        <v>3619</v>
      </c>
      <c r="C1451" s="55" t="s">
        <v>3162</v>
      </c>
      <c r="D1451" s="55" t="s">
        <v>3799</v>
      </c>
      <c r="E1451" s="55" t="s">
        <v>3799</v>
      </c>
      <c r="F1451" s="55" t="s">
        <v>8592</v>
      </c>
      <c r="G1451" s="55" t="s">
        <v>8593</v>
      </c>
      <c r="H1451" s="55" t="s">
        <v>56</v>
      </c>
      <c r="I1451" s="55"/>
      <c r="J1451" s="55" t="s">
        <v>8590</v>
      </c>
      <c r="K1451" s="55" t="s">
        <v>62</v>
      </c>
      <c r="L1451" s="57" t="str">
        <f>HYPERLINK("https://nycdoe.sharepoint.com/:w:/s/BAP/EfRuvK7fJ45Ch-Z1DStmKtkBQNElLiLgbVwgYfq1fYVzOA", "10 out of 10")</f>
        <v>10 out of 10</v>
      </c>
      <c r="M1451" t="s">
        <v>8591</v>
      </c>
    </row>
    <row r="1452" spans="2:13">
      <c r="B1452" s="55" t="s">
        <v>3619</v>
      </c>
      <c r="C1452" s="55" t="s">
        <v>3162</v>
      </c>
      <c r="D1452" s="55" t="s">
        <v>8594</v>
      </c>
      <c r="E1452" s="55" t="s">
        <v>3352</v>
      </c>
      <c r="F1452" s="55" t="s">
        <v>8063</v>
      </c>
      <c r="G1452" s="55" t="s">
        <v>8064</v>
      </c>
      <c r="H1452" s="55" t="s">
        <v>56</v>
      </c>
      <c r="I1452" s="55"/>
      <c r="J1452" s="55" t="s">
        <v>8595</v>
      </c>
      <c r="K1452" s="55" t="s">
        <v>62</v>
      </c>
      <c r="L1452" s="57" t="str">
        <f>HYPERLINK("https://nycdoe.sharepoint.com/:w:/s/BAP/ERzMGF-fArZKiJOyZYi3O6ABhv8CNH4vA5pCeIVcLJjCww", "9 out of 10")</f>
        <v>9 out of 10</v>
      </c>
      <c r="M1452" t="s">
        <v>8596</v>
      </c>
    </row>
    <row r="1453" spans="2:13">
      <c r="B1453" s="55" t="s">
        <v>3619</v>
      </c>
      <c r="C1453" s="55" t="s">
        <v>3162</v>
      </c>
      <c r="D1453" s="55" t="s">
        <v>3803</v>
      </c>
      <c r="E1453" s="55" t="s">
        <v>3804</v>
      </c>
      <c r="F1453" s="55" t="s">
        <v>8597</v>
      </c>
      <c r="G1453" s="55" t="s">
        <v>8598</v>
      </c>
      <c r="H1453" s="55" t="s">
        <v>17</v>
      </c>
      <c r="I1453" s="55" t="s">
        <v>18</v>
      </c>
      <c r="J1453" s="55" t="s">
        <v>8599</v>
      </c>
      <c r="K1453" s="55" t="s">
        <v>62</v>
      </c>
      <c r="L1453" s="57" t="str">
        <f>HYPERLINK("https://nycdoe.sharepoint.com/:w:/s/BAP/ET6rZsiStKdCm63xC1LAiRMBalmU3xrgrL0PrBhgj4MLDQ", "9 out of 10")</f>
        <v>9 out of 10</v>
      </c>
      <c r="M1453" t="s">
        <v>8600</v>
      </c>
    </row>
    <row r="1454" spans="2:13">
      <c r="B1454" s="55" t="s">
        <v>3619</v>
      </c>
      <c r="C1454" s="55" t="s">
        <v>3162</v>
      </c>
      <c r="D1454" s="55" t="s">
        <v>8601</v>
      </c>
      <c r="E1454" s="55" t="s">
        <v>3624</v>
      </c>
      <c r="F1454" s="55" t="s">
        <v>8408</v>
      </c>
      <c r="G1454" s="55" t="s">
        <v>3626</v>
      </c>
      <c r="H1454" s="55" t="s">
        <v>24</v>
      </c>
      <c r="I1454" s="55" t="s">
        <v>18</v>
      </c>
      <c r="J1454" s="55" t="s">
        <v>8602</v>
      </c>
      <c r="K1454" s="55" t="s">
        <v>62</v>
      </c>
      <c r="L1454" s="57" t="str">
        <f>HYPERLINK("https://nycdoe.sharepoint.com/:w:/s/BAP/EcWPMhBxTYtJmtZyCbJB3RcBvdVOAaPHL8nd1qUs09-Wng", "10 out of 10")</f>
        <v>10 out of 10</v>
      </c>
      <c r="M1454" t="s">
        <v>8603</v>
      </c>
    </row>
    <row r="1455" spans="2:13">
      <c r="B1455" s="55" t="s">
        <v>3808</v>
      </c>
      <c r="C1455" s="55" t="s">
        <v>3162</v>
      </c>
      <c r="D1455" s="55" t="s">
        <v>3809</v>
      </c>
      <c r="E1455" s="55" t="s">
        <v>3810</v>
      </c>
      <c r="F1455" s="55" t="s">
        <v>8604</v>
      </c>
      <c r="G1455" s="55" t="s">
        <v>8605</v>
      </c>
      <c r="H1455" s="55" t="s">
        <v>17</v>
      </c>
      <c r="I1455" s="55" t="s">
        <v>18</v>
      </c>
      <c r="J1455" s="55" t="s">
        <v>8606</v>
      </c>
      <c r="K1455" s="55" t="s">
        <v>62</v>
      </c>
      <c r="L1455" s="57" t="str">
        <f>HYPERLINK("https://nycdoe.sharepoint.com/:w:/s/BAP/Ee4XXoERG3xGsNqbcX9gySsBSUXB5AR-_MTkqOboMtoa-w", "10 out of 10")</f>
        <v>10 out of 10</v>
      </c>
      <c r="M1455" t="s">
        <v>8607</v>
      </c>
    </row>
    <row r="1456" spans="2:13">
      <c r="B1456" s="55" t="s">
        <v>3808</v>
      </c>
      <c r="C1456" s="55" t="s">
        <v>3162</v>
      </c>
      <c r="D1456" s="55" t="s">
        <v>3814</v>
      </c>
      <c r="E1456" s="55" t="s">
        <v>3814</v>
      </c>
      <c r="F1456" s="55" t="s">
        <v>8608</v>
      </c>
      <c r="G1456" s="55" t="s">
        <v>8609</v>
      </c>
      <c r="H1456" s="55" t="s">
        <v>52</v>
      </c>
      <c r="I1456" s="55"/>
      <c r="J1456" s="55" t="s">
        <v>8610</v>
      </c>
      <c r="K1456" s="55" t="s">
        <v>20</v>
      </c>
      <c r="L1456" s="57" t="str">
        <f>HYPERLINK("https://nycdoe.sharepoint.com/:w:/s/BAP/ERSeoYw7s55Il_tm_9-lA60BsnLJn-W2evOzF8nVujR2dA", "3 out of 10")</f>
        <v>3 out of 10</v>
      </c>
      <c r="M1456" t="s">
        <v>8611</v>
      </c>
    </row>
    <row r="1457" spans="2:13">
      <c r="B1457" s="55" t="s">
        <v>3808</v>
      </c>
      <c r="C1457" s="55" t="s">
        <v>3162</v>
      </c>
      <c r="D1457" s="55" t="s">
        <v>3814</v>
      </c>
      <c r="E1457" s="55" t="s">
        <v>3818</v>
      </c>
      <c r="F1457" s="55" t="s">
        <v>8612</v>
      </c>
      <c r="G1457" s="55" t="s">
        <v>8613</v>
      </c>
      <c r="H1457" s="55" t="s">
        <v>84</v>
      </c>
      <c r="I1457" s="55"/>
      <c r="J1457" s="55" t="s">
        <v>8610</v>
      </c>
      <c r="K1457" s="55" t="s">
        <v>20</v>
      </c>
      <c r="L1457" s="57" t="str">
        <f>HYPERLINK("https://nycdoe.sharepoint.com/:w:/s/BAP/ERSeoYw7s55Il_tm_9-lA60BsnLJn-W2evOzF8nVujR2dA", "3 out of 10")</f>
        <v>3 out of 10</v>
      </c>
      <c r="M1457" t="s">
        <v>8611</v>
      </c>
    </row>
    <row r="1458" spans="2:13">
      <c r="B1458" s="55" t="s">
        <v>3808</v>
      </c>
      <c r="C1458" s="55" t="s">
        <v>3162</v>
      </c>
      <c r="D1458" s="55" t="s">
        <v>3814</v>
      </c>
      <c r="E1458" s="55" t="s">
        <v>3295</v>
      </c>
      <c r="F1458" s="55" t="s">
        <v>8614</v>
      </c>
      <c r="G1458" s="55" t="s">
        <v>8615</v>
      </c>
      <c r="H1458" s="55" t="s">
        <v>52</v>
      </c>
      <c r="I1458" s="55"/>
      <c r="J1458" s="55" t="s">
        <v>8610</v>
      </c>
      <c r="K1458" s="55" t="s">
        <v>20</v>
      </c>
      <c r="L1458" s="57" t="str">
        <f>HYPERLINK("https://nycdoe.sharepoint.com/:w:/s/BAP/ERSeoYw7s55Il_tm_9-lA60BsnLJn-W2evOzF8nVujR2dA", "3 out of 10")</f>
        <v>3 out of 10</v>
      </c>
      <c r="M1458" t="s">
        <v>8611</v>
      </c>
    </row>
    <row r="1459" spans="2:13">
      <c r="B1459" s="55" t="s">
        <v>3808</v>
      </c>
      <c r="C1459" s="55" t="s">
        <v>3162</v>
      </c>
      <c r="D1459" s="55" t="s">
        <v>3823</v>
      </c>
      <c r="E1459" s="55" t="s">
        <v>3823</v>
      </c>
      <c r="F1459" s="55" t="s">
        <v>8616</v>
      </c>
      <c r="G1459" s="55" t="s">
        <v>8617</v>
      </c>
      <c r="H1459" s="55" t="s">
        <v>17</v>
      </c>
      <c r="I1459" s="55" t="s">
        <v>18</v>
      </c>
      <c r="J1459" s="55" t="s">
        <v>8618</v>
      </c>
      <c r="K1459" s="55" t="s">
        <v>20</v>
      </c>
      <c r="L1459" s="57" t="str">
        <f>HYPERLINK("https://nycdoe.sharepoint.com/:w:/s/BAP/Ef4FekrPSYVAknr6fZWPb5AB9PStKGkcrXiVh_-zdhGVmg", "4 out of 10")</f>
        <v>4 out of 10</v>
      </c>
      <c r="M1459" t="s">
        <v>8619</v>
      </c>
    </row>
    <row r="1460" spans="2:13">
      <c r="B1460" s="55" t="s">
        <v>3808</v>
      </c>
      <c r="C1460" s="55" t="s">
        <v>3162</v>
      </c>
      <c r="D1460" s="55" t="s">
        <v>3823</v>
      </c>
      <c r="E1460" s="55" t="s">
        <v>3827</v>
      </c>
      <c r="F1460" s="55" t="s">
        <v>8620</v>
      </c>
      <c r="G1460" s="55" t="s">
        <v>8621</v>
      </c>
      <c r="H1460" s="55" t="s">
        <v>17</v>
      </c>
      <c r="I1460" s="55"/>
      <c r="J1460" s="55" t="s">
        <v>8618</v>
      </c>
      <c r="K1460" s="55" t="s">
        <v>20</v>
      </c>
      <c r="L1460" s="57" t="str">
        <f>HYPERLINK("https://nycdoe.sharepoint.com/:w:/s/BAP/Ef4FekrPSYVAknr6fZWPb5AB9PStKGkcrXiVh_-zdhGVmg", "4 out of 10")</f>
        <v>4 out of 10</v>
      </c>
      <c r="M1460" t="s">
        <v>8619</v>
      </c>
    </row>
    <row r="1461" spans="2:13">
      <c r="B1461" s="55" t="s">
        <v>3808</v>
      </c>
      <c r="C1461" s="55" t="s">
        <v>3162</v>
      </c>
      <c r="D1461" s="55" t="s">
        <v>3830</v>
      </c>
      <c r="E1461" s="55" t="s">
        <v>3830</v>
      </c>
      <c r="F1461" s="55" t="s">
        <v>8622</v>
      </c>
      <c r="G1461" s="55" t="s">
        <v>8623</v>
      </c>
      <c r="H1461" s="55" t="s">
        <v>17</v>
      </c>
      <c r="I1461" s="55" t="s">
        <v>18</v>
      </c>
      <c r="J1461" s="55" t="s">
        <v>8624</v>
      </c>
      <c r="K1461" s="55" t="s">
        <v>62</v>
      </c>
      <c r="L1461" s="57" t="str">
        <f>HYPERLINK("https://nycdoe.sharepoint.com/:w:/s/BAP/ETKz86ZrRmpNjMuOu89blU4BrLBgolh0py2ZU6xJ6HW-0g", "9 out of 10")</f>
        <v>9 out of 10</v>
      </c>
      <c r="M1461" t="s">
        <v>8625</v>
      </c>
    </row>
    <row r="1462" spans="2:13">
      <c r="B1462" s="55" t="s">
        <v>3808</v>
      </c>
      <c r="C1462" s="55" t="s">
        <v>3162</v>
      </c>
      <c r="D1462" s="55" t="s">
        <v>3834</v>
      </c>
      <c r="E1462" s="55" t="s">
        <v>3834</v>
      </c>
      <c r="F1462" s="55" t="s">
        <v>8626</v>
      </c>
      <c r="G1462" s="55" t="s">
        <v>8627</v>
      </c>
      <c r="H1462" s="55" t="s">
        <v>17</v>
      </c>
      <c r="I1462" s="55" t="s">
        <v>18</v>
      </c>
      <c r="J1462" s="55" t="s">
        <v>8628</v>
      </c>
      <c r="K1462" s="55" t="s">
        <v>20</v>
      </c>
      <c r="L1462" s="57" t="str">
        <f>HYPERLINK("https://nycdoe.sharepoint.com/:w:/s/BAP/ERjlg33rJDRAhxm4_O3sUNcBrC1S6oo_A3dROqu9FHhdZQ", "1 out of 10")</f>
        <v>1 out of 10</v>
      </c>
      <c r="M1462" t="s">
        <v>8629</v>
      </c>
    </row>
    <row r="1463" spans="2:13">
      <c r="B1463" s="55" t="s">
        <v>3808</v>
      </c>
      <c r="C1463" s="55" t="s">
        <v>3162</v>
      </c>
      <c r="D1463" s="55" t="s">
        <v>3838</v>
      </c>
      <c r="E1463" s="55" t="s">
        <v>3838</v>
      </c>
      <c r="F1463" s="55" t="s">
        <v>8630</v>
      </c>
      <c r="G1463" s="55" t="s">
        <v>8631</v>
      </c>
      <c r="H1463" s="55" t="s">
        <v>52</v>
      </c>
      <c r="I1463" s="55"/>
      <c r="J1463" s="55" t="s">
        <v>8632</v>
      </c>
      <c r="K1463" s="55" t="s">
        <v>62</v>
      </c>
      <c r="L1463" s="57" t="str">
        <f>HYPERLINK("https://nycdoe.sharepoint.com/:w:/s/BAP/EdX2gUQYPLBIuOyvlFvxf98B54NMKq5mdfuRcnUlf1yAPw", "9 out of 10")</f>
        <v>9 out of 10</v>
      </c>
      <c r="M1463" t="s">
        <v>8633</v>
      </c>
    </row>
    <row r="1464" spans="2:13">
      <c r="B1464" s="55" t="s">
        <v>3808</v>
      </c>
      <c r="C1464" s="55" t="s">
        <v>3162</v>
      </c>
      <c r="D1464" s="55" t="s">
        <v>3838</v>
      </c>
      <c r="E1464" s="55" t="s">
        <v>3579</v>
      </c>
      <c r="F1464" s="55" t="s">
        <v>8634</v>
      </c>
      <c r="G1464" s="55" t="s">
        <v>8635</v>
      </c>
      <c r="H1464" s="55" t="s">
        <v>52</v>
      </c>
      <c r="I1464" s="55"/>
      <c r="J1464" s="55" t="s">
        <v>8632</v>
      </c>
      <c r="K1464" s="55" t="s">
        <v>62</v>
      </c>
      <c r="L1464" s="57" t="str">
        <f>HYPERLINK("https://nycdoe.sharepoint.com/:w:/s/BAP/EdX2gUQYPLBIuOyvlFvxf98B54NMKq5mdfuRcnUlf1yAPw", "9 out of 10")</f>
        <v>9 out of 10</v>
      </c>
      <c r="M1464" t="s">
        <v>8633</v>
      </c>
    </row>
    <row r="1465" spans="2:13">
      <c r="B1465" s="55" t="s">
        <v>3808</v>
      </c>
      <c r="C1465" s="55" t="s">
        <v>3162</v>
      </c>
      <c r="D1465" s="55" t="s">
        <v>3838</v>
      </c>
      <c r="E1465" s="55" t="s">
        <v>3498</v>
      </c>
      <c r="F1465" s="55" t="s">
        <v>8251</v>
      </c>
      <c r="G1465" s="55" t="s">
        <v>3500</v>
      </c>
      <c r="H1465" s="55" t="s">
        <v>43</v>
      </c>
      <c r="I1465" s="55"/>
      <c r="J1465" s="55" t="s">
        <v>8632</v>
      </c>
      <c r="K1465" s="55" t="s">
        <v>62</v>
      </c>
      <c r="L1465" s="57" t="str">
        <f>HYPERLINK("https://nycdoe.sharepoint.com/:w:/s/BAP/EdX2gUQYPLBIuOyvlFvxf98B54NMKq5mdfuRcnUlf1yAPw", "9 out of 10")</f>
        <v>9 out of 10</v>
      </c>
      <c r="M1465" t="s">
        <v>8633</v>
      </c>
    </row>
    <row r="1466" spans="2:13">
      <c r="B1466" s="55" t="s">
        <v>3808</v>
      </c>
      <c r="C1466" s="55" t="s">
        <v>3162</v>
      </c>
      <c r="D1466" s="55" t="s">
        <v>3844</v>
      </c>
      <c r="E1466" s="55" t="s">
        <v>3844</v>
      </c>
      <c r="F1466" s="55" t="s">
        <v>8636</v>
      </c>
      <c r="G1466" s="55" t="s">
        <v>8637</v>
      </c>
      <c r="H1466" s="55" t="s">
        <v>17</v>
      </c>
      <c r="I1466" s="55" t="s">
        <v>18</v>
      </c>
      <c r="J1466" s="55" t="s">
        <v>8638</v>
      </c>
      <c r="K1466" s="55" t="s">
        <v>20</v>
      </c>
      <c r="L1466" s="57" t="str">
        <f>HYPERLINK("https://nycdoe.sharepoint.com/:w:/s/BAP/EdLzghrHGfhKklyV_y7FV10BkD-12iCCkeB68Szr1W3JSg", "2 out of 10")</f>
        <v>2 out of 10</v>
      </c>
      <c r="M1466" t="s">
        <v>8639</v>
      </c>
    </row>
    <row r="1467" spans="2:13">
      <c r="B1467" s="55" t="s">
        <v>3808</v>
      </c>
      <c r="C1467" s="55" t="s">
        <v>3162</v>
      </c>
      <c r="D1467" s="55" t="s">
        <v>3848</v>
      </c>
      <c r="E1467" s="55" t="s">
        <v>3848</v>
      </c>
      <c r="F1467" s="55" t="s">
        <v>8640</v>
      </c>
      <c r="G1467" s="55" t="s">
        <v>8641</v>
      </c>
      <c r="H1467" s="55" t="s">
        <v>17</v>
      </c>
      <c r="I1467" s="55"/>
      <c r="J1467" s="55" t="s">
        <v>8642</v>
      </c>
      <c r="K1467" s="55" t="s">
        <v>62</v>
      </c>
      <c r="L1467" s="57" t="str">
        <f>HYPERLINK("https://nycdoe.sharepoint.com/:w:/s/BAP/EdKChtSp_RVAm5487cGqpI8BH6cVv5aWrcnLZtTCT0CKxw", "9 out of 10")</f>
        <v>9 out of 10</v>
      </c>
      <c r="M1467" t="s">
        <v>8643</v>
      </c>
    </row>
    <row r="1468" spans="2:13">
      <c r="B1468" s="55" t="s">
        <v>3808</v>
      </c>
      <c r="C1468" s="55" t="s">
        <v>3162</v>
      </c>
      <c r="D1468" s="55" t="s">
        <v>3848</v>
      </c>
      <c r="E1468" s="55" t="s">
        <v>4490</v>
      </c>
      <c r="F1468" s="55" t="s">
        <v>4491</v>
      </c>
      <c r="G1468" s="55" t="s">
        <v>4492</v>
      </c>
      <c r="H1468" s="55" t="s">
        <v>56</v>
      </c>
      <c r="I1468" s="55"/>
      <c r="J1468" s="55" t="s">
        <v>8642</v>
      </c>
      <c r="K1468" s="55" t="s">
        <v>62</v>
      </c>
      <c r="L1468" s="57" t="str">
        <f>HYPERLINK("https://nycdoe.sharepoint.com/:w:/s/BAP/EdKChtSp_RVAm5487cGqpI8BH6cVv5aWrcnLZtTCT0CKxw", "9 out of 10")</f>
        <v>9 out of 10</v>
      </c>
      <c r="M1468" t="s">
        <v>8643</v>
      </c>
    </row>
    <row r="1469" spans="2:13">
      <c r="B1469" s="55" t="s">
        <v>3808</v>
      </c>
      <c r="C1469" s="55" t="s">
        <v>3162</v>
      </c>
      <c r="D1469" s="55" t="s">
        <v>8644</v>
      </c>
      <c r="E1469" s="55" t="s">
        <v>8644</v>
      </c>
      <c r="F1469" s="55" t="s">
        <v>8645</v>
      </c>
      <c r="G1469" s="55" t="s">
        <v>8646</v>
      </c>
      <c r="H1469" s="55" t="s">
        <v>17</v>
      </c>
      <c r="I1469" s="55" t="s">
        <v>18</v>
      </c>
      <c r="J1469" s="55" t="s">
        <v>8647</v>
      </c>
      <c r="K1469" s="55" t="s">
        <v>20</v>
      </c>
      <c r="L1469" s="57" t="str">
        <f>HYPERLINK("https://nycdoe.sharepoint.com/:w:/s/BAP/EabT4LS9Lz1FhHTA6Ja66QoBLjS7FTDe0D_8ipfreue6kQ", "1 out of 10")</f>
        <v>1 out of 10</v>
      </c>
      <c r="M1469" t="s">
        <v>8648</v>
      </c>
    </row>
    <row r="1470" spans="2:13">
      <c r="B1470" s="55" t="s">
        <v>3808</v>
      </c>
      <c r="C1470" s="55" t="s">
        <v>3162</v>
      </c>
      <c r="D1470" s="55" t="s">
        <v>3852</v>
      </c>
      <c r="E1470" s="55" t="s">
        <v>3852</v>
      </c>
      <c r="F1470" s="55" t="s">
        <v>8649</v>
      </c>
      <c r="G1470" s="55" t="s">
        <v>8650</v>
      </c>
      <c r="H1470" s="55" t="s">
        <v>17</v>
      </c>
      <c r="I1470" s="55" t="s">
        <v>18</v>
      </c>
      <c r="J1470" s="55" t="s">
        <v>8651</v>
      </c>
      <c r="K1470" s="55" t="s">
        <v>62</v>
      </c>
      <c r="L1470" s="57" t="str">
        <f>HYPERLINK("https://nycdoe.sharepoint.com/:w:/s/BAP/EQ0L-lmBlJ1OlNpmt3aeOBQB59edsMrfZvS41nJOLWTZyA", "9 out of 10")</f>
        <v>9 out of 10</v>
      </c>
      <c r="M1470" t="s">
        <v>8652</v>
      </c>
    </row>
    <row r="1471" spans="2:13">
      <c r="B1471" s="55" t="s">
        <v>3808</v>
      </c>
      <c r="C1471" s="55" t="s">
        <v>3162</v>
      </c>
      <c r="D1471" s="55" t="s">
        <v>8653</v>
      </c>
      <c r="E1471" s="55" t="s">
        <v>8653</v>
      </c>
      <c r="F1471" s="55" t="s">
        <v>8654</v>
      </c>
      <c r="G1471" s="55" t="s">
        <v>8655</v>
      </c>
      <c r="H1471" s="55" t="s">
        <v>17</v>
      </c>
      <c r="I1471" s="55" t="s">
        <v>18</v>
      </c>
      <c r="J1471" s="55" t="s">
        <v>8656</v>
      </c>
      <c r="K1471" s="55" t="s">
        <v>20</v>
      </c>
      <c r="L1471" s="57" t="str">
        <f>HYPERLINK("https://nycdoe.sharepoint.com/:w:/s/BAP/ESZzCVa-IVxNix7f_fkn07EBvoJPVz1V3xEy3Eb68TTK4w", "1 out of 10")</f>
        <v>1 out of 10</v>
      </c>
      <c r="M1471" t="s">
        <v>8657</v>
      </c>
    </row>
    <row r="1472" spans="2:13">
      <c r="B1472" s="55" t="s">
        <v>3808</v>
      </c>
      <c r="C1472" s="55" t="s">
        <v>3162</v>
      </c>
      <c r="D1472" s="55" t="s">
        <v>3856</v>
      </c>
      <c r="E1472" s="55" t="s">
        <v>3856</v>
      </c>
      <c r="F1472" s="55" t="s">
        <v>8658</v>
      </c>
      <c r="G1472" s="55" t="s">
        <v>8659</v>
      </c>
      <c r="H1472" s="55" t="s">
        <v>17</v>
      </c>
      <c r="I1472" s="55"/>
      <c r="J1472" s="55" t="s">
        <v>8660</v>
      </c>
      <c r="K1472" s="55" t="s">
        <v>20</v>
      </c>
      <c r="L1472" s="57" t="str">
        <f>HYPERLINK("https://nycdoe.sharepoint.com/:w:/s/BAP/EegzGJ8qIaBBp_LY-kZNMv4B1IxN4AR3vXSgpFDwHDEV-Q", "7 out of 10")</f>
        <v>7 out of 10</v>
      </c>
      <c r="M1472" t="s">
        <v>8661</v>
      </c>
    </row>
    <row r="1473" spans="2:13">
      <c r="B1473" s="55" t="s">
        <v>3808</v>
      </c>
      <c r="C1473" s="55" t="s">
        <v>3162</v>
      </c>
      <c r="D1473" s="55" t="s">
        <v>3856</v>
      </c>
      <c r="E1473" s="55" t="s">
        <v>3539</v>
      </c>
      <c r="F1473" s="55" t="s">
        <v>8211</v>
      </c>
      <c r="G1473" s="55" t="s">
        <v>3541</v>
      </c>
      <c r="H1473" s="55" t="s">
        <v>43</v>
      </c>
      <c r="I1473" s="55"/>
      <c r="J1473" s="55" t="s">
        <v>8660</v>
      </c>
      <c r="K1473" s="55" t="s">
        <v>20</v>
      </c>
      <c r="L1473" s="57" t="str">
        <f>HYPERLINK("https://nycdoe.sharepoint.com/:w:/s/BAP/EegzGJ8qIaBBp_LY-kZNMv4B1IxN4AR3vXSgpFDwHDEV-Q", "7 out of 10")</f>
        <v>7 out of 10</v>
      </c>
      <c r="M1473" t="s">
        <v>8661</v>
      </c>
    </row>
    <row r="1474" spans="2:13">
      <c r="B1474" s="55" t="s">
        <v>3808</v>
      </c>
      <c r="C1474" s="55" t="s">
        <v>3162</v>
      </c>
      <c r="D1474" s="55" t="s">
        <v>8662</v>
      </c>
      <c r="E1474" s="55" t="s">
        <v>8662</v>
      </c>
      <c r="F1474" s="55" t="s">
        <v>8663</v>
      </c>
      <c r="G1474" s="55" t="s">
        <v>8664</v>
      </c>
      <c r="H1474" s="55" t="s">
        <v>17</v>
      </c>
      <c r="I1474" s="55"/>
      <c r="J1474" s="55" t="s">
        <v>8665</v>
      </c>
      <c r="K1474" s="55" t="s">
        <v>20</v>
      </c>
      <c r="L1474" s="57" t="str">
        <f>HYPERLINK("https://nycdoe.sharepoint.com/:w:/s/BAP/EYZYvqICQiZKnBaoPF7GIR0BEOFhhyIFvHqjnqSCpq1dPA", "2 out of 10")</f>
        <v>2 out of 10</v>
      </c>
      <c r="M1474" t="s">
        <v>8666</v>
      </c>
    </row>
    <row r="1475" spans="2:13">
      <c r="B1475" s="55" t="s">
        <v>3808</v>
      </c>
      <c r="C1475" s="55" t="s">
        <v>3162</v>
      </c>
      <c r="D1475" s="55" t="s">
        <v>8662</v>
      </c>
      <c r="E1475" s="55" t="s">
        <v>3597</v>
      </c>
      <c r="F1475" s="55" t="s">
        <v>8375</v>
      </c>
      <c r="G1475" s="55" t="s">
        <v>3599</v>
      </c>
      <c r="H1475" s="55" t="s">
        <v>43</v>
      </c>
      <c r="I1475" s="55"/>
      <c r="J1475" s="55" t="s">
        <v>8665</v>
      </c>
      <c r="K1475" s="55" t="s">
        <v>20</v>
      </c>
      <c r="L1475" s="57" t="str">
        <f>HYPERLINK("https://nycdoe.sharepoint.com/:w:/s/BAP/EYZYvqICQiZKnBaoPF7GIR0BEOFhhyIFvHqjnqSCpq1dPA", "2 out of 10")</f>
        <v>2 out of 10</v>
      </c>
      <c r="M1475" t="s">
        <v>8666</v>
      </c>
    </row>
    <row r="1476" spans="2:13">
      <c r="B1476" s="55" t="s">
        <v>3808</v>
      </c>
      <c r="C1476" s="55" t="s">
        <v>3162</v>
      </c>
      <c r="D1476" s="55" t="s">
        <v>3860</v>
      </c>
      <c r="E1476" s="55" t="s">
        <v>2917</v>
      </c>
      <c r="F1476" s="55" t="s">
        <v>7592</v>
      </c>
      <c r="G1476" s="55" t="s">
        <v>7593</v>
      </c>
      <c r="H1476" s="55" t="s">
        <v>56</v>
      </c>
      <c r="I1476" s="55"/>
      <c r="J1476" s="55" t="s">
        <v>8667</v>
      </c>
      <c r="K1476" s="55" t="s">
        <v>20</v>
      </c>
      <c r="L1476" s="57" t="str">
        <f>HYPERLINK("https://nycdoe.sharepoint.com/:w:/s/BAP/ESrKNKm3SkJBg6r4tZ586J0BiK-hy3wIdzz_ejAGqP2HXg", "7 out of 10")</f>
        <v>7 out of 10</v>
      </c>
      <c r="M1476" t="s">
        <v>8668</v>
      </c>
    </row>
    <row r="1477" spans="2:13">
      <c r="B1477" s="55" t="s">
        <v>3808</v>
      </c>
      <c r="C1477" s="55" t="s">
        <v>3162</v>
      </c>
      <c r="D1477" s="55" t="s">
        <v>3860</v>
      </c>
      <c r="E1477" s="55" t="s">
        <v>7596</v>
      </c>
      <c r="F1477" s="55" t="s">
        <v>7597</v>
      </c>
      <c r="G1477" s="55" t="s">
        <v>7598</v>
      </c>
      <c r="H1477" s="55" t="s">
        <v>995</v>
      </c>
      <c r="I1477" s="55"/>
      <c r="J1477" s="55" t="s">
        <v>8667</v>
      </c>
      <c r="K1477" s="55" t="s">
        <v>20</v>
      </c>
      <c r="L1477" s="57" t="str">
        <f>HYPERLINK("https://nycdoe.sharepoint.com/:w:/s/BAP/ESrKNKm3SkJBg6r4tZ586J0BiK-hy3wIdzz_ejAGqP2HXg", "7 out of 10")</f>
        <v>7 out of 10</v>
      </c>
      <c r="M1477" t="s">
        <v>8668</v>
      </c>
    </row>
    <row r="1478" spans="2:13">
      <c r="B1478" s="55" t="s">
        <v>3808</v>
      </c>
      <c r="C1478" s="55" t="s">
        <v>3162</v>
      </c>
      <c r="D1478" s="55" t="s">
        <v>3860</v>
      </c>
      <c r="E1478" s="55" t="s">
        <v>3383</v>
      </c>
      <c r="F1478" s="55" t="s">
        <v>8089</v>
      </c>
      <c r="G1478" s="55" t="s">
        <v>8090</v>
      </c>
      <c r="H1478" s="55" t="s">
        <v>56</v>
      </c>
      <c r="I1478" s="55"/>
      <c r="J1478" s="55" t="s">
        <v>8667</v>
      </c>
      <c r="K1478" s="55" t="s">
        <v>20</v>
      </c>
      <c r="L1478" s="57" t="str">
        <f>HYPERLINK("https://nycdoe.sharepoint.com/:w:/s/BAP/ESrKNKm3SkJBg6r4tZ586J0BiK-hy3wIdzz_ejAGqP2HXg", "7 out of 10")</f>
        <v>7 out of 10</v>
      </c>
      <c r="M1478" t="s">
        <v>8668</v>
      </c>
    </row>
    <row r="1479" spans="2:13">
      <c r="B1479" s="55" t="s">
        <v>3808</v>
      </c>
      <c r="C1479" s="55" t="s">
        <v>3162</v>
      </c>
      <c r="D1479" s="55" t="s">
        <v>3862</v>
      </c>
      <c r="E1479" s="55" t="s">
        <v>3862</v>
      </c>
      <c r="F1479" s="55" t="s">
        <v>8669</v>
      </c>
      <c r="G1479" s="55" t="s">
        <v>8670</v>
      </c>
      <c r="H1479" s="55" t="s">
        <v>17</v>
      </c>
      <c r="I1479" s="55" t="s">
        <v>18</v>
      </c>
      <c r="J1479" s="55" t="s">
        <v>8671</v>
      </c>
      <c r="K1479" s="55" t="s">
        <v>62</v>
      </c>
      <c r="L1479" s="57" t="str">
        <f>HYPERLINK("https://nycdoe.sharepoint.com/:w:/s/BAP/EXC6y55HfAFNpqlR7_NVyAkBbPJxX4oqcl2P3m3HlquaNQ", "9 out of 10")</f>
        <v>9 out of 10</v>
      </c>
      <c r="M1479" t="s">
        <v>8672</v>
      </c>
    </row>
    <row r="1480" spans="2:13">
      <c r="B1480" s="55" t="s">
        <v>3808</v>
      </c>
      <c r="C1480" s="55" t="s">
        <v>3162</v>
      </c>
      <c r="D1480" s="55" t="s">
        <v>3866</v>
      </c>
      <c r="E1480" s="55" t="s">
        <v>3544</v>
      </c>
      <c r="F1480" s="55" t="s">
        <v>8325</v>
      </c>
      <c r="G1480" s="55" t="s">
        <v>3546</v>
      </c>
      <c r="H1480" s="55" t="s">
        <v>24</v>
      </c>
      <c r="I1480" s="55" t="s">
        <v>18</v>
      </c>
      <c r="J1480" s="55" t="s">
        <v>8673</v>
      </c>
      <c r="K1480" s="55" t="s">
        <v>62</v>
      </c>
      <c r="L1480" s="57" t="str">
        <f>HYPERLINK("https://nycdoe.sharepoint.com/:w:/s/BAP/EYuXjq6GyXxLsSqSPWb2fXQBTuoxhdNKZvhsIYjRXpVMmg", "10 out of 10")</f>
        <v>10 out of 10</v>
      </c>
      <c r="M1480" t="s">
        <v>8674</v>
      </c>
    </row>
    <row r="1481" spans="2:13">
      <c r="B1481" s="55" t="s">
        <v>3808</v>
      </c>
      <c r="C1481" s="55" t="s">
        <v>3162</v>
      </c>
      <c r="D1481" s="55" t="s">
        <v>3866</v>
      </c>
      <c r="E1481" s="55" t="s">
        <v>3866</v>
      </c>
      <c r="F1481" s="55" t="s">
        <v>8675</v>
      </c>
      <c r="G1481" s="55" t="s">
        <v>8676</v>
      </c>
      <c r="H1481" s="55" t="s">
        <v>17</v>
      </c>
      <c r="I1481" s="55" t="s">
        <v>18</v>
      </c>
      <c r="J1481" s="55" t="s">
        <v>8673</v>
      </c>
      <c r="K1481" s="55" t="s">
        <v>62</v>
      </c>
      <c r="L1481" s="57" t="str">
        <f>HYPERLINK("https://nycdoe.sharepoint.com/:w:/s/BAP/EYuXjq6GyXxLsSqSPWb2fXQBTuoxhdNKZvhsIYjRXpVMmg", "10 out of 10")</f>
        <v>10 out of 10</v>
      </c>
      <c r="M1481" t="s">
        <v>8674</v>
      </c>
    </row>
    <row r="1482" spans="2:13">
      <c r="B1482" s="55" t="s">
        <v>3808</v>
      </c>
      <c r="C1482" s="55" t="s">
        <v>3162</v>
      </c>
      <c r="D1482" s="55" t="s">
        <v>8677</v>
      </c>
      <c r="E1482" s="55" t="s">
        <v>8677</v>
      </c>
      <c r="F1482" s="55" t="s">
        <v>8678</v>
      </c>
      <c r="G1482" s="55" t="s">
        <v>8679</v>
      </c>
      <c r="H1482" s="55" t="s">
        <v>17</v>
      </c>
      <c r="I1482" s="55"/>
      <c r="J1482" s="55" t="s">
        <v>8680</v>
      </c>
      <c r="K1482" s="55" t="s">
        <v>62</v>
      </c>
      <c r="L1482" s="57" t="str">
        <f>HYPERLINK("https://nycdoe.sharepoint.com/:w:/s/BAP/EVLcH8c2ethBh_8FazyiOFABCqnJUjf5RT_x7AUNAubLrw", "9 out of 10")</f>
        <v>9 out of 10</v>
      </c>
      <c r="M1482" t="s">
        <v>8681</v>
      </c>
    </row>
    <row r="1483" spans="2:13">
      <c r="B1483" s="55" t="s">
        <v>3808</v>
      </c>
      <c r="C1483" s="55" t="s">
        <v>3162</v>
      </c>
      <c r="D1483" s="55" t="s">
        <v>3870</v>
      </c>
      <c r="E1483" s="55" t="s">
        <v>3870</v>
      </c>
      <c r="F1483" s="55" t="s">
        <v>8682</v>
      </c>
      <c r="G1483" s="55" t="s">
        <v>8683</v>
      </c>
      <c r="H1483" s="55" t="s">
        <v>17</v>
      </c>
      <c r="I1483" s="55" t="s">
        <v>18</v>
      </c>
      <c r="J1483" s="55" t="s">
        <v>8684</v>
      </c>
      <c r="K1483" s="55" t="s">
        <v>62</v>
      </c>
      <c r="L1483" s="57" t="str">
        <f>HYPERLINK("https://nycdoe.sharepoint.com/:w:/s/BAP/EQaFj0HakW1Lkkdrf9DNmeEBmTQNyFQVBKVE2hD51b9RDg", "9 out of 10")</f>
        <v>9 out of 10</v>
      </c>
      <c r="M1483" t="s">
        <v>8685</v>
      </c>
    </row>
    <row r="1484" spans="2:13">
      <c r="B1484" s="55" t="s">
        <v>3808</v>
      </c>
      <c r="C1484" s="55" t="s">
        <v>3162</v>
      </c>
      <c r="D1484" s="55" t="s">
        <v>3874</v>
      </c>
      <c r="E1484" s="55" t="s">
        <v>3539</v>
      </c>
      <c r="F1484" s="55" t="s">
        <v>8211</v>
      </c>
      <c r="G1484" s="55" t="s">
        <v>3541</v>
      </c>
      <c r="H1484" s="55" t="s">
        <v>43</v>
      </c>
      <c r="I1484" s="55"/>
      <c r="J1484" s="55" t="s">
        <v>8686</v>
      </c>
      <c r="K1484" s="55" t="s">
        <v>62</v>
      </c>
      <c r="L1484" s="57" t="str">
        <f>HYPERLINK("https://nycdoe.sharepoint.com/:w:/s/BAP/EVM31GULiRhLrY35nA0Z93YBaI4AxoxCIAH1Xw2xdxfzQQ", "9 out of 10")</f>
        <v>9 out of 10</v>
      </c>
      <c r="M1484" t="s">
        <v>8687</v>
      </c>
    </row>
    <row r="1485" spans="2:13">
      <c r="B1485" s="55" t="s">
        <v>3808</v>
      </c>
      <c r="C1485" s="55" t="s">
        <v>3162</v>
      </c>
      <c r="D1485" s="55" t="s">
        <v>3874</v>
      </c>
      <c r="E1485" s="55" t="s">
        <v>3874</v>
      </c>
      <c r="F1485" s="55" t="s">
        <v>8688</v>
      </c>
      <c r="G1485" s="55" t="s">
        <v>8689</v>
      </c>
      <c r="H1485" s="55" t="s">
        <v>52</v>
      </c>
      <c r="I1485" s="55"/>
      <c r="J1485" s="55" t="s">
        <v>8686</v>
      </c>
      <c r="K1485" s="55" t="s">
        <v>62</v>
      </c>
      <c r="L1485" s="57" t="str">
        <f>HYPERLINK("https://nycdoe.sharepoint.com/:w:/s/BAP/EVM31GULiRhLrY35nA0Z93YBaI4AxoxCIAH1Xw2xdxfzQQ", "9 out of 10")</f>
        <v>9 out of 10</v>
      </c>
      <c r="M1485" t="s">
        <v>8687</v>
      </c>
    </row>
    <row r="1486" spans="2:13">
      <c r="B1486" s="55" t="s">
        <v>3808</v>
      </c>
      <c r="C1486" s="55" t="s">
        <v>3162</v>
      </c>
      <c r="D1486" s="55" t="s">
        <v>3878</v>
      </c>
      <c r="E1486" s="55" t="s">
        <v>3878</v>
      </c>
      <c r="F1486" s="55" t="s">
        <v>8690</v>
      </c>
      <c r="G1486" s="55" t="s">
        <v>8691</v>
      </c>
      <c r="H1486" s="55" t="s">
        <v>17</v>
      </c>
      <c r="I1486" s="55" t="s">
        <v>18</v>
      </c>
      <c r="J1486" s="55" t="s">
        <v>8692</v>
      </c>
      <c r="K1486" s="55" t="s">
        <v>62</v>
      </c>
      <c r="L1486" s="57" t="str">
        <f>HYPERLINK("https://nycdoe.sharepoint.com/:w:/s/BAP/Ebt5F8X9eUFCpOPzTm-__3kBZufNcT29EDzkrINqLF9gEQ", "9 out of 10")</f>
        <v>9 out of 10</v>
      </c>
      <c r="M1486" t="s">
        <v>8693</v>
      </c>
    </row>
    <row r="1487" spans="2:13">
      <c r="B1487" s="55" t="s">
        <v>3808</v>
      </c>
      <c r="C1487" s="55" t="s">
        <v>3162</v>
      </c>
      <c r="D1487" s="55" t="s">
        <v>8694</v>
      </c>
      <c r="E1487" s="55" t="s">
        <v>8694</v>
      </c>
      <c r="F1487" s="55" t="s">
        <v>8695</v>
      </c>
      <c r="G1487" s="55" t="s">
        <v>8696</v>
      </c>
      <c r="H1487" s="55" t="s">
        <v>17</v>
      </c>
      <c r="I1487" s="55" t="s">
        <v>18</v>
      </c>
      <c r="J1487" s="55" t="s">
        <v>8697</v>
      </c>
      <c r="K1487" s="55" t="s">
        <v>62</v>
      </c>
      <c r="L1487" s="57" t="str">
        <f>HYPERLINK("https://nycdoe.sharepoint.com/:w:/s/BAP/ETCfF9QzNGtMsiIRyvfRnKwBb2CzMcobWkOPRqmSOp6A8g", "9 out of 10")</f>
        <v>9 out of 10</v>
      </c>
      <c r="M1487" t="s">
        <v>8698</v>
      </c>
    </row>
    <row r="1488" spans="2:13">
      <c r="B1488" s="55" t="s">
        <v>3808</v>
      </c>
      <c r="C1488" s="55" t="s">
        <v>3162</v>
      </c>
      <c r="D1488" s="55" t="s">
        <v>3882</v>
      </c>
      <c r="E1488" s="55" t="s">
        <v>4564</v>
      </c>
      <c r="F1488" s="55" t="s">
        <v>4565</v>
      </c>
      <c r="G1488" s="55" t="s">
        <v>4566</v>
      </c>
      <c r="H1488" s="55" t="s">
        <v>52</v>
      </c>
      <c r="I1488" s="55"/>
      <c r="J1488" s="55" t="s">
        <v>8699</v>
      </c>
      <c r="K1488" s="55" t="s">
        <v>20</v>
      </c>
      <c r="L1488" s="57" t="str">
        <f>HYPERLINK("https://nycdoe.sharepoint.com/:w:/s/BAP/ERNeqIUFtkBIgTexe4rX-zQBy-bv9vUs-x0exhrJkPc7BA", "4 out of 10")</f>
        <v>4 out of 10</v>
      </c>
      <c r="M1488" t="s">
        <v>8700</v>
      </c>
    </row>
    <row r="1489" spans="2:13">
      <c r="B1489" s="55" t="s">
        <v>3808</v>
      </c>
      <c r="C1489" s="55" t="s">
        <v>3162</v>
      </c>
      <c r="D1489" s="55" t="s">
        <v>3882</v>
      </c>
      <c r="E1489" s="55" t="s">
        <v>3882</v>
      </c>
      <c r="F1489" s="55" t="s">
        <v>8701</v>
      </c>
      <c r="G1489" s="55" t="s">
        <v>8702</v>
      </c>
      <c r="H1489" s="55" t="s">
        <v>52</v>
      </c>
      <c r="I1489" s="55"/>
      <c r="J1489" s="55" t="s">
        <v>8699</v>
      </c>
      <c r="K1489" s="55" t="s">
        <v>20</v>
      </c>
      <c r="L1489" s="57" t="str">
        <f>HYPERLINK("https://nycdoe.sharepoint.com/:w:/s/BAP/ERNeqIUFtkBIgTexe4rX-zQBy-bv9vUs-x0exhrJkPc7BA", "4 out of 10")</f>
        <v>4 out of 10</v>
      </c>
      <c r="M1489" t="s">
        <v>8700</v>
      </c>
    </row>
    <row r="1490" spans="2:13">
      <c r="B1490" s="55" t="s">
        <v>3808</v>
      </c>
      <c r="C1490" s="55" t="s">
        <v>3162</v>
      </c>
      <c r="D1490" s="55" t="s">
        <v>3886</v>
      </c>
      <c r="E1490" s="55" t="s">
        <v>3887</v>
      </c>
      <c r="F1490" s="55" t="s">
        <v>8703</v>
      </c>
      <c r="G1490" s="55" t="s">
        <v>8704</v>
      </c>
      <c r="H1490" s="55" t="s">
        <v>17</v>
      </c>
      <c r="I1490" s="55" t="s">
        <v>18</v>
      </c>
      <c r="J1490" s="55" t="s">
        <v>8705</v>
      </c>
      <c r="K1490" s="55" t="s">
        <v>62</v>
      </c>
      <c r="L1490" s="57" t="str">
        <f>HYPERLINK("https://nycdoe.sharepoint.com/:w:/s/BAP/EUujTp3v9htOtC7B83CK4UMB9LIY_kVh5bN6s41x2QKgOQ", "10 out of 10")</f>
        <v>10 out of 10</v>
      </c>
      <c r="M1490" t="s">
        <v>8706</v>
      </c>
    </row>
    <row r="1491" spans="2:13">
      <c r="B1491" s="55" t="s">
        <v>3808</v>
      </c>
      <c r="C1491" s="55" t="s">
        <v>3162</v>
      </c>
      <c r="D1491" s="55" t="s">
        <v>3886</v>
      </c>
      <c r="E1491" s="55" t="s">
        <v>3238</v>
      </c>
      <c r="F1491" s="55" t="s">
        <v>7922</v>
      </c>
      <c r="G1491" s="55" t="s">
        <v>7923</v>
      </c>
      <c r="H1491" s="55" t="s">
        <v>24</v>
      </c>
      <c r="I1491" s="55" t="s">
        <v>18</v>
      </c>
      <c r="J1491" s="55" t="s">
        <v>8705</v>
      </c>
      <c r="K1491" s="55" t="s">
        <v>62</v>
      </c>
      <c r="L1491" s="57" t="str">
        <f>HYPERLINK("https://nycdoe.sharepoint.com/:w:/s/BAP/EUujTp3v9htOtC7B83CK4UMB9LIY_kVh5bN6s41x2QKgOQ", "10 out of 10")</f>
        <v>10 out of 10</v>
      </c>
      <c r="M1491" t="s">
        <v>8706</v>
      </c>
    </row>
    <row r="1492" spans="2:13">
      <c r="B1492" s="55" t="s">
        <v>3808</v>
      </c>
      <c r="C1492" s="55" t="s">
        <v>3162</v>
      </c>
      <c r="D1492" s="55" t="s">
        <v>3301</v>
      </c>
      <c r="E1492" s="55" t="s">
        <v>3167</v>
      </c>
      <c r="F1492" s="55" t="s">
        <v>7874</v>
      </c>
      <c r="G1492" s="55" t="s">
        <v>3169</v>
      </c>
      <c r="H1492" s="55" t="s">
        <v>24</v>
      </c>
      <c r="I1492" s="55"/>
      <c r="J1492" s="55" t="s">
        <v>8707</v>
      </c>
      <c r="K1492" s="55" t="s">
        <v>62</v>
      </c>
      <c r="L1492" s="57" t="str">
        <f>HYPERLINK("https://nycdoe.sharepoint.com/:w:/s/BAP/EWWRCKeC9G5HodeCACsBIzIBcHFl8H_rexrEiyQY6SpVcw", "10 out of 10")</f>
        <v>10 out of 10</v>
      </c>
      <c r="M1492" t="s">
        <v>8708</v>
      </c>
    </row>
    <row r="1493" spans="2:13">
      <c r="B1493" s="55" t="s">
        <v>3808</v>
      </c>
      <c r="C1493" s="55" t="s">
        <v>3162</v>
      </c>
      <c r="D1493" s="55" t="s">
        <v>3301</v>
      </c>
      <c r="E1493" s="55" t="s">
        <v>3892</v>
      </c>
      <c r="F1493" s="55" t="s">
        <v>8709</v>
      </c>
      <c r="G1493" s="55" t="s">
        <v>8710</v>
      </c>
      <c r="H1493" s="55" t="s">
        <v>17</v>
      </c>
      <c r="I1493" s="55" t="s">
        <v>18</v>
      </c>
      <c r="J1493" s="55" t="s">
        <v>8707</v>
      </c>
      <c r="K1493" s="55" t="s">
        <v>62</v>
      </c>
      <c r="L1493" s="57" t="str">
        <f>HYPERLINK("https://nycdoe.sharepoint.com/:w:/s/BAP/EWWRCKeC9G5HodeCACsBIzIBcHFl8H_rexrEiyQY6SpVcw", "10 out of 10")</f>
        <v>10 out of 10</v>
      </c>
      <c r="M1493" t="s">
        <v>8708</v>
      </c>
    </row>
    <row r="1494" spans="2:13">
      <c r="B1494" s="55" t="s">
        <v>3808</v>
      </c>
      <c r="C1494" s="55" t="s">
        <v>3162</v>
      </c>
      <c r="D1494" s="55" t="s">
        <v>3730</v>
      </c>
      <c r="E1494" s="55" t="s">
        <v>3552</v>
      </c>
      <c r="F1494" s="55" t="s">
        <v>8261</v>
      </c>
      <c r="G1494" s="55" t="s">
        <v>3554</v>
      </c>
      <c r="H1494" s="55" t="s">
        <v>24</v>
      </c>
      <c r="I1494" s="55" t="s">
        <v>18</v>
      </c>
      <c r="J1494" s="55" t="s">
        <v>8711</v>
      </c>
      <c r="K1494" s="55" t="s">
        <v>62</v>
      </c>
      <c r="L1494" s="57" t="str">
        <f>HYPERLINK("https://nycdoe.sharepoint.com/:w:/s/BAP/EU0bszH1rv5GpyVTXuYE2iABwcw_WlFPunWYBQAWhysUVQ", "10 out of 10")</f>
        <v>10 out of 10</v>
      </c>
      <c r="M1494" t="s">
        <v>8712</v>
      </c>
    </row>
    <row r="1495" spans="2:13">
      <c r="B1495" s="55" t="s">
        <v>3808</v>
      </c>
      <c r="C1495" s="55" t="s">
        <v>3162</v>
      </c>
      <c r="D1495" s="55" t="s">
        <v>3730</v>
      </c>
      <c r="E1495" s="55" t="s">
        <v>3896</v>
      </c>
      <c r="F1495" s="55" t="s">
        <v>8713</v>
      </c>
      <c r="G1495" s="55" t="s">
        <v>8714</v>
      </c>
      <c r="H1495" s="55" t="s">
        <v>17</v>
      </c>
      <c r="I1495" s="55" t="s">
        <v>18</v>
      </c>
      <c r="J1495" s="55" t="s">
        <v>8711</v>
      </c>
      <c r="K1495" s="55" t="s">
        <v>62</v>
      </c>
      <c r="L1495" s="57" t="str">
        <f>HYPERLINK("https://nycdoe.sharepoint.com/:w:/s/BAP/EU0bszH1rv5GpyVTXuYE2iABwcw_WlFPunWYBQAWhysUVQ", "10 out of 10")</f>
        <v>10 out of 10</v>
      </c>
      <c r="M1495" t="s">
        <v>8712</v>
      </c>
    </row>
    <row r="1496" spans="2:13">
      <c r="B1496" s="55" t="s">
        <v>3808</v>
      </c>
      <c r="C1496" s="55" t="s">
        <v>3162</v>
      </c>
      <c r="D1496" s="55" t="s">
        <v>3730</v>
      </c>
      <c r="E1496" s="55" t="s">
        <v>3899</v>
      </c>
      <c r="F1496" s="55" t="s">
        <v>8715</v>
      </c>
      <c r="G1496" s="55" t="s">
        <v>3901</v>
      </c>
      <c r="H1496" s="55" t="s">
        <v>52</v>
      </c>
      <c r="I1496" s="55"/>
      <c r="J1496" s="55" t="s">
        <v>8711</v>
      </c>
      <c r="K1496" s="55" t="s">
        <v>62</v>
      </c>
      <c r="L1496" s="57" t="str">
        <f>HYPERLINK("https://nycdoe.sharepoint.com/:w:/s/BAP/EU0bszH1rv5GpyVTXuYE2iABwcw_WlFPunWYBQAWhysUVQ", "10 out of 10")</f>
        <v>10 out of 10</v>
      </c>
      <c r="M1496" t="s">
        <v>8712</v>
      </c>
    </row>
    <row r="1497" spans="2:13">
      <c r="B1497" s="55" t="s">
        <v>3808</v>
      </c>
      <c r="C1497" s="55" t="s">
        <v>3162</v>
      </c>
      <c r="D1497" s="55" t="s">
        <v>3902</v>
      </c>
      <c r="E1497" s="55" t="s">
        <v>3902</v>
      </c>
      <c r="F1497" s="55" t="s">
        <v>8716</v>
      </c>
      <c r="G1497" s="55" t="s">
        <v>8717</v>
      </c>
      <c r="H1497" s="55" t="s">
        <v>56</v>
      </c>
      <c r="I1497" s="55"/>
      <c r="J1497" s="55" t="s">
        <v>8718</v>
      </c>
      <c r="K1497" s="55" t="s">
        <v>20</v>
      </c>
      <c r="L1497" s="57" t="str">
        <f>HYPERLINK("https://nycdoe.sharepoint.com/:w:/s/BAP/ETmG-xrlo9pKt4zIGT9dz8MBRcqWbRur_u91atMVdoaAaQ", "8 out of 10")</f>
        <v>8 out of 10</v>
      </c>
      <c r="M1497" t="s">
        <v>8719</v>
      </c>
    </row>
    <row r="1498" spans="2:13">
      <c r="B1498" s="55" t="s">
        <v>3808</v>
      </c>
      <c r="C1498" s="55" t="s">
        <v>3162</v>
      </c>
      <c r="D1498" s="55" t="s">
        <v>3906</v>
      </c>
      <c r="E1498" s="55" t="s">
        <v>3906</v>
      </c>
      <c r="F1498" s="55" t="s">
        <v>8720</v>
      </c>
      <c r="G1498" s="55" t="s">
        <v>8721</v>
      </c>
      <c r="H1498" s="55" t="s">
        <v>56</v>
      </c>
      <c r="I1498" s="55"/>
      <c r="J1498" s="55" t="s">
        <v>8722</v>
      </c>
      <c r="K1498" s="55" t="s">
        <v>62</v>
      </c>
      <c r="L1498" s="57" t="str">
        <f>HYPERLINK("https://nycdoe.sharepoint.com/:w:/s/BAP/EZ5GYnVrcE5JjtAfNh0B5ugBeBfUIb8tvsfFEDhTvoYIDw", "9 out of 10")</f>
        <v>9 out of 10</v>
      </c>
      <c r="M1498" t="s">
        <v>8723</v>
      </c>
    </row>
    <row r="1499" spans="2:13">
      <c r="B1499" s="55" t="s">
        <v>3808</v>
      </c>
      <c r="C1499" s="55" t="s">
        <v>3162</v>
      </c>
      <c r="D1499" s="55" t="s">
        <v>3910</v>
      </c>
      <c r="E1499" s="55" t="s">
        <v>3910</v>
      </c>
      <c r="F1499" s="55" t="s">
        <v>8724</v>
      </c>
      <c r="G1499" s="55" t="s">
        <v>8725</v>
      </c>
      <c r="H1499" s="55" t="s">
        <v>56</v>
      </c>
      <c r="I1499" s="55"/>
      <c r="J1499" s="55" t="s">
        <v>8726</v>
      </c>
      <c r="K1499" s="55" t="s">
        <v>20</v>
      </c>
      <c r="L1499" s="57" t="str">
        <f>HYPERLINK("https://nycdoe.sharepoint.com/:w:/s/BAP/ESnE8uic8jVDmiNSOliczy8B9DkUzgJMio13j3li-vfVqA", "3 out of 10")</f>
        <v>3 out of 10</v>
      </c>
      <c r="M1499" t="s">
        <v>8727</v>
      </c>
    </row>
    <row r="1500" spans="2:13">
      <c r="B1500" s="55" t="s">
        <v>3808</v>
      </c>
      <c r="C1500" s="55" t="s">
        <v>3162</v>
      </c>
      <c r="D1500" s="55" t="s">
        <v>3910</v>
      </c>
      <c r="E1500" s="55" t="s">
        <v>3383</v>
      </c>
      <c r="F1500" s="55" t="s">
        <v>8089</v>
      </c>
      <c r="G1500" s="55" t="s">
        <v>8090</v>
      </c>
      <c r="H1500" s="55" t="s">
        <v>56</v>
      </c>
      <c r="I1500" s="55"/>
      <c r="J1500" s="55" t="s">
        <v>8726</v>
      </c>
      <c r="K1500" s="55" t="s">
        <v>20</v>
      </c>
      <c r="L1500" s="57" t="str">
        <f>HYPERLINK("https://nycdoe.sharepoint.com/:w:/s/BAP/ESnE8uic8jVDmiNSOliczy8B9DkUzgJMio13j3li-vfVqA", "3 out of 10")</f>
        <v>3 out of 10</v>
      </c>
      <c r="M1500" t="s">
        <v>8727</v>
      </c>
    </row>
    <row r="1501" spans="2:13">
      <c r="B1501" s="55" t="s">
        <v>3808</v>
      </c>
      <c r="C1501" s="55" t="s">
        <v>3162</v>
      </c>
      <c r="D1501" s="55" t="s">
        <v>3914</v>
      </c>
      <c r="E1501" s="55" t="s">
        <v>3915</v>
      </c>
      <c r="F1501" s="55" t="s">
        <v>8728</v>
      </c>
      <c r="G1501" s="55" t="s">
        <v>8729</v>
      </c>
      <c r="H1501" s="55" t="s">
        <v>84</v>
      </c>
      <c r="I1501" s="55"/>
      <c r="J1501" s="55" t="s">
        <v>8730</v>
      </c>
      <c r="K1501" s="55" t="s">
        <v>20</v>
      </c>
      <c r="L1501" s="57" t="str">
        <f>HYPERLINK("https://nycdoe.sharepoint.com/:w:/s/BAP/EfUP3hTKwkNKt7qXT8ocDlgBvXvt4X3CZ6XtzjeWJh1FRA", "4 out of 10")</f>
        <v>4 out of 10</v>
      </c>
      <c r="M1501" t="s">
        <v>8731</v>
      </c>
    </row>
    <row r="1502" spans="2:13">
      <c r="B1502" s="55" t="s">
        <v>3808</v>
      </c>
      <c r="C1502" s="55" t="s">
        <v>3162</v>
      </c>
      <c r="D1502" s="55" t="s">
        <v>3919</v>
      </c>
      <c r="E1502" s="55" t="s">
        <v>3920</v>
      </c>
      <c r="F1502" s="55" t="s">
        <v>8732</v>
      </c>
      <c r="G1502" s="55" t="s">
        <v>8733</v>
      </c>
      <c r="H1502" s="55" t="s">
        <v>84</v>
      </c>
      <c r="I1502" s="55"/>
      <c r="J1502" s="55" t="s">
        <v>8734</v>
      </c>
      <c r="K1502" s="55" t="s">
        <v>62</v>
      </c>
      <c r="L1502" s="57" t="str">
        <f>HYPERLINK("https://nycdoe.sharepoint.com/:w:/s/BAP/EczClETJEvZCj9nRpwBxGlYBmmhCFMQqnW8FB1JQkUDVQQ", "10 out of 10")</f>
        <v>10 out of 10</v>
      </c>
      <c r="M1502" t="s">
        <v>8735</v>
      </c>
    </row>
    <row r="1503" spans="2:13">
      <c r="B1503" s="55" t="s">
        <v>3808</v>
      </c>
      <c r="C1503" s="55" t="s">
        <v>3162</v>
      </c>
      <c r="D1503" s="55" t="s">
        <v>3919</v>
      </c>
      <c r="E1503" s="55" t="s">
        <v>3416</v>
      </c>
      <c r="F1503" s="55" t="s">
        <v>8128</v>
      </c>
      <c r="G1503" s="55" t="s">
        <v>3418</v>
      </c>
      <c r="H1503" s="55" t="s">
        <v>43</v>
      </c>
      <c r="I1503" s="55"/>
      <c r="J1503" s="55" t="s">
        <v>8734</v>
      </c>
      <c r="K1503" s="55" t="s">
        <v>62</v>
      </c>
      <c r="L1503" s="57" t="str">
        <f>HYPERLINK("https://nycdoe.sharepoint.com/:w:/s/BAP/EczClETJEvZCj9nRpwBxGlYBmmhCFMQqnW8FB1JQkUDVQQ", "10 out of 10")</f>
        <v>10 out of 10</v>
      </c>
      <c r="M1503" t="s">
        <v>8735</v>
      </c>
    </row>
    <row r="1504" spans="2:13">
      <c r="B1504" s="55" t="s">
        <v>3808</v>
      </c>
      <c r="C1504" s="55" t="s">
        <v>3162</v>
      </c>
      <c r="D1504" s="55" t="s">
        <v>3919</v>
      </c>
      <c r="E1504" s="55" t="s">
        <v>3919</v>
      </c>
      <c r="F1504" s="55" t="s">
        <v>8736</v>
      </c>
      <c r="G1504" s="55" t="s">
        <v>8737</v>
      </c>
      <c r="H1504" s="55" t="s">
        <v>56</v>
      </c>
      <c r="I1504" s="55"/>
      <c r="J1504" s="55" t="s">
        <v>8734</v>
      </c>
      <c r="K1504" s="55" t="s">
        <v>62</v>
      </c>
      <c r="L1504" s="57" t="str">
        <f>HYPERLINK("https://nycdoe.sharepoint.com/:w:/s/BAP/EczClETJEvZCj9nRpwBxGlYBmmhCFMQqnW8FB1JQkUDVQQ", "10 out of 10")</f>
        <v>10 out of 10</v>
      </c>
      <c r="M1504" t="s">
        <v>8735</v>
      </c>
    </row>
    <row r="1505" spans="2:13">
      <c r="B1505" s="55" t="s">
        <v>3808</v>
      </c>
      <c r="C1505" s="55" t="s">
        <v>3162</v>
      </c>
      <c r="D1505" s="55" t="s">
        <v>3926</v>
      </c>
      <c r="E1505" s="55" t="s">
        <v>3926</v>
      </c>
      <c r="F1505" s="55" t="s">
        <v>8738</v>
      </c>
      <c r="G1505" s="55" t="s">
        <v>8739</v>
      </c>
      <c r="H1505" s="55" t="s">
        <v>56</v>
      </c>
      <c r="I1505" s="55"/>
      <c r="J1505" s="55" t="s">
        <v>8740</v>
      </c>
      <c r="K1505" s="55" t="s">
        <v>62</v>
      </c>
      <c r="L1505" s="57" t="str">
        <f>HYPERLINK("https://nycdoe.sharepoint.com/:w:/s/BAP/EUZjt74erspFhRIeRlwIWVUBFmZ1-V8BZ-LOAo84k5z5ug", "10 out of 10")</f>
        <v>10 out of 10</v>
      </c>
      <c r="M1505" t="s">
        <v>8741</v>
      </c>
    </row>
    <row r="1506" spans="2:13">
      <c r="B1506" s="55" t="s">
        <v>3808</v>
      </c>
      <c r="C1506" s="55" t="s">
        <v>3162</v>
      </c>
      <c r="D1506" s="55" t="s">
        <v>3926</v>
      </c>
      <c r="E1506" s="55" t="s">
        <v>3383</v>
      </c>
      <c r="F1506" s="55" t="s">
        <v>8089</v>
      </c>
      <c r="G1506" s="55" t="s">
        <v>8090</v>
      </c>
      <c r="H1506" s="55" t="s">
        <v>56</v>
      </c>
      <c r="I1506" s="55"/>
      <c r="J1506" s="55" t="s">
        <v>8740</v>
      </c>
      <c r="K1506" s="55" t="s">
        <v>62</v>
      </c>
      <c r="L1506" s="57" t="str">
        <f>HYPERLINK("https://nycdoe.sharepoint.com/:w:/s/BAP/EUZjt74erspFhRIeRlwIWVUBFmZ1-V8BZ-LOAo84k5z5ug", "10 out of 10")</f>
        <v>10 out of 10</v>
      </c>
      <c r="M1506" t="s">
        <v>8741</v>
      </c>
    </row>
    <row r="1507" spans="2:13">
      <c r="B1507" s="55" t="s">
        <v>3808</v>
      </c>
      <c r="C1507" s="55" t="s">
        <v>3162</v>
      </c>
      <c r="D1507" s="55" t="s">
        <v>3930</v>
      </c>
      <c r="E1507" s="55" t="s">
        <v>3914</v>
      </c>
      <c r="F1507" s="55" t="s">
        <v>8742</v>
      </c>
      <c r="G1507" s="55" t="s">
        <v>8743</v>
      </c>
      <c r="H1507" s="55" t="s">
        <v>84</v>
      </c>
      <c r="I1507" s="55"/>
      <c r="J1507" s="55" t="s">
        <v>8744</v>
      </c>
      <c r="K1507" s="55" t="s">
        <v>62</v>
      </c>
      <c r="L1507" s="57" t="str">
        <f>HYPERLINK("https://nycdoe.sharepoint.com/:w:/s/BAP/EQloF403BpxGp8Xv-z2-BiQBWN5ixYKR1mO7qO-WRdC0Vw", "10 out of 10")</f>
        <v>10 out of 10</v>
      </c>
      <c r="M1507" t="s">
        <v>8745</v>
      </c>
    </row>
    <row r="1508" spans="2:13">
      <c r="B1508" s="55" t="s">
        <v>3808</v>
      </c>
      <c r="C1508" s="55" t="s">
        <v>3162</v>
      </c>
      <c r="D1508" s="55" t="s">
        <v>3930</v>
      </c>
      <c r="E1508" s="55" t="s">
        <v>3383</v>
      </c>
      <c r="F1508" s="55" t="s">
        <v>8089</v>
      </c>
      <c r="G1508" s="55" t="s">
        <v>8090</v>
      </c>
      <c r="H1508" s="55" t="s">
        <v>56</v>
      </c>
      <c r="I1508" s="55"/>
      <c r="J1508" s="55" t="s">
        <v>8744</v>
      </c>
      <c r="K1508" s="55" t="s">
        <v>62</v>
      </c>
      <c r="L1508" s="57" t="str">
        <f>HYPERLINK("https://nycdoe.sharepoint.com/:w:/s/BAP/EQloF403BpxGp8Xv-z2-BiQBWN5ixYKR1mO7qO-WRdC0Vw", "10 out of 10")</f>
        <v>10 out of 10</v>
      </c>
      <c r="M1508" t="s">
        <v>8745</v>
      </c>
    </row>
    <row r="1509" spans="2:13">
      <c r="B1509" s="55" t="s">
        <v>3808</v>
      </c>
      <c r="C1509" s="55" t="s">
        <v>3162</v>
      </c>
      <c r="D1509" s="55" t="s">
        <v>3934</v>
      </c>
      <c r="E1509" s="55" t="s">
        <v>3935</v>
      </c>
      <c r="F1509" s="55" t="s">
        <v>8746</v>
      </c>
      <c r="G1509" s="55" t="s">
        <v>8747</v>
      </c>
      <c r="H1509" s="55" t="s">
        <v>56</v>
      </c>
      <c r="I1509" s="55"/>
      <c r="J1509" s="55" t="s">
        <v>8748</v>
      </c>
      <c r="K1509" s="55" t="s">
        <v>62</v>
      </c>
      <c r="L1509" s="57" t="str">
        <f>HYPERLINK("https://nycdoe.sharepoint.com/:w:/s/BAP/EQg6oNXYNCRLroQ2GYrpT_EBvoeyWrLYnbcHVzagbDwsmw", "10 out of 10")</f>
        <v>10 out of 10</v>
      </c>
      <c r="M1509" t="s">
        <v>8749</v>
      </c>
    </row>
    <row r="1510" spans="2:13">
      <c r="B1510" s="55" t="s">
        <v>3808</v>
      </c>
      <c r="C1510" s="55" t="s">
        <v>3162</v>
      </c>
      <c r="D1510" s="55" t="s">
        <v>8750</v>
      </c>
      <c r="E1510" s="55" t="s">
        <v>8751</v>
      </c>
      <c r="F1510" s="55" t="s">
        <v>8752</v>
      </c>
      <c r="G1510" s="55" t="s">
        <v>8753</v>
      </c>
      <c r="H1510" s="55" t="s">
        <v>17</v>
      </c>
      <c r="I1510" s="55"/>
      <c r="J1510" s="55" t="s">
        <v>8754</v>
      </c>
      <c r="K1510" s="55" t="s">
        <v>62</v>
      </c>
      <c r="L1510" s="57" t="str">
        <f>HYPERLINK("https://nycdoe.sharepoint.com/:w:/s/BAP/ESN6U9VuJB5NlwLrZwyXF3MBn7-ZxA7HOzx1THVQh0WH5w", "10 out of 10")</f>
        <v>10 out of 10</v>
      </c>
      <c r="M1510" t="s">
        <v>8755</v>
      </c>
    </row>
    <row r="1511" spans="2:13">
      <c r="B1511" s="55" t="s">
        <v>3808</v>
      </c>
      <c r="C1511" s="55" t="s">
        <v>3162</v>
      </c>
      <c r="D1511" s="55" t="s">
        <v>8756</v>
      </c>
      <c r="E1511" s="55" t="s">
        <v>3834</v>
      </c>
      <c r="F1511" s="55" t="s">
        <v>8626</v>
      </c>
      <c r="G1511" s="55" t="s">
        <v>8627</v>
      </c>
      <c r="H1511" s="55" t="s">
        <v>17</v>
      </c>
      <c r="I1511" s="55" t="s">
        <v>18</v>
      </c>
      <c r="J1511" s="55" t="s">
        <v>8628</v>
      </c>
      <c r="K1511" s="55" t="s">
        <v>62</v>
      </c>
      <c r="L1511" s="57" t="str">
        <f>HYPERLINK("https://nycdoe.sharepoint.com/:w:/s/BAP/ETJ0C-tggXRHgroEEuIdV1oBS6Hq8rGjB-jhBj1HwDZ6vA", "9 out of 10")</f>
        <v>9 out of 10</v>
      </c>
      <c r="M1511" t="s">
        <v>8757</v>
      </c>
    </row>
    <row r="1512" spans="2:13">
      <c r="B1512" s="55" t="s">
        <v>3808</v>
      </c>
      <c r="C1512" s="55" t="s">
        <v>3162</v>
      </c>
      <c r="D1512" s="55" t="s">
        <v>8758</v>
      </c>
      <c r="E1512" s="55" t="s">
        <v>3416</v>
      </c>
      <c r="F1512" s="55" t="s">
        <v>8128</v>
      </c>
      <c r="G1512" s="55" t="s">
        <v>3418</v>
      </c>
      <c r="H1512" s="55" t="s">
        <v>43</v>
      </c>
      <c r="I1512" s="55"/>
      <c r="J1512" s="55" t="s">
        <v>8759</v>
      </c>
      <c r="K1512" s="55" t="s">
        <v>62</v>
      </c>
      <c r="L1512" s="57" t="str">
        <f>HYPERLINK("https://nycdoe.sharepoint.com/:w:/s/BAP/EVPVZhtKH21FmIVdIKkvshEBpRok4xpp9E0sgQLFhv82LQ", "10 out of 10")</f>
        <v>10 out of 10</v>
      </c>
      <c r="M1512" t="s">
        <v>8760</v>
      </c>
    </row>
    <row r="1513" spans="2:13">
      <c r="B1513" s="55" t="s">
        <v>3808</v>
      </c>
      <c r="C1513" s="55" t="s">
        <v>3162</v>
      </c>
      <c r="D1513" s="55" t="s">
        <v>8761</v>
      </c>
      <c r="E1513" s="55" t="s">
        <v>3882</v>
      </c>
      <c r="F1513" s="55" t="s">
        <v>8701</v>
      </c>
      <c r="G1513" s="55" t="s">
        <v>8702</v>
      </c>
      <c r="H1513" s="55" t="s">
        <v>52</v>
      </c>
      <c r="I1513" s="55"/>
      <c r="J1513" s="55" t="s">
        <v>8699</v>
      </c>
      <c r="K1513" s="55" t="s">
        <v>62</v>
      </c>
      <c r="L1513" s="57" t="str">
        <f>HYPERLINK("https://nycdoe.sharepoint.com/:w:/s/BAP/ERbHyiiEPkRLgblCLpRG6-kB9YGLmnJMApC_ZDAXXegk-A", "10 out of 10")</f>
        <v>10 out of 10</v>
      </c>
      <c r="M1513" t="s">
        <v>8762</v>
      </c>
    </row>
    <row r="1514" spans="2:13">
      <c r="B1514" s="55" t="s">
        <v>3939</v>
      </c>
      <c r="C1514" s="55" t="s">
        <v>3162</v>
      </c>
      <c r="D1514" s="55" t="s">
        <v>3940</v>
      </c>
      <c r="E1514" s="55" t="s">
        <v>3940</v>
      </c>
      <c r="F1514" s="55" t="s">
        <v>8763</v>
      </c>
      <c r="G1514" s="55" t="s">
        <v>8764</v>
      </c>
      <c r="H1514" s="55" t="s">
        <v>17</v>
      </c>
      <c r="I1514" s="55" t="s">
        <v>18</v>
      </c>
      <c r="J1514" s="55" t="s">
        <v>8765</v>
      </c>
      <c r="K1514" s="55" t="s">
        <v>62</v>
      </c>
      <c r="L1514" s="57" t="str">
        <f>HYPERLINK("https://nycdoe.sharepoint.com/:w:/s/BAP/EUltlQV0w61Km6MDegeCy34BFkXXcjQK6M49hPCUB_rKew", "9 out of 10")</f>
        <v>9 out of 10</v>
      </c>
      <c r="M1514" t="s">
        <v>8766</v>
      </c>
    </row>
    <row r="1515" spans="2:13">
      <c r="B1515" s="55" t="s">
        <v>3939</v>
      </c>
      <c r="C1515" s="55" t="s">
        <v>3162</v>
      </c>
      <c r="D1515" s="55" t="s">
        <v>3944</v>
      </c>
      <c r="E1515" s="55" t="s">
        <v>3944</v>
      </c>
      <c r="F1515" s="55" t="s">
        <v>8767</v>
      </c>
      <c r="G1515" s="55" t="s">
        <v>8768</v>
      </c>
      <c r="H1515" s="55" t="s">
        <v>17</v>
      </c>
      <c r="I1515" s="55" t="s">
        <v>18</v>
      </c>
      <c r="J1515" s="55" t="s">
        <v>8769</v>
      </c>
      <c r="K1515" s="55" t="s">
        <v>20</v>
      </c>
      <c r="L1515" s="57" t="str">
        <f>HYPERLINK("https://nycdoe.sharepoint.com/:w:/s/BAP/EUR50u8vtJFHglUmNP6y8kABR_Q10Jn6rGk5nUnHjgod-w", "6 out of 10")</f>
        <v>6 out of 10</v>
      </c>
      <c r="M1515" t="s">
        <v>8770</v>
      </c>
    </row>
    <row r="1516" spans="2:13">
      <c r="B1516" s="55" t="s">
        <v>3939</v>
      </c>
      <c r="C1516" s="55" t="s">
        <v>3162</v>
      </c>
      <c r="D1516" s="55" t="s">
        <v>8771</v>
      </c>
      <c r="E1516" s="55" t="s">
        <v>8771</v>
      </c>
      <c r="F1516" s="55" t="s">
        <v>8772</v>
      </c>
      <c r="G1516" s="55" t="s">
        <v>8773</v>
      </c>
      <c r="H1516" s="55" t="s">
        <v>17</v>
      </c>
      <c r="I1516" s="55" t="s">
        <v>18</v>
      </c>
      <c r="J1516" s="55" t="s">
        <v>8774</v>
      </c>
      <c r="K1516" s="55" t="s">
        <v>20</v>
      </c>
      <c r="L1516" s="57" t="str">
        <f>HYPERLINK("https://nycdoe.sharepoint.com/:w:/s/BAP/EW8bkWGvYZ9BmDZiHrCArLgBYkoy8wtooiU0HxZHhwg1yA", "1 out of 10")</f>
        <v>1 out of 10</v>
      </c>
      <c r="M1516" t="s">
        <v>8775</v>
      </c>
    </row>
    <row r="1517" spans="2:13">
      <c r="B1517" s="55" t="s">
        <v>3939</v>
      </c>
      <c r="C1517" s="55" t="s">
        <v>3162</v>
      </c>
      <c r="D1517" s="55" t="s">
        <v>3948</v>
      </c>
      <c r="E1517" s="55" t="s">
        <v>3948</v>
      </c>
      <c r="F1517" s="55" t="s">
        <v>8776</v>
      </c>
      <c r="G1517" s="55" t="s">
        <v>8777</v>
      </c>
      <c r="H1517" s="55" t="s">
        <v>17</v>
      </c>
      <c r="I1517" s="55" t="s">
        <v>18</v>
      </c>
      <c r="J1517" s="55" t="s">
        <v>8778</v>
      </c>
      <c r="K1517" s="55" t="s">
        <v>62</v>
      </c>
      <c r="L1517" s="57" t="str">
        <f>HYPERLINK("https://nycdoe.sharepoint.com/:w:/s/BAP/EcUrEKIBGCNPsxh1PCdR6OsBKDYDF4cDd1yrBfZ1VNjZgQ", "10 out of 10")</f>
        <v>10 out of 10</v>
      </c>
      <c r="M1517" t="s">
        <v>8779</v>
      </c>
    </row>
    <row r="1518" spans="2:13">
      <c r="B1518" s="55" t="s">
        <v>3939</v>
      </c>
      <c r="C1518" s="55" t="s">
        <v>3162</v>
      </c>
      <c r="D1518" s="55" t="s">
        <v>8780</v>
      </c>
      <c r="E1518" s="55" t="s">
        <v>8780</v>
      </c>
      <c r="F1518" s="55" t="s">
        <v>8781</v>
      </c>
      <c r="G1518" s="55" t="s">
        <v>8782</v>
      </c>
      <c r="H1518" s="55" t="s">
        <v>17</v>
      </c>
      <c r="I1518" s="55" t="s">
        <v>18</v>
      </c>
      <c r="J1518" s="55" t="s">
        <v>8783</v>
      </c>
      <c r="K1518" s="55" t="s">
        <v>20</v>
      </c>
      <c r="L1518" s="57" t="str">
        <f>HYPERLINK("https://nycdoe.sharepoint.com/:w:/s/BAP/EaUjuaAYCvFClL7xipgZgIgB3KEaEyqvdtXgUgdJsIRQWA", "2 out of 10")</f>
        <v>2 out of 10</v>
      </c>
      <c r="M1518" t="s">
        <v>8784</v>
      </c>
    </row>
    <row r="1519" spans="2:13">
      <c r="B1519" s="55" t="s">
        <v>3939</v>
      </c>
      <c r="C1519" s="55" t="s">
        <v>3162</v>
      </c>
      <c r="D1519" s="55" t="s">
        <v>3955</v>
      </c>
      <c r="E1519" s="55" t="s">
        <v>3955</v>
      </c>
      <c r="F1519" s="55" t="s">
        <v>8785</v>
      </c>
      <c r="G1519" s="55" t="s">
        <v>8786</v>
      </c>
      <c r="H1519" s="55" t="s">
        <v>17</v>
      </c>
      <c r="I1519" s="55" t="s">
        <v>18</v>
      </c>
      <c r="J1519" s="55" t="s">
        <v>8787</v>
      </c>
      <c r="K1519" s="55" t="s">
        <v>20</v>
      </c>
      <c r="L1519" s="57" t="str">
        <f>HYPERLINK("https://nycdoe.sharepoint.com/:w:/s/BAP/Ee45Wj0GWaxDuQgXvVMevjYBjjoIXMqfCo0ywrZjQGPd6A", "1 out of 10")</f>
        <v>1 out of 10</v>
      </c>
      <c r="M1519" t="s">
        <v>8788</v>
      </c>
    </row>
    <row r="1520" spans="2:13">
      <c r="B1520" s="55" t="s">
        <v>3939</v>
      </c>
      <c r="C1520" s="55" t="s">
        <v>3162</v>
      </c>
      <c r="D1520" s="55" t="s">
        <v>3955</v>
      </c>
      <c r="E1520" s="55" t="s">
        <v>3597</v>
      </c>
      <c r="F1520" s="55" t="s">
        <v>8375</v>
      </c>
      <c r="G1520" s="55" t="s">
        <v>3599</v>
      </c>
      <c r="H1520" s="55" t="s">
        <v>43</v>
      </c>
      <c r="I1520" s="55"/>
      <c r="J1520" s="55" t="s">
        <v>8787</v>
      </c>
      <c r="K1520" s="55" t="s">
        <v>20</v>
      </c>
      <c r="L1520" s="57" t="str">
        <f>HYPERLINK("https://nycdoe.sharepoint.com/:w:/s/BAP/Ee45Wj0GWaxDuQgXvVMevjYBjjoIXMqfCo0ywrZjQGPd6A", "1 out of 10")</f>
        <v>1 out of 10</v>
      </c>
      <c r="M1520" t="s">
        <v>8788</v>
      </c>
    </row>
    <row r="1521" spans="2:13">
      <c r="B1521" s="55" t="s">
        <v>3939</v>
      </c>
      <c r="C1521" s="55" t="s">
        <v>3162</v>
      </c>
      <c r="D1521" s="55" t="s">
        <v>3959</v>
      </c>
      <c r="E1521" s="55" t="s">
        <v>3959</v>
      </c>
      <c r="F1521" s="55" t="s">
        <v>8789</v>
      </c>
      <c r="G1521" s="55" t="s">
        <v>8790</v>
      </c>
      <c r="H1521" s="55" t="s">
        <v>52</v>
      </c>
      <c r="I1521" s="55"/>
      <c r="J1521" s="55" t="s">
        <v>8791</v>
      </c>
      <c r="K1521" s="55" t="s">
        <v>62</v>
      </c>
      <c r="L1521" s="57" t="str">
        <f>HYPERLINK("https://nycdoe.sharepoint.com/:w:/s/BAP/EX-43zjrI1dAu_P8XJN5GioB4WJ2vSrsoFobre6QUsswxg", "9 out of 10")</f>
        <v>9 out of 10</v>
      </c>
      <c r="M1521" t="s">
        <v>8792</v>
      </c>
    </row>
    <row r="1522" spans="2:13">
      <c r="B1522" s="55" t="s">
        <v>3939</v>
      </c>
      <c r="C1522" s="55" t="s">
        <v>3162</v>
      </c>
      <c r="D1522" s="55" t="s">
        <v>3959</v>
      </c>
      <c r="E1522" s="55" t="s">
        <v>3963</v>
      </c>
      <c r="F1522" s="55" t="s">
        <v>8793</v>
      </c>
      <c r="G1522" s="55" t="s">
        <v>8794</v>
      </c>
      <c r="H1522" s="55" t="s">
        <v>24</v>
      </c>
      <c r="I1522" s="55"/>
      <c r="J1522" s="55" t="s">
        <v>8791</v>
      </c>
      <c r="K1522" s="55" t="s">
        <v>62</v>
      </c>
      <c r="L1522" s="57" t="str">
        <f>HYPERLINK("https://nycdoe.sharepoint.com/:w:/s/BAP/EX-43zjrI1dAu_P8XJN5GioB4WJ2vSrsoFobre6QUsswxg", "9 out of 10")</f>
        <v>9 out of 10</v>
      </c>
      <c r="M1522" t="s">
        <v>8792</v>
      </c>
    </row>
    <row r="1523" spans="2:13">
      <c r="B1523" s="55" t="s">
        <v>3939</v>
      </c>
      <c r="C1523" s="55" t="s">
        <v>3162</v>
      </c>
      <c r="D1523" s="55" t="s">
        <v>3952</v>
      </c>
      <c r="E1523" s="55" t="s">
        <v>3952</v>
      </c>
      <c r="F1523" s="55" t="s">
        <v>8795</v>
      </c>
      <c r="G1523" s="55" t="s">
        <v>8796</v>
      </c>
      <c r="H1523" s="55" t="s">
        <v>17</v>
      </c>
      <c r="I1523" s="55"/>
      <c r="J1523" s="55" t="s">
        <v>8797</v>
      </c>
      <c r="K1523" s="55" t="s">
        <v>20</v>
      </c>
      <c r="L1523" s="57" t="str">
        <f>HYPERLINK("https://nycdoe.sharepoint.com/:w:/s/BAP/Ebsl7OMI1OFNhChSL_bu-JIB-Bl35bMse_uWMQnoZ3r2zQ", "2 out of 10")</f>
        <v>2 out of 10</v>
      </c>
      <c r="M1523" t="s">
        <v>8798</v>
      </c>
    </row>
    <row r="1524" spans="2:13">
      <c r="B1524" s="55" t="s">
        <v>3939</v>
      </c>
      <c r="C1524" s="55" t="s">
        <v>3162</v>
      </c>
      <c r="D1524" s="55" t="s">
        <v>3966</v>
      </c>
      <c r="E1524" s="55" t="s">
        <v>3966</v>
      </c>
      <c r="F1524" s="55" t="s">
        <v>8799</v>
      </c>
      <c r="G1524" s="55" t="s">
        <v>8800</v>
      </c>
      <c r="H1524" s="55" t="s">
        <v>17</v>
      </c>
      <c r="I1524" s="55" t="s">
        <v>18</v>
      </c>
      <c r="J1524" s="55" t="s">
        <v>8801</v>
      </c>
      <c r="K1524" s="55" t="s">
        <v>20</v>
      </c>
      <c r="L1524" s="57" t="str">
        <f>HYPERLINK("https://nycdoe.sharepoint.com/:w:/s/BAP/EQHOs6sQkOhBilEJnbNbt9QBrYDnM2brPytA3dr4q588Qw", "4 out of 10")</f>
        <v>4 out of 10</v>
      </c>
      <c r="M1524" t="s">
        <v>8802</v>
      </c>
    </row>
    <row r="1525" spans="2:13">
      <c r="B1525" s="55" t="s">
        <v>3939</v>
      </c>
      <c r="C1525" s="55" t="s">
        <v>3162</v>
      </c>
      <c r="D1525" s="55" t="s">
        <v>3970</v>
      </c>
      <c r="E1525" s="55" t="s">
        <v>3970</v>
      </c>
      <c r="F1525" s="55" t="s">
        <v>8803</v>
      </c>
      <c r="G1525" s="55" t="s">
        <v>8804</v>
      </c>
      <c r="H1525" s="55" t="s">
        <v>17</v>
      </c>
      <c r="I1525" s="55" t="s">
        <v>18</v>
      </c>
      <c r="J1525" s="55" t="s">
        <v>8805</v>
      </c>
      <c r="K1525" s="55" t="s">
        <v>62</v>
      </c>
      <c r="L1525" s="57" t="str">
        <f>HYPERLINK("https://nycdoe.sharepoint.com/:w:/s/BAP/ETeXv4ULe9ZHscOA-sRFD7UBSl51oDpeE-y5EPtUWiqlBw", "9 out of 10")</f>
        <v>9 out of 10</v>
      </c>
      <c r="M1525" t="s">
        <v>8806</v>
      </c>
    </row>
    <row r="1526" spans="2:13">
      <c r="B1526" s="55" t="s">
        <v>3939</v>
      </c>
      <c r="C1526" s="55" t="s">
        <v>3162</v>
      </c>
      <c r="D1526" s="55" t="s">
        <v>3974</v>
      </c>
      <c r="E1526" s="55" t="s">
        <v>3974</v>
      </c>
      <c r="F1526" s="55" t="s">
        <v>8807</v>
      </c>
      <c r="G1526" s="55" t="s">
        <v>8808</v>
      </c>
      <c r="H1526" s="55" t="s">
        <v>17</v>
      </c>
      <c r="I1526" s="55" t="s">
        <v>18</v>
      </c>
      <c r="J1526" s="55" t="s">
        <v>8809</v>
      </c>
      <c r="K1526" s="55" t="s">
        <v>20</v>
      </c>
      <c r="L1526" s="57" t="str">
        <f>HYPERLINK("https://nycdoe.sharepoint.com/:w:/s/BAP/EXHuS_hVxp5Ch0IhgvS5tVwB8kwhuUyLFCX-OXkzgtfmzw", "3 out of 10")</f>
        <v>3 out of 10</v>
      </c>
      <c r="M1526" t="s">
        <v>8810</v>
      </c>
    </row>
    <row r="1527" spans="2:13">
      <c r="B1527" s="55" t="s">
        <v>3939</v>
      </c>
      <c r="C1527" s="55" t="s">
        <v>3162</v>
      </c>
      <c r="D1527" s="55" t="s">
        <v>3974</v>
      </c>
      <c r="E1527" s="55" t="s">
        <v>3416</v>
      </c>
      <c r="F1527" s="55" t="s">
        <v>8128</v>
      </c>
      <c r="G1527" s="55" t="s">
        <v>3418</v>
      </c>
      <c r="H1527" s="55" t="s">
        <v>43</v>
      </c>
      <c r="I1527" s="55"/>
      <c r="J1527" s="55" t="s">
        <v>8809</v>
      </c>
      <c r="K1527" s="55" t="s">
        <v>20</v>
      </c>
      <c r="L1527" s="57" t="str">
        <f>HYPERLINK("https://nycdoe.sharepoint.com/:w:/s/BAP/EXHuS_hVxp5Ch0IhgvS5tVwB8kwhuUyLFCX-OXkzgtfmzw", "3 out of 10")</f>
        <v>3 out of 10</v>
      </c>
      <c r="M1527" t="s">
        <v>8810</v>
      </c>
    </row>
    <row r="1528" spans="2:13">
      <c r="B1528" s="55" t="s">
        <v>3939</v>
      </c>
      <c r="C1528" s="55" t="s">
        <v>3162</v>
      </c>
      <c r="D1528" s="55" t="s">
        <v>3978</v>
      </c>
      <c r="E1528" s="55" t="s">
        <v>3978</v>
      </c>
      <c r="F1528" s="55" t="s">
        <v>8811</v>
      </c>
      <c r="G1528" s="55" t="s">
        <v>8812</v>
      </c>
      <c r="H1528" s="55" t="s">
        <v>17</v>
      </c>
      <c r="I1528" s="55" t="s">
        <v>18</v>
      </c>
      <c r="J1528" s="55" t="s">
        <v>8813</v>
      </c>
      <c r="K1528" s="55" t="s">
        <v>20</v>
      </c>
      <c r="L1528" s="57" t="str">
        <f>HYPERLINK("https://nycdoe.sharepoint.com/:w:/s/BAP/EQUk993Vcr5PhuI1rvRfk2UBKNf90kfx2wexXoGsjrF0Mg", "8 out of 10")</f>
        <v>8 out of 10</v>
      </c>
      <c r="M1528" t="s">
        <v>8814</v>
      </c>
    </row>
    <row r="1529" spans="2:13">
      <c r="B1529" s="55" t="s">
        <v>3939</v>
      </c>
      <c r="C1529" s="55" t="s">
        <v>3162</v>
      </c>
      <c r="D1529" s="55" t="s">
        <v>8815</v>
      </c>
      <c r="E1529" s="55" t="s">
        <v>8815</v>
      </c>
      <c r="F1529" s="55" t="s">
        <v>8816</v>
      </c>
      <c r="G1529" s="55" t="s">
        <v>8817</v>
      </c>
      <c r="H1529" s="55" t="s">
        <v>17</v>
      </c>
      <c r="I1529" s="55" t="s">
        <v>18</v>
      </c>
      <c r="J1529" s="55" t="s">
        <v>8818</v>
      </c>
      <c r="K1529" s="55" t="s">
        <v>20</v>
      </c>
      <c r="L1529" s="57" t="str">
        <f>HYPERLINK("https://nycdoe.sharepoint.com/:w:/s/BAP/EV5EAjiyXw1NqhxEjkGA018BeRrUAa8zxJ9ooumaSx-bCg", "3 out of 10")</f>
        <v>3 out of 10</v>
      </c>
      <c r="M1529" t="s">
        <v>8819</v>
      </c>
    </row>
    <row r="1530" spans="2:13">
      <c r="B1530" s="55" t="s">
        <v>3939</v>
      </c>
      <c r="C1530" s="55" t="s">
        <v>3162</v>
      </c>
      <c r="D1530" s="55" t="s">
        <v>8815</v>
      </c>
      <c r="E1530" s="55" t="s">
        <v>3597</v>
      </c>
      <c r="F1530" s="55" t="s">
        <v>8375</v>
      </c>
      <c r="G1530" s="55" t="s">
        <v>3599</v>
      </c>
      <c r="H1530" s="55" t="s">
        <v>43</v>
      </c>
      <c r="I1530" s="55"/>
      <c r="J1530" s="55" t="s">
        <v>8818</v>
      </c>
      <c r="K1530" s="55" t="s">
        <v>20</v>
      </c>
      <c r="L1530" s="57" t="str">
        <f>HYPERLINK("https://nycdoe.sharepoint.com/:w:/s/BAP/EV5EAjiyXw1NqhxEjkGA018BeRrUAa8zxJ9ooumaSx-bCg", "3 out of 10")</f>
        <v>3 out of 10</v>
      </c>
      <c r="M1530" t="s">
        <v>8819</v>
      </c>
    </row>
    <row r="1531" spans="2:13">
      <c r="B1531" s="55" t="s">
        <v>3939</v>
      </c>
      <c r="C1531" s="55" t="s">
        <v>3162</v>
      </c>
      <c r="D1531" s="55" t="s">
        <v>3982</v>
      </c>
      <c r="E1531" s="55" t="s">
        <v>3544</v>
      </c>
      <c r="F1531" s="55" t="s">
        <v>8325</v>
      </c>
      <c r="G1531" s="55" t="s">
        <v>3546</v>
      </c>
      <c r="H1531" s="55" t="s">
        <v>24</v>
      </c>
      <c r="I1531" s="55" t="s">
        <v>18</v>
      </c>
      <c r="J1531" s="55" t="s">
        <v>8820</v>
      </c>
      <c r="K1531" s="55" t="s">
        <v>20</v>
      </c>
      <c r="L1531" s="57" t="str">
        <f>HYPERLINK("https://nycdoe.sharepoint.com/:w:/s/BAP/ESIfVqawXBFClGt7DJ6fT00Bkyrv7YgWMdx2dwpHJeHqzA", "7 out of 10")</f>
        <v>7 out of 10</v>
      </c>
      <c r="M1531" t="s">
        <v>8821</v>
      </c>
    </row>
    <row r="1532" spans="2:13">
      <c r="B1532" s="55" t="s">
        <v>3939</v>
      </c>
      <c r="C1532" s="55" t="s">
        <v>3162</v>
      </c>
      <c r="D1532" s="55" t="s">
        <v>3982</v>
      </c>
      <c r="E1532" s="55" t="s">
        <v>3982</v>
      </c>
      <c r="F1532" s="55" t="s">
        <v>8822</v>
      </c>
      <c r="G1532" s="55" t="s">
        <v>8823</v>
      </c>
      <c r="H1532" s="55" t="s">
        <v>24</v>
      </c>
      <c r="I1532" s="55" t="s">
        <v>18</v>
      </c>
      <c r="J1532" s="55" t="s">
        <v>8820</v>
      </c>
      <c r="K1532" s="55" t="s">
        <v>20</v>
      </c>
      <c r="L1532" s="57" t="str">
        <f>HYPERLINK("https://nycdoe.sharepoint.com/:w:/s/BAP/ESIfVqawXBFClGt7DJ6fT00Bkyrv7YgWMdx2dwpHJeHqzA", "7 out of 10")</f>
        <v>7 out of 10</v>
      </c>
      <c r="M1532" t="s">
        <v>8821</v>
      </c>
    </row>
    <row r="1533" spans="2:13">
      <c r="B1533" s="55" t="s">
        <v>3939</v>
      </c>
      <c r="C1533" s="55" t="s">
        <v>3162</v>
      </c>
      <c r="D1533" s="55" t="s">
        <v>8824</v>
      </c>
      <c r="E1533" s="55" t="s">
        <v>8824</v>
      </c>
      <c r="F1533" s="55" t="s">
        <v>8825</v>
      </c>
      <c r="G1533" s="55" t="s">
        <v>8826</v>
      </c>
      <c r="H1533" s="55" t="s">
        <v>17</v>
      </c>
      <c r="I1533" s="55" t="s">
        <v>18</v>
      </c>
      <c r="J1533" s="55" t="s">
        <v>8827</v>
      </c>
      <c r="K1533" s="55" t="s">
        <v>20</v>
      </c>
      <c r="L1533" s="57" t="str">
        <f>HYPERLINK("https://nycdoe.sharepoint.com/:w:/s/BAP/Eaw67QWUDPVAs5AJfEtxW7oBBRBjha9OkFtsgJ7ggmI2GQ", "3 out of 10")</f>
        <v>3 out of 10</v>
      </c>
      <c r="M1533" t="s">
        <v>8828</v>
      </c>
    </row>
    <row r="1534" spans="2:13">
      <c r="B1534" s="55" t="s">
        <v>3939</v>
      </c>
      <c r="C1534" s="55" t="s">
        <v>3162</v>
      </c>
      <c r="D1534" s="55" t="s">
        <v>8824</v>
      </c>
      <c r="E1534" s="55" t="s">
        <v>8829</v>
      </c>
      <c r="F1534" s="55" t="s">
        <v>8830</v>
      </c>
      <c r="G1534" s="55" t="s">
        <v>8831</v>
      </c>
      <c r="H1534" s="55" t="s">
        <v>52</v>
      </c>
      <c r="I1534" s="55"/>
      <c r="J1534" s="55" t="s">
        <v>8827</v>
      </c>
      <c r="K1534" s="55" t="s">
        <v>20</v>
      </c>
      <c r="L1534" s="57" t="str">
        <f>HYPERLINK("https://nycdoe.sharepoint.com/:w:/s/BAP/Eaw67QWUDPVAs5AJfEtxW7oBBRBjha9OkFtsgJ7ggmI2GQ", "3 out of 10")</f>
        <v>3 out of 10</v>
      </c>
      <c r="M1534" t="s">
        <v>8828</v>
      </c>
    </row>
    <row r="1535" spans="2:13">
      <c r="B1535" s="55" t="s">
        <v>3939</v>
      </c>
      <c r="C1535" s="55" t="s">
        <v>3162</v>
      </c>
      <c r="D1535" s="55" t="s">
        <v>8824</v>
      </c>
      <c r="E1535" s="55" t="s">
        <v>3597</v>
      </c>
      <c r="F1535" s="55" t="s">
        <v>8375</v>
      </c>
      <c r="G1535" s="55" t="s">
        <v>3599</v>
      </c>
      <c r="H1535" s="55" t="s">
        <v>43</v>
      </c>
      <c r="I1535" s="55"/>
      <c r="J1535" s="55" t="s">
        <v>8827</v>
      </c>
      <c r="K1535" s="55" t="s">
        <v>20</v>
      </c>
      <c r="L1535" s="57" t="str">
        <f>HYPERLINK("https://nycdoe.sharepoint.com/:w:/s/BAP/Eaw67QWUDPVAs5AJfEtxW7oBBRBjha9OkFtsgJ7ggmI2GQ", "3 out of 10")</f>
        <v>3 out of 10</v>
      </c>
      <c r="M1535" t="s">
        <v>8828</v>
      </c>
    </row>
    <row r="1536" spans="2:13">
      <c r="B1536" s="55" t="s">
        <v>3939</v>
      </c>
      <c r="C1536" s="55" t="s">
        <v>3162</v>
      </c>
      <c r="D1536" s="55" t="s">
        <v>3986</v>
      </c>
      <c r="E1536" s="55" t="s">
        <v>3986</v>
      </c>
      <c r="F1536" s="55" t="s">
        <v>8832</v>
      </c>
      <c r="G1536" s="55" t="s">
        <v>8833</v>
      </c>
      <c r="H1536" s="55" t="s">
        <v>17</v>
      </c>
      <c r="I1536" s="55" t="s">
        <v>18</v>
      </c>
      <c r="J1536" s="55" t="s">
        <v>8834</v>
      </c>
      <c r="K1536" s="55" t="s">
        <v>62</v>
      </c>
      <c r="L1536" s="57" t="str">
        <f>HYPERLINK("https://nycdoe.sharepoint.com/:w:/s/BAP/EUWnk0_7lrdKhVAitci_a7IB1oYsc3Y4IIsIhRPHs8IfhQ", "9 out of 10")</f>
        <v>9 out of 10</v>
      </c>
      <c r="M1536" t="s">
        <v>8835</v>
      </c>
    </row>
    <row r="1537" spans="2:13">
      <c r="B1537" s="55" t="s">
        <v>3939</v>
      </c>
      <c r="C1537" s="55" t="s">
        <v>3162</v>
      </c>
      <c r="D1537" s="55" t="s">
        <v>3990</v>
      </c>
      <c r="E1537" s="55" t="s">
        <v>3990</v>
      </c>
      <c r="F1537" s="55" t="s">
        <v>8836</v>
      </c>
      <c r="G1537" s="55" t="s">
        <v>8837</v>
      </c>
      <c r="H1537" s="55" t="s">
        <v>17</v>
      </c>
      <c r="I1537" s="55" t="s">
        <v>18</v>
      </c>
      <c r="J1537" s="55" t="s">
        <v>8838</v>
      </c>
      <c r="K1537" s="55" t="s">
        <v>62</v>
      </c>
      <c r="L1537" s="57" t="str">
        <f>HYPERLINK("https://nycdoe.sharepoint.com/:w:/s/BAP/ESl9_gNc6m5KkjEiNft8JCABFiJb2d6H1DNEupJsDwVQGg", "9 out of 10")</f>
        <v>9 out of 10</v>
      </c>
      <c r="M1537" t="s">
        <v>8839</v>
      </c>
    </row>
    <row r="1538" spans="2:13">
      <c r="B1538" s="55" t="s">
        <v>3939</v>
      </c>
      <c r="C1538" s="55" t="s">
        <v>3162</v>
      </c>
      <c r="D1538" s="55" t="s">
        <v>3994</v>
      </c>
      <c r="E1538" s="55" t="s">
        <v>3994</v>
      </c>
      <c r="F1538" s="55" t="s">
        <v>8840</v>
      </c>
      <c r="G1538" s="55" t="s">
        <v>8841</v>
      </c>
      <c r="H1538" s="55" t="s">
        <v>17</v>
      </c>
      <c r="I1538" s="55" t="s">
        <v>18</v>
      </c>
      <c r="J1538" s="55" t="s">
        <v>8842</v>
      </c>
      <c r="K1538" s="55" t="s">
        <v>20</v>
      </c>
      <c r="L1538" s="57" t="str">
        <f>HYPERLINK("https://nycdoe.sharepoint.com/:w:/s/BAP/EYBmBXT9HwBHic4GvpwyFxsBFJYEJoSUVo7Kt5WXfCEYHA", "8 out of 10")</f>
        <v>8 out of 10</v>
      </c>
      <c r="M1538" t="s">
        <v>8843</v>
      </c>
    </row>
    <row r="1539" spans="2:13">
      <c r="B1539" s="55" t="s">
        <v>3939</v>
      </c>
      <c r="C1539" s="55" t="s">
        <v>3162</v>
      </c>
      <c r="D1539" s="55" t="s">
        <v>3998</v>
      </c>
      <c r="E1539" s="55" t="s">
        <v>3167</v>
      </c>
      <c r="F1539" s="55" t="s">
        <v>7874</v>
      </c>
      <c r="G1539" s="55" t="s">
        <v>3169</v>
      </c>
      <c r="H1539" s="55" t="s">
        <v>24</v>
      </c>
      <c r="I1539" s="55"/>
      <c r="J1539" s="55" t="s">
        <v>8844</v>
      </c>
      <c r="K1539" s="55" t="s">
        <v>62</v>
      </c>
      <c r="L1539" s="57" t="str">
        <f>HYPERLINK("https://nycdoe.sharepoint.com/:w:/s/BAP/Eap7R5-kO1BGtwmMFKiea24BgnXSJBluKiAUbHKafn8gXw", "9 out of 10")</f>
        <v>9 out of 10</v>
      </c>
      <c r="M1539" t="s">
        <v>8845</v>
      </c>
    </row>
    <row r="1540" spans="2:13">
      <c r="B1540" s="55" t="s">
        <v>3939</v>
      </c>
      <c r="C1540" s="55" t="s">
        <v>3162</v>
      </c>
      <c r="D1540" s="55" t="s">
        <v>3998</v>
      </c>
      <c r="E1540" s="55" t="s">
        <v>3998</v>
      </c>
      <c r="F1540" s="55" t="s">
        <v>8846</v>
      </c>
      <c r="G1540" s="55" t="s">
        <v>8847</v>
      </c>
      <c r="H1540" s="55" t="s">
        <v>52</v>
      </c>
      <c r="I1540" s="55"/>
      <c r="J1540" s="55" t="s">
        <v>8844</v>
      </c>
      <c r="K1540" s="55" t="s">
        <v>62</v>
      </c>
      <c r="L1540" s="57" t="str">
        <f>HYPERLINK("https://nycdoe.sharepoint.com/:w:/s/BAP/Eap7R5-kO1BGtwmMFKiea24BgnXSJBluKiAUbHKafn8gXw", "9 out of 10")</f>
        <v>9 out of 10</v>
      </c>
      <c r="M1540" t="s">
        <v>8845</v>
      </c>
    </row>
    <row r="1541" spans="2:13">
      <c r="B1541" s="55" t="s">
        <v>3939</v>
      </c>
      <c r="C1541" s="55" t="s">
        <v>3162</v>
      </c>
      <c r="D1541" s="55" t="s">
        <v>3998</v>
      </c>
      <c r="E1541" s="55" t="s">
        <v>8848</v>
      </c>
      <c r="F1541" s="55" t="s">
        <v>8849</v>
      </c>
      <c r="G1541" s="55" t="s">
        <v>8850</v>
      </c>
      <c r="H1541" s="55" t="s">
        <v>56</v>
      </c>
      <c r="I1541" s="55"/>
      <c r="J1541" s="55" t="s">
        <v>8844</v>
      </c>
      <c r="K1541" s="55" t="s">
        <v>62</v>
      </c>
      <c r="L1541" s="57" t="str">
        <f>HYPERLINK("https://nycdoe.sharepoint.com/:w:/s/BAP/Eap7R5-kO1BGtwmMFKiea24BgnXSJBluKiAUbHKafn8gXw", "9 out of 10")</f>
        <v>9 out of 10</v>
      </c>
      <c r="M1541" t="s">
        <v>8845</v>
      </c>
    </row>
    <row r="1542" spans="2:13">
      <c r="B1542" s="55" t="s">
        <v>3939</v>
      </c>
      <c r="C1542" s="55" t="s">
        <v>3162</v>
      </c>
      <c r="D1542" s="55" t="s">
        <v>4002</v>
      </c>
      <c r="E1542" s="55" t="s">
        <v>4002</v>
      </c>
      <c r="F1542" s="55" t="s">
        <v>8851</v>
      </c>
      <c r="G1542" s="55" t="s">
        <v>8852</v>
      </c>
      <c r="H1542" s="55" t="s">
        <v>17</v>
      </c>
      <c r="I1542" s="55" t="s">
        <v>18</v>
      </c>
      <c r="J1542" s="55" t="s">
        <v>8853</v>
      </c>
      <c r="K1542" s="55" t="s">
        <v>20</v>
      </c>
      <c r="L1542" s="57" t="str">
        <f>HYPERLINK("https://nycdoe.sharepoint.com/:w:/s/BAP/EfjZKOmWEC5JiIA9uZyewkEBGC7VNSpTwdf4USxJujVX0Q", "1 out of 10")</f>
        <v>1 out of 10</v>
      </c>
      <c r="M1542" t="s">
        <v>8854</v>
      </c>
    </row>
    <row r="1543" spans="2:13">
      <c r="B1543" s="55" t="s">
        <v>3939</v>
      </c>
      <c r="C1543" s="55" t="s">
        <v>3162</v>
      </c>
      <c r="D1543" s="55" t="s">
        <v>4006</v>
      </c>
      <c r="E1543" s="55" t="s">
        <v>3539</v>
      </c>
      <c r="F1543" s="55" t="s">
        <v>8211</v>
      </c>
      <c r="G1543" s="55" t="s">
        <v>3541</v>
      </c>
      <c r="H1543" s="55" t="s">
        <v>43</v>
      </c>
      <c r="I1543" s="55"/>
      <c r="J1543" s="55" t="s">
        <v>8855</v>
      </c>
      <c r="K1543" s="55" t="s">
        <v>62</v>
      </c>
      <c r="L1543" s="57" t="str">
        <f>HYPERLINK("https://nycdoe.sharepoint.com/:w:/s/BAP/Ec6DqVnb5zdCjyEl709ITUgBX-OS_KlEf8YXh_7FqpuCSw", "10 out of 10")</f>
        <v>10 out of 10</v>
      </c>
      <c r="M1543" t="s">
        <v>8856</v>
      </c>
    </row>
    <row r="1544" spans="2:13">
      <c r="B1544" s="55" t="s">
        <v>3939</v>
      </c>
      <c r="C1544" s="55" t="s">
        <v>3162</v>
      </c>
      <c r="D1544" s="55" t="s">
        <v>4006</v>
      </c>
      <c r="E1544" s="55" t="s">
        <v>4008</v>
      </c>
      <c r="F1544" s="55" t="s">
        <v>8857</v>
      </c>
      <c r="G1544" s="55" t="s">
        <v>4010</v>
      </c>
      <c r="H1544" s="55" t="s">
        <v>24</v>
      </c>
      <c r="I1544" s="55" t="s">
        <v>18</v>
      </c>
      <c r="J1544" s="55" t="s">
        <v>8855</v>
      </c>
      <c r="K1544" s="55" t="s">
        <v>62</v>
      </c>
      <c r="L1544" s="57" t="str">
        <f>HYPERLINK("https://nycdoe.sharepoint.com/:w:/s/BAP/Ec6DqVnb5zdCjyEl709ITUgBX-OS_KlEf8YXh_7FqpuCSw", "10 out of 10")</f>
        <v>10 out of 10</v>
      </c>
      <c r="M1544" t="s">
        <v>8856</v>
      </c>
    </row>
    <row r="1545" spans="2:13">
      <c r="B1545" s="55" t="s">
        <v>3939</v>
      </c>
      <c r="C1545" s="55" t="s">
        <v>3162</v>
      </c>
      <c r="D1545" s="55" t="s">
        <v>4011</v>
      </c>
      <c r="E1545" s="55" t="s">
        <v>3167</v>
      </c>
      <c r="F1545" s="55" t="s">
        <v>7874</v>
      </c>
      <c r="G1545" s="55" t="s">
        <v>3169</v>
      </c>
      <c r="H1545" s="55" t="s">
        <v>24</v>
      </c>
      <c r="I1545" s="55"/>
      <c r="J1545" s="55" t="s">
        <v>8858</v>
      </c>
      <c r="K1545" s="55" t="s">
        <v>62</v>
      </c>
      <c r="L1545" s="57" t="str">
        <f>HYPERLINK("https://nycdoe.sharepoint.com/:w:/s/BAP/EQLlFdh1mTdKp7fNrK97jUIBo78IG-Mpbou-GCFZd-QcEQ", "10 out of 10")</f>
        <v>10 out of 10</v>
      </c>
      <c r="M1545" t="s">
        <v>8859</v>
      </c>
    </row>
    <row r="1546" spans="2:13">
      <c r="B1546" s="55" t="s">
        <v>3939</v>
      </c>
      <c r="C1546" s="55" t="s">
        <v>3162</v>
      </c>
      <c r="D1546" s="55" t="s">
        <v>4011</v>
      </c>
      <c r="E1546" s="55" t="s">
        <v>4011</v>
      </c>
      <c r="F1546" s="55" t="s">
        <v>8860</v>
      </c>
      <c r="G1546" s="55" t="s">
        <v>4014</v>
      </c>
      <c r="H1546" s="55" t="s">
        <v>24</v>
      </c>
      <c r="I1546" s="55"/>
      <c r="J1546" s="55" t="s">
        <v>8858</v>
      </c>
      <c r="K1546" s="55" t="s">
        <v>62</v>
      </c>
      <c r="L1546" s="57" t="str">
        <f>HYPERLINK("https://nycdoe.sharepoint.com/:w:/s/BAP/EQLlFdh1mTdKp7fNrK97jUIBo78IG-Mpbou-GCFZd-QcEQ", "10 out of 10")</f>
        <v>10 out of 10</v>
      </c>
      <c r="M1546" t="s">
        <v>8859</v>
      </c>
    </row>
    <row r="1547" spans="2:13">
      <c r="B1547" s="55" t="s">
        <v>3939</v>
      </c>
      <c r="C1547" s="55" t="s">
        <v>3162</v>
      </c>
      <c r="D1547" s="55" t="s">
        <v>4015</v>
      </c>
      <c r="E1547" s="55" t="s">
        <v>3544</v>
      </c>
      <c r="F1547" s="55" t="s">
        <v>8325</v>
      </c>
      <c r="G1547" s="55" t="s">
        <v>3546</v>
      </c>
      <c r="H1547" s="55" t="s">
        <v>24</v>
      </c>
      <c r="I1547" s="55" t="s">
        <v>18</v>
      </c>
      <c r="J1547" s="55" t="s">
        <v>8861</v>
      </c>
      <c r="K1547" s="55" t="s">
        <v>62</v>
      </c>
      <c r="L1547" s="57" t="str">
        <f>HYPERLINK("https://nycdoe.sharepoint.com/:w:/s/BAP/EZxP1sZhy5tEjR09Fm17M6IBOGCthklW_rcwaMBxd68vfw", "10 out of 10")</f>
        <v>10 out of 10</v>
      </c>
      <c r="M1547" t="s">
        <v>8862</v>
      </c>
    </row>
    <row r="1548" spans="2:13">
      <c r="B1548" s="55" t="s">
        <v>3939</v>
      </c>
      <c r="C1548" s="55" t="s">
        <v>3162</v>
      </c>
      <c r="D1548" s="55" t="s">
        <v>4015</v>
      </c>
      <c r="E1548" s="55" t="s">
        <v>4015</v>
      </c>
      <c r="F1548" s="55" t="s">
        <v>8863</v>
      </c>
      <c r="G1548" s="55" t="s">
        <v>8864</v>
      </c>
      <c r="H1548" s="55" t="s">
        <v>24</v>
      </c>
      <c r="I1548" s="55" t="s">
        <v>18</v>
      </c>
      <c r="J1548" s="55" t="s">
        <v>8861</v>
      </c>
      <c r="K1548" s="55" t="s">
        <v>62</v>
      </c>
      <c r="L1548" s="57" t="str">
        <f>HYPERLINK("https://nycdoe.sharepoint.com/:w:/s/BAP/EZxP1sZhy5tEjR09Fm17M6IBOGCthklW_rcwaMBxd68vfw", "10 out of 10")</f>
        <v>10 out of 10</v>
      </c>
      <c r="M1548" t="s">
        <v>8862</v>
      </c>
    </row>
    <row r="1549" spans="2:13">
      <c r="B1549" s="55" t="s">
        <v>3939</v>
      </c>
      <c r="C1549" s="55" t="s">
        <v>3162</v>
      </c>
      <c r="D1549" s="55" t="s">
        <v>4019</v>
      </c>
      <c r="E1549" s="55" t="s">
        <v>4020</v>
      </c>
      <c r="F1549" s="55" t="s">
        <v>8865</v>
      </c>
      <c r="G1549" s="55" t="s">
        <v>8866</v>
      </c>
      <c r="H1549" s="55" t="s">
        <v>56</v>
      </c>
      <c r="I1549" s="55"/>
      <c r="J1549" s="55" t="s">
        <v>8867</v>
      </c>
      <c r="K1549" s="55" t="s">
        <v>62</v>
      </c>
      <c r="L1549" s="57" t="str">
        <f>HYPERLINK("https://nycdoe.sharepoint.com/:w:/s/BAP/EbmcbIgAadJNiFw5i1t6pjgB1-bkKaGrLICKBxEhDDvsuw", "9 out of 10")</f>
        <v>9 out of 10</v>
      </c>
      <c r="M1549" t="s">
        <v>8868</v>
      </c>
    </row>
    <row r="1550" spans="2:13">
      <c r="B1550" s="55" t="s">
        <v>3939</v>
      </c>
      <c r="C1550" s="55" t="s">
        <v>3162</v>
      </c>
      <c r="D1550" s="55" t="s">
        <v>4019</v>
      </c>
      <c r="E1550" s="55" t="s">
        <v>4024</v>
      </c>
      <c r="F1550" s="55" t="s">
        <v>8869</v>
      </c>
      <c r="G1550" s="55" t="s">
        <v>8870</v>
      </c>
      <c r="H1550" s="55" t="s">
        <v>56</v>
      </c>
      <c r="I1550" s="55"/>
      <c r="J1550" s="55" t="s">
        <v>8867</v>
      </c>
      <c r="K1550" s="55" t="s">
        <v>62</v>
      </c>
      <c r="L1550" s="57" t="str">
        <f>HYPERLINK("https://nycdoe.sharepoint.com/:w:/s/BAP/EbmcbIgAadJNiFw5i1t6pjgB1-bkKaGrLICKBxEhDDvsuw", "9 out of 10")</f>
        <v>9 out of 10</v>
      </c>
      <c r="M1550" t="s">
        <v>8868</v>
      </c>
    </row>
    <row r="1551" spans="2:13">
      <c r="B1551" s="55" t="s">
        <v>3939</v>
      </c>
      <c r="C1551" s="55" t="s">
        <v>3162</v>
      </c>
      <c r="D1551" s="55" t="s">
        <v>4019</v>
      </c>
      <c r="E1551" s="55" t="s">
        <v>4027</v>
      </c>
      <c r="F1551" s="55" t="s">
        <v>8871</v>
      </c>
      <c r="G1551" s="55" t="s">
        <v>8872</v>
      </c>
      <c r="H1551" s="55" t="s">
        <v>56</v>
      </c>
      <c r="I1551" s="55"/>
      <c r="J1551" s="55" t="s">
        <v>8867</v>
      </c>
      <c r="K1551" s="55" t="s">
        <v>62</v>
      </c>
      <c r="L1551" s="57" t="str">
        <f>HYPERLINK("https://nycdoe.sharepoint.com/:w:/s/BAP/EbmcbIgAadJNiFw5i1t6pjgB1-bkKaGrLICKBxEhDDvsuw", "9 out of 10")</f>
        <v>9 out of 10</v>
      </c>
      <c r="M1551" t="s">
        <v>8868</v>
      </c>
    </row>
    <row r="1552" spans="2:13">
      <c r="B1552" s="55" t="s">
        <v>3939</v>
      </c>
      <c r="C1552" s="55" t="s">
        <v>3162</v>
      </c>
      <c r="D1552" s="55" t="s">
        <v>4019</v>
      </c>
      <c r="E1552" s="55" t="s">
        <v>4030</v>
      </c>
      <c r="F1552" s="55" t="s">
        <v>8873</v>
      </c>
      <c r="G1552" s="55" t="s">
        <v>8874</v>
      </c>
      <c r="H1552" s="55" t="s">
        <v>84</v>
      </c>
      <c r="I1552" s="55"/>
      <c r="J1552" s="55" t="s">
        <v>8867</v>
      </c>
      <c r="K1552" s="55" t="s">
        <v>62</v>
      </c>
      <c r="L1552" s="57" t="str">
        <f>HYPERLINK("https://nycdoe.sharepoint.com/:w:/s/BAP/EbmcbIgAadJNiFw5i1t6pjgB1-bkKaGrLICKBxEhDDvsuw", "9 out of 10")</f>
        <v>9 out of 10</v>
      </c>
      <c r="M1552" t="s">
        <v>8868</v>
      </c>
    </row>
    <row r="1553" spans="2:13">
      <c r="B1553" s="55" t="s">
        <v>3939</v>
      </c>
      <c r="C1553" s="55" t="s">
        <v>3162</v>
      </c>
      <c r="D1553" s="55" t="s">
        <v>4019</v>
      </c>
      <c r="E1553" s="55" t="s">
        <v>3383</v>
      </c>
      <c r="F1553" s="55" t="s">
        <v>8089</v>
      </c>
      <c r="G1553" s="55" t="s">
        <v>8090</v>
      </c>
      <c r="H1553" s="55" t="s">
        <v>56</v>
      </c>
      <c r="I1553" s="55"/>
      <c r="J1553" s="55" t="s">
        <v>8867</v>
      </c>
      <c r="K1553" s="55" t="s">
        <v>62</v>
      </c>
      <c r="L1553" s="57" t="str">
        <f>HYPERLINK("https://nycdoe.sharepoint.com/:w:/s/BAP/EbmcbIgAadJNiFw5i1t6pjgB1-bkKaGrLICKBxEhDDvsuw", "9 out of 10")</f>
        <v>9 out of 10</v>
      </c>
      <c r="M1553" t="s">
        <v>8868</v>
      </c>
    </row>
    <row r="1554" spans="2:13">
      <c r="B1554" s="55" t="s">
        <v>3939</v>
      </c>
      <c r="C1554" s="55" t="s">
        <v>3162</v>
      </c>
      <c r="D1554" s="55" t="s">
        <v>4033</v>
      </c>
      <c r="E1554" s="55" t="s">
        <v>4034</v>
      </c>
      <c r="F1554" s="55" t="s">
        <v>8875</v>
      </c>
      <c r="G1554" s="55" t="s">
        <v>8876</v>
      </c>
      <c r="H1554" s="55" t="s">
        <v>56</v>
      </c>
      <c r="I1554" s="55"/>
      <c r="J1554" s="55" t="s">
        <v>8877</v>
      </c>
      <c r="K1554" s="55" t="s">
        <v>62</v>
      </c>
      <c r="L1554" s="57" t="str">
        <f>HYPERLINK("https://nycdoe.sharepoint.com/:w:/s/BAP/EdJGqdEjDt1KuWhgZvjK2LUB_rl_0tXmUpvAvXE4s7Mucg", "9 out of 10")</f>
        <v>9 out of 10</v>
      </c>
      <c r="M1554" t="s">
        <v>8878</v>
      </c>
    </row>
    <row r="1555" spans="2:13">
      <c r="B1555" s="55" t="s">
        <v>3939</v>
      </c>
      <c r="C1555" s="55" t="s">
        <v>3162</v>
      </c>
      <c r="D1555" s="55" t="s">
        <v>4033</v>
      </c>
      <c r="E1555" s="55" t="s">
        <v>3316</v>
      </c>
      <c r="F1555" s="55" t="s">
        <v>8879</v>
      </c>
      <c r="G1555" s="55" t="s">
        <v>8880</v>
      </c>
      <c r="H1555" s="55" t="s">
        <v>56</v>
      </c>
      <c r="I1555" s="55"/>
      <c r="J1555" s="55" t="s">
        <v>8877</v>
      </c>
      <c r="K1555" s="55" t="s">
        <v>62</v>
      </c>
      <c r="L1555" s="57" t="str">
        <f>HYPERLINK("https://nycdoe.sharepoint.com/:w:/s/BAP/EdJGqdEjDt1KuWhgZvjK2LUB_rl_0tXmUpvAvXE4s7Mucg", "9 out of 10")</f>
        <v>9 out of 10</v>
      </c>
      <c r="M1555" t="s">
        <v>8878</v>
      </c>
    </row>
    <row r="1556" spans="2:13">
      <c r="B1556" s="55" t="s">
        <v>3939</v>
      </c>
      <c r="C1556" s="55" t="s">
        <v>3162</v>
      </c>
      <c r="D1556" s="55" t="s">
        <v>4033</v>
      </c>
      <c r="E1556" s="55" t="s">
        <v>4040</v>
      </c>
      <c r="F1556" s="55" t="s">
        <v>8881</v>
      </c>
      <c r="G1556" s="55" t="s">
        <v>8882</v>
      </c>
      <c r="H1556" s="55" t="s">
        <v>56</v>
      </c>
      <c r="I1556" s="55"/>
      <c r="J1556" s="55" t="s">
        <v>8877</v>
      </c>
      <c r="K1556" s="55" t="s">
        <v>62</v>
      </c>
      <c r="L1556" s="57" t="str">
        <f>HYPERLINK("https://nycdoe.sharepoint.com/:w:/s/BAP/EdJGqdEjDt1KuWhgZvjK2LUB_rl_0tXmUpvAvXE4s7Mucg", "9 out of 10")</f>
        <v>9 out of 10</v>
      </c>
      <c r="M1556" t="s">
        <v>8878</v>
      </c>
    </row>
    <row r="1557" spans="2:13">
      <c r="B1557" s="55" t="s">
        <v>3939</v>
      </c>
      <c r="C1557" s="55" t="s">
        <v>3162</v>
      </c>
      <c r="D1557" s="55" t="s">
        <v>4033</v>
      </c>
      <c r="E1557" s="55" t="s">
        <v>4043</v>
      </c>
      <c r="F1557" s="55" t="s">
        <v>8883</v>
      </c>
      <c r="G1557" s="55" t="s">
        <v>8884</v>
      </c>
      <c r="H1557" s="55" t="s">
        <v>56</v>
      </c>
      <c r="I1557" s="55"/>
      <c r="J1557" s="55" t="s">
        <v>8877</v>
      </c>
      <c r="K1557" s="55" t="s">
        <v>62</v>
      </c>
      <c r="L1557" s="57" t="str">
        <f>HYPERLINK("https://nycdoe.sharepoint.com/:w:/s/BAP/EdJGqdEjDt1KuWhgZvjK2LUB_rl_0tXmUpvAvXE4s7Mucg", "9 out of 10")</f>
        <v>9 out of 10</v>
      </c>
      <c r="M1557" t="s">
        <v>8878</v>
      </c>
    </row>
    <row r="1558" spans="2:13">
      <c r="B1558" s="55" t="s">
        <v>3939</v>
      </c>
      <c r="C1558" s="55" t="s">
        <v>3162</v>
      </c>
      <c r="D1558" s="55" t="s">
        <v>4046</v>
      </c>
      <c r="E1558" s="55" t="s">
        <v>4047</v>
      </c>
      <c r="F1558" s="55" t="s">
        <v>8885</v>
      </c>
      <c r="G1558" s="55" t="s">
        <v>8886</v>
      </c>
      <c r="H1558" s="55" t="s">
        <v>84</v>
      </c>
      <c r="I1558" s="55"/>
      <c r="J1558" s="55" t="s">
        <v>8887</v>
      </c>
      <c r="K1558" s="55" t="s">
        <v>20</v>
      </c>
      <c r="L1558" s="57" t="str">
        <f>HYPERLINK("https://nycdoe.sharepoint.com/:w:/s/BAP/Ebz_mZX_s79DlcVMbt_egtgBvUGBIT6CU76dpfU7xh_4kA", "1 out of 10")</f>
        <v>1 out of 10</v>
      </c>
      <c r="M1558" t="s">
        <v>8888</v>
      </c>
    </row>
    <row r="1559" spans="2:13">
      <c r="B1559" s="55" t="s">
        <v>3939</v>
      </c>
      <c r="C1559" s="55" t="s">
        <v>3162</v>
      </c>
      <c r="D1559" s="55" t="s">
        <v>8889</v>
      </c>
      <c r="E1559" s="55" t="s">
        <v>3416</v>
      </c>
      <c r="F1559" s="55" t="s">
        <v>8128</v>
      </c>
      <c r="G1559" s="55" t="s">
        <v>3418</v>
      </c>
      <c r="H1559" s="55" t="s">
        <v>43</v>
      </c>
      <c r="I1559" s="55"/>
      <c r="J1559" s="55" t="s">
        <v>8890</v>
      </c>
      <c r="K1559" s="55" t="s">
        <v>62</v>
      </c>
      <c r="L1559" s="57" t="str">
        <f>HYPERLINK("https://nycdoe.sharepoint.com/:w:/s/BAP/EaWAC2grByVHkggRdv9xHtQBeTvcxo-W3WRffM5VDF6_0g", "9 out of 10")</f>
        <v>9 out of 10</v>
      </c>
      <c r="M1559" t="s">
        <v>8891</v>
      </c>
    </row>
    <row r="1560" spans="2:13">
      <c r="B1560" s="55" t="s">
        <v>4051</v>
      </c>
      <c r="C1560" s="55" t="s">
        <v>3162</v>
      </c>
      <c r="D1560" s="55" t="s">
        <v>4052</v>
      </c>
      <c r="E1560" s="55" t="s">
        <v>4052</v>
      </c>
      <c r="F1560" s="55" t="s">
        <v>8892</v>
      </c>
      <c r="G1560" s="55" t="s">
        <v>8893</v>
      </c>
      <c r="H1560" s="55" t="s">
        <v>17</v>
      </c>
      <c r="I1560" s="55" t="s">
        <v>18</v>
      </c>
      <c r="J1560" s="55" t="s">
        <v>8894</v>
      </c>
      <c r="K1560" s="55" t="s">
        <v>62</v>
      </c>
      <c r="L1560" s="57" t="str">
        <f>HYPERLINK("https://nycdoe.sharepoint.com/:w:/s/BAP/EbJLPNoJsINHo7XB75pcAhMBnDv0SpQcRasbyNfOyWWnzA", "9 out of 10")</f>
        <v>9 out of 10</v>
      </c>
      <c r="M1560" t="s">
        <v>8895</v>
      </c>
    </row>
    <row r="1561" spans="2:13">
      <c r="B1561" s="55" t="s">
        <v>4051</v>
      </c>
      <c r="C1561" s="55" t="s">
        <v>3162</v>
      </c>
      <c r="D1561" s="55" t="s">
        <v>4056</v>
      </c>
      <c r="E1561" s="55" t="s">
        <v>4056</v>
      </c>
      <c r="F1561" s="55" t="s">
        <v>8896</v>
      </c>
      <c r="G1561" s="55" t="s">
        <v>8897</v>
      </c>
      <c r="H1561" s="55" t="s">
        <v>52</v>
      </c>
      <c r="I1561" s="55"/>
      <c r="J1561" s="55" t="s">
        <v>8898</v>
      </c>
      <c r="K1561" s="55" t="s">
        <v>20</v>
      </c>
      <c r="L1561" s="57" t="str">
        <f>HYPERLINK("https://nycdoe.sharepoint.com/:w:/s/BAP/ESwi_ilxP65IlhZpyQQtzdIB6E0WV9aD4fXAVQoIRVG8Ow", "3 out of 10")</f>
        <v>3 out of 10</v>
      </c>
      <c r="M1561" t="s">
        <v>8899</v>
      </c>
    </row>
    <row r="1562" spans="2:13">
      <c r="B1562" s="55" t="s">
        <v>4051</v>
      </c>
      <c r="C1562" s="55" t="s">
        <v>3162</v>
      </c>
      <c r="D1562" s="55" t="s">
        <v>4060</v>
      </c>
      <c r="E1562" s="55" t="s">
        <v>4060</v>
      </c>
      <c r="F1562" s="55" t="s">
        <v>8900</v>
      </c>
      <c r="G1562" s="55" t="s">
        <v>8901</v>
      </c>
      <c r="H1562" s="55" t="s">
        <v>17</v>
      </c>
      <c r="I1562" s="55" t="s">
        <v>18</v>
      </c>
      <c r="J1562" s="55" t="s">
        <v>8902</v>
      </c>
      <c r="K1562" s="55" t="s">
        <v>62</v>
      </c>
      <c r="L1562" s="57" t="str">
        <f>HYPERLINK("https://nycdoe.sharepoint.com/:w:/s/BAP/EblqKEZloLRKtMdJaXmVln4BEeiIoS1wcP1VqfuFS1Nw4w", "10 out of 10")</f>
        <v>10 out of 10</v>
      </c>
      <c r="M1562" t="s">
        <v>8903</v>
      </c>
    </row>
    <row r="1563" spans="2:13">
      <c r="B1563" s="55" t="s">
        <v>4051</v>
      </c>
      <c r="C1563" s="55" t="s">
        <v>3162</v>
      </c>
      <c r="D1563" s="55" t="s">
        <v>4060</v>
      </c>
      <c r="E1563" s="55" t="s">
        <v>3174</v>
      </c>
      <c r="F1563" s="55" t="s">
        <v>7879</v>
      </c>
      <c r="G1563" s="55" t="s">
        <v>3176</v>
      </c>
      <c r="H1563" s="55" t="s">
        <v>43</v>
      </c>
      <c r="I1563" s="55"/>
      <c r="J1563" s="55" t="s">
        <v>8902</v>
      </c>
      <c r="K1563" s="55" t="s">
        <v>62</v>
      </c>
      <c r="L1563" s="57" t="str">
        <f>HYPERLINK("https://nycdoe.sharepoint.com/:w:/s/BAP/EblqKEZloLRKtMdJaXmVln4BEeiIoS1wcP1VqfuFS1Nw4w", "10 out of 10")</f>
        <v>10 out of 10</v>
      </c>
      <c r="M1563" t="s">
        <v>8903</v>
      </c>
    </row>
    <row r="1564" spans="2:13">
      <c r="B1564" s="55" t="s">
        <v>4051</v>
      </c>
      <c r="C1564" s="55" t="s">
        <v>3162</v>
      </c>
      <c r="D1564" s="55" t="s">
        <v>4064</v>
      </c>
      <c r="E1564" s="55" t="s">
        <v>4064</v>
      </c>
      <c r="F1564" s="55" t="s">
        <v>8904</v>
      </c>
      <c r="G1564" s="55" t="s">
        <v>8905</v>
      </c>
      <c r="H1564" s="55" t="s">
        <v>17</v>
      </c>
      <c r="I1564" s="55" t="s">
        <v>18</v>
      </c>
      <c r="J1564" s="55" t="s">
        <v>8906</v>
      </c>
      <c r="K1564" s="55" t="s">
        <v>20</v>
      </c>
      <c r="L1564" s="57" t="str">
        <f>HYPERLINK("https://nycdoe.sharepoint.com/:w:/s/BAP/Edf0Szt854FMmcDfwhUguDkBF-I8ZoCnr9sbmt_O53oBpA", "1 out of 10")</f>
        <v>1 out of 10</v>
      </c>
      <c r="M1564" t="s">
        <v>8907</v>
      </c>
    </row>
    <row r="1565" spans="2:13">
      <c r="B1565" s="55" t="s">
        <v>4051</v>
      </c>
      <c r="C1565" s="55" t="s">
        <v>3162</v>
      </c>
      <c r="D1565" s="55" t="s">
        <v>4064</v>
      </c>
      <c r="E1565" s="55" t="s">
        <v>4068</v>
      </c>
      <c r="F1565" s="55" t="s">
        <v>8908</v>
      </c>
      <c r="G1565" s="55" t="s">
        <v>8909</v>
      </c>
      <c r="H1565" s="55" t="s">
        <v>24</v>
      </c>
      <c r="I1565" s="55"/>
      <c r="J1565" s="55" t="s">
        <v>8906</v>
      </c>
      <c r="K1565" s="55" t="s">
        <v>20</v>
      </c>
      <c r="L1565" s="57" t="str">
        <f>HYPERLINK("https://nycdoe.sharepoint.com/:w:/s/BAP/Edf0Szt854FMmcDfwhUguDkBF-I8ZoCnr9sbmt_O53oBpA", "1 out of 10")</f>
        <v>1 out of 10</v>
      </c>
      <c r="M1565" t="s">
        <v>8907</v>
      </c>
    </row>
    <row r="1566" spans="2:13">
      <c r="B1566" s="55" t="s">
        <v>4051</v>
      </c>
      <c r="C1566" s="55" t="s">
        <v>3162</v>
      </c>
      <c r="D1566" s="55" t="s">
        <v>4071</v>
      </c>
      <c r="E1566" s="55" t="s">
        <v>4071</v>
      </c>
      <c r="F1566" s="55" t="s">
        <v>8910</v>
      </c>
      <c r="G1566" s="55" t="s">
        <v>8911</v>
      </c>
      <c r="H1566" s="55" t="s">
        <v>17</v>
      </c>
      <c r="I1566" s="55" t="s">
        <v>18</v>
      </c>
      <c r="J1566" s="55" t="s">
        <v>8912</v>
      </c>
      <c r="K1566" s="55" t="s">
        <v>62</v>
      </c>
      <c r="L1566" s="57" t="str">
        <f>HYPERLINK("https://nycdoe.sharepoint.com/:w:/s/BAP/EeWO8jqiN5hLl6Kjj35K2jcB7qrvMMYAyehd4u-5bpHHXw", "9 out of 10")</f>
        <v>9 out of 10</v>
      </c>
      <c r="M1566" t="s">
        <v>8913</v>
      </c>
    </row>
    <row r="1567" spans="2:13">
      <c r="B1567" s="55" t="s">
        <v>4051</v>
      </c>
      <c r="C1567" s="55" t="s">
        <v>3162</v>
      </c>
      <c r="D1567" s="55" t="s">
        <v>4075</v>
      </c>
      <c r="E1567" s="55" t="s">
        <v>3544</v>
      </c>
      <c r="F1567" s="55" t="s">
        <v>8325</v>
      </c>
      <c r="G1567" s="55" t="s">
        <v>3546</v>
      </c>
      <c r="H1567" s="55" t="s">
        <v>24</v>
      </c>
      <c r="I1567" s="55" t="s">
        <v>18</v>
      </c>
      <c r="J1567" s="55" t="s">
        <v>8914</v>
      </c>
      <c r="K1567" s="55" t="s">
        <v>62</v>
      </c>
      <c r="L1567" s="57" t="str">
        <f>HYPERLINK("https://nycdoe.sharepoint.com/:w:/s/BAP/EdCCTYcArsJCjxtz_WrjmgYB18-dg8Oj90Ffvd6DnYpAJw", "9 out of 10")</f>
        <v>9 out of 10</v>
      </c>
      <c r="M1567" t="s">
        <v>8915</v>
      </c>
    </row>
    <row r="1568" spans="2:13">
      <c r="B1568" s="55" t="s">
        <v>4051</v>
      </c>
      <c r="C1568" s="55" t="s">
        <v>3162</v>
      </c>
      <c r="D1568" s="55" t="s">
        <v>4075</v>
      </c>
      <c r="E1568" s="55" t="s">
        <v>4075</v>
      </c>
      <c r="F1568" s="55" t="s">
        <v>8916</v>
      </c>
      <c r="G1568" s="55" t="s">
        <v>4078</v>
      </c>
      <c r="H1568" s="55" t="s">
        <v>17</v>
      </c>
      <c r="I1568" s="55" t="s">
        <v>18</v>
      </c>
      <c r="J1568" s="55" t="s">
        <v>8914</v>
      </c>
      <c r="K1568" s="55" t="s">
        <v>62</v>
      </c>
      <c r="L1568" s="57" t="str">
        <f>HYPERLINK("https://nycdoe.sharepoint.com/:w:/s/BAP/EdCCTYcArsJCjxtz_WrjmgYB18-dg8Oj90Ffvd6DnYpAJw", "9 out of 10")</f>
        <v>9 out of 10</v>
      </c>
      <c r="M1568" t="s">
        <v>8915</v>
      </c>
    </row>
    <row r="1569" spans="2:13">
      <c r="B1569" s="55" t="s">
        <v>4051</v>
      </c>
      <c r="C1569" s="55" t="s">
        <v>3162</v>
      </c>
      <c r="D1569" s="55" t="s">
        <v>4079</v>
      </c>
      <c r="E1569" s="55" t="s">
        <v>4079</v>
      </c>
      <c r="F1569" s="55" t="s">
        <v>8917</v>
      </c>
      <c r="G1569" s="55" t="s">
        <v>8918</v>
      </c>
      <c r="H1569" s="55" t="s">
        <v>17</v>
      </c>
      <c r="I1569" s="55" t="s">
        <v>18</v>
      </c>
      <c r="J1569" s="55" t="s">
        <v>8919</v>
      </c>
      <c r="K1569" s="55" t="s">
        <v>20</v>
      </c>
      <c r="L1569" s="57" t="str">
        <f>HYPERLINK("https://nycdoe.sharepoint.com/:w:/s/BAP/Eb9l_-80SeBCuslliehBAGkBsQ6eawTeXnoBNRndYk0ycA", "4 out of 10")</f>
        <v>4 out of 10</v>
      </c>
      <c r="M1569" t="s">
        <v>8920</v>
      </c>
    </row>
    <row r="1570" spans="2:13">
      <c r="B1570" s="55" t="s">
        <v>4051</v>
      </c>
      <c r="C1570" s="55" t="s">
        <v>3162</v>
      </c>
      <c r="D1570" s="55" t="s">
        <v>4079</v>
      </c>
      <c r="E1570" s="55" t="s">
        <v>3301</v>
      </c>
      <c r="F1570" s="55" t="s">
        <v>7988</v>
      </c>
      <c r="G1570" s="55" t="s">
        <v>7989</v>
      </c>
      <c r="H1570" s="55" t="s">
        <v>43</v>
      </c>
      <c r="I1570" s="55"/>
      <c r="J1570" s="55" t="s">
        <v>8919</v>
      </c>
      <c r="K1570" s="55" t="s">
        <v>20</v>
      </c>
      <c r="L1570" s="57" t="str">
        <f>HYPERLINK("https://nycdoe.sharepoint.com/:w:/s/BAP/Eb9l_-80SeBCuslliehBAGkBsQ6eawTeXnoBNRndYk0ycA", "4 out of 10")</f>
        <v>4 out of 10</v>
      </c>
      <c r="M1570" t="s">
        <v>8920</v>
      </c>
    </row>
    <row r="1571" spans="2:13">
      <c r="B1571" s="55" t="s">
        <v>4051</v>
      </c>
      <c r="C1571" s="55" t="s">
        <v>3162</v>
      </c>
      <c r="D1571" s="55" t="s">
        <v>8921</v>
      </c>
      <c r="E1571" s="55" t="s">
        <v>8921</v>
      </c>
      <c r="F1571" s="55" t="s">
        <v>8922</v>
      </c>
      <c r="G1571" s="55" t="s">
        <v>8923</v>
      </c>
      <c r="H1571" s="55" t="s">
        <v>17</v>
      </c>
      <c r="I1571" s="55" t="s">
        <v>18</v>
      </c>
      <c r="J1571" s="55" t="s">
        <v>8924</v>
      </c>
      <c r="K1571" s="55" t="s">
        <v>20</v>
      </c>
      <c r="L1571" s="57" t="str">
        <f>HYPERLINK("https://nycdoe.sharepoint.com/:w:/s/BAP/EYFwBWjgDE5KkehjWY0XoFQBq7BSyOGTFHN9rDWBoeeM6A", "2 out of 10")</f>
        <v>2 out of 10</v>
      </c>
      <c r="M1571" t="s">
        <v>8925</v>
      </c>
    </row>
    <row r="1572" spans="2:13">
      <c r="B1572" s="55" t="s">
        <v>4051</v>
      </c>
      <c r="C1572" s="55" t="s">
        <v>3162</v>
      </c>
      <c r="D1572" s="55" t="s">
        <v>4083</v>
      </c>
      <c r="E1572" s="55" t="s">
        <v>4083</v>
      </c>
      <c r="F1572" s="55" t="s">
        <v>8926</v>
      </c>
      <c r="G1572" s="55" t="s">
        <v>8927</v>
      </c>
      <c r="H1572" s="55" t="s">
        <v>17</v>
      </c>
      <c r="I1572" s="55" t="s">
        <v>18</v>
      </c>
      <c r="J1572" s="55" t="s">
        <v>8928</v>
      </c>
      <c r="K1572" s="55" t="s">
        <v>20</v>
      </c>
      <c r="L1572" s="57" t="str">
        <f>HYPERLINK("https://nycdoe.sharepoint.com/:w:/s/BAP/Ed7C9IN9wptNgOaEcMn1jRcBiRzqQSz7Su8wq1A3yQD8fw", "8 out of 10")</f>
        <v>8 out of 10</v>
      </c>
      <c r="M1572" t="s">
        <v>8929</v>
      </c>
    </row>
    <row r="1573" spans="2:13">
      <c r="B1573" s="55" t="s">
        <v>4051</v>
      </c>
      <c r="C1573" s="55" t="s">
        <v>3162</v>
      </c>
      <c r="D1573" s="55" t="s">
        <v>8930</v>
      </c>
      <c r="E1573" s="55" t="s">
        <v>8930</v>
      </c>
      <c r="F1573" s="55" t="s">
        <v>8931</v>
      </c>
      <c r="G1573" s="55" t="s">
        <v>8932</v>
      </c>
      <c r="H1573" s="55" t="s">
        <v>24</v>
      </c>
      <c r="I1573" s="55" t="s">
        <v>18</v>
      </c>
      <c r="J1573" s="55" t="s">
        <v>8933</v>
      </c>
      <c r="K1573" s="55" t="s">
        <v>20</v>
      </c>
      <c r="L1573" s="57" t="str">
        <f>HYPERLINK("https://nycdoe.sharepoint.com/:w:/s/BAP/EQft9SiR51BFiyRzQxpz5nEBtEH08F6Vi4_K7uSQoyWv2g", "1 out of 10")</f>
        <v>1 out of 10</v>
      </c>
      <c r="M1573" t="s">
        <v>8934</v>
      </c>
    </row>
    <row r="1574" spans="2:13">
      <c r="B1574" s="55" t="s">
        <v>4051</v>
      </c>
      <c r="C1574" s="55" t="s">
        <v>3162</v>
      </c>
      <c r="D1574" s="55" t="s">
        <v>8935</v>
      </c>
      <c r="E1574" s="55" t="s">
        <v>8935</v>
      </c>
      <c r="F1574" s="55" t="s">
        <v>8936</v>
      </c>
      <c r="G1574" s="55" t="s">
        <v>8937</v>
      </c>
      <c r="H1574" s="55" t="s">
        <v>24</v>
      </c>
      <c r="I1574" s="55" t="s">
        <v>18</v>
      </c>
      <c r="J1574" s="55" t="s">
        <v>8938</v>
      </c>
      <c r="K1574" s="55" t="s">
        <v>20</v>
      </c>
      <c r="L1574" s="57" t="str">
        <f>HYPERLINK("https://nycdoe.sharepoint.com/:w:/s/BAP/EU-HoYBAVLhJrf5_D59WiyoBbkH1nSQzJFSuILUXQchDzA", "3 out of 10")</f>
        <v>3 out of 10</v>
      </c>
      <c r="M1574" t="s">
        <v>8939</v>
      </c>
    </row>
    <row r="1575" spans="2:13">
      <c r="B1575" s="55" t="s">
        <v>4051</v>
      </c>
      <c r="C1575" s="55" t="s">
        <v>3162</v>
      </c>
      <c r="D1575" s="55" t="s">
        <v>4087</v>
      </c>
      <c r="E1575" s="55" t="s">
        <v>4087</v>
      </c>
      <c r="F1575" s="55" t="s">
        <v>8940</v>
      </c>
      <c r="G1575" s="55" t="s">
        <v>8941</v>
      </c>
      <c r="H1575" s="55" t="s">
        <v>52</v>
      </c>
      <c r="I1575" s="55"/>
      <c r="J1575" s="55" t="s">
        <v>8942</v>
      </c>
      <c r="K1575" s="55" t="s">
        <v>62</v>
      </c>
      <c r="L1575" s="57" t="str">
        <f>HYPERLINK("https://nycdoe.sharepoint.com/:w:/s/BAP/EbFkfWsw33pKoWlVlvF0ETYBzBUCHDqb0WNZ-oN6cqKqAg", "9 out of 10")</f>
        <v>9 out of 10</v>
      </c>
      <c r="M1575" t="s">
        <v>8943</v>
      </c>
    </row>
    <row r="1576" spans="2:13">
      <c r="B1576" s="55" t="s">
        <v>4051</v>
      </c>
      <c r="C1576" s="55" t="s">
        <v>3162</v>
      </c>
      <c r="D1576" s="55" t="s">
        <v>4091</v>
      </c>
      <c r="E1576" s="55" t="s">
        <v>4091</v>
      </c>
      <c r="F1576" s="55" t="s">
        <v>8944</v>
      </c>
      <c r="G1576" s="55" t="s">
        <v>8945</v>
      </c>
      <c r="H1576" s="55" t="s">
        <v>17</v>
      </c>
      <c r="I1576" s="55" t="s">
        <v>18</v>
      </c>
      <c r="J1576" s="55" t="s">
        <v>8946</v>
      </c>
      <c r="K1576" s="55" t="s">
        <v>20</v>
      </c>
      <c r="L1576" s="57" t="str">
        <f>HYPERLINK("https://nycdoe.sharepoint.com/:w:/s/BAP/EYsgANFse5RCoaVvM3g8uAoB4zKLCzVsqAmTTbwkxQfIXw", "6 out of 10")</f>
        <v>6 out of 10</v>
      </c>
      <c r="M1576" t="s">
        <v>8947</v>
      </c>
    </row>
    <row r="1577" spans="2:13">
      <c r="B1577" s="55" t="s">
        <v>4051</v>
      </c>
      <c r="C1577" s="55" t="s">
        <v>3162</v>
      </c>
      <c r="D1577" s="55" t="s">
        <v>4095</v>
      </c>
      <c r="E1577" s="55" t="s">
        <v>4095</v>
      </c>
      <c r="F1577" s="55" t="s">
        <v>8948</v>
      </c>
      <c r="G1577" s="55" t="s">
        <v>8949</v>
      </c>
      <c r="H1577" s="55" t="s">
        <v>17</v>
      </c>
      <c r="I1577" s="55" t="s">
        <v>18</v>
      </c>
      <c r="J1577" s="55" t="s">
        <v>8950</v>
      </c>
      <c r="K1577" s="55" t="s">
        <v>20</v>
      </c>
      <c r="L1577" s="57" t="str">
        <f>HYPERLINK("https://nycdoe.sharepoint.com/:w:/s/BAP/EX8uLSvZqT1DmWhv9mK2kl0BuWGTx6qP3hGo-RjRsJX37w", "7 out of 10")</f>
        <v>7 out of 10</v>
      </c>
      <c r="M1577" t="s">
        <v>8951</v>
      </c>
    </row>
    <row r="1578" spans="2:13">
      <c r="B1578" s="55" t="s">
        <v>4051</v>
      </c>
      <c r="C1578" s="55" t="s">
        <v>3162</v>
      </c>
      <c r="D1578" s="55" t="s">
        <v>4099</v>
      </c>
      <c r="E1578" s="55" t="s">
        <v>4099</v>
      </c>
      <c r="F1578" s="55" t="s">
        <v>8952</v>
      </c>
      <c r="G1578" s="55" t="s">
        <v>8953</v>
      </c>
      <c r="H1578" s="55" t="s">
        <v>17</v>
      </c>
      <c r="I1578" s="55" t="s">
        <v>18</v>
      </c>
      <c r="J1578" s="55" t="s">
        <v>8954</v>
      </c>
      <c r="K1578" s="55" t="s">
        <v>20</v>
      </c>
      <c r="L1578" s="57" t="str">
        <f>HYPERLINK("https://nycdoe.sharepoint.com/:w:/s/BAP/EaMYHGTbPjNOh8yq5W9AxQIBLe4UtwPH_dgMZCr2M7LAOg", "8 out of 10")</f>
        <v>8 out of 10</v>
      </c>
      <c r="M1578" t="s">
        <v>8955</v>
      </c>
    </row>
    <row r="1579" spans="2:13">
      <c r="B1579" s="55" t="s">
        <v>4051</v>
      </c>
      <c r="C1579" s="55" t="s">
        <v>3162</v>
      </c>
      <c r="D1579" s="55" t="s">
        <v>8956</v>
      </c>
      <c r="E1579" s="55" t="s">
        <v>8956</v>
      </c>
      <c r="F1579" s="55" t="s">
        <v>8957</v>
      </c>
      <c r="G1579" s="55" t="s">
        <v>8958</v>
      </c>
      <c r="H1579" s="55" t="s">
        <v>17</v>
      </c>
      <c r="I1579" s="55" t="s">
        <v>18</v>
      </c>
      <c r="J1579" s="55" t="s">
        <v>8959</v>
      </c>
      <c r="K1579" s="55" t="s">
        <v>20</v>
      </c>
      <c r="L1579" s="57" t="str">
        <f>HYPERLINK("https://nycdoe.sharepoint.com/:w:/s/BAP/ETMtyuYh1bBIrwh5zsvswSYBZHN2LOyvgVvAI8tav0qCvw", "1 out of 10")</f>
        <v>1 out of 10</v>
      </c>
      <c r="M1579" t="s">
        <v>8960</v>
      </c>
    </row>
    <row r="1580" spans="2:13">
      <c r="B1580" s="55" t="s">
        <v>4051</v>
      </c>
      <c r="C1580" s="55" t="s">
        <v>3162</v>
      </c>
      <c r="D1580" s="55" t="s">
        <v>4103</v>
      </c>
      <c r="E1580" s="55" t="s">
        <v>4103</v>
      </c>
      <c r="F1580" s="55" t="s">
        <v>8961</v>
      </c>
      <c r="G1580" s="55" t="s">
        <v>8962</v>
      </c>
      <c r="H1580" s="55" t="s">
        <v>17</v>
      </c>
      <c r="I1580" s="55" t="s">
        <v>18</v>
      </c>
      <c r="J1580" s="55" t="s">
        <v>8963</v>
      </c>
      <c r="K1580" s="55" t="s">
        <v>20</v>
      </c>
      <c r="L1580" s="57" t="str">
        <f>HYPERLINK("https://nycdoe.sharepoint.com/:w:/s/BAP/Ea-zRCGgKXNCkZACuLlWQNEB2u2SDRQni9wRty3aL7jZ5g", "8 out of 10")</f>
        <v>8 out of 10</v>
      </c>
      <c r="M1580" t="s">
        <v>8964</v>
      </c>
    </row>
    <row r="1581" spans="2:13">
      <c r="B1581" s="55" t="s">
        <v>4051</v>
      </c>
      <c r="C1581" s="55" t="s">
        <v>3162</v>
      </c>
      <c r="D1581" s="55" t="s">
        <v>4107</v>
      </c>
      <c r="E1581" s="55" t="s">
        <v>4107</v>
      </c>
      <c r="F1581" s="55" t="s">
        <v>8965</v>
      </c>
      <c r="G1581" s="55" t="s">
        <v>8966</v>
      </c>
      <c r="H1581" s="55" t="s">
        <v>17</v>
      </c>
      <c r="I1581" s="55" t="s">
        <v>18</v>
      </c>
      <c r="J1581" s="55" t="s">
        <v>8967</v>
      </c>
      <c r="K1581" s="55" t="s">
        <v>20</v>
      </c>
      <c r="L1581" s="57" t="str">
        <f>HYPERLINK("https://nycdoe.sharepoint.com/:w:/s/BAP/EbocJ2urtxtMoysgNSMRJqABiok9fBlje2nJ-JnqKWv_Gg", "8 out of 10")</f>
        <v>8 out of 10</v>
      </c>
      <c r="M1581" t="s">
        <v>8968</v>
      </c>
    </row>
    <row r="1582" spans="2:13">
      <c r="B1582" s="55" t="s">
        <v>4051</v>
      </c>
      <c r="C1582" s="55" t="s">
        <v>3162</v>
      </c>
      <c r="D1582" s="55" t="s">
        <v>8969</v>
      </c>
      <c r="E1582" s="55" t="s">
        <v>8969</v>
      </c>
      <c r="F1582" s="55" t="s">
        <v>8970</v>
      </c>
      <c r="G1582" s="55" t="s">
        <v>8971</v>
      </c>
      <c r="H1582" s="55" t="s">
        <v>52</v>
      </c>
      <c r="I1582" s="55"/>
      <c r="J1582" s="55" t="s">
        <v>8972</v>
      </c>
      <c r="K1582" s="55" t="s">
        <v>20</v>
      </c>
      <c r="L1582" s="57" t="str">
        <f>HYPERLINK("https://nycdoe.sharepoint.com/:w:/s/BAP/EXVhwbbtKq1CrvfGlK5m2-UBI3vR9oEWnL_KyV8k3v6JKg", "1 out of 10")</f>
        <v>1 out of 10</v>
      </c>
      <c r="M1582" t="s">
        <v>8973</v>
      </c>
    </row>
    <row r="1583" spans="2:13">
      <c r="B1583" s="55" t="s">
        <v>4051</v>
      </c>
      <c r="C1583" s="55" t="s">
        <v>3162</v>
      </c>
      <c r="D1583" s="55" t="s">
        <v>8969</v>
      </c>
      <c r="E1583" s="55" t="s">
        <v>8974</v>
      </c>
      <c r="F1583" s="55" t="s">
        <v>8975</v>
      </c>
      <c r="G1583" s="55" t="s">
        <v>8976</v>
      </c>
      <c r="H1583" s="55" t="s">
        <v>56</v>
      </c>
      <c r="I1583" s="55"/>
      <c r="J1583" s="55" t="s">
        <v>8972</v>
      </c>
      <c r="K1583" s="55" t="s">
        <v>20</v>
      </c>
      <c r="L1583" s="57" t="str">
        <f>HYPERLINK("https://nycdoe.sharepoint.com/:w:/s/BAP/EXVhwbbtKq1CrvfGlK5m2-UBI3vR9oEWnL_KyV8k3v6JKg", "1 out of 10")</f>
        <v>1 out of 10</v>
      </c>
      <c r="M1583" t="s">
        <v>8973</v>
      </c>
    </row>
    <row r="1584" spans="2:13">
      <c r="B1584" s="55" t="s">
        <v>4051</v>
      </c>
      <c r="C1584" s="55" t="s">
        <v>3162</v>
      </c>
      <c r="D1584" s="55" t="s">
        <v>8969</v>
      </c>
      <c r="E1584" s="55" t="s">
        <v>3301</v>
      </c>
      <c r="F1584" s="55" t="s">
        <v>7988</v>
      </c>
      <c r="G1584" s="55" t="s">
        <v>7989</v>
      </c>
      <c r="H1584" s="55" t="s">
        <v>43</v>
      </c>
      <c r="I1584" s="55"/>
      <c r="J1584" s="55" t="s">
        <v>8972</v>
      </c>
      <c r="K1584" s="55" t="s">
        <v>20</v>
      </c>
      <c r="L1584" s="57" t="str">
        <f>HYPERLINK("https://nycdoe.sharepoint.com/:w:/s/BAP/EXVhwbbtKq1CrvfGlK5m2-UBI3vR9oEWnL_KyV8k3v6JKg", "1 out of 10")</f>
        <v>1 out of 10</v>
      </c>
      <c r="M1584" t="s">
        <v>8973</v>
      </c>
    </row>
    <row r="1585" spans="2:13">
      <c r="B1585" s="55" t="s">
        <v>4051</v>
      </c>
      <c r="C1585" s="55" t="s">
        <v>3162</v>
      </c>
      <c r="D1585" s="55" t="s">
        <v>4111</v>
      </c>
      <c r="E1585" s="55" t="s">
        <v>4111</v>
      </c>
      <c r="F1585" s="55" t="s">
        <v>8977</v>
      </c>
      <c r="G1585" s="55" t="s">
        <v>4113</v>
      </c>
      <c r="H1585" s="55" t="s">
        <v>17</v>
      </c>
      <c r="I1585" s="55" t="s">
        <v>18</v>
      </c>
      <c r="J1585" s="55" t="s">
        <v>8978</v>
      </c>
      <c r="K1585" s="55" t="s">
        <v>62</v>
      </c>
      <c r="L1585" s="57" t="str">
        <f>HYPERLINK("https://nycdoe.sharepoint.com/:w:/s/BAP/Eanz5OTnrnJEk127gxbgzC8Bqzf2_jCc-8TDs8LsBFhVsA", "10 out of 10")</f>
        <v>10 out of 10</v>
      </c>
      <c r="M1585" t="s">
        <v>8979</v>
      </c>
    </row>
    <row r="1586" spans="2:13">
      <c r="B1586" s="55" t="s">
        <v>4051</v>
      </c>
      <c r="C1586" s="55" t="s">
        <v>3162</v>
      </c>
      <c r="D1586" s="55" t="s">
        <v>4115</v>
      </c>
      <c r="E1586" s="55" t="s">
        <v>4115</v>
      </c>
      <c r="F1586" s="55" t="s">
        <v>8980</v>
      </c>
      <c r="G1586" s="55" t="s">
        <v>8981</v>
      </c>
      <c r="H1586" s="55" t="s">
        <v>553</v>
      </c>
      <c r="I1586" s="55" t="s">
        <v>18</v>
      </c>
      <c r="J1586" s="55" t="s">
        <v>8982</v>
      </c>
      <c r="K1586" s="55" t="s">
        <v>62</v>
      </c>
      <c r="L1586" s="57" t="str">
        <f>HYPERLINK("https://nycdoe.sharepoint.com/:w:/s/BAP/ESR-jrYMHalGguYrGgsyVxUB5y3cbRnJx6gsDkhjJehSTg", "10 out of 10")</f>
        <v>10 out of 10</v>
      </c>
      <c r="M1586" t="s">
        <v>8983</v>
      </c>
    </row>
    <row r="1587" spans="2:13">
      <c r="B1587" s="55" t="s">
        <v>4051</v>
      </c>
      <c r="C1587" s="55" t="s">
        <v>3162</v>
      </c>
      <c r="D1587" s="55" t="s">
        <v>4119</v>
      </c>
      <c r="E1587" s="55" t="s">
        <v>4119</v>
      </c>
      <c r="F1587" s="55" t="s">
        <v>8984</v>
      </c>
      <c r="G1587" s="55" t="s">
        <v>8985</v>
      </c>
      <c r="H1587" s="55" t="s">
        <v>52</v>
      </c>
      <c r="I1587" s="55"/>
      <c r="J1587" s="55" t="s">
        <v>8986</v>
      </c>
      <c r="K1587" s="55" t="s">
        <v>62</v>
      </c>
      <c r="L1587" s="57" t="str">
        <f>HYPERLINK("https://nycdoe.sharepoint.com/:w:/s/BAP/EZYPE6TLiExJvFjk6kEsY3ABPGx4j9gb_IC_bo48Go07-Q", "9 out of 10")</f>
        <v>9 out of 10</v>
      </c>
      <c r="M1587" t="s">
        <v>8987</v>
      </c>
    </row>
    <row r="1588" spans="2:13">
      <c r="B1588" s="55" t="s">
        <v>4051</v>
      </c>
      <c r="C1588" s="55" t="s">
        <v>3162</v>
      </c>
      <c r="D1588" s="55" t="s">
        <v>4119</v>
      </c>
      <c r="E1588" s="55" t="s">
        <v>3597</v>
      </c>
      <c r="F1588" s="55" t="s">
        <v>8375</v>
      </c>
      <c r="G1588" s="55" t="s">
        <v>3599</v>
      </c>
      <c r="H1588" s="55" t="s">
        <v>43</v>
      </c>
      <c r="I1588" s="55"/>
      <c r="J1588" s="55" t="s">
        <v>8986</v>
      </c>
      <c r="K1588" s="55" t="s">
        <v>62</v>
      </c>
      <c r="L1588" s="57" t="str">
        <f>HYPERLINK("https://nycdoe.sharepoint.com/:w:/s/BAP/EZYPE6TLiExJvFjk6kEsY3ABPGx4j9gb_IC_bo48Go07-Q", "9 out of 10")</f>
        <v>9 out of 10</v>
      </c>
      <c r="M1588" t="s">
        <v>8987</v>
      </c>
    </row>
    <row r="1589" spans="2:13">
      <c r="B1589" s="55" t="s">
        <v>4051</v>
      </c>
      <c r="C1589" s="55" t="s">
        <v>3162</v>
      </c>
      <c r="D1589" s="55" t="s">
        <v>4123</v>
      </c>
      <c r="E1589" s="55" t="s">
        <v>4123</v>
      </c>
      <c r="F1589" s="55" t="s">
        <v>8988</v>
      </c>
      <c r="G1589" s="55" t="s">
        <v>8989</v>
      </c>
      <c r="H1589" s="55" t="s">
        <v>553</v>
      </c>
      <c r="I1589" s="55" t="s">
        <v>18</v>
      </c>
      <c r="J1589" s="55" t="s">
        <v>8990</v>
      </c>
      <c r="K1589" s="55" t="s">
        <v>62</v>
      </c>
      <c r="L1589" s="57" t="str">
        <f>HYPERLINK("https://nycdoe.sharepoint.com/:w:/s/BAP/EVZMYOQvHaJGtKyIs99K-BUBLchc_CfC24mymnaNMJIfpw", "10 out of 10")</f>
        <v>10 out of 10</v>
      </c>
      <c r="M1589" t="s">
        <v>8991</v>
      </c>
    </row>
    <row r="1590" spans="2:13">
      <c r="B1590" s="55" t="s">
        <v>4051</v>
      </c>
      <c r="C1590" s="55" t="s">
        <v>3162</v>
      </c>
      <c r="D1590" s="55" t="s">
        <v>4127</v>
      </c>
      <c r="E1590" s="55" t="s">
        <v>4127</v>
      </c>
      <c r="F1590" s="55" t="s">
        <v>8992</v>
      </c>
      <c r="G1590" s="55" t="s">
        <v>4129</v>
      </c>
      <c r="H1590" s="55" t="s">
        <v>52</v>
      </c>
      <c r="I1590" s="55"/>
      <c r="J1590" s="55" t="s">
        <v>8993</v>
      </c>
      <c r="K1590" s="55" t="s">
        <v>62</v>
      </c>
      <c r="L1590" s="57" t="str">
        <f>HYPERLINK("https://nycdoe.sharepoint.com/:w:/s/BAP/EenwJl0RwDJHqCn6Q0z2NYUBDG5Ik2znxWE8saIwNq9cYA", "10 out of 10")</f>
        <v>10 out of 10</v>
      </c>
      <c r="M1590" t="s">
        <v>8994</v>
      </c>
    </row>
    <row r="1591" spans="2:13">
      <c r="B1591" s="55" t="s">
        <v>4051</v>
      </c>
      <c r="C1591" s="55" t="s">
        <v>3162</v>
      </c>
      <c r="D1591" s="55" t="s">
        <v>4131</v>
      </c>
      <c r="E1591" s="55" t="s">
        <v>4131</v>
      </c>
      <c r="F1591" s="55" t="s">
        <v>8995</v>
      </c>
      <c r="G1591" s="55" t="s">
        <v>4133</v>
      </c>
      <c r="H1591" s="55" t="s">
        <v>17</v>
      </c>
      <c r="I1591" s="55" t="s">
        <v>18</v>
      </c>
      <c r="J1591" s="55" t="s">
        <v>8996</v>
      </c>
      <c r="K1591" s="55" t="s">
        <v>62</v>
      </c>
      <c r="L1591" s="57" t="str">
        <f>HYPERLINK("https://nycdoe.sharepoint.com/:w:/s/BAP/ET4WOuivLxxPi8CVdB4G16cBQwqkKdCwW4XjmPX6A67qTg", "10 out of 10")</f>
        <v>10 out of 10</v>
      </c>
      <c r="M1591" t="s">
        <v>8997</v>
      </c>
    </row>
    <row r="1592" spans="2:13">
      <c r="B1592" s="55" t="s">
        <v>4051</v>
      </c>
      <c r="C1592" s="55" t="s">
        <v>3162</v>
      </c>
      <c r="D1592" s="55" t="s">
        <v>4131</v>
      </c>
      <c r="E1592" s="55" t="s">
        <v>4135</v>
      </c>
      <c r="F1592" s="55" t="s">
        <v>8998</v>
      </c>
      <c r="G1592" s="55" t="s">
        <v>8999</v>
      </c>
      <c r="H1592" s="55" t="s">
        <v>52</v>
      </c>
      <c r="I1592" s="55"/>
      <c r="J1592" s="55" t="s">
        <v>9000</v>
      </c>
      <c r="K1592" s="55" t="s">
        <v>62</v>
      </c>
      <c r="L1592" s="57" t="str">
        <f>HYPERLINK("https://nycdoe.sharepoint.com/:w:/s/BAP/ET4WOuivLxxPi8CVdB4G16cBQwqkKdCwW4XjmPX6A67qTg", "10 out of 10")</f>
        <v>10 out of 10</v>
      </c>
      <c r="M1592" t="s">
        <v>8997</v>
      </c>
    </row>
    <row r="1593" spans="2:13">
      <c r="B1593" s="55" t="s">
        <v>4051</v>
      </c>
      <c r="C1593" s="55" t="s">
        <v>3162</v>
      </c>
      <c r="D1593" s="55" t="s">
        <v>4138</v>
      </c>
      <c r="E1593" s="55" t="s">
        <v>4139</v>
      </c>
      <c r="F1593" s="55" t="s">
        <v>9001</v>
      </c>
      <c r="G1593" s="55" t="s">
        <v>9002</v>
      </c>
      <c r="H1593" s="55" t="s">
        <v>17</v>
      </c>
      <c r="I1593" s="55" t="s">
        <v>18</v>
      </c>
      <c r="J1593" s="55" t="s">
        <v>9003</v>
      </c>
      <c r="K1593" s="55" t="s">
        <v>62</v>
      </c>
      <c r="L1593" s="57" t="str">
        <f>HYPERLINK("https://nycdoe.sharepoint.com/:w:/s/BAP/EUWUdXSAj2dLjAvWpK4vvXkBp4zqqdx5X-7bNX3Fuzre9Q", "9 out of 10")</f>
        <v>9 out of 10</v>
      </c>
      <c r="M1593" t="s">
        <v>9004</v>
      </c>
    </row>
    <row r="1594" spans="2:13">
      <c r="B1594" s="55" t="s">
        <v>4051</v>
      </c>
      <c r="C1594" s="55" t="s">
        <v>3162</v>
      </c>
      <c r="D1594" s="55" t="s">
        <v>3727</v>
      </c>
      <c r="E1594" s="55" t="s">
        <v>4127</v>
      </c>
      <c r="F1594" s="55" t="s">
        <v>8992</v>
      </c>
      <c r="G1594" s="55" t="s">
        <v>4129</v>
      </c>
      <c r="H1594" s="55" t="s">
        <v>52</v>
      </c>
      <c r="I1594" s="55"/>
      <c r="J1594" s="55" t="s">
        <v>9005</v>
      </c>
      <c r="K1594" s="55" t="s">
        <v>62</v>
      </c>
      <c r="L1594" s="57" t="str">
        <f>HYPERLINK("https://nycdoe.sharepoint.com/:w:/s/BAP/EdgtDrKKZrRKn2M9HnnOOzcB6RzjyASC6TYFgfn3mmQGZw", "10 out of 10")</f>
        <v>10 out of 10</v>
      </c>
      <c r="M1594" t="s">
        <v>9006</v>
      </c>
    </row>
    <row r="1595" spans="2:13">
      <c r="B1595" s="55" t="s">
        <v>4051</v>
      </c>
      <c r="C1595" s="55" t="s">
        <v>3162</v>
      </c>
      <c r="D1595" s="55" t="s">
        <v>3827</v>
      </c>
      <c r="E1595" s="55" t="s">
        <v>4192</v>
      </c>
      <c r="F1595" s="55" t="s">
        <v>9007</v>
      </c>
      <c r="G1595" s="55" t="s">
        <v>4194</v>
      </c>
      <c r="H1595" s="55" t="s">
        <v>24</v>
      </c>
      <c r="I1595" s="55" t="s">
        <v>18</v>
      </c>
      <c r="J1595" s="55" t="s">
        <v>9008</v>
      </c>
      <c r="K1595" s="55" t="s">
        <v>62</v>
      </c>
      <c r="L1595" s="57" t="str">
        <f>HYPERLINK("https://nycdoe.sharepoint.com/:w:/s/BAP/EWSthtX27GFGp7EoBJ-fGIkBkPqg8a1R28vZhcA6tvs0Zw", "10 out of 10")</f>
        <v>10 out of 10</v>
      </c>
      <c r="M1595" t="s">
        <v>9009</v>
      </c>
    </row>
    <row r="1596" spans="2:13">
      <c r="B1596" s="55" t="s">
        <v>4051</v>
      </c>
      <c r="C1596" s="55" t="s">
        <v>3162</v>
      </c>
      <c r="D1596" s="55" t="s">
        <v>3827</v>
      </c>
      <c r="E1596" s="55" t="s">
        <v>3301</v>
      </c>
      <c r="F1596" s="55" t="s">
        <v>7988</v>
      </c>
      <c r="G1596" s="55" t="s">
        <v>7989</v>
      </c>
      <c r="H1596" s="55" t="s">
        <v>43</v>
      </c>
      <c r="I1596" s="55"/>
      <c r="J1596" s="55" t="s">
        <v>9008</v>
      </c>
      <c r="K1596" s="55" t="s">
        <v>62</v>
      </c>
      <c r="L1596" s="57" t="str">
        <f>HYPERLINK("https://nycdoe.sharepoint.com/:w:/s/BAP/EWSthtX27GFGp7EoBJ-fGIkBkPqg8a1R28vZhcA6tvs0Zw", "10 out of 10")</f>
        <v>10 out of 10</v>
      </c>
      <c r="M1596" t="s">
        <v>9009</v>
      </c>
    </row>
    <row r="1597" spans="2:13">
      <c r="B1597" s="55" t="s">
        <v>4051</v>
      </c>
      <c r="C1597" s="55" t="s">
        <v>3162</v>
      </c>
      <c r="D1597" s="55" t="s">
        <v>3963</v>
      </c>
      <c r="E1597" s="55" t="s">
        <v>3584</v>
      </c>
      <c r="F1597" s="55" t="s">
        <v>9010</v>
      </c>
      <c r="G1597" s="55" t="s">
        <v>9011</v>
      </c>
      <c r="H1597" s="55" t="s">
        <v>17</v>
      </c>
      <c r="I1597" s="55" t="s">
        <v>18</v>
      </c>
      <c r="J1597" s="55" t="s">
        <v>9012</v>
      </c>
      <c r="K1597" s="55" t="s">
        <v>62</v>
      </c>
      <c r="L1597" s="57" t="str">
        <f>HYPERLINK("https://nycdoe.sharepoint.com/:w:/s/BAP/EeJcibIMVs1Jt5RvRpA2X0wBLKg6Vio9aC2fwJSVi27t4g", "10 out of 10")</f>
        <v>10 out of 10</v>
      </c>
      <c r="M1597" t="s">
        <v>9013</v>
      </c>
    </row>
    <row r="1598" spans="2:13">
      <c r="B1598" s="55" t="s">
        <v>4051</v>
      </c>
      <c r="C1598" s="55" t="s">
        <v>3162</v>
      </c>
      <c r="D1598" s="55" t="s">
        <v>3642</v>
      </c>
      <c r="E1598" s="55" t="s">
        <v>4146</v>
      </c>
      <c r="F1598" s="55" t="s">
        <v>9014</v>
      </c>
      <c r="G1598" s="55" t="s">
        <v>9015</v>
      </c>
      <c r="H1598" s="55" t="s">
        <v>17</v>
      </c>
      <c r="I1598" s="55" t="s">
        <v>18</v>
      </c>
      <c r="J1598" s="55" t="s">
        <v>9016</v>
      </c>
      <c r="K1598" s="55" t="s">
        <v>62</v>
      </c>
      <c r="L1598" s="57" t="str">
        <f>HYPERLINK("https://nycdoe.sharepoint.com/:w:/s/BAP/EbISKJ4b7qVAh4pNsIlo7ecB1bOTKYVjjza1qMwhi6edLg", "10 out of 10")</f>
        <v>10 out of 10</v>
      </c>
      <c r="M1598" t="s">
        <v>9017</v>
      </c>
    </row>
    <row r="1599" spans="2:13">
      <c r="B1599" s="55" t="s">
        <v>4051</v>
      </c>
      <c r="C1599" s="55" t="s">
        <v>3162</v>
      </c>
      <c r="D1599" s="55" t="s">
        <v>9018</v>
      </c>
      <c r="E1599" s="55" t="s">
        <v>3174</v>
      </c>
      <c r="F1599" s="55" t="s">
        <v>7879</v>
      </c>
      <c r="G1599" s="55" t="s">
        <v>3176</v>
      </c>
      <c r="H1599" s="55" t="s">
        <v>43</v>
      </c>
      <c r="I1599" s="55"/>
      <c r="J1599" s="55" t="s">
        <v>9019</v>
      </c>
      <c r="K1599" s="55" t="s">
        <v>20</v>
      </c>
      <c r="L1599" s="57" t="str">
        <f>HYPERLINK("https://nycdoe.sharepoint.com/:w:/s/BAP/EYdrQbghZhdDp51eLnAVVvABe1-c7tOSvVWnZyrpDfK6nQ", "1 out of 10")</f>
        <v>1 out of 10</v>
      </c>
      <c r="M1599" t="s">
        <v>9020</v>
      </c>
    </row>
    <row r="1600" spans="2:13">
      <c r="B1600" s="55" t="s">
        <v>4051</v>
      </c>
      <c r="C1600" s="55" t="s">
        <v>3162</v>
      </c>
      <c r="D1600" s="55" t="s">
        <v>4150</v>
      </c>
      <c r="E1600" s="55" t="s">
        <v>4150</v>
      </c>
      <c r="F1600" s="55" t="s">
        <v>9021</v>
      </c>
      <c r="G1600" s="55" t="s">
        <v>9022</v>
      </c>
      <c r="H1600" s="55" t="s">
        <v>17</v>
      </c>
      <c r="I1600" s="55" t="s">
        <v>18</v>
      </c>
      <c r="J1600" s="55" t="s">
        <v>9023</v>
      </c>
      <c r="K1600" s="55" t="s">
        <v>62</v>
      </c>
      <c r="L1600" s="57" t="str">
        <f>HYPERLINK("https://nycdoe.sharepoint.com/:w:/s/BAP/ET81ZPkJhbtIluTttV2j71IB8ausSj3j4tdnKDMx_j55xg", "10 out of 10")</f>
        <v>10 out of 10</v>
      </c>
      <c r="M1600" t="s">
        <v>9024</v>
      </c>
    </row>
    <row r="1601" spans="2:13">
      <c r="B1601" s="55" t="s">
        <v>4051</v>
      </c>
      <c r="C1601" s="55" t="s">
        <v>3162</v>
      </c>
      <c r="D1601" s="55" t="s">
        <v>4154</v>
      </c>
      <c r="E1601" s="55" t="s">
        <v>3301</v>
      </c>
      <c r="F1601" s="55" t="s">
        <v>7988</v>
      </c>
      <c r="G1601" s="55" t="s">
        <v>7989</v>
      </c>
      <c r="H1601" s="55" t="s">
        <v>43</v>
      </c>
      <c r="I1601" s="55"/>
      <c r="J1601" s="55" t="s">
        <v>9025</v>
      </c>
      <c r="K1601" s="55" t="s">
        <v>62</v>
      </c>
      <c r="L1601" s="57" t="str">
        <f>HYPERLINK("https://nycdoe.sharepoint.com/:w:/s/BAP/Ea4VzlVKwjNLiQKM3jym3ygBmFLprBv6kDrA_jgEmQStxA", "10 out of 10")</f>
        <v>10 out of 10</v>
      </c>
      <c r="M1601" t="s">
        <v>9026</v>
      </c>
    </row>
    <row r="1602" spans="2:13">
      <c r="B1602" s="55" t="s">
        <v>4051</v>
      </c>
      <c r="C1602" s="55" t="s">
        <v>3162</v>
      </c>
      <c r="D1602" s="55" t="s">
        <v>4154</v>
      </c>
      <c r="E1602" s="55" t="s">
        <v>4156</v>
      </c>
      <c r="F1602" s="55" t="s">
        <v>9027</v>
      </c>
      <c r="G1602" s="55" t="s">
        <v>9028</v>
      </c>
      <c r="H1602" s="55" t="s">
        <v>52</v>
      </c>
      <c r="I1602" s="55"/>
      <c r="J1602" s="55" t="s">
        <v>9025</v>
      </c>
      <c r="K1602" s="55" t="s">
        <v>62</v>
      </c>
      <c r="L1602" s="57" t="str">
        <f>HYPERLINK("https://nycdoe.sharepoint.com/:w:/s/BAP/Ea4VzlVKwjNLiQKM3jym3ygBmFLprBv6kDrA_jgEmQStxA", "10 out of 10")</f>
        <v>10 out of 10</v>
      </c>
      <c r="M1602" t="s">
        <v>9026</v>
      </c>
    </row>
    <row r="1603" spans="2:13">
      <c r="B1603" s="55" t="s">
        <v>4051</v>
      </c>
      <c r="C1603" s="55" t="s">
        <v>3162</v>
      </c>
      <c r="D1603" s="55" t="s">
        <v>4154</v>
      </c>
      <c r="E1603" s="55" t="s">
        <v>4159</v>
      </c>
      <c r="F1603" s="55" t="s">
        <v>9029</v>
      </c>
      <c r="G1603" s="55" t="s">
        <v>9030</v>
      </c>
      <c r="H1603" s="55" t="s">
        <v>56</v>
      </c>
      <c r="I1603" s="55"/>
      <c r="J1603" s="55" t="s">
        <v>9025</v>
      </c>
      <c r="K1603" s="55" t="s">
        <v>62</v>
      </c>
      <c r="L1603" s="57" t="str">
        <f>HYPERLINK("https://nycdoe.sharepoint.com/:w:/s/BAP/Ea4VzlVKwjNLiQKM3jym3ygBmFLprBv6kDrA_jgEmQStxA", "10 out of 10")</f>
        <v>10 out of 10</v>
      </c>
      <c r="M1603" t="s">
        <v>9026</v>
      </c>
    </row>
    <row r="1604" spans="2:13">
      <c r="B1604" s="55" t="s">
        <v>4051</v>
      </c>
      <c r="C1604" s="55" t="s">
        <v>3162</v>
      </c>
      <c r="D1604" s="55" t="s">
        <v>9031</v>
      </c>
      <c r="E1604" s="55" t="s">
        <v>9031</v>
      </c>
      <c r="F1604" s="55" t="s">
        <v>9032</v>
      </c>
      <c r="G1604" s="55" t="s">
        <v>9033</v>
      </c>
      <c r="H1604" s="55" t="s">
        <v>52</v>
      </c>
      <c r="I1604" s="55"/>
      <c r="J1604" s="55" t="s">
        <v>9034</v>
      </c>
      <c r="K1604" s="55" t="s">
        <v>62</v>
      </c>
      <c r="L1604" s="57" t="str">
        <f>HYPERLINK("https://nycdoe.sharepoint.com/:w:/s/BAP/EWXpcJdy7_1EunZJR45aPyQBgobG3JS_DvF-eipPC40wrw", "10 out of 10")</f>
        <v>10 out of 10</v>
      </c>
      <c r="M1604" t="s">
        <v>9035</v>
      </c>
    </row>
    <row r="1605" spans="2:13">
      <c r="B1605" s="55" t="s">
        <v>4051</v>
      </c>
      <c r="C1605" s="55" t="s">
        <v>3162</v>
      </c>
      <c r="D1605" s="55" t="s">
        <v>4162</v>
      </c>
      <c r="E1605" s="55" t="s">
        <v>4163</v>
      </c>
      <c r="F1605" s="55" t="s">
        <v>9036</v>
      </c>
      <c r="G1605" s="55" t="s">
        <v>9037</v>
      </c>
      <c r="H1605" s="55" t="s">
        <v>56</v>
      </c>
      <c r="I1605" s="55"/>
      <c r="J1605" s="55" t="s">
        <v>9038</v>
      </c>
      <c r="K1605" s="55" t="s">
        <v>62</v>
      </c>
      <c r="L1605" s="57" t="str">
        <f>HYPERLINK("https://nycdoe.sharepoint.com/:w:/s/BAP/EScD3agUgupMojD4sflQx8gBZ8EPy0OuoUR6shiq9IBWsQ", "10 out of 10")</f>
        <v>10 out of 10</v>
      </c>
      <c r="M1605" t="s">
        <v>9039</v>
      </c>
    </row>
    <row r="1606" spans="2:13">
      <c r="B1606" s="55" t="s">
        <v>4051</v>
      </c>
      <c r="C1606" s="55" t="s">
        <v>3162</v>
      </c>
      <c r="D1606" s="55" t="s">
        <v>4162</v>
      </c>
      <c r="E1606" s="55" t="s">
        <v>3498</v>
      </c>
      <c r="F1606" s="55" t="s">
        <v>8251</v>
      </c>
      <c r="G1606" s="55" t="s">
        <v>3500</v>
      </c>
      <c r="H1606" s="55" t="s">
        <v>43</v>
      </c>
      <c r="I1606" s="55"/>
      <c r="J1606" s="55" t="s">
        <v>9038</v>
      </c>
      <c r="K1606" s="55" t="s">
        <v>62</v>
      </c>
      <c r="L1606" s="57" t="str">
        <f>HYPERLINK("https://nycdoe.sharepoint.com/:w:/s/BAP/EScD3agUgupMojD4sflQx8gBZ8EPy0OuoUR6shiq9IBWsQ", "10 out of 10")</f>
        <v>10 out of 10</v>
      </c>
      <c r="M1606" t="s">
        <v>9039</v>
      </c>
    </row>
    <row r="1607" spans="2:13">
      <c r="B1607" s="55" t="s">
        <v>4051</v>
      </c>
      <c r="C1607" s="55" t="s">
        <v>3162</v>
      </c>
      <c r="D1607" s="55" t="s">
        <v>4167</v>
      </c>
      <c r="E1607" s="55" t="s">
        <v>4168</v>
      </c>
      <c r="F1607" s="55" t="s">
        <v>9040</v>
      </c>
      <c r="G1607" s="55" t="s">
        <v>9041</v>
      </c>
      <c r="H1607" s="55" t="s">
        <v>56</v>
      </c>
      <c r="I1607" s="55"/>
      <c r="J1607" s="55" t="s">
        <v>9042</v>
      </c>
      <c r="K1607" s="55" t="s">
        <v>62</v>
      </c>
      <c r="L1607" s="57" t="str">
        <f>HYPERLINK("https://nycdoe.sharepoint.com/:w:/s/BAP/EU12ETaacY1LiN7Rull5argB7eK4lh0DGKQRbfoQq9TdNA", "10 out of 10")</f>
        <v>10 out of 10</v>
      </c>
      <c r="M1607" t="s">
        <v>9043</v>
      </c>
    </row>
    <row r="1608" spans="2:13">
      <c r="B1608" s="55" t="s">
        <v>4051</v>
      </c>
      <c r="C1608" s="55" t="s">
        <v>3162</v>
      </c>
      <c r="D1608" s="55" t="s">
        <v>4167</v>
      </c>
      <c r="E1608" s="55" t="s">
        <v>3498</v>
      </c>
      <c r="F1608" s="55" t="s">
        <v>8251</v>
      </c>
      <c r="G1608" s="55" t="s">
        <v>3500</v>
      </c>
      <c r="H1608" s="55" t="s">
        <v>43</v>
      </c>
      <c r="I1608" s="55"/>
      <c r="J1608" s="55" t="s">
        <v>9042</v>
      </c>
      <c r="K1608" s="55" t="s">
        <v>62</v>
      </c>
      <c r="L1608" s="57" t="str">
        <f>HYPERLINK("https://nycdoe.sharepoint.com/:w:/s/BAP/EU12ETaacY1LiN7Rull5argB7eK4lh0DGKQRbfoQq9TdNA", "10 out of 10")</f>
        <v>10 out of 10</v>
      </c>
      <c r="M1608" t="s">
        <v>9043</v>
      </c>
    </row>
    <row r="1609" spans="2:13">
      <c r="B1609" s="55" t="s">
        <v>4051</v>
      </c>
      <c r="C1609" s="55" t="s">
        <v>3162</v>
      </c>
      <c r="D1609" s="55" t="s">
        <v>4172</v>
      </c>
      <c r="E1609" s="55" t="s">
        <v>4172</v>
      </c>
      <c r="F1609" s="55" t="s">
        <v>9044</v>
      </c>
      <c r="G1609" s="55" t="s">
        <v>9045</v>
      </c>
      <c r="H1609" s="55" t="s">
        <v>56</v>
      </c>
      <c r="I1609" s="55"/>
      <c r="J1609" s="55" t="s">
        <v>9046</v>
      </c>
      <c r="K1609" s="55" t="s">
        <v>62</v>
      </c>
      <c r="L1609" s="57" t="str">
        <f>HYPERLINK("https://nycdoe.sharepoint.com/:w:/s/BAP/EbF91P7-3LFHtcHmHHNm-SkBt9EKaTuPEL9behi7IqvIdQ", "10 out of 10")</f>
        <v>10 out of 10</v>
      </c>
      <c r="M1609" t="s">
        <v>9047</v>
      </c>
    </row>
    <row r="1610" spans="2:13">
      <c r="B1610" s="55" t="s">
        <v>4051</v>
      </c>
      <c r="C1610" s="55" t="s">
        <v>3162</v>
      </c>
      <c r="D1610" s="55" t="s">
        <v>9048</v>
      </c>
      <c r="E1610" s="55" t="s">
        <v>3544</v>
      </c>
      <c r="F1610" s="55" t="s">
        <v>8325</v>
      </c>
      <c r="G1610" s="55" t="s">
        <v>3546</v>
      </c>
      <c r="H1610" s="55" t="s">
        <v>24</v>
      </c>
      <c r="I1610" s="55" t="s">
        <v>18</v>
      </c>
      <c r="J1610" s="55" t="s">
        <v>9049</v>
      </c>
      <c r="K1610" s="55" t="s">
        <v>62</v>
      </c>
      <c r="L1610" s="57" t="str">
        <f>HYPERLINK("https://nycdoe.sharepoint.com/:w:/s/BAP/EV8GcBPJIuBIgz7EpHMpd-YBabHtcvSP_8gqSHABwDGUKw", "9 out of 10")</f>
        <v>9 out of 10</v>
      </c>
      <c r="M1610" t="s">
        <v>9050</v>
      </c>
    </row>
    <row r="1611" spans="2:13">
      <c r="B1611" s="55" t="s">
        <v>4051</v>
      </c>
      <c r="C1611" s="55" t="s">
        <v>3162</v>
      </c>
      <c r="D1611" s="55" t="s">
        <v>4176</v>
      </c>
      <c r="E1611" s="55" t="s">
        <v>4177</v>
      </c>
      <c r="F1611" s="55" t="s">
        <v>9051</v>
      </c>
      <c r="G1611" s="55" t="s">
        <v>9052</v>
      </c>
      <c r="H1611" s="55" t="s">
        <v>56</v>
      </c>
      <c r="I1611" s="55"/>
      <c r="J1611" s="55" t="s">
        <v>9053</v>
      </c>
      <c r="K1611" s="55" t="s">
        <v>62</v>
      </c>
      <c r="L1611" s="57" t="str">
        <f>HYPERLINK("https://nycdoe.sharepoint.com/:w:/s/BAP/EXwsMeYjsDJCvllM1LzuS7kBnVkLFUkuYehhJQniWxojGA", "10 out of 10")</f>
        <v>10 out of 10</v>
      </c>
      <c r="M1611" t="s">
        <v>9054</v>
      </c>
    </row>
    <row r="1612" spans="2:13">
      <c r="B1612" s="55" t="s">
        <v>4051</v>
      </c>
      <c r="C1612" s="55" t="s">
        <v>3162</v>
      </c>
      <c r="D1612" s="55" t="s">
        <v>4176</v>
      </c>
      <c r="E1612" s="55" t="s">
        <v>3345</v>
      </c>
      <c r="F1612" s="55" t="s">
        <v>8057</v>
      </c>
      <c r="G1612" s="55" t="s">
        <v>8058</v>
      </c>
      <c r="H1612" s="55" t="s">
        <v>56</v>
      </c>
      <c r="I1612" s="55"/>
      <c r="J1612" s="55" t="s">
        <v>9053</v>
      </c>
      <c r="K1612" s="55" t="s">
        <v>62</v>
      </c>
      <c r="L1612" s="57" t="str">
        <f>HYPERLINK("https://nycdoe.sharepoint.com/:w:/s/BAP/EXwsMeYjsDJCvllM1LzuS7kBnVkLFUkuYehhJQniWxojGA", "10 out of 10")</f>
        <v>10 out of 10</v>
      </c>
      <c r="M1612" t="s">
        <v>9054</v>
      </c>
    </row>
    <row r="1613" spans="2:13">
      <c r="B1613" s="55" t="s">
        <v>4051</v>
      </c>
      <c r="C1613" s="55" t="s">
        <v>3162</v>
      </c>
      <c r="D1613" s="55" t="s">
        <v>4181</v>
      </c>
      <c r="E1613" s="55" t="s">
        <v>4182</v>
      </c>
      <c r="F1613" s="55" t="s">
        <v>9055</v>
      </c>
      <c r="G1613" s="55" t="s">
        <v>9056</v>
      </c>
      <c r="H1613" s="55" t="s">
        <v>84</v>
      </c>
      <c r="I1613" s="55"/>
      <c r="J1613" s="55" t="s">
        <v>9057</v>
      </c>
      <c r="K1613" s="55" t="s">
        <v>20</v>
      </c>
      <c r="L1613" s="57" t="str">
        <f>HYPERLINK("https://nycdoe.sharepoint.com/:w:/s/BAP/EQf7qLFiR-BHm4XOVq-EgzMBV-tswubuzEmH-EHZASsRTQ", "8 out of 10")</f>
        <v>8 out of 10</v>
      </c>
      <c r="M1613" t="s">
        <v>9058</v>
      </c>
    </row>
    <row r="1614" spans="2:13">
      <c r="B1614" s="55" t="s">
        <v>4051</v>
      </c>
      <c r="C1614" s="55" t="s">
        <v>3162</v>
      </c>
      <c r="D1614" s="55" t="s">
        <v>4186</v>
      </c>
      <c r="E1614" s="55" t="s">
        <v>4187</v>
      </c>
      <c r="F1614" s="55" t="s">
        <v>9059</v>
      </c>
      <c r="G1614" s="55" t="s">
        <v>9060</v>
      </c>
      <c r="H1614" s="55" t="s">
        <v>84</v>
      </c>
      <c r="I1614" s="55"/>
      <c r="J1614" s="55" t="s">
        <v>9061</v>
      </c>
      <c r="K1614" s="55" t="s">
        <v>62</v>
      </c>
      <c r="L1614" s="57" t="str">
        <f>HYPERLINK("https://nycdoe.sharepoint.com/:w:/s/BAP/EWyX4XPAmANCvkVsKgZAdOoBP3KIAIWMQkVsKFQnw5XEMw", "10 out of 10")</f>
        <v>10 out of 10</v>
      </c>
      <c r="M1614" t="s">
        <v>9062</v>
      </c>
    </row>
    <row r="1615" spans="2:13">
      <c r="B1615" s="55" t="s">
        <v>4051</v>
      </c>
      <c r="C1615" s="55" t="s">
        <v>3162</v>
      </c>
      <c r="D1615" s="55" t="s">
        <v>4191</v>
      </c>
      <c r="E1615" s="55" t="s">
        <v>4192</v>
      </c>
      <c r="F1615" s="55" t="s">
        <v>9007</v>
      </c>
      <c r="G1615" s="55" t="s">
        <v>4194</v>
      </c>
      <c r="H1615" s="55" t="s">
        <v>24</v>
      </c>
      <c r="I1615" s="55" t="s">
        <v>18</v>
      </c>
      <c r="J1615" s="55" t="s">
        <v>9063</v>
      </c>
      <c r="K1615" s="55" t="s">
        <v>62</v>
      </c>
      <c r="L1615" s="57" t="str">
        <f>HYPERLINK("https://nycdoe.sharepoint.com/:w:/s/BAP/ESNVVB-HnM1CrA2FR5xVWHYB35M5CyyOazhla1tby3BGAA", "10 out of 10")</f>
        <v>10 out of 10</v>
      </c>
      <c r="M1615" t="s">
        <v>9064</v>
      </c>
    </row>
    <row r="1616" spans="2:13">
      <c r="B1616" s="55" t="s">
        <v>4051</v>
      </c>
      <c r="C1616" s="55" t="s">
        <v>3162</v>
      </c>
      <c r="D1616" s="55" t="s">
        <v>4196</v>
      </c>
      <c r="E1616" s="55" t="s">
        <v>3174</v>
      </c>
      <c r="F1616" s="55" t="s">
        <v>7879</v>
      </c>
      <c r="G1616" s="55" t="s">
        <v>3176</v>
      </c>
      <c r="H1616" s="55" t="s">
        <v>43</v>
      </c>
      <c r="I1616" s="55"/>
      <c r="J1616" s="55" t="s">
        <v>9065</v>
      </c>
      <c r="K1616" s="55" t="s">
        <v>62</v>
      </c>
      <c r="L1616" s="57" t="str">
        <f>HYPERLINK("https://nycdoe.sharepoint.com/:w:/s/BAP/EYHtSmel5WpAmtZtcfie18oBeZzoNUerbBEJfuj2GtMF3Q", "9 out of 10")</f>
        <v>9 out of 10</v>
      </c>
      <c r="M1616" t="s">
        <v>9066</v>
      </c>
    </row>
    <row r="1617" spans="2:13">
      <c r="B1617" s="55" t="s">
        <v>4051</v>
      </c>
      <c r="C1617" s="55" t="s">
        <v>3162</v>
      </c>
      <c r="D1617" s="55" t="s">
        <v>4196</v>
      </c>
      <c r="E1617" s="55" t="s">
        <v>4198</v>
      </c>
      <c r="F1617" s="55" t="s">
        <v>9067</v>
      </c>
      <c r="G1617" s="55" t="s">
        <v>9068</v>
      </c>
      <c r="H1617" s="55" t="s">
        <v>43</v>
      </c>
      <c r="I1617" s="55" t="s">
        <v>18</v>
      </c>
      <c r="J1617" s="55" t="s">
        <v>9065</v>
      </c>
      <c r="K1617" s="55" t="s">
        <v>62</v>
      </c>
      <c r="L1617" s="57" t="str">
        <f>HYPERLINK("https://nycdoe.sharepoint.com/:w:/s/BAP/EYHtSmel5WpAmtZtcfie18oBeZzoNUerbBEJfuj2GtMF3Q", "9 out of 10")</f>
        <v>9 out of 10</v>
      </c>
      <c r="M1617" t="s">
        <v>9066</v>
      </c>
    </row>
    <row r="1618" spans="2:13">
      <c r="B1618" s="55" t="s">
        <v>4201</v>
      </c>
      <c r="C1618" s="55" t="s">
        <v>4202</v>
      </c>
      <c r="D1618" s="55" t="s">
        <v>4203</v>
      </c>
      <c r="E1618" s="55" t="s">
        <v>4203</v>
      </c>
      <c r="F1618" s="55" t="s">
        <v>9069</v>
      </c>
      <c r="G1618" s="55" t="s">
        <v>9070</v>
      </c>
      <c r="H1618" s="55" t="s">
        <v>52</v>
      </c>
      <c r="I1618" s="55"/>
      <c r="J1618" s="55" t="s">
        <v>9071</v>
      </c>
      <c r="K1618" s="55" t="s">
        <v>20</v>
      </c>
      <c r="L1618" s="57" t="str">
        <f>HYPERLINK("https://nycdoe.sharepoint.com/:w:/s/BAP/EcW-zlFDOStMgxG4EK8lDp4BTQGeiiu_hAR3kFrTOv23Ew", "1 out of 10")</f>
        <v>1 out of 10</v>
      </c>
      <c r="M1618" t="s">
        <v>9072</v>
      </c>
    </row>
    <row r="1619" spans="2:13">
      <c r="B1619" s="55" t="s">
        <v>4201</v>
      </c>
      <c r="C1619" s="55" t="s">
        <v>4202</v>
      </c>
      <c r="D1619" s="55" t="s">
        <v>4203</v>
      </c>
      <c r="E1619" s="55" t="s">
        <v>4207</v>
      </c>
      <c r="F1619" s="55" t="s">
        <v>9073</v>
      </c>
      <c r="G1619" s="55" t="s">
        <v>9074</v>
      </c>
      <c r="H1619" s="55" t="s">
        <v>43</v>
      </c>
      <c r="I1619" s="55" t="s">
        <v>18</v>
      </c>
      <c r="J1619" s="55" t="s">
        <v>9071</v>
      </c>
      <c r="K1619" s="55" t="s">
        <v>20</v>
      </c>
      <c r="L1619" s="57" t="str">
        <f>HYPERLINK("https://nycdoe.sharepoint.com/:w:/s/BAP/EcW-zlFDOStMgxG4EK8lDp4BTQGeiiu_hAR3kFrTOv23Ew", "1 out of 10")</f>
        <v>1 out of 10</v>
      </c>
      <c r="M1619" t="s">
        <v>9072</v>
      </c>
    </row>
    <row r="1620" spans="2:13">
      <c r="B1620" s="55" t="s">
        <v>4201</v>
      </c>
      <c r="C1620" s="55" t="s">
        <v>4202</v>
      </c>
      <c r="D1620" s="55" t="s">
        <v>4210</v>
      </c>
      <c r="E1620" s="55" t="s">
        <v>4210</v>
      </c>
      <c r="F1620" s="55" t="s">
        <v>9075</v>
      </c>
      <c r="G1620" s="55" t="s">
        <v>9076</v>
      </c>
      <c r="H1620" s="55" t="s">
        <v>17</v>
      </c>
      <c r="I1620" s="55" t="s">
        <v>18</v>
      </c>
      <c r="J1620" s="55" t="s">
        <v>9077</v>
      </c>
      <c r="K1620" s="55" t="s">
        <v>20</v>
      </c>
      <c r="L1620" s="57" t="str">
        <f>HYPERLINK("https://nycdoe.sharepoint.com/:w:/s/BAP/EWIw3AItrK9Pjq8_LYcsv2cBcu1h9jLiWA-3pXp7zAWaUg", "6 out of 10")</f>
        <v>6 out of 10</v>
      </c>
      <c r="M1620" t="s">
        <v>9078</v>
      </c>
    </row>
    <row r="1621" spans="2:13">
      <c r="B1621" s="55" t="s">
        <v>4201</v>
      </c>
      <c r="C1621" s="55" t="s">
        <v>4202</v>
      </c>
      <c r="D1621" s="55" t="s">
        <v>4214</v>
      </c>
      <c r="E1621" s="55" t="s">
        <v>4214</v>
      </c>
      <c r="F1621" s="55" t="s">
        <v>9079</v>
      </c>
      <c r="G1621" s="55" t="s">
        <v>9080</v>
      </c>
      <c r="H1621" s="55" t="s">
        <v>17</v>
      </c>
      <c r="I1621" s="55" t="s">
        <v>18</v>
      </c>
      <c r="J1621" s="55" t="s">
        <v>9081</v>
      </c>
      <c r="K1621" s="55" t="s">
        <v>62</v>
      </c>
      <c r="L1621" s="57" t="str">
        <f>HYPERLINK("https://nycdoe.sharepoint.com/:w:/s/BAP/EVMjN0s7kfROrTapWqmBaz4BGQ77pXwWiSrGbETS6QtfGw", "9 out of 10")</f>
        <v>9 out of 10</v>
      </c>
      <c r="M1621" t="s">
        <v>9082</v>
      </c>
    </row>
    <row r="1622" spans="2:13">
      <c r="B1622" s="55" t="s">
        <v>4201</v>
      </c>
      <c r="C1622" s="55" t="s">
        <v>4202</v>
      </c>
      <c r="D1622" s="55" t="s">
        <v>4214</v>
      </c>
      <c r="E1622" s="55" t="s">
        <v>4207</v>
      </c>
      <c r="F1622" s="55" t="s">
        <v>9073</v>
      </c>
      <c r="G1622" s="55" t="s">
        <v>9074</v>
      </c>
      <c r="H1622" s="55" t="s">
        <v>43</v>
      </c>
      <c r="I1622" s="55" t="s">
        <v>18</v>
      </c>
      <c r="J1622" s="55" t="s">
        <v>9081</v>
      </c>
      <c r="K1622" s="55" t="s">
        <v>62</v>
      </c>
      <c r="L1622" s="57" t="str">
        <f>HYPERLINK("https://nycdoe.sharepoint.com/:w:/s/BAP/EVMjN0s7kfROrTapWqmBaz4BGQ77pXwWiSrGbETS6QtfGw", "9 out of 10")</f>
        <v>9 out of 10</v>
      </c>
      <c r="M1622" t="s">
        <v>9082</v>
      </c>
    </row>
    <row r="1623" spans="2:13">
      <c r="B1623" s="55" t="s">
        <v>4201</v>
      </c>
      <c r="C1623" s="55" t="s">
        <v>4202</v>
      </c>
      <c r="D1623" s="55" t="s">
        <v>4218</v>
      </c>
      <c r="E1623" s="55" t="s">
        <v>4218</v>
      </c>
      <c r="F1623" s="55" t="s">
        <v>9083</v>
      </c>
      <c r="G1623" s="55" t="s">
        <v>9084</v>
      </c>
      <c r="H1623" s="55" t="s">
        <v>17</v>
      </c>
      <c r="I1623" s="55"/>
      <c r="J1623" s="55" t="s">
        <v>9085</v>
      </c>
      <c r="K1623" s="55" t="s">
        <v>20</v>
      </c>
      <c r="L1623" s="57" t="str">
        <f>HYPERLINK("https://nycdoe.sharepoint.com/:w:/s/BAP/EbYH9YPdq1dDugpz-dplidQBFNLJGEX6-E5Og3HzLkv9jQ", "4 out of 10")</f>
        <v>4 out of 10</v>
      </c>
      <c r="M1623" t="s">
        <v>9086</v>
      </c>
    </row>
    <row r="1624" spans="2:13">
      <c r="B1624" s="55" t="s">
        <v>4201</v>
      </c>
      <c r="C1624" s="55" t="s">
        <v>4202</v>
      </c>
      <c r="D1624" s="55" t="s">
        <v>4222</v>
      </c>
      <c r="E1624" s="55" t="s">
        <v>4222</v>
      </c>
      <c r="F1624" s="55" t="s">
        <v>9087</v>
      </c>
      <c r="G1624" s="55" t="s">
        <v>9088</v>
      </c>
      <c r="H1624" s="55" t="s">
        <v>17</v>
      </c>
      <c r="I1624" s="55" t="s">
        <v>18</v>
      </c>
      <c r="J1624" s="55" t="s">
        <v>9089</v>
      </c>
      <c r="K1624" s="55" t="s">
        <v>62</v>
      </c>
      <c r="L1624" s="57" t="str">
        <f>HYPERLINK("https://nycdoe.sharepoint.com/:w:/s/BAP/ETLKEQMPwfBEmgsq3XfhaBEBc1siXtlhtkbIENYgYIplgQ", "10 out of 10")</f>
        <v>10 out of 10</v>
      </c>
      <c r="M1624" t="s">
        <v>9090</v>
      </c>
    </row>
    <row r="1625" spans="2:13">
      <c r="B1625" s="55" t="s">
        <v>4201</v>
      </c>
      <c r="C1625" s="55" t="s">
        <v>4202</v>
      </c>
      <c r="D1625" s="55" t="s">
        <v>4222</v>
      </c>
      <c r="E1625" s="55" t="s">
        <v>4207</v>
      </c>
      <c r="F1625" s="55" t="s">
        <v>9073</v>
      </c>
      <c r="G1625" s="55" t="s">
        <v>9074</v>
      </c>
      <c r="H1625" s="55" t="s">
        <v>43</v>
      </c>
      <c r="I1625" s="55" t="s">
        <v>18</v>
      </c>
      <c r="J1625" s="55" t="s">
        <v>9089</v>
      </c>
      <c r="K1625" s="55" t="s">
        <v>62</v>
      </c>
      <c r="L1625" s="57" t="str">
        <f>HYPERLINK("https://nycdoe.sharepoint.com/:w:/s/BAP/ETLKEQMPwfBEmgsq3XfhaBEBc1siXtlhtkbIENYgYIplgQ", "10 out of 10")</f>
        <v>10 out of 10</v>
      </c>
      <c r="M1625" t="s">
        <v>9090</v>
      </c>
    </row>
    <row r="1626" spans="2:13">
      <c r="B1626" s="55" t="s">
        <v>4201</v>
      </c>
      <c r="C1626" s="55" t="s">
        <v>4202</v>
      </c>
      <c r="D1626" s="55" t="s">
        <v>4229</v>
      </c>
      <c r="E1626" s="55" t="s">
        <v>4229</v>
      </c>
      <c r="F1626" s="55" t="s">
        <v>9091</v>
      </c>
      <c r="G1626" s="55" t="s">
        <v>9092</v>
      </c>
      <c r="H1626" s="55" t="s">
        <v>52</v>
      </c>
      <c r="I1626" s="55"/>
      <c r="J1626" s="55" t="s">
        <v>9093</v>
      </c>
      <c r="K1626" s="55" t="s">
        <v>20</v>
      </c>
      <c r="L1626" s="57" t="str">
        <f>HYPERLINK("https://nycdoe.sharepoint.com/:w:/s/BAP/EeACQNlwpVFImFkqY2gH4hQBsFVpgVqZ2esDWhj5N9I70g", "1 out of 10")</f>
        <v>1 out of 10</v>
      </c>
      <c r="M1626" t="s">
        <v>9094</v>
      </c>
    </row>
    <row r="1627" spans="2:13">
      <c r="B1627" s="55" t="s">
        <v>4201</v>
      </c>
      <c r="C1627" s="55" t="s">
        <v>4202</v>
      </c>
      <c r="D1627" s="55" t="s">
        <v>4229</v>
      </c>
      <c r="E1627" s="55" t="s">
        <v>4233</v>
      </c>
      <c r="F1627" s="55" t="s">
        <v>9095</v>
      </c>
      <c r="G1627" s="55" t="s">
        <v>9096</v>
      </c>
      <c r="H1627" s="55" t="s">
        <v>43</v>
      </c>
      <c r="I1627" s="55" t="s">
        <v>18</v>
      </c>
      <c r="J1627" s="55" t="s">
        <v>9093</v>
      </c>
      <c r="K1627" s="55" t="s">
        <v>20</v>
      </c>
      <c r="L1627" s="57" t="str">
        <f>HYPERLINK("https://nycdoe.sharepoint.com/:w:/s/BAP/EeACQNlwpVFImFkqY2gH4hQBsFVpgVqZ2esDWhj5N9I70g", "1 out of 10")</f>
        <v>1 out of 10</v>
      </c>
      <c r="M1627" t="s">
        <v>9094</v>
      </c>
    </row>
    <row r="1628" spans="2:13">
      <c r="B1628" s="55" t="s">
        <v>4201</v>
      </c>
      <c r="C1628" s="55" t="s">
        <v>4202</v>
      </c>
      <c r="D1628" s="55" t="s">
        <v>9097</v>
      </c>
      <c r="E1628" s="55" t="s">
        <v>9097</v>
      </c>
      <c r="F1628" s="55" t="s">
        <v>9098</v>
      </c>
      <c r="G1628" s="55" t="s">
        <v>9099</v>
      </c>
      <c r="H1628" s="55" t="s">
        <v>17</v>
      </c>
      <c r="I1628" s="55" t="s">
        <v>18</v>
      </c>
      <c r="J1628" s="55" t="s">
        <v>9100</v>
      </c>
      <c r="K1628" s="55" t="s">
        <v>20</v>
      </c>
      <c r="L1628" s="57" t="str">
        <f>HYPERLINK("https://nycdoe.sharepoint.com/:w:/s/BAP/Efxo4DeJBZNBj_SA_nTnDlABHtjnpCnGX6w5wjkvGv-i5g", "1 out of 10")</f>
        <v>1 out of 10</v>
      </c>
      <c r="M1628" t="s">
        <v>9101</v>
      </c>
    </row>
    <row r="1629" spans="2:13">
      <c r="B1629" s="55" t="s">
        <v>4201</v>
      </c>
      <c r="C1629" s="55" t="s">
        <v>4202</v>
      </c>
      <c r="D1629" s="55" t="s">
        <v>4236</v>
      </c>
      <c r="E1629" s="55" t="s">
        <v>4236</v>
      </c>
      <c r="F1629" s="55" t="s">
        <v>9102</v>
      </c>
      <c r="G1629" s="55" t="s">
        <v>9103</v>
      </c>
      <c r="H1629" s="55" t="s">
        <v>17</v>
      </c>
      <c r="I1629" s="55" t="s">
        <v>18</v>
      </c>
      <c r="J1629" s="55" t="s">
        <v>9104</v>
      </c>
      <c r="K1629" s="55" t="s">
        <v>20</v>
      </c>
      <c r="L1629" s="57" t="str">
        <f>HYPERLINK("https://nycdoe.sharepoint.com/:w:/s/BAP/EfTjRpG8uSVIs4njlZiqmo8Bp4gJwHypklMnRfirkFZglw", "3 out of 10")</f>
        <v>3 out of 10</v>
      </c>
      <c r="M1629" t="s">
        <v>9105</v>
      </c>
    </row>
    <row r="1630" spans="2:13">
      <c r="B1630" s="55" t="s">
        <v>4201</v>
      </c>
      <c r="C1630" s="55" t="s">
        <v>4202</v>
      </c>
      <c r="D1630" s="55" t="s">
        <v>4240</v>
      </c>
      <c r="E1630" s="55" t="s">
        <v>4240</v>
      </c>
      <c r="F1630" s="55" t="s">
        <v>9106</v>
      </c>
      <c r="G1630" s="55" t="s">
        <v>9107</v>
      </c>
      <c r="H1630" s="55" t="s">
        <v>17</v>
      </c>
      <c r="I1630" s="55" t="s">
        <v>18</v>
      </c>
      <c r="J1630" s="55" t="s">
        <v>9108</v>
      </c>
      <c r="K1630" s="55" t="s">
        <v>62</v>
      </c>
      <c r="L1630" s="57" t="str">
        <f>HYPERLINK("https://nycdoe.sharepoint.com/:w:/s/BAP/EbvcWSshrphPtLjdaEWDwUAB6_F4dCBAJUrZBYxbnr493Q", "9 out of 10")</f>
        <v>9 out of 10</v>
      </c>
      <c r="M1630" t="s">
        <v>9109</v>
      </c>
    </row>
    <row r="1631" spans="2:13">
      <c r="B1631" s="55" t="s">
        <v>4201</v>
      </c>
      <c r="C1631" s="55" t="s">
        <v>4202</v>
      </c>
      <c r="D1631" s="55" t="s">
        <v>4244</v>
      </c>
      <c r="E1631" s="55" t="s">
        <v>4245</v>
      </c>
      <c r="F1631" s="55" t="s">
        <v>9110</v>
      </c>
      <c r="G1631" s="55" t="s">
        <v>4247</v>
      </c>
      <c r="H1631" s="55" t="s">
        <v>17</v>
      </c>
      <c r="I1631" s="55" t="s">
        <v>18</v>
      </c>
      <c r="J1631" s="55" t="s">
        <v>9111</v>
      </c>
      <c r="K1631" s="55" t="s">
        <v>20</v>
      </c>
      <c r="L1631" s="57" t="str">
        <f>HYPERLINK("https://nycdoe.sharepoint.com/:w:/s/BAP/EQd07aynhmVIln-Kb-jErH4B3RtRWn9EpK4aG9U5Ub3xrQ", "6 out of 10")</f>
        <v>6 out of 10</v>
      </c>
      <c r="M1631" t="s">
        <v>9112</v>
      </c>
    </row>
    <row r="1632" spans="2:13">
      <c r="B1632" s="55" t="s">
        <v>4201</v>
      </c>
      <c r="C1632" s="55" t="s">
        <v>4202</v>
      </c>
      <c r="D1632" s="55" t="s">
        <v>9113</v>
      </c>
      <c r="E1632" s="55" t="s">
        <v>9114</v>
      </c>
      <c r="F1632" s="55" t="s">
        <v>9115</v>
      </c>
      <c r="G1632" s="55" t="s">
        <v>9116</v>
      </c>
      <c r="H1632" s="55" t="s">
        <v>17</v>
      </c>
      <c r="I1632" s="55" t="s">
        <v>18</v>
      </c>
      <c r="J1632" s="55" t="s">
        <v>9117</v>
      </c>
      <c r="K1632" s="55" t="s">
        <v>20</v>
      </c>
      <c r="L1632" s="57" t="str">
        <f>HYPERLINK("https://nycdoe.sharepoint.com/:w:/s/BAP/EXFHqfsPxuNEjW13zSpASusBmplsItsFFjvjaR1ssAL8uA", "3 out of 10")</f>
        <v>3 out of 10</v>
      </c>
      <c r="M1632" t="s">
        <v>9118</v>
      </c>
    </row>
    <row r="1633" spans="2:13">
      <c r="B1633" s="55" t="s">
        <v>4201</v>
      </c>
      <c r="C1633" s="55" t="s">
        <v>4202</v>
      </c>
      <c r="D1633" s="55" t="s">
        <v>9113</v>
      </c>
      <c r="E1633" s="55" t="s">
        <v>9113</v>
      </c>
      <c r="F1633" s="55" t="s">
        <v>9119</v>
      </c>
      <c r="G1633" s="55" t="s">
        <v>9120</v>
      </c>
      <c r="H1633" s="55" t="s">
        <v>17</v>
      </c>
      <c r="I1633" s="55" t="s">
        <v>18</v>
      </c>
      <c r="J1633" s="55" t="s">
        <v>9117</v>
      </c>
      <c r="K1633" s="55" t="s">
        <v>20</v>
      </c>
      <c r="L1633" s="57" t="str">
        <f>HYPERLINK("https://nycdoe.sharepoint.com/:w:/s/BAP/EXFHqfsPxuNEjW13zSpASusBmplsItsFFjvjaR1ssAL8uA", "3 out of 10")</f>
        <v>3 out of 10</v>
      </c>
      <c r="M1633" t="s">
        <v>9118</v>
      </c>
    </row>
    <row r="1634" spans="2:13">
      <c r="B1634" s="55" t="s">
        <v>4201</v>
      </c>
      <c r="C1634" s="55" t="s">
        <v>4202</v>
      </c>
      <c r="D1634" s="55" t="s">
        <v>4249</v>
      </c>
      <c r="E1634" s="55" t="s">
        <v>4249</v>
      </c>
      <c r="F1634" s="55" t="s">
        <v>9121</v>
      </c>
      <c r="G1634" s="55" t="s">
        <v>9122</v>
      </c>
      <c r="H1634" s="55" t="s">
        <v>17</v>
      </c>
      <c r="I1634" s="55" t="s">
        <v>18</v>
      </c>
      <c r="J1634" s="55" t="s">
        <v>9123</v>
      </c>
      <c r="K1634" s="55" t="s">
        <v>20</v>
      </c>
      <c r="L1634" s="57" t="str">
        <f>HYPERLINK("https://nycdoe.sharepoint.com/:w:/s/BAP/Eeu8Bt_RDGlMvt-TSyw9MwsB_QboGYM0CZ2N-oUa4Wymcw", "3 out of 10")</f>
        <v>3 out of 10</v>
      </c>
      <c r="M1634" t="s">
        <v>9124</v>
      </c>
    </row>
    <row r="1635" spans="2:13">
      <c r="B1635" s="55" t="s">
        <v>4201</v>
      </c>
      <c r="C1635" s="55" t="s">
        <v>4202</v>
      </c>
      <c r="D1635" s="55" t="s">
        <v>4253</v>
      </c>
      <c r="E1635" s="55" t="s">
        <v>4253</v>
      </c>
      <c r="F1635" s="55" t="s">
        <v>9125</v>
      </c>
      <c r="G1635" s="55" t="s">
        <v>9126</v>
      </c>
      <c r="H1635" s="55" t="s">
        <v>17</v>
      </c>
      <c r="I1635" s="55" t="s">
        <v>18</v>
      </c>
      <c r="J1635" s="55" t="s">
        <v>9127</v>
      </c>
      <c r="K1635" s="55" t="s">
        <v>20</v>
      </c>
      <c r="L1635" s="57" t="str">
        <f>HYPERLINK("https://nycdoe.sharepoint.com/:w:/s/BAP/EcL22-Y61SJGrapne2Aej3gBbaZFA6ZCryTBo2iVz3yTQA", "1 out of 10")</f>
        <v>1 out of 10</v>
      </c>
      <c r="M1635" t="s">
        <v>9128</v>
      </c>
    </row>
    <row r="1636" spans="2:13">
      <c r="B1636" s="55" t="s">
        <v>4201</v>
      </c>
      <c r="C1636" s="55" t="s">
        <v>4202</v>
      </c>
      <c r="D1636" s="55" t="s">
        <v>4257</v>
      </c>
      <c r="E1636" s="55" t="s">
        <v>4257</v>
      </c>
      <c r="F1636" s="55" t="s">
        <v>9129</v>
      </c>
      <c r="G1636" s="55" t="s">
        <v>9130</v>
      </c>
      <c r="H1636" s="55" t="s">
        <v>17</v>
      </c>
      <c r="I1636" s="55"/>
      <c r="J1636" s="55" t="s">
        <v>9131</v>
      </c>
      <c r="K1636" s="55" t="s">
        <v>20</v>
      </c>
      <c r="L1636" s="57" t="str">
        <f>HYPERLINK("https://nycdoe.sharepoint.com/:w:/s/BAP/EU-_0gzhjrlFmsBWB0C8OLUBYlGdzr4b9gBthSFwFhw8yQ", "4 out of 10")</f>
        <v>4 out of 10</v>
      </c>
      <c r="M1636" t="s">
        <v>9132</v>
      </c>
    </row>
    <row r="1637" spans="2:13">
      <c r="B1637" s="55" t="s">
        <v>4201</v>
      </c>
      <c r="C1637" s="55" t="s">
        <v>4202</v>
      </c>
      <c r="D1637" s="55" t="s">
        <v>4261</v>
      </c>
      <c r="E1637" s="55" t="s">
        <v>4261</v>
      </c>
      <c r="F1637" s="55" t="s">
        <v>9133</v>
      </c>
      <c r="G1637" s="55" t="s">
        <v>9134</v>
      </c>
      <c r="H1637" s="55" t="s">
        <v>17</v>
      </c>
      <c r="I1637" s="55" t="s">
        <v>18</v>
      </c>
      <c r="J1637" s="55" t="s">
        <v>9135</v>
      </c>
      <c r="K1637" s="55" t="s">
        <v>20</v>
      </c>
      <c r="L1637" s="57" t="str">
        <f>HYPERLINK("https://nycdoe.sharepoint.com/:w:/s/BAP/EXRjuQ-OoxJCumetEBFAqfoBXAVdyyIzLCN1I_8n9liN5g", "3 out of 10")</f>
        <v>3 out of 10</v>
      </c>
      <c r="M1637" t="s">
        <v>9136</v>
      </c>
    </row>
    <row r="1638" spans="2:13">
      <c r="B1638" s="55" t="s">
        <v>4201</v>
      </c>
      <c r="C1638" s="55" t="s">
        <v>4202</v>
      </c>
      <c r="D1638" s="55" t="s">
        <v>4265</v>
      </c>
      <c r="E1638" s="55" t="s">
        <v>4265</v>
      </c>
      <c r="F1638" s="55" t="s">
        <v>9137</v>
      </c>
      <c r="G1638" s="55" t="s">
        <v>9138</v>
      </c>
      <c r="H1638" s="55" t="s">
        <v>17</v>
      </c>
      <c r="I1638" s="55" t="s">
        <v>18</v>
      </c>
      <c r="J1638" s="55" t="s">
        <v>9139</v>
      </c>
      <c r="K1638" s="55" t="s">
        <v>20</v>
      </c>
      <c r="L1638" s="57" t="str">
        <f>HYPERLINK("https://nycdoe.sharepoint.com/:w:/s/BAP/EbljqCjhYQhOhTMvWP3NLb4Blyeq-uV_xA486LAuz92enQ", "5 out of 10")</f>
        <v>5 out of 10</v>
      </c>
      <c r="M1638" t="s">
        <v>9140</v>
      </c>
    </row>
    <row r="1639" spans="2:13">
      <c r="B1639" s="55" t="s">
        <v>4201</v>
      </c>
      <c r="C1639" s="55" t="s">
        <v>4202</v>
      </c>
      <c r="D1639" s="55" t="s">
        <v>9141</v>
      </c>
      <c r="E1639" s="55" t="s">
        <v>9141</v>
      </c>
      <c r="F1639" s="55" t="s">
        <v>9142</v>
      </c>
      <c r="G1639" s="55" t="s">
        <v>9143</v>
      </c>
      <c r="H1639" s="55" t="s">
        <v>17</v>
      </c>
      <c r="I1639" s="55" t="s">
        <v>18</v>
      </c>
      <c r="J1639" s="55" t="s">
        <v>9144</v>
      </c>
      <c r="K1639" s="55" t="s">
        <v>20</v>
      </c>
      <c r="L1639" s="57" t="str">
        <f>HYPERLINK("https://nycdoe.sharepoint.com/:w:/s/BAP/EeRFE-2ynnFGoTp1ZefSwacBu_b4svYS8x_BbynZOlJDpA", "4 out of 10")</f>
        <v>4 out of 10</v>
      </c>
      <c r="M1639" t="s">
        <v>9145</v>
      </c>
    </row>
    <row r="1640" spans="2:13">
      <c r="B1640" s="55" t="s">
        <v>4201</v>
      </c>
      <c r="C1640" s="55" t="s">
        <v>4202</v>
      </c>
      <c r="D1640" s="55" t="s">
        <v>4269</v>
      </c>
      <c r="E1640" s="55" t="s">
        <v>4269</v>
      </c>
      <c r="F1640" s="55" t="s">
        <v>9146</v>
      </c>
      <c r="G1640" s="55" t="s">
        <v>9147</v>
      </c>
      <c r="H1640" s="55" t="s">
        <v>52</v>
      </c>
      <c r="I1640" s="55"/>
      <c r="J1640" s="55" t="s">
        <v>9148</v>
      </c>
      <c r="K1640" s="55" t="s">
        <v>62</v>
      </c>
      <c r="L1640" s="57" t="str">
        <f>HYPERLINK("https://nycdoe.sharepoint.com/:w:/s/BAP/EcxQMM-azZBPqlB9l5QKO8ABbmIAKAVUHcMhJqlB47-IjA", "9 out of 10")</f>
        <v>9 out of 10</v>
      </c>
      <c r="M1640" t="s">
        <v>9149</v>
      </c>
    </row>
    <row r="1641" spans="2:13">
      <c r="B1641" s="55" t="s">
        <v>4201</v>
      </c>
      <c r="C1641" s="55" t="s">
        <v>4202</v>
      </c>
      <c r="D1641" s="55" t="s">
        <v>4269</v>
      </c>
      <c r="E1641" s="55" t="s">
        <v>4273</v>
      </c>
      <c r="F1641" s="55" t="s">
        <v>9150</v>
      </c>
      <c r="G1641" s="55" t="s">
        <v>9151</v>
      </c>
      <c r="H1641" s="55" t="s">
        <v>84</v>
      </c>
      <c r="I1641" s="55"/>
      <c r="J1641" s="55" t="s">
        <v>9148</v>
      </c>
      <c r="K1641" s="55" t="s">
        <v>62</v>
      </c>
      <c r="L1641" s="57" t="str">
        <f>HYPERLINK("https://nycdoe.sharepoint.com/:w:/s/BAP/EcxQMM-azZBPqlB9l5QKO8ABbmIAKAVUHcMhJqlB47-IjA", "9 out of 10")</f>
        <v>9 out of 10</v>
      </c>
      <c r="M1641" t="s">
        <v>9149</v>
      </c>
    </row>
    <row r="1642" spans="2:13">
      <c r="B1642" s="55" t="s">
        <v>4201</v>
      </c>
      <c r="C1642" s="55" t="s">
        <v>4202</v>
      </c>
      <c r="D1642" s="55" t="s">
        <v>9152</v>
      </c>
      <c r="E1642" s="55" t="s">
        <v>9152</v>
      </c>
      <c r="F1642" s="55" t="s">
        <v>9153</v>
      </c>
      <c r="G1642" s="55" t="s">
        <v>9154</v>
      </c>
      <c r="H1642" s="55" t="s">
        <v>17</v>
      </c>
      <c r="I1642" s="55" t="s">
        <v>18</v>
      </c>
      <c r="J1642" s="55" t="s">
        <v>9155</v>
      </c>
      <c r="K1642" s="55" t="s">
        <v>20</v>
      </c>
      <c r="L1642" s="57" t="str">
        <f>HYPERLINK("https://nycdoe.sharepoint.com/:w:/s/BAP/EaCdS7N1VJNIrbOG6U0oPwkBKY36amaiBEOpKq06y5DOEQ", "3 out of 10")</f>
        <v>3 out of 10</v>
      </c>
      <c r="M1642" t="s">
        <v>9156</v>
      </c>
    </row>
    <row r="1643" spans="2:13">
      <c r="B1643" s="55" t="s">
        <v>4201</v>
      </c>
      <c r="C1643" s="55" t="s">
        <v>4202</v>
      </c>
      <c r="D1643" s="55" t="s">
        <v>9152</v>
      </c>
      <c r="E1643" s="55" t="s">
        <v>9157</v>
      </c>
      <c r="F1643" s="55" t="s">
        <v>9158</v>
      </c>
      <c r="G1643" s="55" t="s">
        <v>9159</v>
      </c>
      <c r="H1643" s="55" t="s">
        <v>17</v>
      </c>
      <c r="I1643" s="55"/>
      <c r="J1643" s="55" t="s">
        <v>9155</v>
      </c>
      <c r="K1643" s="55" t="s">
        <v>20</v>
      </c>
      <c r="L1643" s="57" t="str">
        <f>HYPERLINK("https://nycdoe.sharepoint.com/:w:/s/BAP/EaCdS7N1VJNIrbOG6U0oPwkBKY36amaiBEOpKq06y5DOEQ", "3 out of 10")</f>
        <v>3 out of 10</v>
      </c>
      <c r="M1643" t="s">
        <v>9156</v>
      </c>
    </row>
    <row r="1644" spans="2:13">
      <c r="B1644" s="55" t="s">
        <v>4201</v>
      </c>
      <c r="C1644" s="55" t="s">
        <v>4202</v>
      </c>
      <c r="D1644" s="55" t="s">
        <v>9160</v>
      </c>
      <c r="E1644" s="55" t="s">
        <v>9160</v>
      </c>
      <c r="F1644" s="55" t="s">
        <v>9161</v>
      </c>
      <c r="G1644" s="55" t="s">
        <v>9162</v>
      </c>
      <c r="H1644" s="55" t="s">
        <v>52</v>
      </c>
      <c r="I1644" s="55"/>
      <c r="J1644" s="55" t="s">
        <v>9163</v>
      </c>
      <c r="K1644" s="55" t="s">
        <v>20</v>
      </c>
      <c r="L1644" s="57" t="str">
        <f>HYPERLINK("https://nycdoe.sharepoint.com/:w:/s/BAP/ETEGsaI-WyBOsOdBUGErwBsBF1PtYM3XVeXHQbFCpvGOAw", "1 out of 10")</f>
        <v>1 out of 10</v>
      </c>
      <c r="M1644" t="s">
        <v>9164</v>
      </c>
    </row>
    <row r="1645" spans="2:13">
      <c r="B1645" s="55" t="s">
        <v>4201</v>
      </c>
      <c r="C1645" s="55" t="s">
        <v>4202</v>
      </c>
      <c r="D1645" s="55" t="s">
        <v>9165</v>
      </c>
      <c r="E1645" s="55" t="s">
        <v>9165</v>
      </c>
      <c r="F1645" s="55" t="s">
        <v>9166</v>
      </c>
      <c r="G1645" s="55" t="s">
        <v>9167</v>
      </c>
      <c r="H1645" s="55" t="s">
        <v>17</v>
      </c>
      <c r="I1645" s="55" t="s">
        <v>18</v>
      </c>
      <c r="J1645" s="55" t="s">
        <v>9168</v>
      </c>
      <c r="K1645" s="55" t="s">
        <v>20</v>
      </c>
      <c r="L1645" s="57" t="str">
        <f>HYPERLINK("https://nycdoe.sharepoint.com/:w:/s/BAP/EcQ8ZGJXcZVOjKEisTRFlIMBPCpXPCcsF3e6Zxg598k-ug", "3 out of 10")</f>
        <v>3 out of 10</v>
      </c>
      <c r="M1645" t="s">
        <v>9169</v>
      </c>
    </row>
    <row r="1646" spans="2:13">
      <c r="B1646" s="55" t="s">
        <v>4201</v>
      </c>
      <c r="C1646" s="55" t="s">
        <v>4202</v>
      </c>
      <c r="D1646" s="55" t="s">
        <v>4276</v>
      </c>
      <c r="E1646" s="55" t="s">
        <v>4276</v>
      </c>
      <c r="F1646" s="55" t="s">
        <v>9170</v>
      </c>
      <c r="G1646" s="55" t="s">
        <v>9171</v>
      </c>
      <c r="H1646" s="55" t="s">
        <v>17</v>
      </c>
      <c r="I1646" s="55" t="s">
        <v>18</v>
      </c>
      <c r="J1646" s="55" t="s">
        <v>9172</v>
      </c>
      <c r="K1646" s="55" t="s">
        <v>20</v>
      </c>
      <c r="L1646" s="57" t="str">
        <f>HYPERLINK("https://nycdoe.sharepoint.com/:w:/s/BAP/EfcEkOdpvX5PrehEJRkHUWMBmSiTnUNwMrRsKyM3_KFt4g", "3 out of 10")</f>
        <v>3 out of 10</v>
      </c>
      <c r="M1646" t="s">
        <v>9173</v>
      </c>
    </row>
    <row r="1647" spans="2:13">
      <c r="B1647" s="55" t="s">
        <v>4201</v>
      </c>
      <c r="C1647" s="55" t="s">
        <v>4202</v>
      </c>
      <c r="D1647" s="55" t="s">
        <v>4276</v>
      </c>
      <c r="E1647" s="55" t="s">
        <v>4207</v>
      </c>
      <c r="F1647" s="55" t="s">
        <v>9073</v>
      </c>
      <c r="G1647" s="55" t="s">
        <v>9074</v>
      </c>
      <c r="H1647" s="55" t="s">
        <v>43</v>
      </c>
      <c r="I1647" s="55" t="s">
        <v>18</v>
      </c>
      <c r="J1647" s="55" t="s">
        <v>9172</v>
      </c>
      <c r="K1647" s="55" t="s">
        <v>20</v>
      </c>
      <c r="L1647" s="57" t="str">
        <f>HYPERLINK("https://nycdoe.sharepoint.com/:w:/s/BAP/EfcEkOdpvX5PrehEJRkHUWMBmSiTnUNwMrRsKyM3_KFt4g", "3 out of 10")</f>
        <v>3 out of 10</v>
      </c>
      <c r="M1647" t="s">
        <v>9173</v>
      </c>
    </row>
    <row r="1648" spans="2:13">
      <c r="B1648" s="55" t="s">
        <v>4201</v>
      </c>
      <c r="C1648" s="55" t="s">
        <v>4202</v>
      </c>
      <c r="D1648" s="55" t="s">
        <v>9174</v>
      </c>
      <c r="E1648" s="55" t="s">
        <v>9174</v>
      </c>
      <c r="F1648" s="55" t="s">
        <v>9175</v>
      </c>
      <c r="G1648" s="55" t="s">
        <v>9176</v>
      </c>
      <c r="H1648" s="55" t="s">
        <v>17</v>
      </c>
      <c r="I1648" s="55" t="s">
        <v>18</v>
      </c>
      <c r="J1648" s="55" t="s">
        <v>9177</v>
      </c>
      <c r="K1648" s="55" t="s">
        <v>20</v>
      </c>
      <c r="L1648" s="57" t="str">
        <f>HYPERLINK("https://nycdoe.sharepoint.com/:w:/s/BAP/EV77c6gvzLdAo3EfUMToxeEBRM4wZ7ZOcQlsj_STqJ6Y9Q", "1 out of 10")</f>
        <v>1 out of 10</v>
      </c>
      <c r="M1648" t="s">
        <v>9178</v>
      </c>
    </row>
    <row r="1649" spans="2:13">
      <c r="B1649" s="55" t="s">
        <v>4201</v>
      </c>
      <c r="C1649" s="55" t="s">
        <v>4202</v>
      </c>
      <c r="D1649" s="55" t="s">
        <v>4280</v>
      </c>
      <c r="E1649" s="55" t="s">
        <v>4280</v>
      </c>
      <c r="F1649" s="55" t="s">
        <v>9179</v>
      </c>
      <c r="G1649" s="55" t="s">
        <v>9180</v>
      </c>
      <c r="H1649" s="55" t="s">
        <v>17</v>
      </c>
      <c r="I1649" s="55" t="s">
        <v>18</v>
      </c>
      <c r="J1649" s="55" t="s">
        <v>9181</v>
      </c>
      <c r="K1649" s="55" t="s">
        <v>20</v>
      </c>
      <c r="L1649" s="57" t="str">
        <f>HYPERLINK("https://nycdoe.sharepoint.com/:w:/s/BAP/EUbXg1PkHr1PiLOBRj40_k8BlDZ2igPd0uH_U65DurYVPg", "1 out of 10")</f>
        <v>1 out of 10</v>
      </c>
      <c r="M1649" t="s">
        <v>9182</v>
      </c>
    </row>
    <row r="1650" spans="2:13">
      <c r="B1650" s="55" t="s">
        <v>4201</v>
      </c>
      <c r="C1650" s="55" t="s">
        <v>4202</v>
      </c>
      <c r="D1650" s="55" t="s">
        <v>4280</v>
      </c>
      <c r="E1650" s="55" t="s">
        <v>4207</v>
      </c>
      <c r="F1650" s="55" t="s">
        <v>9073</v>
      </c>
      <c r="G1650" s="55" t="s">
        <v>9074</v>
      </c>
      <c r="H1650" s="55" t="s">
        <v>43</v>
      </c>
      <c r="I1650" s="55" t="s">
        <v>18</v>
      </c>
      <c r="J1650" s="55" t="s">
        <v>9181</v>
      </c>
      <c r="K1650" s="55" t="s">
        <v>20</v>
      </c>
      <c r="L1650" s="57" t="str">
        <f>HYPERLINK("https://nycdoe.sharepoint.com/:w:/s/BAP/EUbXg1PkHr1PiLOBRj40_k8BlDZ2igPd0uH_U65DurYVPg", "1 out of 10")</f>
        <v>1 out of 10</v>
      </c>
      <c r="M1650" t="s">
        <v>9182</v>
      </c>
    </row>
    <row r="1651" spans="2:13">
      <c r="B1651" s="55" t="s">
        <v>4201</v>
      </c>
      <c r="C1651" s="55" t="s">
        <v>4202</v>
      </c>
      <c r="D1651" s="55" t="s">
        <v>4284</v>
      </c>
      <c r="E1651" s="55" t="s">
        <v>4233</v>
      </c>
      <c r="F1651" s="55" t="s">
        <v>9095</v>
      </c>
      <c r="G1651" s="55" t="s">
        <v>9096</v>
      </c>
      <c r="H1651" s="55" t="s">
        <v>43</v>
      </c>
      <c r="I1651" s="55" t="s">
        <v>18</v>
      </c>
      <c r="J1651" s="55" t="s">
        <v>9183</v>
      </c>
      <c r="K1651" s="55" t="s">
        <v>62</v>
      </c>
      <c r="L1651" s="57" t="str">
        <f>HYPERLINK("https://nycdoe.sharepoint.com/:w:/s/BAP/Ed7U89VBRrlKjbyCr13gE_8BW1GuE4TZkmBYRcWNN9XomA", "9 out of 10")</f>
        <v>9 out of 10</v>
      </c>
      <c r="M1651" t="s">
        <v>9184</v>
      </c>
    </row>
    <row r="1652" spans="2:13">
      <c r="B1652" s="55" t="s">
        <v>4201</v>
      </c>
      <c r="C1652" s="55" t="s">
        <v>4202</v>
      </c>
      <c r="D1652" s="55" t="s">
        <v>4284</v>
      </c>
      <c r="E1652" s="55" t="s">
        <v>4284</v>
      </c>
      <c r="F1652" s="55" t="s">
        <v>9185</v>
      </c>
      <c r="G1652" s="55" t="s">
        <v>9186</v>
      </c>
      <c r="H1652" s="55" t="s">
        <v>52</v>
      </c>
      <c r="I1652" s="55"/>
      <c r="J1652" s="55" t="s">
        <v>9183</v>
      </c>
      <c r="K1652" s="55" t="s">
        <v>62</v>
      </c>
      <c r="L1652" s="57" t="str">
        <f>HYPERLINK("https://nycdoe.sharepoint.com/:w:/s/BAP/Ed7U89VBRrlKjbyCr13gE_8BW1GuE4TZkmBYRcWNN9XomA", "9 out of 10")</f>
        <v>9 out of 10</v>
      </c>
      <c r="M1652" t="s">
        <v>9184</v>
      </c>
    </row>
    <row r="1653" spans="2:13">
      <c r="B1653" s="55" t="s">
        <v>4201</v>
      </c>
      <c r="C1653" s="55" t="s">
        <v>4202</v>
      </c>
      <c r="D1653" s="55" t="s">
        <v>9187</v>
      </c>
      <c r="E1653" s="55" t="s">
        <v>9187</v>
      </c>
      <c r="F1653" s="55" t="s">
        <v>9188</v>
      </c>
      <c r="G1653" s="55" t="s">
        <v>9189</v>
      </c>
      <c r="H1653" s="55" t="s">
        <v>17</v>
      </c>
      <c r="I1653" s="55"/>
      <c r="J1653" s="55" t="s">
        <v>9190</v>
      </c>
      <c r="K1653" s="55" t="s">
        <v>20</v>
      </c>
      <c r="L1653" s="57" t="str">
        <f>HYPERLINK("https://nycdoe.sharepoint.com/:w:/s/BAP/EVSg8zmS9DVDrDE30QojKdABprp1d1BV_3qLW5zhJlBSnQ", "1 out of 10")</f>
        <v>1 out of 10</v>
      </c>
      <c r="M1653" t="s">
        <v>9191</v>
      </c>
    </row>
    <row r="1654" spans="2:13">
      <c r="B1654" s="55" t="s">
        <v>4201</v>
      </c>
      <c r="C1654" s="55" t="s">
        <v>4202</v>
      </c>
      <c r="D1654" s="55" t="s">
        <v>4288</v>
      </c>
      <c r="E1654" s="55" t="s">
        <v>4288</v>
      </c>
      <c r="F1654" s="55" t="s">
        <v>9192</v>
      </c>
      <c r="G1654" s="55" t="s">
        <v>9193</v>
      </c>
      <c r="H1654" s="55" t="s">
        <v>17</v>
      </c>
      <c r="I1654" s="55" t="s">
        <v>18</v>
      </c>
      <c r="J1654" s="55" t="s">
        <v>9194</v>
      </c>
      <c r="K1654" s="55" t="s">
        <v>20</v>
      </c>
      <c r="L1654" s="57" t="str">
        <f>HYPERLINK("https://nycdoe.sharepoint.com/:w:/s/BAP/EVEmtn6NyvRKumcRL2mBIJgBlXd-xnvs16Cy_z7GXaSCTw", "3 out of 10")</f>
        <v>3 out of 10</v>
      </c>
      <c r="M1654" t="s">
        <v>9195</v>
      </c>
    </row>
    <row r="1655" spans="2:13">
      <c r="B1655" s="55" t="s">
        <v>4201</v>
      </c>
      <c r="C1655" s="55" t="s">
        <v>4202</v>
      </c>
      <c r="D1655" s="55" t="s">
        <v>4288</v>
      </c>
      <c r="E1655" s="55" t="s">
        <v>4207</v>
      </c>
      <c r="F1655" s="55" t="s">
        <v>9073</v>
      </c>
      <c r="G1655" s="55" t="s">
        <v>9074</v>
      </c>
      <c r="H1655" s="55" t="s">
        <v>43</v>
      </c>
      <c r="I1655" s="55" t="s">
        <v>18</v>
      </c>
      <c r="J1655" s="55" t="s">
        <v>9194</v>
      </c>
      <c r="K1655" s="55" t="s">
        <v>20</v>
      </c>
      <c r="L1655" s="57" t="str">
        <f>HYPERLINK("https://nycdoe.sharepoint.com/:w:/s/BAP/EVEmtn6NyvRKumcRL2mBIJgBlXd-xnvs16Cy_z7GXaSCTw", "3 out of 10")</f>
        <v>3 out of 10</v>
      </c>
      <c r="M1655" t="s">
        <v>9195</v>
      </c>
    </row>
    <row r="1656" spans="2:13">
      <c r="B1656" s="55" t="s">
        <v>4201</v>
      </c>
      <c r="C1656" s="55" t="s">
        <v>4202</v>
      </c>
      <c r="D1656" s="55" t="s">
        <v>9196</v>
      </c>
      <c r="E1656" s="55" t="s">
        <v>9196</v>
      </c>
      <c r="F1656" s="55" t="s">
        <v>9197</v>
      </c>
      <c r="G1656" s="55" t="s">
        <v>9198</v>
      </c>
      <c r="H1656" s="55" t="s">
        <v>17</v>
      </c>
      <c r="I1656" s="55" t="s">
        <v>18</v>
      </c>
      <c r="J1656" s="55" t="s">
        <v>9199</v>
      </c>
      <c r="K1656" s="55" t="s">
        <v>20</v>
      </c>
      <c r="L1656" s="57" t="str">
        <f>HYPERLINK("https://nycdoe.sharepoint.com/:w:/s/BAP/Ebv88rnXDDdFk0PXqoB0kyYBotNssE5mlvlJuTmYFs0eZg", "8 out of 10")</f>
        <v>8 out of 10</v>
      </c>
      <c r="M1656" t="s">
        <v>9200</v>
      </c>
    </row>
    <row r="1657" spans="2:13">
      <c r="B1657" s="55" t="s">
        <v>4201</v>
      </c>
      <c r="C1657" s="55" t="s">
        <v>4202</v>
      </c>
      <c r="D1657" s="55" t="s">
        <v>4292</v>
      </c>
      <c r="E1657" s="55" t="s">
        <v>4292</v>
      </c>
      <c r="F1657" s="55" t="s">
        <v>9201</v>
      </c>
      <c r="G1657" s="55" t="s">
        <v>9202</v>
      </c>
      <c r="H1657" s="55" t="s">
        <v>17</v>
      </c>
      <c r="I1657" s="55"/>
      <c r="J1657" s="55" t="s">
        <v>9203</v>
      </c>
      <c r="K1657" s="55" t="s">
        <v>20</v>
      </c>
      <c r="L1657" s="57" t="str">
        <f>HYPERLINK("https://nycdoe.sharepoint.com/:w:/s/BAP/EYP4H8Xv3vpFhav2JksoBjMBzbrV3XlahE44kAObwRVcrA", "3 out of 10")</f>
        <v>3 out of 10</v>
      </c>
      <c r="M1657" t="s">
        <v>9204</v>
      </c>
    </row>
    <row r="1658" spans="2:13">
      <c r="B1658" s="55" t="s">
        <v>4201</v>
      </c>
      <c r="C1658" s="55" t="s">
        <v>4202</v>
      </c>
      <c r="D1658" s="55" t="s">
        <v>4296</v>
      </c>
      <c r="E1658" s="55" t="s">
        <v>4226</v>
      </c>
      <c r="F1658" s="55" t="s">
        <v>9205</v>
      </c>
      <c r="G1658" s="55" t="s">
        <v>4228</v>
      </c>
      <c r="H1658" s="55" t="s">
        <v>24</v>
      </c>
      <c r="I1658" s="55" t="s">
        <v>18</v>
      </c>
      <c r="J1658" s="55" t="s">
        <v>9206</v>
      </c>
      <c r="K1658" s="55" t="s">
        <v>20</v>
      </c>
      <c r="L1658" s="57" t="str">
        <f>HYPERLINK("https://nycdoe.sharepoint.com/:w:/s/BAP/EdmtSgYM4U5OoCptaqzbZnABny7-oILhzD6w18CaZtb5ZA", "3 out of 10")</f>
        <v>3 out of 10</v>
      </c>
      <c r="M1658" t="s">
        <v>9207</v>
      </c>
    </row>
    <row r="1659" spans="2:13">
      <c r="B1659" s="55" t="s">
        <v>4201</v>
      </c>
      <c r="C1659" s="55" t="s">
        <v>4202</v>
      </c>
      <c r="D1659" s="55" t="s">
        <v>4298</v>
      </c>
      <c r="E1659" s="55" t="s">
        <v>4298</v>
      </c>
      <c r="F1659" s="55" t="s">
        <v>9208</v>
      </c>
      <c r="G1659" s="55" t="s">
        <v>9209</v>
      </c>
      <c r="H1659" s="55" t="s">
        <v>17</v>
      </c>
      <c r="I1659" s="55" t="s">
        <v>18</v>
      </c>
      <c r="J1659" s="55" t="s">
        <v>9210</v>
      </c>
      <c r="K1659" s="55" t="s">
        <v>20</v>
      </c>
      <c r="L1659" s="57" t="str">
        <f>HYPERLINK("https://nycdoe.sharepoint.com/:w:/s/BAP/EVyx9ZJ3FxNGl1mNS6ZITqgB5ohqitYvawTZrkKuhgCXgQ", "1 out of 10")</f>
        <v>1 out of 10</v>
      </c>
      <c r="M1659" t="s">
        <v>9211</v>
      </c>
    </row>
    <row r="1660" spans="2:13">
      <c r="B1660" s="55" t="s">
        <v>4201</v>
      </c>
      <c r="C1660" s="55" t="s">
        <v>4202</v>
      </c>
      <c r="D1660" s="55" t="s">
        <v>4302</v>
      </c>
      <c r="E1660" s="55" t="s">
        <v>4303</v>
      </c>
      <c r="F1660" s="55" t="s">
        <v>9212</v>
      </c>
      <c r="G1660" s="55" t="s">
        <v>9213</v>
      </c>
      <c r="H1660" s="55" t="s">
        <v>56</v>
      </c>
      <c r="I1660" s="55"/>
      <c r="J1660" s="55" t="s">
        <v>9214</v>
      </c>
      <c r="K1660" s="55" t="s">
        <v>62</v>
      </c>
      <c r="L1660" s="57" t="str">
        <f>HYPERLINK("https://nycdoe.sharepoint.com/:w:/s/BAP/EQ9cKiMdHSdGi6LOzVFyFeYBCILcqyrJebrbLFqQUqKShw", "10 out of 10")</f>
        <v>10 out of 10</v>
      </c>
      <c r="M1660" t="s">
        <v>9215</v>
      </c>
    </row>
    <row r="1661" spans="2:13">
      <c r="B1661" s="55" t="s">
        <v>4201</v>
      </c>
      <c r="C1661" s="55" t="s">
        <v>4202</v>
      </c>
      <c r="D1661" s="55" t="s">
        <v>4302</v>
      </c>
      <c r="E1661" s="55" t="s">
        <v>4307</v>
      </c>
      <c r="F1661" s="55" t="s">
        <v>9216</v>
      </c>
      <c r="G1661" s="55" t="s">
        <v>9217</v>
      </c>
      <c r="H1661" s="55" t="s">
        <v>52</v>
      </c>
      <c r="I1661" s="55"/>
      <c r="J1661" s="55" t="s">
        <v>9214</v>
      </c>
      <c r="K1661" s="55" t="s">
        <v>62</v>
      </c>
      <c r="L1661" s="57" t="str">
        <f>HYPERLINK("https://nycdoe.sharepoint.com/:w:/s/BAP/EQ9cKiMdHSdGi6LOzVFyFeYBCILcqyrJebrbLFqQUqKShw", "10 out of 10")</f>
        <v>10 out of 10</v>
      </c>
      <c r="M1661" t="s">
        <v>9215</v>
      </c>
    </row>
    <row r="1662" spans="2:13">
      <c r="B1662" s="55" t="s">
        <v>4201</v>
      </c>
      <c r="C1662" s="55" t="s">
        <v>4202</v>
      </c>
      <c r="D1662" s="55" t="s">
        <v>4302</v>
      </c>
      <c r="E1662" s="55" t="s">
        <v>4310</v>
      </c>
      <c r="F1662" s="55" t="s">
        <v>9218</v>
      </c>
      <c r="G1662" s="55" t="s">
        <v>9219</v>
      </c>
      <c r="H1662" s="55" t="s">
        <v>56</v>
      </c>
      <c r="I1662" s="55"/>
      <c r="J1662" s="55" t="s">
        <v>9214</v>
      </c>
      <c r="K1662" s="55" t="s">
        <v>62</v>
      </c>
      <c r="L1662" s="57" t="str">
        <f>HYPERLINK("https://nycdoe.sharepoint.com/:w:/s/BAP/EQ9cKiMdHSdGi6LOzVFyFeYBCILcqyrJebrbLFqQUqKShw", "10 out of 10")</f>
        <v>10 out of 10</v>
      </c>
      <c r="M1662" t="s">
        <v>9215</v>
      </c>
    </row>
    <row r="1663" spans="2:13">
      <c r="B1663" s="55" t="s">
        <v>4201</v>
      </c>
      <c r="C1663" s="55" t="s">
        <v>4202</v>
      </c>
      <c r="D1663" s="55" t="s">
        <v>4302</v>
      </c>
      <c r="E1663" s="55" t="s">
        <v>4273</v>
      </c>
      <c r="F1663" s="55" t="s">
        <v>9150</v>
      </c>
      <c r="G1663" s="55" t="s">
        <v>9151</v>
      </c>
      <c r="H1663" s="55" t="s">
        <v>84</v>
      </c>
      <c r="I1663" s="55"/>
      <c r="J1663" s="55" t="s">
        <v>9214</v>
      </c>
      <c r="K1663" s="55" t="s">
        <v>62</v>
      </c>
      <c r="L1663" s="57" t="str">
        <f>HYPERLINK("https://nycdoe.sharepoint.com/:w:/s/BAP/EQ9cKiMdHSdGi6LOzVFyFeYBCILcqyrJebrbLFqQUqKShw", "10 out of 10")</f>
        <v>10 out of 10</v>
      </c>
      <c r="M1663" t="s">
        <v>9215</v>
      </c>
    </row>
    <row r="1664" spans="2:13">
      <c r="B1664" s="55" t="s">
        <v>4201</v>
      </c>
      <c r="C1664" s="55" t="s">
        <v>4202</v>
      </c>
      <c r="D1664" s="55" t="s">
        <v>4313</v>
      </c>
      <c r="E1664" s="55" t="s">
        <v>4313</v>
      </c>
      <c r="F1664" s="55" t="s">
        <v>9220</v>
      </c>
      <c r="G1664" s="55" t="s">
        <v>9221</v>
      </c>
      <c r="H1664" s="55" t="s">
        <v>17</v>
      </c>
      <c r="I1664" s="55" t="s">
        <v>18</v>
      </c>
      <c r="J1664" s="55" t="s">
        <v>9222</v>
      </c>
      <c r="K1664" s="55" t="s">
        <v>20</v>
      </c>
      <c r="L1664" s="57" t="str">
        <f>HYPERLINK("https://nycdoe.sharepoint.com/:w:/s/BAP/EVUiRIZ_BxhAi1NB9Y_IAKwBUYwrb9blKkYI06IpHDl5Mw", "4 out of 10")</f>
        <v>4 out of 10</v>
      </c>
      <c r="M1664" t="s">
        <v>9223</v>
      </c>
    </row>
    <row r="1665" spans="2:13">
      <c r="B1665" s="55" t="s">
        <v>4201</v>
      </c>
      <c r="C1665" s="55" t="s">
        <v>4202</v>
      </c>
      <c r="D1665" s="55" t="s">
        <v>4317</v>
      </c>
      <c r="E1665" s="55" t="s">
        <v>4317</v>
      </c>
      <c r="F1665" s="55" t="s">
        <v>9224</v>
      </c>
      <c r="G1665" s="55" t="s">
        <v>9225</v>
      </c>
      <c r="H1665" s="55" t="s">
        <v>17</v>
      </c>
      <c r="I1665" s="55" t="s">
        <v>18</v>
      </c>
      <c r="J1665" s="55" t="s">
        <v>9226</v>
      </c>
      <c r="K1665" s="55" t="s">
        <v>20</v>
      </c>
      <c r="L1665" s="57" t="str">
        <f>HYPERLINK("https://nycdoe.sharepoint.com/:w:/s/BAP/Ea2ZNw1tAptCr-2Z3ZBOEmwB_dZEKZ5TIYNLEy8v-r3BtA", "5 out of 10")</f>
        <v>5 out of 10</v>
      </c>
      <c r="M1665" t="s">
        <v>9227</v>
      </c>
    </row>
    <row r="1666" spans="2:13">
      <c r="B1666" s="55" t="s">
        <v>4201</v>
      </c>
      <c r="C1666" s="55" t="s">
        <v>4202</v>
      </c>
      <c r="D1666" s="55" t="s">
        <v>4321</v>
      </c>
      <c r="E1666" s="55" t="s">
        <v>4322</v>
      </c>
      <c r="F1666" s="55" t="s">
        <v>9228</v>
      </c>
      <c r="G1666" s="55" t="s">
        <v>9229</v>
      </c>
      <c r="H1666" s="55" t="s">
        <v>17</v>
      </c>
      <c r="I1666" s="55" t="s">
        <v>18</v>
      </c>
      <c r="J1666" s="55" t="s">
        <v>9230</v>
      </c>
      <c r="K1666" s="55" t="s">
        <v>20</v>
      </c>
      <c r="L1666" s="57" t="str">
        <f>HYPERLINK("https://nycdoe.sharepoint.com/:w:/s/BAP/ER8UOVEoKa1AmUKCDBaSlZUBSNLubx5N4NqLVXrPQVKGZQ", "4 out of 10")</f>
        <v>4 out of 10</v>
      </c>
      <c r="M1666" t="s">
        <v>9231</v>
      </c>
    </row>
    <row r="1667" spans="2:13">
      <c r="B1667" s="55" t="s">
        <v>4201</v>
      </c>
      <c r="C1667" s="55" t="s">
        <v>4202</v>
      </c>
      <c r="D1667" s="55" t="s">
        <v>9232</v>
      </c>
      <c r="E1667" s="55" t="s">
        <v>9233</v>
      </c>
      <c r="F1667" s="55" t="s">
        <v>9234</v>
      </c>
      <c r="G1667" s="55" t="s">
        <v>9235</v>
      </c>
      <c r="H1667" s="55" t="s">
        <v>84</v>
      </c>
      <c r="I1667" s="55"/>
      <c r="J1667" s="55" t="s">
        <v>9236</v>
      </c>
      <c r="K1667" s="55" t="s">
        <v>20</v>
      </c>
      <c r="L1667" s="57" t="str">
        <f>HYPERLINK("https://nycdoe.sharepoint.com/:w:/s/BAP/ETlc8QjTnNBKg5iFsL1Xl8QBt5ROg3cY4_EpeMOUQQU-Yw", "1 out of 10")</f>
        <v>1 out of 10</v>
      </c>
      <c r="M1667" t="s">
        <v>9237</v>
      </c>
    </row>
    <row r="1668" spans="2:13">
      <c r="B1668" s="55" t="s">
        <v>4201</v>
      </c>
      <c r="C1668" s="55" t="s">
        <v>4202</v>
      </c>
      <c r="D1668" s="55" t="s">
        <v>9232</v>
      </c>
      <c r="E1668" s="55" t="s">
        <v>9232</v>
      </c>
      <c r="F1668" s="55" t="s">
        <v>9238</v>
      </c>
      <c r="G1668" s="55" t="s">
        <v>9239</v>
      </c>
      <c r="H1668" s="55" t="s">
        <v>52</v>
      </c>
      <c r="I1668" s="55"/>
      <c r="J1668" s="55" t="s">
        <v>9236</v>
      </c>
      <c r="K1668" s="55" t="s">
        <v>20</v>
      </c>
      <c r="L1668" s="57" t="str">
        <f>HYPERLINK("https://nycdoe.sharepoint.com/:w:/s/BAP/ETlc8QjTnNBKg5iFsL1Xl8QBt5ROg3cY4_EpeMOUQQU-Yw", "1 out of 10")</f>
        <v>1 out of 10</v>
      </c>
      <c r="M1668" t="s">
        <v>9237</v>
      </c>
    </row>
    <row r="1669" spans="2:13">
      <c r="B1669" s="55" t="s">
        <v>4201</v>
      </c>
      <c r="C1669" s="55" t="s">
        <v>4202</v>
      </c>
      <c r="D1669" s="55" t="s">
        <v>4326</v>
      </c>
      <c r="E1669" s="55" t="s">
        <v>4326</v>
      </c>
      <c r="F1669" s="55" t="s">
        <v>9240</v>
      </c>
      <c r="G1669" s="55" t="s">
        <v>9241</v>
      </c>
      <c r="H1669" s="55" t="s">
        <v>52</v>
      </c>
      <c r="I1669" s="55"/>
      <c r="J1669" s="55" t="s">
        <v>9242</v>
      </c>
      <c r="K1669" s="55" t="s">
        <v>62</v>
      </c>
      <c r="L1669" s="57" t="str">
        <f>HYPERLINK("https://nycdoe.sharepoint.com/:w:/s/BAP/EfGW4FqggaRKgv6K4Wgwh08BSabi0HGPe9uWp9lSCAEdeQ", "9 out of 10")</f>
        <v>9 out of 10</v>
      </c>
      <c r="M1669" t="s">
        <v>9243</v>
      </c>
    </row>
    <row r="1670" spans="2:13">
      <c r="B1670" s="55" t="s">
        <v>4201</v>
      </c>
      <c r="C1670" s="55" t="s">
        <v>4202</v>
      </c>
      <c r="D1670" s="55" t="s">
        <v>4330</v>
      </c>
      <c r="E1670" s="55" t="s">
        <v>4330</v>
      </c>
      <c r="F1670" s="55" t="s">
        <v>9244</v>
      </c>
      <c r="G1670" s="55" t="s">
        <v>9245</v>
      </c>
      <c r="H1670" s="55" t="s">
        <v>17</v>
      </c>
      <c r="I1670" s="55" t="s">
        <v>18</v>
      </c>
      <c r="J1670" s="55" t="s">
        <v>9246</v>
      </c>
      <c r="K1670" s="55" t="s">
        <v>62</v>
      </c>
      <c r="L1670" s="57" t="str">
        <f>HYPERLINK("https://nycdoe.sharepoint.com/:w:/s/BAP/EY5mJ-tIQmVCqSKn0AiyMA4BKUBnXR0YETLiF8hSVAC4qg", "9 out of 10")</f>
        <v>9 out of 10</v>
      </c>
      <c r="M1670" t="s">
        <v>9247</v>
      </c>
    </row>
    <row r="1671" spans="2:13">
      <c r="B1671" s="55" t="s">
        <v>4201</v>
      </c>
      <c r="C1671" s="55" t="s">
        <v>4202</v>
      </c>
      <c r="D1671" s="55" t="s">
        <v>9248</v>
      </c>
      <c r="E1671" s="55" t="s">
        <v>9248</v>
      </c>
      <c r="F1671" s="55" t="s">
        <v>9249</v>
      </c>
      <c r="G1671" s="55" t="s">
        <v>9250</v>
      </c>
      <c r="H1671" s="55" t="s">
        <v>17</v>
      </c>
      <c r="I1671" s="55" t="s">
        <v>18</v>
      </c>
      <c r="J1671" s="55" t="s">
        <v>9251</v>
      </c>
      <c r="K1671" s="55" t="s">
        <v>20</v>
      </c>
      <c r="L1671" s="57" t="str">
        <f>HYPERLINK("https://nycdoe.sharepoint.com/:w:/s/BAP/ETaPr-FDHrRAndsf1nYE12EBWVMetNPna_1vC4bymjnbxw", "4 out of 10")</f>
        <v>4 out of 10</v>
      </c>
      <c r="M1671" t="s">
        <v>9252</v>
      </c>
    </row>
    <row r="1672" spans="2:13">
      <c r="B1672" s="55" t="s">
        <v>4201</v>
      </c>
      <c r="C1672" s="55" t="s">
        <v>4202</v>
      </c>
      <c r="D1672" s="55" t="s">
        <v>9253</v>
      </c>
      <c r="E1672" s="55" t="s">
        <v>9253</v>
      </c>
      <c r="F1672" s="55" t="s">
        <v>9254</v>
      </c>
      <c r="G1672" s="55" t="s">
        <v>9255</v>
      </c>
      <c r="H1672" s="55" t="s">
        <v>17</v>
      </c>
      <c r="I1672" s="55" t="s">
        <v>18</v>
      </c>
      <c r="J1672" s="55" t="s">
        <v>9256</v>
      </c>
      <c r="K1672" s="55" t="s">
        <v>20</v>
      </c>
      <c r="L1672" s="57" t="str">
        <f>HYPERLINK("https://nycdoe.sharepoint.com/:w:/s/BAP/Ef3ehFKARNRLnnEoEqdXvV8BP91mxAesmNeZd51K020D-A", "4 out of 10")</f>
        <v>4 out of 10</v>
      </c>
      <c r="M1672" t="s">
        <v>9257</v>
      </c>
    </row>
    <row r="1673" spans="2:13">
      <c r="B1673" s="55" t="s">
        <v>4201</v>
      </c>
      <c r="C1673" s="55" t="s">
        <v>4202</v>
      </c>
      <c r="D1673" s="55" t="s">
        <v>4334</v>
      </c>
      <c r="E1673" s="55" t="s">
        <v>4334</v>
      </c>
      <c r="F1673" s="55" t="s">
        <v>9258</v>
      </c>
      <c r="G1673" s="55" t="s">
        <v>9259</v>
      </c>
      <c r="H1673" s="55" t="s">
        <v>17</v>
      </c>
      <c r="I1673" s="55" t="s">
        <v>18</v>
      </c>
      <c r="J1673" s="55" t="s">
        <v>9260</v>
      </c>
      <c r="K1673" s="55" t="s">
        <v>20</v>
      </c>
      <c r="L1673" s="57" t="str">
        <f>HYPERLINK("https://nycdoe.sharepoint.com/:w:/s/BAP/EYeaTjpYBaxLgqzSA15ZUj8BcBJAn03g6hDwlTge0cdLPg", "3 out of 10")</f>
        <v>3 out of 10</v>
      </c>
      <c r="M1673" t="s">
        <v>9261</v>
      </c>
    </row>
    <row r="1674" spans="2:13">
      <c r="B1674" s="55" t="s">
        <v>4201</v>
      </c>
      <c r="C1674" s="55" t="s">
        <v>4202</v>
      </c>
      <c r="D1674" s="55" t="s">
        <v>4338</v>
      </c>
      <c r="E1674" s="55" t="s">
        <v>4338</v>
      </c>
      <c r="F1674" s="55" t="s">
        <v>9262</v>
      </c>
      <c r="G1674" s="55" t="s">
        <v>9263</v>
      </c>
      <c r="H1674" s="55" t="s">
        <v>17</v>
      </c>
      <c r="I1674" s="55" t="s">
        <v>18</v>
      </c>
      <c r="J1674" s="55" t="s">
        <v>9264</v>
      </c>
      <c r="K1674" s="55" t="s">
        <v>62</v>
      </c>
      <c r="L1674" s="57" t="str">
        <f>HYPERLINK("https://nycdoe.sharepoint.com/:w:/s/BAP/EdntNOdX2x5As-yONK49LkIBo6RbaA2wOdmQF76SUSVf6g", "10 out of 10")</f>
        <v>10 out of 10</v>
      </c>
      <c r="M1674" t="s">
        <v>9265</v>
      </c>
    </row>
    <row r="1675" spans="2:13">
      <c r="B1675" s="55" t="s">
        <v>4201</v>
      </c>
      <c r="C1675" s="55" t="s">
        <v>4202</v>
      </c>
      <c r="D1675" s="55" t="s">
        <v>4342</v>
      </c>
      <c r="E1675" s="55" t="s">
        <v>4342</v>
      </c>
      <c r="F1675" s="55" t="s">
        <v>9266</v>
      </c>
      <c r="G1675" s="55" t="s">
        <v>9267</v>
      </c>
      <c r="H1675" s="55" t="s">
        <v>17</v>
      </c>
      <c r="I1675" s="55" t="s">
        <v>18</v>
      </c>
      <c r="J1675" s="55" t="s">
        <v>9268</v>
      </c>
      <c r="K1675" s="55" t="s">
        <v>20</v>
      </c>
      <c r="L1675" s="57" t="str">
        <f>HYPERLINK("https://nycdoe.sharepoint.com/:w:/s/BAP/EaKNOU1QGZpHlW7HmkQRg-oBJKwRSXvr3hiuZy11ifyB3w", "6 out of 10")</f>
        <v>6 out of 10</v>
      </c>
      <c r="M1675" t="s">
        <v>9269</v>
      </c>
    </row>
    <row r="1676" spans="2:13">
      <c r="B1676" s="55" t="s">
        <v>4201</v>
      </c>
      <c r="C1676" s="55" t="s">
        <v>4202</v>
      </c>
      <c r="D1676" s="55" t="s">
        <v>4342</v>
      </c>
      <c r="E1676" s="55" t="s">
        <v>4226</v>
      </c>
      <c r="F1676" s="55" t="s">
        <v>9205</v>
      </c>
      <c r="G1676" s="55" t="s">
        <v>4228</v>
      </c>
      <c r="H1676" s="55" t="s">
        <v>24</v>
      </c>
      <c r="I1676" s="55" t="s">
        <v>18</v>
      </c>
      <c r="J1676" s="55" t="s">
        <v>9268</v>
      </c>
      <c r="K1676" s="55" t="s">
        <v>20</v>
      </c>
      <c r="L1676" s="57" t="str">
        <f>HYPERLINK("https://nycdoe.sharepoint.com/:w:/s/BAP/EaKNOU1QGZpHlW7HmkQRg-oBJKwRSXvr3hiuZy11ifyB3w", "6 out of 10")</f>
        <v>6 out of 10</v>
      </c>
      <c r="M1676" t="s">
        <v>9269</v>
      </c>
    </row>
    <row r="1677" spans="2:13">
      <c r="B1677" s="55" t="s">
        <v>4201</v>
      </c>
      <c r="C1677" s="55" t="s">
        <v>4202</v>
      </c>
      <c r="D1677" s="55" t="s">
        <v>4346</v>
      </c>
      <c r="E1677" s="55" t="s">
        <v>4346</v>
      </c>
      <c r="F1677" s="55" t="s">
        <v>9270</v>
      </c>
      <c r="G1677" s="55" t="s">
        <v>9271</v>
      </c>
      <c r="H1677" s="55" t="s">
        <v>17</v>
      </c>
      <c r="I1677" s="55" t="s">
        <v>18</v>
      </c>
      <c r="J1677" s="55" t="s">
        <v>9272</v>
      </c>
      <c r="K1677" s="55" t="s">
        <v>62</v>
      </c>
      <c r="L1677" s="57" t="str">
        <f>HYPERLINK("https://nycdoe.sharepoint.com/:w:/s/BAP/EWNnLIU1CkxJmWJ4hqYMV7sBvcHHT0Mpb6U6TNvJ5xhbwQ", "10 out of 10")</f>
        <v>10 out of 10</v>
      </c>
      <c r="M1677" t="s">
        <v>9273</v>
      </c>
    </row>
    <row r="1678" spans="2:13">
      <c r="B1678" s="55" t="s">
        <v>4201</v>
      </c>
      <c r="C1678" s="55" t="s">
        <v>4202</v>
      </c>
      <c r="D1678" s="55" t="s">
        <v>4346</v>
      </c>
      <c r="E1678" s="55" t="s">
        <v>4226</v>
      </c>
      <c r="F1678" s="55" t="s">
        <v>9205</v>
      </c>
      <c r="G1678" s="55" t="s">
        <v>4228</v>
      </c>
      <c r="H1678" s="55" t="s">
        <v>24</v>
      </c>
      <c r="I1678" s="55" t="s">
        <v>18</v>
      </c>
      <c r="J1678" s="55" t="s">
        <v>9272</v>
      </c>
      <c r="K1678" s="55" t="s">
        <v>62</v>
      </c>
      <c r="L1678" s="57" t="str">
        <f>HYPERLINK("https://nycdoe.sharepoint.com/:w:/s/BAP/EWNnLIU1CkxJmWJ4hqYMV7sBvcHHT0Mpb6U6TNvJ5xhbwQ", "10 out of 10")</f>
        <v>10 out of 10</v>
      </c>
      <c r="M1678" t="s">
        <v>9273</v>
      </c>
    </row>
    <row r="1679" spans="2:13">
      <c r="B1679" s="55" t="s">
        <v>4201</v>
      </c>
      <c r="C1679" s="55" t="s">
        <v>4202</v>
      </c>
      <c r="D1679" s="55" t="s">
        <v>4350</v>
      </c>
      <c r="E1679" s="55" t="s">
        <v>4350</v>
      </c>
      <c r="F1679" s="55" t="s">
        <v>9274</v>
      </c>
      <c r="G1679" s="55" t="s">
        <v>9275</v>
      </c>
      <c r="H1679" s="55" t="s">
        <v>17</v>
      </c>
      <c r="I1679" s="55" t="s">
        <v>18</v>
      </c>
      <c r="J1679" s="55" t="s">
        <v>9276</v>
      </c>
      <c r="K1679" s="55" t="s">
        <v>20</v>
      </c>
      <c r="L1679" s="57" t="str">
        <f>HYPERLINK("https://nycdoe.sharepoint.com/:w:/s/BAP/Efg6yVl_D55LqfzfW0cJ1VYBg3flYn1W0E0oWq1rg2iigQ", "4 out of 10")</f>
        <v>4 out of 10</v>
      </c>
      <c r="M1679" t="s">
        <v>9277</v>
      </c>
    </row>
    <row r="1680" spans="2:13">
      <c r="B1680" s="55" t="s">
        <v>4201</v>
      </c>
      <c r="C1680" s="55" t="s">
        <v>4202</v>
      </c>
      <c r="D1680" s="55" t="s">
        <v>4354</v>
      </c>
      <c r="E1680" s="55" t="s">
        <v>4354</v>
      </c>
      <c r="F1680" s="55" t="s">
        <v>9278</v>
      </c>
      <c r="G1680" s="55" t="s">
        <v>9279</v>
      </c>
      <c r="H1680" s="55" t="s">
        <v>17</v>
      </c>
      <c r="I1680" s="55" t="s">
        <v>18</v>
      </c>
      <c r="J1680" s="55" t="s">
        <v>9280</v>
      </c>
      <c r="K1680" s="55" t="s">
        <v>20</v>
      </c>
      <c r="L1680" s="57" t="str">
        <f>HYPERLINK("https://nycdoe.sharepoint.com/:w:/s/BAP/EUukV0AhG1ZKkzI6tYXe3xcBhoeGM778c3SExPOz_n1gRA", "1 out of 10")</f>
        <v>1 out of 10</v>
      </c>
      <c r="M1680" t="s">
        <v>9281</v>
      </c>
    </row>
    <row r="1681" spans="2:13">
      <c r="B1681" s="55" t="s">
        <v>4201</v>
      </c>
      <c r="C1681" s="55" t="s">
        <v>4202</v>
      </c>
      <c r="D1681" s="55" t="s">
        <v>4358</v>
      </c>
      <c r="E1681" s="55" t="s">
        <v>4358</v>
      </c>
      <c r="F1681" s="55" t="s">
        <v>9282</v>
      </c>
      <c r="G1681" s="55" t="s">
        <v>9283</v>
      </c>
      <c r="H1681" s="55" t="s">
        <v>52</v>
      </c>
      <c r="I1681" s="55"/>
      <c r="J1681" s="55" t="s">
        <v>9284</v>
      </c>
      <c r="K1681" s="55" t="s">
        <v>62</v>
      </c>
      <c r="L1681" s="57" t="str">
        <f>HYPERLINK("https://nycdoe.sharepoint.com/:w:/s/BAP/EZPwilvg1tdOsV1sL5o_AO8B6m8m4q4TDKxvoyoTt_1Y_w", "9 out of 10")</f>
        <v>9 out of 10</v>
      </c>
      <c r="M1681" t="s">
        <v>9285</v>
      </c>
    </row>
    <row r="1682" spans="2:13">
      <c r="B1682" s="55" t="s">
        <v>4201</v>
      </c>
      <c r="C1682" s="55" t="s">
        <v>4202</v>
      </c>
      <c r="D1682" s="55" t="s">
        <v>4358</v>
      </c>
      <c r="E1682" s="55" t="s">
        <v>4226</v>
      </c>
      <c r="F1682" s="55" t="s">
        <v>9205</v>
      </c>
      <c r="G1682" s="55" t="s">
        <v>4228</v>
      </c>
      <c r="H1682" s="55" t="s">
        <v>24</v>
      </c>
      <c r="I1682" s="55" t="s">
        <v>18</v>
      </c>
      <c r="J1682" s="55" t="s">
        <v>9284</v>
      </c>
      <c r="K1682" s="55" t="s">
        <v>62</v>
      </c>
      <c r="L1682" s="57" t="str">
        <f>HYPERLINK("https://nycdoe.sharepoint.com/:w:/s/BAP/EZPwilvg1tdOsV1sL5o_AO8B6m8m4q4TDKxvoyoTt_1Y_w", "9 out of 10")</f>
        <v>9 out of 10</v>
      </c>
      <c r="M1682" t="s">
        <v>9285</v>
      </c>
    </row>
    <row r="1683" spans="2:13">
      <c r="B1683" s="55" t="s">
        <v>4201</v>
      </c>
      <c r="C1683" s="55" t="s">
        <v>4202</v>
      </c>
      <c r="D1683" s="55" t="s">
        <v>4362</v>
      </c>
      <c r="E1683" s="55" t="s">
        <v>4362</v>
      </c>
      <c r="F1683" s="55" t="s">
        <v>9286</v>
      </c>
      <c r="G1683" s="55" t="s">
        <v>9287</v>
      </c>
      <c r="H1683" s="55" t="s">
        <v>17</v>
      </c>
      <c r="I1683" s="55" t="s">
        <v>18</v>
      </c>
      <c r="J1683" s="55" t="s">
        <v>9288</v>
      </c>
      <c r="K1683" s="55" t="s">
        <v>62</v>
      </c>
      <c r="L1683" s="57" t="str">
        <f>HYPERLINK("https://nycdoe.sharepoint.com/:w:/s/BAP/EYgP7hGI3AdAkUiYeDtGhM8BrCJ_OfeldAGOE-zSoAgSLw", "10 out of 10")</f>
        <v>10 out of 10</v>
      </c>
      <c r="M1683" t="s">
        <v>9289</v>
      </c>
    </row>
    <row r="1684" spans="2:13">
      <c r="B1684" s="55" t="s">
        <v>4201</v>
      </c>
      <c r="C1684" s="55" t="s">
        <v>4202</v>
      </c>
      <c r="D1684" s="55" t="s">
        <v>4366</v>
      </c>
      <c r="E1684" s="55" t="s">
        <v>4367</v>
      </c>
      <c r="F1684" s="55" t="s">
        <v>9290</v>
      </c>
      <c r="G1684" s="55" t="s">
        <v>9291</v>
      </c>
      <c r="H1684" s="55" t="s">
        <v>17</v>
      </c>
      <c r="I1684" s="55" t="s">
        <v>18</v>
      </c>
      <c r="J1684" s="55" t="s">
        <v>9292</v>
      </c>
      <c r="K1684" s="55" t="s">
        <v>62</v>
      </c>
      <c r="L1684" s="57" t="str">
        <f>HYPERLINK("https://nycdoe.sharepoint.com/:w:/s/BAP/EQxtyxJYenhDkJN9xuYUFLAB515N8G7EPd8AY9tLndU_pQ", "10 out of 10")</f>
        <v>10 out of 10</v>
      </c>
      <c r="M1684" t="s">
        <v>9293</v>
      </c>
    </row>
    <row r="1685" spans="2:13">
      <c r="B1685" s="55" t="s">
        <v>4201</v>
      </c>
      <c r="C1685" s="55" t="s">
        <v>4202</v>
      </c>
      <c r="D1685" s="55" t="s">
        <v>4371</v>
      </c>
      <c r="E1685" s="55" t="s">
        <v>4371</v>
      </c>
      <c r="F1685" s="55" t="s">
        <v>9294</v>
      </c>
      <c r="G1685" s="55" t="s">
        <v>9295</v>
      </c>
      <c r="H1685" s="55" t="s">
        <v>17</v>
      </c>
      <c r="I1685" s="55" t="s">
        <v>18</v>
      </c>
      <c r="J1685" s="55" t="s">
        <v>9296</v>
      </c>
      <c r="K1685" s="55" t="s">
        <v>62</v>
      </c>
      <c r="L1685" s="57" t="str">
        <f>HYPERLINK("https://nycdoe.sharepoint.com/:w:/s/BAP/ETkEkNHJ6ZhOq7WvBc6P_t4BG82p8Bg0S4zvXCPBkrEugg", "9 out of 10")</f>
        <v>9 out of 10</v>
      </c>
      <c r="M1685" t="s">
        <v>9297</v>
      </c>
    </row>
    <row r="1686" spans="2:13">
      <c r="B1686" s="55" t="s">
        <v>4201</v>
      </c>
      <c r="C1686" s="55" t="s">
        <v>4202</v>
      </c>
      <c r="D1686" s="55" t="s">
        <v>9298</v>
      </c>
      <c r="E1686" s="55" t="s">
        <v>9299</v>
      </c>
      <c r="F1686" s="55" t="s">
        <v>9300</v>
      </c>
      <c r="G1686" s="55" t="s">
        <v>9301</v>
      </c>
      <c r="H1686" s="55" t="s">
        <v>17</v>
      </c>
      <c r="I1686" s="55" t="s">
        <v>18</v>
      </c>
      <c r="J1686" s="55" t="s">
        <v>9302</v>
      </c>
      <c r="K1686" s="55" t="s">
        <v>62</v>
      </c>
      <c r="L1686" s="57" t="str">
        <f>HYPERLINK("https://nycdoe.sharepoint.com/:w:/s/BAP/EVibVXo1-Y1Pr77N3-F1z1QB5Q9vvm3x0qwA-GPZ223U0A", "10 out of 10")</f>
        <v>10 out of 10</v>
      </c>
      <c r="M1686" t="s">
        <v>9303</v>
      </c>
    </row>
    <row r="1687" spans="2:13">
      <c r="B1687" s="55" t="s">
        <v>4201</v>
      </c>
      <c r="C1687" s="55" t="s">
        <v>4202</v>
      </c>
      <c r="D1687" s="55" t="s">
        <v>9298</v>
      </c>
      <c r="E1687" s="55" t="s">
        <v>4226</v>
      </c>
      <c r="F1687" s="55" t="s">
        <v>9205</v>
      </c>
      <c r="G1687" s="55" t="s">
        <v>4228</v>
      </c>
      <c r="H1687" s="55" t="s">
        <v>24</v>
      </c>
      <c r="I1687" s="55" t="s">
        <v>18</v>
      </c>
      <c r="J1687" s="55" t="s">
        <v>9302</v>
      </c>
      <c r="K1687" s="55" t="s">
        <v>62</v>
      </c>
      <c r="L1687" s="57" t="str">
        <f>HYPERLINK("https://nycdoe.sharepoint.com/:w:/s/BAP/EVibVXo1-Y1Pr77N3-F1z1QB5Q9vvm3x0qwA-GPZ223U0A", "10 out of 10")</f>
        <v>10 out of 10</v>
      </c>
      <c r="M1687" t="s">
        <v>9303</v>
      </c>
    </row>
    <row r="1688" spans="2:13">
      <c r="B1688" s="55" t="s">
        <v>4201</v>
      </c>
      <c r="C1688" s="55" t="s">
        <v>4202</v>
      </c>
      <c r="D1688" s="55" t="s">
        <v>4375</v>
      </c>
      <c r="E1688" s="55" t="s">
        <v>4321</v>
      </c>
      <c r="F1688" s="55" t="s">
        <v>9304</v>
      </c>
      <c r="G1688" s="55" t="s">
        <v>9305</v>
      </c>
      <c r="H1688" s="55" t="s">
        <v>24</v>
      </c>
      <c r="I1688" s="55" t="s">
        <v>18</v>
      </c>
      <c r="J1688" s="55" t="s">
        <v>9306</v>
      </c>
      <c r="K1688" s="55" t="s">
        <v>62</v>
      </c>
      <c r="L1688" s="57" t="str">
        <f>HYPERLINK("https://nycdoe.sharepoint.com/:w:/s/BAP/EZg15v4b3zBBoSrDpFJSbaUBo6l1ckConZsn1tdlO5OZqA", "10 out of 10")</f>
        <v>10 out of 10</v>
      </c>
      <c r="M1688" t="s">
        <v>9307</v>
      </c>
    </row>
    <row r="1689" spans="2:13">
      <c r="B1689" s="55" t="s">
        <v>4201</v>
      </c>
      <c r="C1689" s="55" t="s">
        <v>4202</v>
      </c>
      <c r="D1689" s="55" t="s">
        <v>4375</v>
      </c>
      <c r="E1689" s="55" t="s">
        <v>4226</v>
      </c>
      <c r="F1689" s="55" t="s">
        <v>9205</v>
      </c>
      <c r="G1689" s="55" t="s">
        <v>4228</v>
      </c>
      <c r="H1689" s="55" t="s">
        <v>24</v>
      </c>
      <c r="I1689" s="55" t="s">
        <v>18</v>
      </c>
      <c r="J1689" s="55" t="s">
        <v>9306</v>
      </c>
      <c r="K1689" s="55" t="s">
        <v>62</v>
      </c>
      <c r="L1689" s="57" t="str">
        <f>HYPERLINK("https://nycdoe.sharepoint.com/:w:/s/BAP/EZg15v4b3zBBoSrDpFJSbaUBo6l1ckConZsn1tdlO5OZqA", "10 out of 10")</f>
        <v>10 out of 10</v>
      </c>
      <c r="M1689" t="s">
        <v>9307</v>
      </c>
    </row>
    <row r="1690" spans="2:13">
      <c r="B1690" s="55" t="s">
        <v>4201</v>
      </c>
      <c r="C1690" s="55" t="s">
        <v>4202</v>
      </c>
      <c r="D1690" s="55" t="s">
        <v>4379</v>
      </c>
      <c r="E1690" s="55" t="s">
        <v>4379</v>
      </c>
      <c r="F1690" s="55" t="s">
        <v>9308</v>
      </c>
      <c r="G1690" s="55" t="s">
        <v>9309</v>
      </c>
      <c r="H1690" s="55" t="s">
        <v>52</v>
      </c>
      <c r="I1690" s="55"/>
      <c r="J1690" s="55" t="s">
        <v>9310</v>
      </c>
      <c r="K1690" s="55" t="s">
        <v>20</v>
      </c>
      <c r="L1690" s="57" t="str">
        <f>HYPERLINK("https://nycdoe.sharepoint.com/:w:/s/BAP/EffYuWELkfRFuZ8n2seITsEBNw3vdL_NJ3CiWruRF2jMlQ", "8 out of 10")</f>
        <v>8 out of 10</v>
      </c>
      <c r="M1690" t="s">
        <v>9311</v>
      </c>
    </row>
    <row r="1691" spans="2:13">
      <c r="B1691" s="55" t="s">
        <v>4201</v>
      </c>
      <c r="C1691" s="55" t="s">
        <v>4202</v>
      </c>
      <c r="D1691" s="55" t="s">
        <v>9312</v>
      </c>
      <c r="E1691" s="55" t="s">
        <v>4226</v>
      </c>
      <c r="F1691" s="55" t="s">
        <v>9205</v>
      </c>
      <c r="G1691" s="55" t="s">
        <v>4228</v>
      </c>
      <c r="H1691" s="55" t="s">
        <v>24</v>
      </c>
      <c r="I1691" s="55" t="s">
        <v>18</v>
      </c>
      <c r="J1691" s="55" t="s">
        <v>9313</v>
      </c>
      <c r="K1691" s="55" t="s">
        <v>62</v>
      </c>
      <c r="L1691" s="57" t="str">
        <f>HYPERLINK("https://nycdoe.sharepoint.com/:w:/s/BAP/EQHjfcLr7txBtqrrA-2blAgB7fo0_vVtxOzvO4qGfjktvQ", "10 out of 10")</f>
        <v>10 out of 10</v>
      </c>
      <c r="M1691" t="s">
        <v>9314</v>
      </c>
    </row>
    <row r="1692" spans="2:13">
      <c r="B1692" s="55" t="s">
        <v>4201</v>
      </c>
      <c r="C1692" s="55" t="s">
        <v>4202</v>
      </c>
      <c r="D1692" s="55" t="s">
        <v>4383</v>
      </c>
      <c r="E1692" s="55" t="s">
        <v>4233</v>
      </c>
      <c r="F1692" s="55" t="s">
        <v>9095</v>
      </c>
      <c r="G1692" s="55" t="s">
        <v>9096</v>
      </c>
      <c r="H1692" s="55" t="s">
        <v>43</v>
      </c>
      <c r="I1692" s="55" t="s">
        <v>18</v>
      </c>
      <c r="J1692" s="55" t="s">
        <v>9315</v>
      </c>
      <c r="K1692" s="55" t="s">
        <v>62</v>
      </c>
      <c r="L1692" s="57" t="str">
        <f>HYPERLINK("https://nycdoe.sharepoint.com/:w:/s/BAP/Ee14of_MGKtIitPUuF_bROYBtZPlLLdBK5Fy3r-uHG5D6Q", "9 out of 10")</f>
        <v>9 out of 10</v>
      </c>
      <c r="M1692" t="s">
        <v>9316</v>
      </c>
    </row>
    <row r="1693" spans="2:13">
      <c r="B1693" s="55" t="s">
        <v>4201</v>
      </c>
      <c r="C1693" s="55" t="s">
        <v>4202</v>
      </c>
      <c r="D1693" s="55" t="s">
        <v>4383</v>
      </c>
      <c r="E1693" s="55" t="s">
        <v>4383</v>
      </c>
      <c r="F1693" s="55" t="s">
        <v>9317</v>
      </c>
      <c r="G1693" s="55" t="s">
        <v>9318</v>
      </c>
      <c r="H1693" s="55" t="s">
        <v>52</v>
      </c>
      <c r="I1693" s="55"/>
      <c r="J1693" s="55" t="s">
        <v>9315</v>
      </c>
      <c r="K1693" s="55" t="s">
        <v>62</v>
      </c>
      <c r="L1693" s="57" t="str">
        <f>HYPERLINK("https://nycdoe.sharepoint.com/:w:/s/BAP/Ee14of_MGKtIitPUuF_bROYBtZPlLLdBK5Fy3r-uHG5D6Q", "9 out of 10")</f>
        <v>9 out of 10</v>
      </c>
      <c r="M1693" t="s">
        <v>9316</v>
      </c>
    </row>
    <row r="1694" spans="2:13">
      <c r="B1694" s="55" t="s">
        <v>4201</v>
      </c>
      <c r="C1694" s="55" t="s">
        <v>4202</v>
      </c>
      <c r="D1694" s="55" t="s">
        <v>4434</v>
      </c>
      <c r="E1694" s="55" t="s">
        <v>4431</v>
      </c>
      <c r="F1694" s="55" t="s">
        <v>9319</v>
      </c>
      <c r="G1694" s="55" t="s">
        <v>9320</v>
      </c>
      <c r="H1694" s="55" t="s">
        <v>17</v>
      </c>
      <c r="I1694" s="55"/>
      <c r="J1694" s="55" t="s">
        <v>9321</v>
      </c>
      <c r="K1694" s="55" t="s">
        <v>20</v>
      </c>
      <c r="L1694" s="57" t="str">
        <f>HYPERLINK("https://nycdoe.sharepoint.com/:w:/s/BAP/EUXPAmcfbptPjJRWUzfbjKEBHFeecEj7lMPY2EeN_puP6A", "1 out of 10")</f>
        <v>1 out of 10</v>
      </c>
      <c r="M1694" t="s">
        <v>9322</v>
      </c>
    </row>
    <row r="1695" spans="2:13">
      <c r="B1695" s="55" t="s">
        <v>4201</v>
      </c>
      <c r="C1695" s="55" t="s">
        <v>4202</v>
      </c>
      <c r="D1695" s="55" t="s">
        <v>4387</v>
      </c>
      <c r="E1695" s="55" t="s">
        <v>4273</v>
      </c>
      <c r="F1695" s="55" t="s">
        <v>9150</v>
      </c>
      <c r="G1695" s="55" t="s">
        <v>9151</v>
      </c>
      <c r="H1695" s="55" t="s">
        <v>84</v>
      </c>
      <c r="I1695" s="55"/>
      <c r="J1695" s="55" t="s">
        <v>9323</v>
      </c>
      <c r="K1695" s="55" t="s">
        <v>62</v>
      </c>
      <c r="L1695" s="57" t="str">
        <f>HYPERLINK("https://nycdoe.sharepoint.com/:w:/s/BAP/ETIDI65MUtlHnVDT-kZEvSgBIKwzEtC-vbY6On-mKoFIXw", "10 out of 10")</f>
        <v>10 out of 10</v>
      </c>
      <c r="M1695" t="s">
        <v>9324</v>
      </c>
    </row>
    <row r="1696" spans="2:13">
      <c r="B1696" s="55" t="s">
        <v>4201</v>
      </c>
      <c r="C1696" s="55" t="s">
        <v>4202</v>
      </c>
      <c r="D1696" s="55" t="s">
        <v>9157</v>
      </c>
      <c r="E1696" s="55" t="s">
        <v>4207</v>
      </c>
      <c r="F1696" s="55" t="s">
        <v>9073</v>
      </c>
      <c r="G1696" s="55" t="s">
        <v>9074</v>
      </c>
      <c r="H1696" s="55" t="s">
        <v>43</v>
      </c>
      <c r="I1696" s="55" t="s">
        <v>18</v>
      </c>
      <c r="J1696" s="55" t="s">
        <v>9325</v>
      </c>
      <c r="K1696" s="55" t="s">
        <v>62</v>
      </c>
      <c r="L1696" s="57" t="str">
        <f>HYPERLINK("https://nycdoe.sharepoint.com/:w:/s/BAP/EftGjqbvXihAgLuOWyfAdHYBp9ui_gcwAPT6NIx5GO1QFg", "10 out of 10")</f>
        <v>10 out of 10</v>
      </c>
      <c r="M1696" t="s">
        <v>9326</v>
      </c>
    </row>
    <row r="1697" spans="2:13">
      <c r="B1697" s="55" t="s">
        <v>4201</v>
      </c>
      <c r="C1697" s="55" t="s">
        <v>4202</v>
      </c>
      <c r="D1697" s="55" t="s">
        <v>9327</v>
      </c>
      <c r="E1697" s="55" t="s">
        <v>4233</v>
      </c>
      <c r="F1697" s="55" t="s">
        <v>9095</v>
      </c>
      <c r="G1697" s="55" t="s">
        <v>9096</v>
      </c>
      <c r="H1697" s="55" t="s">
        <v>43</v>
      </c>
      <c r="I1697" s="55" t="s">
        <v>18</v>
      </c>
      <c r="J1697" s="55" t="s">
        <v>9328</v>
      </c>
      <c r="K1697" s="55" t="s">
        <v>20</v>
      </c>
      <c r="L1697" s="57" t="str">
        <f>HYPERLINK("https://nycdoe.sharepoint.com/:w:/s/BAP/EXFseXk-jFZJrab1ZG5wYBUBNa1M6Vh9qVYpfyb9hhDyfA", "1 out of 10")</f>
        <v>1 out of 10</v>
      </c>
      <c r="M1697" t="s">
        <v>9329</v>
      </c>
    </row>
    <row r="1698" spans="2:13">
      <c r="B1698" s="55" t="s">
        <v>4201</v>
      </c>
      <c r="C1698" s="55" t="s">
        <v>4202</v>
      </c>
      <c r="D1698" s="55" t="s">
        <v>4389</v>
      </c>
      <c r="E1698" s="55" t="s">
        <v>4233</v>
      </c>
      <c r="F1698" s="55" t="s">
        <v>9095</v>
      </c>
      <c r="G1698" s="55" t="s">
        <v>9096</v>
      </c>
      <c r="H1698" s="55" t="s">
        <v>43</v>
      </c>
      <c r="I1698" s="55" t="s">
        <v>18</v>
      </c>
      <c r="J1698" s="55" t="s">
        <v>9330</v>
      </c>
      <c r="K1698" s="55" t="s">
        <v>20</v>
      </c>
      <c r="L1698" s="57" t="str">
        <f>HYPERLINK("https://nycdoe.sharepoint.com/:w:/s/BAP/EVzMmAg-VDFBh-gzAd3MtNAB4sWxERfbY_anLmcycksTgg", "6 out of 10")</f>
        <v>6 out of 10</v>
      </c>
      <c r="M1698" t="s">
        <v>9331</v>
      </c>
    </row>
    <row r="1699" spans="2:13">
      <c r="B1699" s="55" t="s">
        <v>4201</v>
      </c>
      <c r="C1699" s="55" t="s">
        <v>4202</v>
      </c>
      <c r="D1699" s="55" t="s">
        <v>4389</v>
      </c>
      <c r="E1699" s="55" t="s">
        <v>4391</v>
      </c>
      <c r="F1699" s="55" t="s">
        <v>9332</v>
      </c>
      <c r="G1699" s="55" t="s">
        <v>9333</v>
      </c>
      <c r="H1699" s="55" t="s">
        <v>56</v>
      </c>
      <c r="I1699" s="55"/>
      <c r="J1699" s="55" t="s">
        <v>9330</v>
      </c>
      <c r="K1699" s="55" t="s">
        <v>20</v>
      </c>
      <c r="L1699" s="57" t="str">
        <f>HYPERLINK("https://nycdoe.sharepoint.com/:w:/s/BAP/EVzMmAg-VDFBh-gzAd3MtNAB4sWxERfbY_anLmcycksTgg", "6 out of 10")</f>
        <v>6 out of 10</v>
      </c>
      <c r="M1699" t="s">
        <v>9331</v>
      </c>
    </row>
    <row r="1700" spans="2:13">
      <c r="B1700" s="55" t="s">
        <v>4201</v>
      </c>
      <c r="C1700" s="55" t="s">
        <v>4202</v>
      </c>
      <c r="D1700" s="55" t="s">
        <v>4389</v>
      </c>
      <c r="E1700" s="55" t="s">
        <v>4273</v>
      </c>
      <c r="F1700" s="55" t="s">
        <v>9150</v>
      </c>
      <c r="G1700" s="55" t="s">
        <v>9151</v>
      </c>
      <c r="H1700" s="55" t="s">
        <v>84</v>
      </c>
      <c r="I1700" s="55"/>
      <c r="J1700" s="55" t="s">
        <v>9330</v>
      </c>
      <c r="K1700" s="55" t="s">
        <v>20</v>
      </c>
      <c r="L1700" s="57" t="str">
        <f>HYPERLINK("https://nycdoe.sharepoint.com/:w:/s/BAP/EVzMmAg-VDFBh-gzAd3MtNAB4sWxERfbY_anLmcycksTgg", "6 out of 10")</f>
        <v>6 out of 10</v>
      </c>
      <c r="M1700" t="s">
        <v>9331</v>
      </c>
    </row>
    <row r="1701" spans="2:13">
      <c r="B1701" s="55" t="s">
        <v>4201</v>
      </c>
      <c r="C1701" s="55" t="s">
        <v>4202</v>
      </c>
      <c r="D1701" s="55" t="s">
        <v>4391</v>
      </c>
      <c r="E1701" s="55" t="s">
        <v>4564</v>
      </c>
      <c r="F1701" s="55" t="s">
        <v>4565</v>
      </c>
      <c r="G1701" s="55" t="s">
        <v>4566</v>
      </c>
      <c r="H1701" s="55" t="s">
        <v>52</v>
      </c>
      <c r="I1701" s="55"/>
      <c r="J1701" s="55" t="s">
        <v>9334</v>
      </c>
      <c r="K1701" s="55" t="s">
        <v>62</v>
      </c>
      <c r="L1701" s="57" t="str">
        <f>HYPERLINK("https://nycdoe.sharepoint.com/:w:/s/BAP/EVUKUNU25CdGp33jlTMCpbwBdSKAVH9fp-JBgV3JL_lFuA", "9 out of 10")</f>
        <v>9 out of 10</v>
      </c>
      <c r="M1701" t="s">
        <v>9335</v>
      </c>
    </row>
    <row r="1702" spans="2:13">
      <c r="B1702" s="55" t="s">
        <v>4201</v>
      </c>
      <c r="C1702" s="55" t="s">
        <v>4202</v>
      </c>
      <c r="D1702" s="55" t="s">
        <v>4391</v>
      </c>
      <c r="E1702" s="55" t="s">
        <v>4207</v>
      </c>
      <c r="F1702" s="55" t="s">
        <v>9073</v>
      </c>
      <c r="G1702" s="55" t="s">
        <v>9074</v>
      </c>
      <c r="H1702" s="55" t="s">
        <v>43</v>
      </c>
      <c r="I1702" s="55" t="s">
        <v>18</v>
      </c>
      <c r="J1702" s="55" t="s">
        <v>9334</v>
      </c>
      <c r="K1702" s="55" t="s">
        <v>62</v>
      </c>
      <c r="L1702" s="57" t="str">
        <f>HYPERLINK("https://nycdoe.sharepoint.com/:w:/s/BAP/EVUKUNU25CdGp33jlTMCpbwBdSKAVH9fp-JBgV3JL_lFuA", "9 out of 10")</f>
        <v>9 out of 10</v>
      </c>
      <c r="M1702" t="s">
        <v>9335</v>
      </c>
    </row>
    <row r="1703" spans="2:13">
      <c r="B1703" s="55" t="s">
        <v>4201</v>
      </c>
      <c r="C1703" s="55" t="s">
        <v>4202</v>
      </c>
      <c r="D1703" s="55" t="s">
        <v>4391</v>
      </c>
      <c r="E1703" s="55" t="s">
        <v>4394</v>
      </c>
      <c r="F1703" s="55" t="s">
        <v>9336</v>
      </c>
      <c r="G1703" s="55" t="s">
        <v>9337</v>
      </c>
      <c r="H1703" s="55" t="s">
        <v>56</v>
      </c>
      <c r="I1703" s="55"/>
      <c r="J1703" s="55" t="s">
        <v>9334</v>
      </c>
      <c r="K1703" s="55" t="s">
        <v>62</v>
      </c>
      <c r="L1703" s="57" t="str">
        <f>HYPERLINK("https://nycdoe.sharepoint.com/:w:/s/BAP/EVUKUNU25CdGp33jlTMCpbwBdSKAVH9fp-JBgV3JL_lFuA", "9 out of 10")</f>
        <v>9 out of 10</v>
      </c>
      <c r="M1703" t="s">
        <v>9335</v>
      </c>
    </row>
    <row r="1704" spans="2:13">
      <c r="B1704" s="55" t="s">
        <v>4201</v>
      </c>
      <c r="C1704" s="55" t="s">
        <v>4202</v>
      </c>
      <c r="D1704" s="55" t="s">
        <v>4398</v>
      </c>
      <c r="E1704" s="55" t="s">
        <v>4233</v>
      </c>
      <c r="F1704" s="55" t="s">
        <v>9095</v>
      </c>
      <c r="G1704" s="55" t="s">
        <v>9096</v>
      </c>
      <c r="H1704" s="55" t="s">
        <v>43</v>
      </c>
      <c r="I1704" s="55" t="s">
        <v>18</v>
      </c>
      <c r="J1704" s="55" t="s">
        <v>9338</v>
      </c>
      <c r="K1704" s="55" t="s">
        <v>20</v>
      </c>
      <c r="L1704" s="57" t="str">
        <f>HYPERLINK("https://nycdoe.sharepoint.com/:w:/s/BAP/ESaBDbYvr8FBh-2J9EM-lw4BVPoDWHZGxWQZAor3gQemZg", "3 out of 10")</f>
        <v>3 out of 10</v>
      </c>
      <c r="M1704" t="s">
        <v>9339</v>
      </c>
    </row>
    <row r="1705" spans="2:13">
      <c r="B1705" s="55" t="s">
        <v>4201</v>
      </c>
      <c r="C1705" s="55" t="s">
        <v>4202</v>
      </c>
      <c r="D1705" s="55" t="s">
        <v>4398</v>
      </c>
      <c r="E1705" s="55" t="s">
        <v>4398</v>
      </c>
      <c r="F1705" s="55" t="s">
        <v>9340</v>
      </c>
      <c r="G1705" s="55" t="s">
        <v>9341</v>
      </c>
      <c r="H1705" s="55" t="s">
        <v>56</v>
      </c>
      <c r="I1705" s="55"/>
      <c r="J1705" s="55" t="s">
        <v>9338</v>
      </c>
      <c r="K1705" s="55" t="s">
        <v>20</v>
      </c>
      <c r="L1705" s="57" t="str">
        <f>HYPERLINK("https://nycdoe.sharepoint.com/:w:/s/BAP/ESaBDbYvr8FBh-2J9EM-lw4BVPoDWHZGxWQZAor3gQemZg", "3 out of 10")</f>
        <v>3 out of 10</v>
      </c>
      <c r="M1705" t="s">
        <v>9339</v>
      </c>
    </row>
    <row r="1706" spans="2:13">
      <c r="B1706" s="55" t="s">
        <v>4201</v>
      </c>
      <c r="C1706" s="55" t="s">
        <v>4202</v>
      </c>
      <c r="D1706" s="55" t="s">
        <v>4402</v>
      </c>
      <c r="E1706" s="55" t="s">
        <v>4233</v>
      </c>
      <c r="F1706" s="55" t="s">
        <v>9095</v>
      </c>
      <c r="G1706" s="55" t="s">
        <v>9096</v>
      </c>
      <c r="H1706" s="55" t="s">
        <v>43</v>
      </c>
      <c r="I1706" s="55" t="s">
        <v>18</v>
      </c>
      <c r="J1706" s="55" t="s">
        <v>9342</v>
      </c>
      <c r="K1706" s="55" t="s">
        <v>20</v>
      </c>
      <c r="L1706" s="57" t="str">
        <f>HYPERLINK("https://nycdoe.sharepoint.com/:w:/s/BAP/EROwSeOSV0BMnFqxt3kVRFEBjiT21oLM3vtXVeLJjE4q4g", "7 out of 10")</f>
        <v>7 out of 10</v>
      </c>
      <c r="M1706" t="s">
        <v>9343</v>
      </c>
    </row>
    <row r="1707" spans="2:13">
      <c r="B1707" s="55" t="s">
        <v>4201</v>
      </c>
      <c r="C1707" s="55" t="s">
        <v>4202</v>
      </c>
      <c r="D1707" s="55" t="s">
        <v>4402</v>
      </c>
      <c r="E1707" s="55" t="s">
        <v>4402</v>
      </c>
      <c r="F1707" s="55" t="s">
        <v>9344</v>
      </c>
      <c r="G1707" s="55" t="s">
        <v>9345</v>
      </c>
      <c r="H1707" s="55" t="s">
        <v>56</v>
      </c>
      <c r="I1707" s="55"/>
      <c r="J1707" s="55" t="s">
        <v>9342</v>
      </c>
      <c r="K1707" s="55" t="s">
        <v>20</v>
      </c>
      <c r="L1707" s="57" t="str">
        <f>HYPERLINK("https://nycdoe.sharepoint.com/:w:/s/BAP/EROwSeOSV0BMnFqxt3kVRFEBjiT21oLM3vtXVeLJjE4q4g", "7 out of 10")</f>
        <v>7 out of 10</v>
      </c>
      <c r="M1707" t="s">
        <v>9343</v>
      </c>
    </row>
    <row r="1708" spans="2:13">
      <c r="B1708" s="55" t="s">
        <v>4201</v>
      </c>
      <c r="C1708" s="55" t="s">
        <v>4202</v>
      </c>
      <c r="D1708" s="55" t="s">
        <v>9346</v>
      </c>
      <c r="E1708" s="55" t="s">
        <v>4402</v>
      </c>
      <c r="F1708" s="55" t="s">
        <v>9344</v>
      </c>
      <c r="G1708" s="55" t="s">
        <v>9345</v>
      </c>
      <c r="H1708" s="55" t="s">
        <v>56</v>
      </c>
      <c r="I1708" s="55"/>
      <c r="J1708" s="55" t="s">
        <v>9347</v>
      </c>
      <c r="K1708" s="55" t="s">
        <v>62</v>
      </c>
      <c r="L1708" s="57" t="str">
        <f>HYPERLINK("https://nycdoe.sharepoint.com/:w:/s/BAP/Eb4Q_OnvwuNJvOpTJf19V1IBmFRXKdQXVNsqarizEmK7Mg", "10 out of 10")</f>
        <v>10 out of 10</v>
      </c>
      <c r="M1708" t="s">
        <v>9348</v>
      </c>
    </row>
    <row r="1709" spans="2:13">
      <c r="B1709" s="55" t="s">
        <v>4201</v>
      </c>
      <c r="C1709" s="55" t="s">
        <v>4202</v>
      </c>
      <c r="D1709" s="55" t="s">
        <v>4406</v>
      </c>
      <c r="E1709" s="55" t="s">
        <v>4490</v>
      </c>
      <c r="F1709" s="55" t="s">
        <v>4491</v>
      </c>
      <c r="G1709" s="55" t="s">
        <v>4492</v>
      </c>
      <c r="H1709" s="55" t="s">
        <v>56</v>
      </c>
      <c r="I1709" s="55"/>
      <c r="J1709" s="55" t="s">
        <v>9349</v>
      </c>
      <c r="K1709" s="55" t="s">
        <v>20</v>
      </c>
      <c r="L1709" s="57" t="str">
        <f>HYPERLINK("https://nycdoe.sharepoint.com/:w:/s/BAP/ESk6ww5UDhVJqXGD1DqiON4BSpkV_0SF-nPH6H3C3avQ7w", "7 out of 10")</f>
        <v>7 out of 10</v>
      </c>
      <c r="M1709" t="s">
        <v>9350</v>
      </c>
    </row>
    <row r="1710" spans="2:13">
      <c r="B1710" s="55" t="s">
        <v>4201</v>
      </c>
      <c r="C1710" s="55" t="s">
        <v>4202</v>
      </c>
      <c r="D1710" s="55" t="s">
        <v>4406</v>
      </c>
      <c r="E1710" s="55" t="s">
        <v>4233</v>
      </c>
      <c r="F1710" s="55" t="s">
        <v>9095</v>
      </c>
      <c r="G1710" s="55" t="s">
        <v>9096</v>
      </c>
      <c r="H1710" s="55" t="s">
        <v>43</v>
      </c>
      <c r="I1710" s="55" t="s">
        <v>18</v>
      </c>
      <c r="J1710" s="55" t="s">
        <v>9349</v>
      </c>
      <c r="K1710" s="55" t="s">
        <v>20</v>
      </c>
      <c r="L1710" s="57" t="str">
        <f>HYPERLINK("https://nycdoe.sharepoint.com/:w:/s/BAP/ESk6ww5UDhVJqXGD1DqiON4BSpkV_0SF-nPH6H3C3avQ7w", "7 out of 10")</f>
        <v>7 out of 10</v>
      </c>
      <c r="M1710" t="s">
        <v>9350</v>
      </c>
    </row>
    <row r="1711" spans="2:13">
      <c r="B1711" s="55" t="s">
        <v>4201</v>
      </c>
      <c r="C1711" s="55" t="s">
        <v>4202</v>
      </c>
      <c r="D1711" s="55" t="s">
        <v>4406</v>
      </c>
      <c r="E1711" s="55" t="s">
        <v>4406</v>
      </c>
      <c r="F1711" s="55" t="s">
        <v>9351</v>
      </c>
      <c r="G1711" s="55" t="s">
        <v>9352</v>
      </c>
      <c r="H1711" s="55" t="s">
        <v>56</v>
      </c>
      <c r="I1711" s="55"/>
      <c r="J1711" s="55" t="s">
        <v>9349</v>
      </c>
      <c r="K1711" s="55" t="s">
        <v>20</v>
      </c>
      <c r="L1711" s="57" t="str">
        <f>HYPERLINK("https://nycdoe.sharepoint.com/:w:/s/BAP/ESk6ww5UDhVJqXGD1DqiON4BSpkV_0SF-nPH6H3C3avQ7w", "7 out of 10")</f>
        <v>7 out of 10</v>
      </c>
      <c r="M1711" t="s">
        <v>9350</v>
      </c>
    </row>
    <row r="1712" spans="2:13">
      <c r="B1712" s="55" t="s">
        <v>4201</v>
      </c>
      <c r="C1712" s="55" t="s">
        <v>4202</v>
      </c>
      <c r="D1712" s="55" t="s">
        <v>4406</v>
      </c>
      <c r="E1712" s="55" t="s">
        <v>4273</v>
      </c>
      <c r="F1712" s="55" t="s">
        <v>9150</v>
      </c>
      <c r="G1712" s="55" t="s">
        <v>9151</v>
      </c>
      <c r="H1712" s="55" t="s">
        <v>84</v>
      </c>
      <c r="I1712" s="55"/>
      <c r="J1712" s="55" t="s">
        <v>9349</v>
      </c>
      <c r="K1712" s="55" t="s">
        <v>20</v>
      </c>
      <c r="L1712" s="57" t="str">
        <f>HYPERLINK("https://nycdoe.sharepoint.com/:w:/s/BAP/ESk6ww5UDhVJqXGD1DqiON4BSpkV_0SF-nPH6H3C3avQ7w", "7 out of 10")</f>
        <v>7 out of 10</v>
      </c>
      <c r="M1712" t="s">
        <v>9350</v>
      </c>
    </row>
    <row r="1713" spans="2:13">
      <c r="B1713" s="55" t="s">
        <v>4201</v>
      </c>
      <c r="C1713" s="55" t="s">
        <v>4202</v>
      </c>
      <c r="D1713" s="55" t="s">
        <v>4410</v>
      </c>
      <c r="E1713" s="55" t="s">
        <v>4410</v>
      </c>
      <c r="F1713" s="55" t="s">
        <v>9353</v>
      </c>
      <c r="G1713" s="55" t="s">
        <v>9354</v>
      </c>
      <c r="H1713" s="55" t="s">
        <v>56</v>
      </c>
      <c r="I1713" s="55"/>
      <c r="J1713" s="55" t="s">
        <v>9355</v>
      </c>
      <c r="K1713" s="55" t="s">
        <v>62</v>
      </c>
      <c r="L1713" s="57" t="str">
        <f>HYPERLINK("https://nycdoe.sharepoint.com/:w:/s/BAP/EZO7UE3L4xhNhQWNQqmFwJsBQLzAYph0lwTPj0jHIqTOVg", "9 out of 10")</f>
        <v>9 out of 10</v>
      </c>
      <c r="M1713" t="s">
        <v>9356</v>
      </c>
    </row>
    <row r="1714" spans="2:13">
      <c r="B1714" s="55" t="s">
        <v>4201</v>
      </c>
      <c r="C1714" s="55" t="s">
        <v>4202</v>
      </c>
      <c r="D1714" s="55" t="s">
        <v>9357</v>
      </c>
      <c r="E1714" s="55" t="s">
        <v>4410</v>
      </c>
      <c r="F1714" s="55" t="s">
        <v>9353</v>
      </c>
      <c r="G1714" s="55" t="s">
        <v>9354</v>
      </c>
      <c r="H1714" s="55" t="s">
        <v>56</v>
      </c>
      <c r="I1714" s="55"/>
      <c r="J1714" s="55" t="s">
        <v>9358</v>
      </c>
      <c r="K1714" s="55" t="s">
        <v>62</v>
      </c>
      <c r="L1714" s="57" t="str">
        <f>HYPERLINK("https://nycdoe.sharepoint.com/:w:/s/BAP/EUH6c1jWIY1Hm4IQ1faj0gkBqa6l5IDVoLmqXlVoSyaiOQ", "9 out of 10")</f>
        <v>9 out of 10</v>
      </c>
      <c r="M1714" t="s">
        <v>9359</v>
      </c>
    </row>
    <row r="1715" spans="2:13">
      <c r="B1715" s="55" t="s">
        <v>4201</v>
      </c>
      <c r="C1715" s="55" t="s">
        <v>4202</v>
      </c>
      <c r="D1715" s="55" t="s">
        <v>4414</v>
      </c>
      <c r="E1715" s="55" t="s">
        <v>4414</v>
      </c>
      <c r="F1715" s="55" t="s">
        <v>9360</v>
      </c>
      <c r="G1715" s="55" t="s">
        <v>9361</v>
      </c>
      <c r="H1715" s="55" t="s">
        <v>56</v>
      </c>
      <c r="I1715" s="55"/>
      <c r="J1715" s="55" t="s">
        <v>9362</v>
      </c>
      <c r="K1715" s="55" t="s">
        <v>20</v>
      </c>
      <c r="L1715" s="57" t="str">
        <f>HYPERLINK("https://nycdoe.sharepoint.com/:w:/s/BAP/EUaNMjZrtdxIipHghe_Qoj4Bh75EG_jp_qerE-rBs7kWeA", "1 out of 10")</f>
        <v>1 out of 10</v>
      </c>
      <c r="M1715" t="s">
        <v>9363</v>
      </c>
    </row>
    <row r="1716" spans="2:13">
      <c r="B1716" s="55" t="s">
        <v>4201</v>
      </c>
      <c r="C1716" s="55" t="s">
        <v>4202</v>
      </c>
      <c r="D1716" s="55" t="s">
        <v>4414</v>
      </c>
      <c r="E1716" s="55" t="s">
        <v>4273</v>
      </c>
      <c r="F1716" s="55" t="s">
        <v>9150</v>
      </c>
      <c r="G1716" s="55" t="s">
        <v>9151</v>
      </c>
      <c r="H1716" s="55" t="s">
        <v>84</v>
      </c>
      <c r="I1716" s="55"/>
      <c r="J1716" s="55" t="s">
        <v>9362</v>
      </c>
      <c r="K1716" s="55" t="s">
        <v>20</v>
      </c>
      <c r="L1716" s="57" t="str">
        <f>HYPERLINK("https://nycdoe.sharepoint.com/:w:/s/BAP/EUaNMjZrtdxIipHghe_Qoj4Bh75EG_jp_qerE-rBs7kWeA", "1 out of 10")</f>
        <v>1 out of 10</v>
      </c>
      <c r="M1716" t="s">
        <v>9363</v>
      </c>
    </row>
    <row r="1717" spans="2:13">
      <c r="B1717" s="55" t="s">
        <v>4201</v>
      </c>
      <c r="C1717" s="55" t="s">
        <v>4202</v>
      </c>
      <c r="D1717" s="55" t="s">
        <v>9364</v>
      </c>
      <c r="E1717" s="55" t="s">
        <v>4490</v>
      </c>
      <c r="F1717" s="55" t="s">
        <v>4491</v>
      </c>
      <c r="G1717" s="55" t="s">
        <v>4492</v>
      </c>
      <c r="H1717" s="55" t="s">
        <v>56</v>
      </c>
      <c r="I1717" s="55"/>
      <c r="J1717" s="55" t="s">
        <v>9365</v>
      </c>
      <c r="K1717" s="55" t="s">
        <v>20</v>
      </c>
      <c r="L1717" s="57" t="str">
        <f>HYPERLINK("https://nycdoe.sharepoint.com/:w:/s/BAP/EZocS8PfPB1IifAVKdtPfgMB17I6Oh-_TWHocqJv2-SSgA", "1 out of 10")</f>
        <v>1 out of 10</v>
      </c>
      <c r="M1717" t="s">
        <v>9366</v>
      </c>
    </row>
    <row r="1718" spans="2:13">
      <c r="B1718" s="55" t="s">
        <v>4201</v>
      </c>
      <c r="C1718" s="55" t="s">
        <v>4202</v>
      </c>
      <c r="D1718" s="55" t="s">
        <v>9364</v>
      </c>
      <c r="E1718" s="55" t="s">
        <v>4273</v>
      </c>
      <c r="F1718" s="55" t="s">
        <v>9150</v>
      </c>
      <c r="G1718" s="55" t="s">
        <v>9151</v>
      </c>
      <c r="H1718" s="55" t="s">
        <v>84</v>
      </c>
      <c r="I1718" s="55"/>
      <c r="J1718" s="55" t="s">
        <v>9365</v>
      </c>
      <c r="K1718" s="55" t="s">
        <v>20</v>
      </c>
      <c r="L1718" s="57" t="str">
        <f>HYPERLINK("https://nycdoe.sharepoint.com/:w:/s/BAP/EZocS8PfPB1IifAVKdtPfgMB17I6Oh-_TWHocqJv2-SSgA", "1 out of 10")</f>
        <v>1 out of 10</v>
      </c>
      <c r="M1718" t="s">
        <v>9366</v>
      </c>
    </row>
    <row r="1719" spans="2:13">
      <c r="B1719" s="55" t="s">
        <v>4201</v>
      </c>
      <c r="C1719" s="55" t="s">
        <v>4202</v>
      </c>
      <c r="D1719" s="55" t="s">
        <v>9367</v>
      </c>
      <c r="E1719" s="55" t="s">
        <v>4233</v>
      </c>
      <c r="F1719" s="55" t="s">
        <v>9095</v>
      </c>
      <c r="G1719" s="55" t="s">
        <v>9096</v>
      </c>
      <c r="H1719" s="55" t="s">
        <v>43</v>
      </c>
      <c r="I1719" s="55" t="s">
        <v>18</v>
      </c>
      <c r="J1719" s="55" t="s">
        <v>9368</v>
      </c>
      <c r="K1719" s="55" t="s">
        <v>62</v>
      </c>
      <c r="L1719" s="57" t="str">
        <f>HYPERLINK("https://nycdoe.sharepoint.com/:w:/s/BAP/EeDlopb3GfhDmJzCSiBHJ2MBg-ODYOXOYa_GFz0mmU4RaA", "9 out of 10")</f>
        <v>9 out of 10</v>
      </c>
      <c r="M1719" t="s">
        <v>9369</v>
      </c>
    </row>
    <row r="1720" spans="2:13">
      <c r="B1720" s="55" t="s">
        <v>4201</v>
      </c>
      <c r="C1720" s="55" t="s">
        <v>4202</v>
      </c>
      <c r="D1720" s="55" t="s">
        <v>4418</v>
      </c>
      <c r="E1720" s="55" t="s">
        <v>4419</v>
      </c>
      <c r="F1720" s="55" t="s">
        <v>9370</v>
      </c>
      <c r="G1720" s="55" t="s">
        <v>9371</v>
      </c>
      <c r="H1720" s="55" t="s">
        <v>17</v>
      </c>
      <c r="I1720" s="55" t="s">
        <v>18</v>
      </c>
      <c r="J1720" s="55" t="s">
        <v>9372</v>
      </c>
      <c r="K1720" s="55" t="s">
        <v>62</v>
      </c>
      <c r="L1720" s="57" t="str">
        <f>HYPERLINK("https://nycdoe.sharepoint.com/:w:/s/BAP/EVb6FM-nnBVAqztNIgKGqrIBrruGiv58MEqhfpY_O5wkQg", "9 out of 10")</f>
        <v>9 out of 10</v>
      </c>
      <c r="M1720" t="s">
        <v>9373</v>
      </c>
    </row>
    <row r="1721" spans="2:13">
      <c r="B1721" s="55" t="s">
        <v>4201</v>
      </c>
      <c r="C1721" s="55" t="s">
        <v>4202</v>
      </c>
      <c r="D1721" s="55" t="s">
        <v>4423</v>
      </c>
      <c r="E1721" s="55" t="s">
        <v>4207</v>
      </c>
      <c r="F1721" s="55" t="s">
        <v>9073</v>
      </c>
      <c r="G1721" s="55" t="s">
        <v>9074</v>
      </c>
      <c r="H1721" s="55" t="s">
        <v>43</v>
      </c>
      <c r="I1721" s="55" t="s">
        <v>18</v>
      </c>
      <c r="J1721" s="55" t="s">
        <v>9374</v>
      </c>
      <c r="K1721" s="55" t="s">
        <v>20</v>
      </c>
      <c r="L1721" s="57" t="str">
        <f>HYPERLINK("https://nycdoe.sharepoint.com/:w:/s/BAP/EQzJtRNIw_hOiUw0nKS4320BY7bJ-PFCktzhnpofJAlt2w", "7 out of 10")</f>
        <v>7 out of 10</v>
      </c>
      <c r="M1721" t="s">
        <v>9375</v>
      </c>
    </row>
    <row r="1722" spans="2:13">
      <c r="B1722" s="55" t="s">
        <v>4201</v>
      </c>
      <c r="C1722" s="55" t="s">
        <v>4202</v>
      </c>
      <c r="D1722" s="55" t="s">
        <v>9376</v>
      </c>
      <c r="E1722" s="55" t="s">
        <v>4273</v>
      </c>
      <c r="F1722" s="55" t="s">
        <v>9150</v>
      </c>
      <c r="G1722" s="55" t="s">
        <v>9151</v>
      </c>
      <c r="H1722" s="55" t="s">
        <v>84</v>
      </c>
      <c r="I1722" s="55"/>
      <c r="J1722" s="55" t="s">
        <v>9377</v>
      </c>
      <c r="K1722" s="55" t="s">
        <v>62</v>
      </c>
      <c r="L1722" s="57" t="str">
        <f>HYPERLINK("https://nycdoe.sharepoint.com/:w:/s/BAP/EY024vdkHoxGuTg2k4tm8ckBsD8zqmGN9f5bQJJBLkVQRg", "9 out of 10")</f>
        <v>9 out of 10</v>
      </c>
      <c r="M1722" t="s">
        <v>9378</v>
      </c>
    </row>
    <row r="1723" spans="2:13">
      <c r="B1723" s="55" t="s">
        <v>4201</v>
      </c>
      <c r="C1723" s="55" t="s">
        <v>4202</v>
      </c>
      <c r="D1723" s="55" t="s">
        <v>9379</v>
      </c>
      <c r="E1723" s="55" t="s">
        <v>4288</v>
      </c>
      <c r="F1723" s="55" t="s">
        <v>9192</v>
      </c>
      <c r="G1723" s="55" t="s">
        <v>9193</v>
      </c>
      <c r="H1723" s="55" t="s">
        <v>17</v>
      </c>
      <c r="I1723" s="55" t="s">
        <v>18</v>
      </c>
      <c r="J1723" s="55" t="s">
        <v>9380</v>
      </c>
      <c r="K1723" s="55" t="s">
        <v>20</v>
      </c>
      <c r="L1723" s="57" t="str">
        <f>HYPERLINK("https://nycdoe.sharepoint.com/:w:/s/BAP/EUcb_5l4dCBIjI1N5IWTOeEBv4FaXmDDnRZ6GZjZuB1eRw", "4 out of 10")</f>
        <v>4 out of 10</v>
      </c>
      <c r="M1723" t="s">
        <v>9381</v>
      </c>
    </row>
    <row r="1724" spans="2:13">
      <c r="B1724" s="55" t="s">
        <v>4201</v>
      </c>
      <c r="C1724" s="55" t="s">
        <v>4202</v>
      </c>
      <c r="D1724" s="55" t="s">
        <v>9379</v>
      </c>
      <c r="E1724" s="55" t="s">
        <v>4207</v>
      </c>
      <c r="F1724" s="55" t="s">
        <v>9073</v>
      </c>
      <c r="G1724" s="55" t="s">
        <v>9074</v>
      </c>
      <c r="H1724" s="55" t="s">
        <v>43</v>
      </c>
      <c r="I1724" s="55" t="s">
        <v>18</v>
      </c>
      <c r="J1724" s="55" t="s">
        <v>9380</v>
      </c>
      <c r="K1724" s="55" t="s">
        <v>20</v>
      </c>
      <c r="L1724" s="57" t="str">
        <f>HYPERLINK("https://nycdoe.sharepoint.com/:w:/s/BAP/EUcb_5l4dCBIjI1N5IWTOeEBv4FaXmDDnRZ6GZjZuB1eRw", "4 out of 10")</f>
        <v>4 out of 10</v>
      </c>
      <c r="M1724" t="s">
        <v>9381</v>
      </c>
    </row>
    <row r="1725" spans="2:13">
      <c r="B1725" s="55" t="s">
        <v>4201</v>
      </c>
      <c r="C1725" s="55" t="s">
        <v>4202</v>
      </c>
      <c r="D1725" s="55" t="s">
        <v>4425</v>
      </c>
      <c r="E1725" s="55" t="s">
        <v>4226</v>
      </c>
      <c r="F1725" s="55" t="s">
        <v>9205</v>
      </c>
      <c r="G1725" s="55" t="s">
        <v>4228</v>
      </c>
      <c r="H1725" s="55" t="s">
        <v>24</v>
      </c>
      <c r="I1725" s="55" t="s">
        <v>18</v>
      </c>
      <c r="J1725" s="55" t="s">
        <v>9382</v>
      </c>
      <c r="K1725" s="55" t="s">
        <v>62</v>
      </c>
      <c r="L1725" s="57" t="str">
        <f>HYPERLINK("https://nycdoe.sharepoint.com/:w:/s/BAP/EaFX3g29hhFFhk2CjtXo8I8Bm1yPugYcUho8Vk1-YUHNHA", "10 out of 10")</f>
        <v>10 out of 10</v>
      </c>
      <c r="M1725" t="s">
        <v>9383</v>
      </c>
    </row>
    <row r="1726" spans="2:13">
      <c r="B1726" s="55" t="s">
        <v>4201</v>
      </c>
      <c r="C1726" s="55" t="s">
        <v>4202</v>
      </c>
      <c r="D1726" s="55" t="s">
        <v>4425</v>
      </c>
      <c r="E1726" s="55" t="s">
        <v>4425</v>
      </c>
      <c r="F1726" s="55" t="s">
        <v>9384</v>
      </c>
      <c r="G1726" s="55" t="s">
        <v>9385</v>
      </c>
      <c r="H1726" s="55" t="s">
        <v>24</v>
      </c>
      <c r="I1726" s="55" t="s">
        <v>18</v>
      </c>
      <c r="J1726" s="55" t="s">
        <v>9382</v>
      </c>
      <c r="K1726" s="55" t="s">
        <v>62</v>
      </c>
      <c r="L1726" s="57" t="str">
        <f>HYPERLINK("https://nycdoe.sharepoint.com/:w:/s/BAP/EaFX3g29hhFFhk2CjtXo8I8Bm1yPugYcUho8Vk1-YUHNHA", "10 out of 10")</f>
        <v>10 out of 10</v>
      </c>
      <c r="M1726" t="s">
        <v>9383</v>
      </c>
    </row>
    <row r="1727" spans="2:13">
      <c r="B1727" s="55" t="s">
        <v>4201</v>
      </c>
      <c r="C1727" s="55" t="s">
        <v>4202</v>
      </c>
      <c r="D1727" s="55" t="s">
        <v>4429</v>
      </c>
      <c r="E1727" s="55" t="s">
        <v>4207</v>
      </c>
      <c r="F1727" s="55" t="s">
        <v>9073</v>
      </c>
      <c r="G1727" s="55" t="s">
        <v>9074</v>
      </c>
      <c r="H1727" s="55" t="s">
        <v>43</v>
      </c>
      <c r="I1727" s="55" t="s">
        <v>18</v>
      </c>
      <c r="J1727" s="55" t="s">
        <v>9321</v>
      </c>
      <c r="K1727" s="55" t="s">
        <v>20</v>
      </c>
      <c r="L1727" s="57" t="str">
        <f>HYPERLINK("https://nycdoe.sharepoint.com/:w:/s/BAP/EayjhigexGBBivbB7hLrwPMBwBbPhXa6ywvYnjkEQ-47eQ", "6 out of 10")</f>
        <v>6 out of 10</v>
      </c>
      <c r="M1727" t="s">
        <v>9386</v>
      </c>
    </row>
    <row r="1728" spans="2:13">
      <c r="B1728" s="55" t="s">
        <v>4201</v>
      </c>
      <c r="C1728" s="55" t="s">
        <v>4202</v>
      </c>
      <c r="D1728" s="55" t="s">
        <v>4429</v>
      </c>
      <c r="E1728" s="55" t="s">
        <v>4431</v>
      </c>
      <c r="F1728" s="55" t="s">
        <v>9319</v>
      </c>
      <c r="G1728" s="55" t="s">
        <v>9320</v>
      </c>
      <c r="H1728" s="55" t="s">
        <v>17</v>
      </c>
      <c r="I1728" s="55"/>
      <c r="J1728" s="55" t="s">
        <v>9321</v>
      </c>
      <c r="K1728" s="55" t="s">
        <v>20</v>
      </c>
      <c r="L1728" s="57" t="str">
        <f>HYPERLINK("https://nycdoe.sharepoint.com/:w:/s/BAP/EayjhigexGBBivbB7hLrwPMBwBbPhXa6ywvYnjkEQ-47eQ", "6 out of 10")</f>
        <v>6 out of 10</v>
      </c>
      <c r="M1728" t="s">
        <v>9386</v>
      </c>
    </row>
    <row r="1729" spans="2:13">
      <c r="B1729" s="55" t="s">
        <v>4201</v>
      </c>
      <c r="C1729" s="55" t="s">
        <v>4202</v>
      </c>
      <c r="D1729" s="55" t="s">
        <v>4429</v>
      </c>
      <c r="E1729" s="55" t="s">
        <v>4434</v>
      </c>
      <c r="F1729" s="55" t="s">
        <v>9387</v>
      </c>
      <c r="G1729" s="55" t="s">
        <v>9388</v>
      </c>
      <c r="H1729" s="55" t="s">
        <v>43</v>
      </c>
      <c r="I1729" s="55" t="s">
        <v>18</v>
      </c>
      <c r="J1729" s="55" t="s">
        <v>9321</v>
      </c>
      <c r="K1729" s="55" t="s">
        <v>20</v>
      </c>
      <c r="L1729" s="57" t="str">
        <f>HYPERLINK("https://nycdoe.sharepoint.com/:w:/s/BAP/EayjhigexGBBivbB7hLrwPMBwBbPhXa6ywvYnjkEQ-47eQ", "6 out of 10")</f>
        <v>6 out of 10</v>
      </c>
      <c r="M1729" t="s">
        <v>9386</v>
      </c>
    </row>
    <row r="1730" spans="2:13">
      <c r="B1730" s="55" t="s">
        <v>4201</v>
      </c>
      <c r="C1730" s="55" t="s">
        <v>4202</v>
      </c>
      <c r="D1730" s="55" t="s">
        <v>4429</v>
      </c>
      <c r="E1730" s="55" t="s">
        <v>9389</v>
      </c>
      <c r="F1730" s="55" t="s">
        <v>9390</v>
      </c>
      <c r="G1730" s="55" t="s">
        <v>9391</v>
      </c>
      <c r="H1730" s="55" t="s">
        <v>56</v>
      </c>
      <c r="I1730" s="55"/>
      <c r="J1730" s="55" t="s">
        <v>9321</v>
      </c>
      <c r="K1730" s="55" t="s">
        <v>20</v>
      </c>
      <c r="L1730" s="57" t="str">
        <f>HYPERLINK("https://nycdoe.sharepoint.com/:w:/s/BAP/EayjhigexGBBivbB7hLrwPMBwBbPhXa6ywvYnjkEQ-47eQ", "6 out of 10")</f>
        <v>6 out of 10</v>
      </c>
      <c r="M1730" t="s">
        <v>9386</v>
      </c>
    </row>
    <row r="1731" spans="2:13">
      <c r="B1731" s="55" t="s">
        <v>4201</v>
      </c>
      <c r="C1731" s="55" t="s">
        <v>4202</v>
      </c>
      <c r="D1731" s="55" t="s">
        <v>9392</v>
      </c>
      <c r="E1731" s="55" t="s">
        <v>4226</v>
      </c>
      <c r="F1731" s="55" t="s">
        <v>9205</v>
      </c>
      <c r="G1731" s="55" t="s">
        <v>4228</v>
      </c>
      <c r="H1731" s="55" t="s">
        <v>24</v>
      </c>
      <c r="I1731" s="55" t="s">
        <v>18</v>
      </c>
      <c r="J1731" s="55" t="s">
        <v>9206</v>
      </c>
      <c r="K1731" s="55" t="s">
        <v>62</v>
      </c>
      <c r="L1731" s="67" t="str">
        <f>HYPERLINK("https://nycdoe.sharepoint.com/:w:/s/BAP/Eek5tSPBgzdFgE4CTiF3rjkBmerVUOigVFl3VD1YWaHNFA", "9 out of 10")</f>
        <v>9 out of 10</v>
      </c>
      <c r="M1731" t="s">
        <v>9393</v>
      </c>
    </row>
    <row r="1732" spans="2:13">
      <c r="K1732" s="49"/>
      <c r="L1732" s="58"/>
      <c r="M1732" s="58"/>
    </row>
    <row r="1733" spans="2:13">
      <c r="B1733" s="54"/>
      <c r="C1733" s="53"/>
    </row>
  </sheetData>
  <sheetProtection algorithmName="SHA-512" hashValue="xjMkpcw/S02dJoNbKuv9XmrTq1Hl+m9Ii4IssKb1UzpNTf67bSgZk6xHoOb9k0xwvanxG37TD1ndX31nLAhHow==" saltValue="IcrLL6fyMMhD+vYLJDvfHA==" spinCount="100000" sheet="1" objects="1" scenarios="1" selectLockedCells="1" autoFilter="0"/>
  <phoneticPr fontId="11"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B609F-5A79-4C6E-9865-B8E970DAF38D}">
  <sheetPr codeName="Sheet10"/>
  <dimension ref="C4:C5"/>
  <sheetViews>
    <sheetView workbookViewId="0">
      <selection activeCell="F13" sqref="F13"/>
    </sheetView>
  </sheetViews>
  <sheetFormatPr defaultRowHeight="15"/>
  <cols>
    <col min="3" max="3" width="19.42578125" bestFit="1" customWidth="1"/>
  </cols>
  <sheetData>
    <row r="4" spans="3:3">
      <c r="C4" t="s">
        <v>9394</v>
      </c>
    </row>
    <row r="5" spans="3:3">
      <c r="C5" t="s">
        <v>9395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7846-A11C-49E3-B391-F08F7537E8E2}">
  <sheetPr codeName="Sheet4"/>
  <dimension ref="A1:T2321"/>
  <sheetViews>
    <sheetView workbookViewId="0"/>
  </sheetViews>
  <sheetFormatPr defaultColWidth="8.85546875" defaultRowHeight="15"/>
  <cols>
    <col min="1" max="1" width="15.42578125" customWidth="1"/>
    <col min="2" max="2" width="24.7109375" customWidth="1"/>
    <col min="3" max="3" width="10.28515625" customWidth="1"/>
    <col min="4" max="4" width="20.7109375" customWidth="1"/>
    <col min="5" max="5" width="16.140625" customWidth="1"/>
    <col min="6" max="6" width="31.140625" customWidth="1"/>
    <col min="7" max="7" width="25.7109375" customWidth="1"/>
    <col min="9" max="9" width="29.7109375" customWidth="1"/>
    <col min="10" max="10" width="26.42578125" customWidth="1"/>
    <col min="11" max="11" width="24.42578125" customWidth="1"/>
    <col min="12" max="12" width="12.7109375" customWidth="1"/>
    <col min="14" max="14" width="28.7109375" customWidth="1"/>
    <col min="15" max="15" width="11.42578125" customWidth="1"/>
    <col min="16" max="16" width="13.7109375" customWidth="1"/>
    <col min="17" max="17" width="27.140625" customWidth="1"/>
    <col min="18" max="18" width="29.42578125" customWidth="1"/>
    <col min="19" max="19" width="15.42578125" customWidth="1"/>
    <col min="20" max="20" width="16.28515625" customWidth="1"/>
  </cols>
  <sheetData>
    <row r="1" spans="1:20">
      <c r="A1" t="s">
        <v>2</v>
      </c>
      <c r="B1" t="s">
        <v>9</v>
      </c>
      <c r="C1" t="s">
        <v>8</v>
      </c>
      <c r="D1" t="s">
        <v>10</v>
      </c>
      <c r="E1" t="s">
        <v>9396</v>
      </c>
      <c r="F1" t="s">
        <v>9397</v>
      </c>
      <c r="G1" t="s">
        <v>9398</v>
      </c>
      <c r="H1" t="s">
        <v>4438</v>
      </c>
      <c r="I1" t="s">
        <v>9399</v>
      </c>
      <c r="J1" t="s">
        <v>0</v>
      </c>
      <c r="K1" t="s">
        <v>9400</v>
      </c>
      <c r="L1" t="s">
        <v>9401</v>
      </c>
      <c r="M1" t="s">
        <v>9402</v>
      </c>
      <c r="N1" t="s">
        <v>9403</v>
      </c>
      <c r="O1" t="s">
        <v>9404</v>
      </c>
      <c r="P1" t="s">
        <v>9405</v>
      </c>
      <c r="Q1" t="s">
        <v>9406</v>
      </c>
      <c r="R1" t="s">
        <v>9407</v>
      </c>
      <c r="S1" t="s">
        <v>3</v>
      </c>
      <c r="T1" t="s">
        <v>9408</v>
      </c>
    </row>
    <row r="2" spans="1:20">
      <c r="A2" t="s">
        <v>5822</v>
      </c>
      <c r="B2" t="s">
        <v>9409</v>
      </c>
      <c r="C2" t="s">
        <v>5825</v>
      </c>
      <c r="D2" t="s">
        <v>9410</v>
      </c>
      <c r="E2" t="s">
        <v>9411</v>
      </c>
      <c r="F2" t="s">
        <v>9412</v>
      </c>
      <c r="G2" t="s">
        <v>9413</v>
      </c>
      <c r="H2" t="s">
        <v>9414</v>
      </c>
      <c r="I2" t="s">
        <v>9415</v>
      </c>
      <c r="J2" t="s">
        <v>1246</v>
      </c>
      <c r="K2" t="s">
        <v>9416</v>
      </c>
      <c r="L2" t="s">
        <v>9417</v>
      </c>
      <c r="M2" t="s">
        <v>9418</v>
      </c>
      <c r="N2" t="s">
        <v>9419</v>
      </c>
      <c r="O2" t="s">
        <v>5823</v>
      </c>
      <c r="P2" t="s">
        <v>9420</v>
      </c>
      <c r="Q2" t="s">
        <v>9421</v>
      </c>
      <c r="R2" t="s">
        <v>17</v>
      </c>
      <c r="S2" t="s">
        <v>5822</v>
      </c>
      <c r="T2" t="s">
        <v>9422</v>
      </c>
    </row>
    <row r="3" spans="1:20">
      <c r="A3" t="s">
        <v>1443</v>
      </c>
      <c r="B3" t="s">
        <v>62</v>
      </c>
      <c r="C3" t="s">
        <v>1446</v>
      </c>
      <c r="D3" t="s">
        <v>445</v>
      </c>
      <c r="E3" t="s">
        <v>9423</v>
      </c>
      <c r="F3" t="s">
        <v>9412</v>
      </c>
      <c r="G3" t="s">
        <v>9413</v>
      </c>
      <c r="H3" t="s">
        <v>1044</v>
      </c>
      <c r="I3" t="s">
        <v>9424</v>
      </c>
      <c r="J3" t="s">
        <v>1442</v>
      </c>
      <c r="K3" t="s">
        <v>9416</v>
      </c>
      <c r="L3" t="s">
        <v>9417</v>
      </c>
      <c r="M3" t="s">
        <v>9425</v>
      </c>
      <c r="N3" t="s">
        <v>9426</v>
      </c>
      <c r="O3" t="s">
        <v>5593</v>
      </c>
      <c r="P3" t="s">
        <v>9427</v>
      </c>
      <c r="Q3" t="s">
        <v>9421</v>
      </c>
      <c r="R3" t="s">
        <v>43</v>
      </c>
      <c r="S3" t="s">
        <v>1178</v>
      </c>
      <c r="T3" t="s">
        <v>1180</v>
      </c>
    </row>
    <row r="4" spans="1:20">
      <c r="A4" t="s">
        <v>1443</v>
      </c>
      <c r="B4" t="s">
        <v>62</v>
      </c>
      <c r="C4" t="s">
        <v>1446</v>
      </c>
      <c r="D4" t="s">
        <v>445</v>
      </c>
      <c r="E4" t="s">
        <v>9423</v>
      </c>
      <c r="F4" t="s">
        <v>9412</v>
      </c>
      <c r="G4" t="s">
        <v>9413</v>
      </c>
      <c r="H4" t="s">
        <v>1044</v>
      </c>
      <c r="I4" t="s">
        <v>9424</v>
      </c>
      <c r="J4" t="s">
        <v>1442</v>
      </c>
      <c r="K4" t="s">
        <v>9416</v>
      </c>
      <c r="L4" t="s">
        <v>9417</v>
      </c>
      <c r="M4" t="s">
        <v>9425</v>
      </c>
      <c r="N4" t="s">
        <v>9428</v>
      </c>
      <c r="O4" t="s">
        <v>5902</v>
      </c>
      <c r="P4" t="s">
        <v>9429</v>
      </c>
      <c r="Q4" t="s">
        <v>9421</v>
      </c>
      <c r="R4" t="s">
        <v>52</v>
      </c>
      <c r="S4" t="s">
        <v>1443</v>
      </c>
      <c r="T4" t="s">
        <v>1445</v>
      </c>
    </row>
    <row r="5" spans="1:20">
      <c r="A5" t="s">
        <v>1443</v>
      </c>
      <c r="B5" t="s">
        <v>62</v>
      </c>
      <c r="C5" t="s">
        <v>1446</v>
      </c>
      <c r="D5" t="s">
        <v>445</v>
      </c>
      <c r="E5" t="s">
        <v>9423</v>
      </c>
      <c r="F5" t="s">
        <v>9412</v>
      </c>
      <c r="G5" t="s">
        <v>9413</v>
      </c>
      <c r="H5" t="s">
        <v>1044</v>
      </c>
      <c r="I5" t="s">
        <v>9424</v>
      </c>
      <c r="J5" t="s">
        <v>1442</v>
      </c>
      <c r="K5" t="s">
        <v>9416</v>
      </c>
      <c r="L5" t="s">
        <v>9417</v>
      </c>
      <c r="M5" t="s">
        <v>9425</v>
      </c>
      <c r="N5" t="s">
        <v>9430</v>
      </c>
      <c r="O5" t="s">
        <v>5906</v>
      </c>
      <c r="P5" t="s">
        <v>9431</v>
      </c>
      <c r="Q5" t="s">
        <v>9421</v>
      </c>
      <c r="R5" t="s">
        <v>24</v>
      </c>
      <c r="S5" t="s">
        <v>1447</v>
      </c>
      <c r="T5" t="s">
        <v>1449</v>
      </c>
    </row>
    <row r="6" spans="1:20">
      <c r="A6" t="s">
        <v>9432</v>
      </c>
      <c r="B6" t="s">
        <v>9409</v>
      </c>
      <c r="C6" t="s">
        <v>9433</v>
      </c>
      <c r="D6" t="s">
        <v>9410</v>
      </c>
      <c r="E6" t="s">
        <v>9434</v>
      </c>
      <c r="F6" t="s">
        <v>9412</v>
      </c>
      <c r="G6" t="s">
        <v>9413</v>
      </c>
      <c r="H6" t="s">
        <v>9414</v>
      </c>
      <c r="I6" t="s">
        <v>9435</v>
      </c>
      <c r="J6" t="s">
        <v>1043</v>
      </c>
      <c r="K6" t="s">
        <v>9416</v>
      </c>
      <c r="L6" t="s">
        <v>9417</v>
      </c>
      <c r="M6" t="s">
        <v>9436</v>
      </c>
      <c r="N6" t="s">
        <v>9437</v>
      </c>
      <c r="O6" t="s">
        <v>9438</v>
      </c>
      <c r="P6" t="s">
        <v>9420</v>
      </c>
      <c r="Q6" t="s">
        <v>9421</v>
      </c>
      <c r="R6" t="s">
        <v>17</v>
      </c>
      <c r="S6" t="s">
        <v>9432</v>
      </c>
      <c r="T6" t="s">
        <v>9439</v>
      </c>
    </row>
    <row r="7" spans="1:20">
      <c r="A7" t="s">
        <v>5839</v>
      </c>
      <c r="B7" t="s">
        <v>9409</v>
      </c>
      <c r="C7" t="s">
        <v>5842</v>
      </c>
      <c r="D7" t="s">
        <v>9410</v>
      </c>
      <c r="E7" t="s">
        <v>9440</v>
      </c>
      <c r="F7" t="s">
        <v>9412</v>
      </c>
      <c r="G7" t="s">
        <v>9413</v>
      </c>
      <c r="H7" t="s">
        <v>9414</v>
      </c>
      <c r="I7" t="s">
        <v>9441</v>
      </c>
      <c r="J7" t="s">
        <v>1375</v>
      </c>
      <c r="K7" t="s">
        <v>9416</v>
      </c>
      <c r="L7" t="s">
        <v>9417</v>
      </c>
      <c r="M7" t="s">
        <v>9442</v>
      </c>
      <c r="N7" t="s">
        <v>9443</v>
      </c>
      <c r="O7" t="s">
        <v>5840</v>
      </c>
      <c r="P7" t="s">
        <v>9420</v>
      </c>
      <c r="Q7" t="s">
        <v>9421</v>
      </c>
      <c r="R7" t="s">
        <v>17</v>
      </c>
      <c r="S7" t="s">
        <v>5839</v>
      </c>
      <c r="T7" t="s">
        <v>9444</v>
      </c>
    </row>
    <row r="8" spans="1:20">
      <c r="A8" t="s">
        <v>5839</v>
      </c>
      <c r="B8" t="s">
        <v>9409</v>
      </c>
      <c r="C8" t="s">
        <v>5842</v>
      </c>
      <c r="D8" t="s">
        <v>9410</v>
      </c>
      <c r="E8" t="s">
        <v>9440</v>
      </c>
      <c r="F8" t="s">
        <v>9412</v>
      </c>
      <c r="G8" t="s">
        <v>9413</v>
      </c>
      <c r="H8" t="s">
        <v>9414</v>
      </c>
      <c r="I8" t="s">
        <v>9441</v>
      </c>
      <c r="J8" t="s">
        <v>1375</v>
      </c>
      <c r="K8" t="s">
        <v>9445</v>
      </c>
      <c r="L8" t="s">
        <v>9417</v>
      </c>
      <c r="M8" t="s">
        <v>9442</v>
      </c>
      <c r="N8" t="s">
        <v>9426</v>
      </c>
      <c r="O8" t="s">
        <v>9446</v>
      </c>
      <c r="P8" t="s">
        <v>9447</v>
      </c>
      <c r="Q8" t="s">
        <v>9421</v>
      </c>
      <c r="R8" t="s">
        <v>24</v>
      </c>
      <c r="S8" t="s">
        <v>1078</v>
      </c>
      <c r="T8" t="s">
        <v>1080</v>
      </c>
    </row>
    <row r="9" spans="1:20">
      <c r="A9" t="s">
        <v>1450</v>
      </c>
      <c r="B9" t="s">
        <v>62</v>
      </c>
      <c r="C9" t="s">
        <v>5910</v>
      </c>
      <c r="D9" t="s">
        <v>9448</v>
      </c>
      <c r="E9" t="s">
        <v>9449</v>
      </c>
      <c r="F9" t="s">
        <v>9412</v>
      </c>
      <c r="G9" t="s">
        <v>9413</v>
      </c>
      <c r="H9" t="s">
        <v>9414</v>
      </c>
      <c r="I9" t="s">
        <v>9450</v>
      </c>
      <c r="J9" t="s">
        <v>1442</v>
      </c>
      <c r="K9" t="s">
        <v>9416</v>
      </c>
      <c r="L9" t="s">
        <v>9417</v>
      </c>
      <c r="M9" t="s">
        <v>9425</v>
      </c>
      <c r="N9" t="s">
        <v>9428</v>
      </c>
      <c r="O9" t="s">
        <v>5908</v>
      </c>
      <c r="P9" t="s">
        <v>9420</v>
      </c>
      <c r="Q9" t="s">
        <v>9421</v>
      </c>
      <c r="R9" t="s">
        <v>17</v>
      </c>
      <c r="S9" t="s">
        <v>1450</v>
      </c>
      <c r="T9" t="s">
        <v>1452</v>
      </c>
    </row>
    <row r="10" spans="1:20">
      <c r="A10" t="s">
        <v>1684</v>
      </c>
      <c r="B10" t="s">
        <v>62</v>
      </c>
      <c r="C10" t="s">
        <v>6198</v>
      </c>
      <c r="D10" t="s">
        <v>445</v>
      </c>
      <c r="E10" t="s">
        <v>9451</v>
      </c>
      <c r="F10" t="s">
        <v>9412</v>
      </c>
      <c r="G10" t="s">
        <v>9413</v>
      </c>
      <c r="H10" t="s">
        <v>9414</v>
      </c>
      <c r="I10" t="s">
        <v>9452</v>
      </c>
      <c r="J10" t="s">
        <v>1683</v>
      </c>
      <c r="K10" t="s">
        <v>9416</v>
      </c>
      <c r="L10" t="s">
        <v>9417</v>
      </c>
      <c r="M10" t="s">
        <v>9453</v>
      </c>
      <c r="N10" t="s">
        <v>9454</v>
      </c>
      <c r="O10" t="s">
        <v>6196</v>
      </c>
      <c r="P10" t="s">
        <v>9420</v>
      </c>
      <c r="Q10" t="s">
        <v>9421</v>
      </c>
      <c r="R10" t="s">
        <v>17</v>
      </c>
      <c r="S10" t="s">
        <v>1684</v>
      </c>
      <c r="T10" t="s">
        <v>1687</v>
      </c>
    </row>
    <row r="11" spans="1:20">
      <c r="A11" t="s">
        <v>1684</v>
      </c>
      <c r="B11" t="s">
        <v>62</v>
      </c>
      <c r="C11" t="s">
        <v>6198</v>
      </c>
      <c r="D11" t="s">
        <v>445</v>
      </c>
      <c r="E11" t="s">
        <v>9451</v>
      </c>
      <c r="F11" t="s">
        <v>9412</v>
      </c>
      <c r="G11" t="s">
        <v>9413</v>
      </c>
      <c r="H11" t="s">
        <v>9414</v>
      </c>
      <c r="I11" t="s">
        <v>9452</v>
      </c>
      <c r="J11" t="s">
        <v>1683</v>
      </c>
      <c r="K11" t="s">
        <v>9445</v>
      </c>
      <c r="L11" t="s">
        <v>9417</v>
      </c>
      <c r="M11" t="s">
        <v>9453</v>
      </c>
      <c r="N11" t="s">
        <v>9426</v>
      </c>
      <c r="O11" t="s">
        <v>9446</v>
      </c>
      <c r="P11" t="s">
        <v>9420</v>
      </c>
      <c r="Q11" t="s">
        <v>9421</v>
      </c>
      <c r="R11" t="s">
        <v>17</v>
      </c>
      <c r="S11" t="s">
        <v>1391</v>
      </c>
      <c r="T11" t="s">
        <v>1393</v>
      </c>
    </row>
    <row r="12" spans="1:20">
      <c r="A12" t="s">
        <v>1045</v>
      </c>
      <c r="B12" t="s">
        <v>20</v>
      </c>
      <c r="C12" t="s">
        <v>5434</v>
      </c>
      <c r="D12" t="s">
        <v>9455</v>
      </c>
      <c r="E12" t="s">
        <v>9456</v>
      </c>
      <c r="F12" t="s">
        <v>9412</v>
      </c>
      <c r="G12" t="s">
        <v>9413</v>
      </c>
      <c r="H12" t="s">
        <v>9414</v>
      </c>
      <c r="I12" t="s">
        <v>9457</v>
      </c>
      <c r="J12" t="s">
        <v>1043</v>
      </c>
      <c r="K12" t="s">
        <v>9416</v>
      </c>
      <c r="L12" t="s">
        <v>9417</v>
      </c>
      <c r="M12" t="s">
        <v>9458</v>
      </c>
      <c r="N12" t="s">
        <v>9437</v>
      </c>
      <c r="O12" t="s">
        <v>5432</v>
      </c>
      <c r="P12" t="s">
        <v>9459</v>
      </c>
      <c r="Q12" t="s">
        <v>9421</v>
      </c>
      <c r="R12" t="s">
        <v>17</v>
      </c>
      <c r="S12" t="s">
        <v>1045</v>
      </c>
      <c r="T12" t="s">
        <v>1047</v>
      </c>
    </row>
    <row r="13" spans="1:20">
      <c r="A13" t="s">
        <v>1049</v>
      </c>
      <c r="B13" t="s">
        <v>20</v>
      </c>
      <c r="C13" t="s">
        <v>5438</v>
      </c>
      <c r="D13" t="s">
        <v>9460</v>
      </c>
      <c r="E13" t="s">
        <v>9461</v>
      </c>
      <c r="F13" t="s">
        <v>9412</v>
      </c>
      <c r="G13" t="s">
        <v>9413</v>
      </c>
      <c r="H13" t="s">
        <v>9414</v>
      </c>
      <c r="I13" t="s">
        <v>9462</v>
      </c>
      <c r="J13" t="s">
        <v>1043</v>
      </c>
      <c r="K13" t="s">
        <v>9416</v>
      </c>
      <c r="L13" t="s">
        <v>9417</v>
      </c>
      <c r="M13" t="s">
        <v>9463</v>
      </c>
      <c r="N13" t="s">
        <v>9437</v>
      </c>
      <c r="O13" t="s">
        <v>5436</v>
      </c>
      <c r="P13" t="s">
        <v>9420</v>
      </c>
      <c r="Q13" t="s">
        <v>9421</v>
      </c>
      <c r="R13" t="s">
        <v>17</v>
      </c>
      <c r="S13" t="s">
        <v>1049</v>
      </c>
      <c r="T13" t="s">
        <v>1051</v>
      </c>
    </row>
    <row r="14" spans="1:20">
      <c r="A14" t="s">
        <v>1247</v>
      </c>
      <c r="B14" t="s">
        <v>20</v>
      </c>
      <c r="C14" t="s">
        <v>5674</v>
      </c>
      <c r="D14" t="s">
        <v>9464</v>
      </c>
      <c r="E14" t="s">
        <v>9465</v>
      </c>
      <c r="F14" t="s">
        <v>9412</v>
      </c>
      <c r="G14" t="s">
        <v>9413</v>
      </c>
      <c r="H14" t="s">
        <v>9414</v>
      </c>
      <c r="I14" t="s">
        <v>9466</v>
      </c>
      <c r="J14" t="s">
        <v>1246</v>
      </c>
      <c r="K14" t="s">
        <v>9416</v>
      </c>
      <c r="L14" t="s">
        <v>9417</v>
      </c>
      <c r="M14" t="s">
        <v>9467</v>
      </c>
      <c r="N14" t="s">
        <v>9419</v>
      </c>
      <c r="O14" t="s">
        <v>5672</v>
      </c>
      <c r="P14" t="s">
        <v>9459</v>
      </c>
      <c r="Q14" t="s">
        <v>9421</v>
      </c>
      <c r="R14" t="s">
        <v>17</v>
      </c>
      <c r="S14" t="s">
        <v>1247</v>
      </c>
      <c r="T14" t="s">
        <v>1249</v>
      </c>
    </row>
    <row r="15" spans="1:20">
      <c r="A15" t="s">
        <v>1053</v>
      </c>
      <c r="B15" t="s">
        <v>20</v>
      </c>
      <c r="C15" t="s">
        <v>5442</v>
      </c>
      <c r="D15" t="s">
        <v>9460</v>
      </c>
      <c r="E15" t="s">
        <v>9468</v>
      </c>
      <c r="F15" t="s">
        <v>9412</v>
      </c>
      <c r="G15" t="s">
        <v>9413</v>
      </c>
      <c r="H15" t="s">
        <v>9414</v>
      </c>
      <c r="I15" t="s">
        <v>9469</v>
      </c>
      <c r="J15" t="s">
        <v>1043</v>
      </c>
      <c r="K15" t="s">
        <v>9416</v>
      </c>
      <c r="L15" t="s">
        <v>9417</v>
      </c>
      <c r="M15" t="s">
        <v>9463</v>
      </c>
      <c r="N15" t="s">
        <v>9437</v>
      </c>
      <c r="O15" t="s">
        <v>5440</v>
      </c>
      <c r="P15" t="s">
        <v>9420</v>
      </c>
      <c r="Q15" t="s">
        <v>9421</v>
      </c>
      <c r="R15" t="s">
        <v>17</v>
      </c>
      <c r="S15" t="s">
        <v>1053</v>
      </c>
      <c r="T15" t="s">
        <v>1055</v>
      </c>
    </row>
    <row r="16" spans="1:20">
      <c r="A16" t="s">
        <v>2099</v>
      </c>
      <c r="B16" t="s">
        <v>62</v>
      </c>
      <c r="C16" t="s">
        <v>6738</v>
      </c>
      <c r="D16" t="s">
        <v>445</v>
      </c>
      <c r="E16" t="s">
        <v>9470</v>
      </c>
      <c r="F16" t="s">
        <v>9412</v>
      </c>
      <c r="G16" t="s">
        <v>9413</v>
      </c>
      <c r="H16" t="s">
        <v>9414</v>
      </c>
      <c r="I16" t="s">
        <v>9450</v>
      </c>
      <c r="J16" t="s">
        <v>2098</v>
      </c>
      <c r="K16" t="s">
        <v>9416</v>
      </c>
      <c r="L16" t="s">
        <v>9417</v>
      </c>
      <c r="M16" t="s">
        <v>9442</v>
      </c>
      <c r="N16" t="s">
        <v>9428</v>
      </c>
      <c r="O16" t="s">
        <v>6740</v>
      </c>
      <c r="P16" t="s">
        <v>9429</v>
      </c>
      <c r="Q16" t="s">
        <v>9421</v>
      </c>
      <c r="R16" t="s">
        <v>52</v>
      </c>
      <c r="S16" t="s">
        <v>2103</v>
      </c>
      <c r="T16" t="s">
        <v>2105</v>
      </c>
    </row>
    <row r="17" spans="1:20">
      <c r="A17" t="s">
        <v>2099</v>
      </c>
      <c r="B17" t="s">
        <v>62</v>
      </c>
      <c r="C17" t="s">
        <v>6738</v>
      </c>
      <c r="D17" t="s">
        <v>445</v>
      </c>
      <c r="E17" t="s">
        <v>9470</v>
      </c>
      <c r="F17" t="s">
        <v>9412</v>
      </c>
      <c r="G17" t="s">
        <v>9413</v>
      </c>
      <c r="H17" t="s">
        <v>9414</v>
      </c>
      <c r="I17" t="s">
        <v>9450</v>
      </c>
      <c r="J17" t="s">
        <v>2098</v>
      </c>
      <c r="K17" t="s">
        <v>9416</v>
      </c>
      <c r="L17" t="s">
        <v>9417</v>
      </c>
      <c r="M17" t="s">
        <v>9442</v>
      </c>
      <c r="N17" t="s">
        <v>9428</v>
      </c>
      <c r="O17" t="s">
        <v>6736</v>
      </c>
      <c r="P17" t="s">
        <v>9420</v>
      </c>
      <c r="Q17" t="s">
        <v>9421</v>
      </c>
      <c r="R17" t="s">
        <v>17</v>
      </c>
      <c r="S17" t="s">
        <v>2099</v>
      </c>
      <c r="T17" t="s">
        <v>2101</v>
      </c>
    </row>
    <row r="18" spans="1:20">
      <c r="A18" t="s">
        <v>1688</v>
      </c>
      <c r="B18" t="s">
        <v>20</v>
      </c>
      <c r="C18" t="s">
        <v>6202</v>
      </c>
      <c r="D18" t="s">
        <v>9460</v>
      </c>
      <c r="E18" t="s">
        <v>9471</v>
      </c>
      <c r="F18" t="s">
        <v>9412</v>
      </c>
      <c r="G18" t="s">
        <v>9413</v>
      </c>
      <c r="H18" t="s">
        <v>9414</v>
      </c>
      <c r="I18" t="s">
        <v>9472</v>
      </c>
      <c r="J18" t="s">
        <v>1683</v>
      </c>
      <c r="K18" t="s">
        <v>9416</v>
      </c>
      <c r="L18" t="s">
        <v>9417</v>
      </c>
      <c r="M18" t="s">
        <v>9473</v>
      </c>
      <c r="N18" t="s">
        <v>9430</v>
      </c>
      <c r="O18" t="s">
        <v>6204</v>
      </c>
      <c r="P18" t="s">
        <v>9474</v>
      </c>
      <c r="Q18" t="s">
        <v>9421</v>
      </c>
      <c r="R18" t="s">
        <v>43</v>
      </c>
      <c r="S18" t="s">
        <v>1692</v>
      </c>
      <c r="T18" t="s">
        <v>1694</v>
      </c>
    </row>
    <row r="19" spans="1:20">
      <c r="A19" t="s">
        <v>1688</v>
      </c>
      <c r="B19" t="s">
        <v>20</v>
      </c>
      <c r="C19" t="s">
        <v>6202</v>
      </c>
      <c r="D19" t="s">
        <v>9460</v>
      </c>
      <c r="E19" t="s">
        <v>9471</v>
      </c>
      <c r="F19" t="s">
        <v>9412</v>
      </c>
      <c r="G19" t="s">
        <v>9413</v>
      </c>
      <c r="H19" t="s">
        <v>9414</v>
      </c>
      <c r="I19" t="s">
        <v>9472</v>
      </c>
      <c r="J19" t="s">
        <v>1683</v>
      </c>
      <c r="K19" t="s">
        <v>9416</v>
      </c>
      <c r="L19" t="s">
        <v>9417</v>
      </c>
      <c r="M19" t="s">
        <v>9473</v>
      </c>
      <c r="N19" t="s">
        <v>9454</v>
      </c>
      <c r="O19" t="s">
        <v>6200</v>
      </c>
      <c r="P19" t="s">
        <v>9420</v>
      </c>
      <c r="Q19" t="s">
        <v>9421</v>
      </c>
      <c r="R19" t="s">
        <v>17</v>
      </c>
      <c r="S19" t="s">
        <v>1688</v>
      </c>
      <c r="T19" t="s">
        <v>1690</v>
      </c>
    </row>
    <row r="20" spans="1:20">
      <c r="A20" t="s">
        <v>2027</v>
      </c>
      <c r="B20" t="s">
        <v>20</v>
      </c>
      <c r="C20" t="s">
        <v>6630</v>
      </c>
      <c r="D20" t="s">
        <v>9475</v>
      </c>
      <c r="E20" t="s">
        <v>9476</v>
      </c>
      <c r="F20" t="s">
        <v>9412</v>
      </c>
      <c r="G20" t="s">
        <v>9413</v>
      </c>
      <c r="H20" t="s">
        <v>9414</v>
      </c>
      <c r="I20" t="s">
        <v>9477</v>
      </c>
      <c r="J20" t="s">
        <v>2026</v>
      </c>
      <c r="K20" t="s">
        <v>9445</v>
      </c>
      <c r="L20" t="s">
        <v>9417</v>
      </c>
      <c r="M20" t="s">
        <v>9478</v>
      </c>
      <c r="N20" t="s">
        <v>9426</v>
      </c>
      <c r="O20" t="s">
        <v>9446</v>
      </c>
      <c r="P20" t="s">
        <v>9479</v>
      </c>
      <c r="Q20" t="s">
        <v>9421</v>
      </c>
      <c r="R20" t="s">
        <v>43</v>
      </c>
      <c r="S20" t="s">
        <v>1594</v>
      </c>
      <c r="T20" t="s">
        <v>1596</v>
      </c>
    </row>
    <row r="21" spans="1:20">
      <c r="A21" t="s">
        <v>2027</v>
      </c>
      <c r="B21" t="s">
        <v>20</v>
      </c>
      <c r="C21" t="s">
        <v>6630</v>
      </c>
      <c r="D21" t="s">
        <v>9475</v>
      </c>
      <c r="E21" t="s">
        <v>9476</v>
      </c>
      <c r="F21" t="s">
        <v>9412</v>
      </c>
      <c r="G21" t="s">
        <v>9413</v>
      </c>
      <c r="H21" t="s">
        <v>9414</v>
      </c>
      <c r="I21" t="s">
        <v>9477</v>
      </c>
      <c r="J21" t="s">
        <v>2026</v>
      </c>
      <c r="K21" t="s">
        <v>9416</v>
      </c>
      <c r="L21" t="s">
        <v>9417</v>
      </c>
      <c r="M21" t="s">
        <v>9478</v>
      </c>
      <c r="N21" t="s">
        <v>9480</v>
      </c>
      <c r="O21" t="s">
        <v>6628</v>
      </c>
      <c r="P21" t="s">
        <v>9429</v>
      </c>
      <c r="Q21" t="s">
        <v>9421</v>
      </c>
      <c r="R21" t="s">
        <v>52</v>
      </c>
      <c r="S21" t="s">
        <v>2027</v>
      </c>
      <c r="T21" t="s">
        <v>2029</v>
      </c>
    </row>
    <row r="22" spans="1:20">
      <c r="A22" t="s">
        <v>5676</v>
      </c>
      <c r="B22" t="s">
        <v>9409</v>
      </c>
      <c r="C22" t="s">
        <v>5679</v>
      </c>
      <c r="D22" t="s">
        <v>9410</v>
      </c>
      <c r="E22" t="s">
        <v>9481</v>
      </c>
      <c r="F22" t="s">
        <v>9412</v>
      </c>
      <c r="G22" t="s">
        <v>9413</v>
      </c>
      <c r="H22" t="s">
        <v>9414</v>
      </c>
      <c r="I22" t="s">
        <v>9482</v>
      </c>
      <c r="J22" t="s">
        <v>1246</v>
      </c>
      <c r="K22" t="s">
        <v>9416</v>
      </c>
      <c r="L22" t="s">
        <v>9417</v>
      </c>
      <c r="M22" t="s">
        <v>9483</v>
      </c>
      <c r="N22" t="s">
        <v>9419</v>
      </c>
      <c r="O22" t="s">
        <v>5677</v>
      </c>
      <c r="P22" t="s">
        <v>9420</v>
      </c>
      <c r="Q22" t="s">
        <v>9421</v>
      </c>
      <c r="R22" t="s">
        <v>17</v>
      </c>
      <c r="S22" t="s">
        <v>5676</v>
      </c>
      <c r="T22" t="s">
        <v>9484</v>
      </c>
    </row>
    <row r="23" spans="1:20">
      <c r="A23" t="s">
        <v>5557</v>
      </c>
      <c r="B23" t="s">
        <v>20</v>
      </c>
      <c r="C23" t="s">
        <v>5560</v>
      </c>
      <c r="D23" t="s">
        <v>9464</v>
      </c>
      <c r="E23" t="s">
        <v>9485</v>
      </c>
      <c r="F23" t="s">
        <v>9412</v>
      </c>
      <c r="G23" t="s">
        <v>9413</v>
      </c>
      <c r="H23" t="s">
        <v>9414</v>
      </c>
      <c r="I23" t="s">
        <v>9486</v>
      </c>
      <c r="J23" t="s">
        <v>1155</v>
      </c>
      <c r="K23" t="s">
        <v>9416</v>
      </c>
      <c r="L23" t="s">
        <v>9417</v>
      </c>
      <c r="M23" t="s">
        <v>9487</v>
      </c>
      <c r="N23" t="s">
        <v>9488</v>
      </c>
      <c r="O23" t="s">
        <v>5558</v>
      </c>
      <c r="P23" t="s">
        <v>9420</v>
      </c>
      <c r="Q23" t="s">
        <v>9421</v>
      </c>
      <c r="R23" t="s">
        <v>17</v>
      </c>
      <c r="S23" t="s">
        <v>5557</v>
      </c>
      <c r="T23" t="s">
        <v>9489</v>
      </c>
    </row>
    <row r="24" spans="1:20">
      <c r="A24" t="s">
        <v>5557</v>
      </c>
      <c r="B24" t="s">
        <v>20</v>
      </c>
      <c r="C24" t="s">
        <v>5560</v>
      </c>
      <c r="D24" t="s">
        <v>9464</v>
      </c>
      <c r="E24" t="s">
        <v>9485</v>
      </c>
      <c r="F24" t="s">
        <v>9412</v>
      </c>
      <c r="G24" t="s">
        <v>9413</v>
      </c>
      <c r="H24" t="s">
        <v>9414</v>
      </c>
      <c r="I24" t="s">
        <v>9486</v>
      </c>
      <c r="J24" t="s">
        <v>1155</v>
      </c>
      <c r="K24" t="s">
        <v>9416</v>
      </c>
      <c r="L24" t="s">
        <v>9417</v>
      </c>
      <c r="M24" t="s">
        <v>9487</v>
      </c>
      <c r="N24" t="s">
        <v>9430</v>
      </c>
      <c r="O24" t="s">
        <v>5563</v>
      </c>
      <c r="P24" t="s">
        <v>9490</v>
      </c>
      <c r="Q24" t="s">
        <v>9421</v>
      </c>
      <c r="R24" t="s">
        <v>52</v>
      </c>
      <c r="S24" t="s">
        <v>5562</v>
      </c>
      <c r="T24" t="s">
        <v>9491</v>
      </c>
    </row>
    <row r="25" spans="1:20">
      <c r="A25" t="s">
        <v>9492</v>
      </c>
      <c r="B25" t="s">
        <v>9409</v>
      </c>
      <c r="C25" t="s">
        <v>9493</v>
      </c>
      <c r="D25" t="s">
        <v>9410</v>
      </c>
      <c r="E25" t="s">
        <v>9494</v>
      </c>
      <c r="F25" t="s">
        <v>9412</v>
      </c>
      <c r="G25" t="s">
        <v>9413</v>
      </c>
      <c r="H25" t="s">
        <v>9414</v>
      </c>
      <c r="I25" t="s">
        <v>9495</v>
      </c>
      <c r="J25" t="s">
        <v>1155</v>
      </c>
      <c r="K25" t="s">
        <v>9416</v>
      </c>
      <c r="L25" t="s">
        <v>9417</v>
      </c>
      <c r="M25" t="s">
        <v>9487</v>
      </c>
      <c r="N25" t="s">
        <v>9488</v>
      </c>
      <c r="O25" t="s">
        <v>9496</v>
      </c>
      <c r="P25" t="s">
        <v>9420</v>
      </c>
      <c r="Q25" t="s">
        <v>9421</v>
      </c>
      <c r="R25" t="s">
        <v>17</v>
      </c>
      <c r="S25" t="s">
        <v>9492</v>
      </c>
      <c r="T25" t="s">
        <v>9497</v>
      </c>
    </row>
    <row r="26" spans="1:20">
      <c r="A26" t="s">
        <v>9492</v>
      </c>
      <c r="B26" t="s">
        <v>9409</v>
      </c>
      <c r="C26" t="s">
        <v>9493</v>
      </c>
      <c r="D26" t="s">
        <v>9410</v>
      </c>
      <c r="E26" t="s">
        <v>9494</v>
      </c>
      <c r="F26" t="s">
        <v>9412</v>
      </c>
      <c r="G26" t="s">
        <v>9413</v>
      </c>
      <c r="H26" t="s">
        <v>9414</v>
      </c>
      <c r="I26" t="s">
        <v>9495</v>
      </c>
      <c r="J26" t="s">
        <v>1155</v>
      </c>
      <c r="K26" t="s">
        <v>9416</v>
      </c>
      <c r="L26" t="s">
        <v>9417</v>
      </c>
      <c r="M26" t="s">
        <v>9487</v>
      </c>
      <c r="N26" t="s">
        <v>9488</v>
      </c>
      <c r="O26" t="s">
        <v>9498</v>
      </c>
      <c r="P26" t="s">
        <v>9429</v>
      </c>
      <c r="Q26" t="s">
        <v>9421</v>
      </c>
      <c r="R26" t="s">
        <v>52</v>
      </c>
      <c r="S26" t="s">
        <v>9499</v>
      </c>
      <c r="T26" t="s">
        <v>9500</v>
      </c>
    </row>
    <row r="27" spans="1:20">
      <c r="A27" t="s">
        <v>5565</v>
      </c>
      <c r="B27" t="s">
        <v>9409</v>
      </c>
      <c r="C27" t="s">
        <v>5568</v>
      </c>
      <c r="D27" t="s">
        <v>9410</v>
      </c>
      <c r="E27" t="s">
        <v>9501</v>
      </c>
      <c r="F27" t="s">
        <v>9412</v>
      </c>
      <c r="G27" t="s">
        <v>9413</v>
      </c>
      <c r="H27" t="s">
        <v>9414</v>
      </c>
      <c r="I27" t="s">
        <v>9502</v>
      </c>
      <c r="J27" t="s">
        <v>1155</v>
      </c>
      <c r="K27" t="s">
        <v>9416</v>
      </c>
      <c r="L27" t="s">
        <v>9417</v>
      </c>
      <c r="M27" t="s">
        <v>9503</v>
      </c>
      <c r="N27" t="s">
        <v>9488</v>
      </c>
      <c r="O27" t="s">
        <v>5566</v>
      </c>
      <c r="P27" t="s">
        <v>9420</v>
      </c>
      <c r="Q27" t="s">
        <v>9421</v>
      </c>
      <c r="R27" t="s">
        <v>17</v>
      </c>
      <c r="S27" t="s">
        <v>5565</v>
      </c>
      <c r="T27" t="s">
        <v>9504</v>
      </c>
    </row>
    <row r="28" spans="1:20">
      <c r="A28" t="s">
        <v>5570</v>
      </c>
      <c r="B28" t="s">
        <v>20</v>
      </c>
      <c r="C28" t="s">
        <v>5574</v>
      </c>
      <c r="D28" t="s">
        <v>9464</v>
      </c>
      <c r="E28" t="s">
        <v>9505</v>
      </c>
      <c r="F28" t="s">
        <v>9412</v>
      </c>
      <c r="G28" t="s">
        <v>9413</v>
      </c>
      <c r="H28" t="s">
        <v>9414</v>
      </c>
      <c r="I28" t="s">
        <v>9506</v>
      </c>
      <c r="J28" t="s">
        <v>1155</v>
      </c>
      <c r="K28" t="s">
        <v>9416</v>
      </c>
      <c r="L28" t="s">
        <v>9417</v>
      </c>
      <c r="M28" t="s">
        <v>9487</v>
      </c>
      <c r="N28" t="s">
        <v>9488</v>
      </c>
      <c r="O28" t="s">
        <v>5572</v>
      </c>
      <c r="P28" t="s">
        <v>9420</v>
      </c>
      <c r="Q28" t="s">
        <v>9421</v>
      </c>
      <c r="R28" t="s">
        <v>17</v>
      </c>
      <c r="S28" t="s">
        <v>5571</v>
      </c>
      <c r="T28" t="s">
        <v>9507</v>
      </c>
    </row>
    <row r="29" spans="1:20">
      <c r="A29" t="s">
        <v>9508</v>
      </c>
      <c r="B29" t="s">
        <v>9409</v>
      </c>
      <c r="C29" t="s">
        <v>9509</v>
      </c>
      <c r="D29" t="s">
        <v>9410</v>
      </c>
      <c r="E29" t="s">
        <v>9510</v>
      </c>
      <c r="F29" t="s">
        <v>9412</v>
      </c>
      <c r="G29" t="s">
        <v>9413</v>
      </c>
      <c r="H29" t="s">
        <v>9414</v>
      </c>
      <c r="I29" t="s">
        <v>9511</v>
      </c>
      <c r="J29" t="s">
        <v>1043</v>
      </c>
      <c r="K29" t="s">
        <v>9416</v>
      </c>
      <c r="L29" t="s">
        <v>9417</v>
      </c>
      <c r="M29" t="s">
        <v>9512</v>
      </c>
      <c r="N29" t="s">
        <v>9437</v>
      </c>
      <c r="O29" t="s">
        <v>9513</v>
      </c>
      <c r="P29" t="s">
        <v>9420</v>
      </c>
      <c r="Q29" t="s">
        <v>9421</v>
      </c>
      <c r="R29" t="s">
        <v>17</v>
      </c>
      <c r="S29" t="s">
        <v>9508</v>
      </c>
      <c r="T29" t="s">
        <v>9514</v>
      </c>
    </row>
    <row r="30" spans="1:20">
      <c r="A30" t="s">
        <v>9515</v>
      </c>
      <c r="B30" t="s">
        <v>9409</v>
      </c>
      <c r="C30" t="s">
        <v>9516</v>
      </c>
      <c r="D30" t="s">
        <v>9410</v>
      </c>
      <c r="E30" t="s">
        <v>9517</v>
      </c>
      <c r="F30" t="s">
        <v>9412</v>
      </c>
      <c r="G30" t="s">
        <v>9413</v>
      </c>
      <c r="H30" t="s">
        <v>9414</v>
      </c>
      <c r="I30" t="s">
        <v>9518</v>
      </c>
      <c r="J30" t="s">
        <v>1375</v>
      </c>
      <c r="K30" t="s">
        <v>9416</v>
      </c>
      <c r="L30" t="s">
        <v>9417</v>
      </c>
      <c r="M30" t="s">
        <v>9442</v>
      </c>
      <c r="N30" t="s">
        <v>9443</v>
      </c>
      <c r="O30" t="s">
        <v>9519</v>
      </c>
      <c r="P30" t="s">
        <v>9420</v>
      </c>
      <c r="Q30" t="s">
        <v>9421</v>
      </c>
      <c r="R30" t="s">
        <v>17</v>
      </c>
      <c r="S30" t="s">
        <v>9515</v>
      </c>
      <c r="T30" t="s">
        <v>9520</v>
      </c>
    </row>
    <row r="31" spans="1:20">
      <c r="A31" t="s">
        <v>9515</v>
      </c>
      <c r="B31" t="s">
        <v>9409</v>
      </c>
      <c r="C31" t="s">
        <v>9516</v>
      </c>
      <c r="D31" t="s">
        <v>9410</v>
      </c>
      <c r="E31" t="s">
        <v>9517</v>
      </c>
      <c r="F31" t="s">
        <v>9412</v>
      </c>
      <c r="G31" t="s">
        <v>9413</v>
      </c>
      <c r="H31" t="s">
        <v>9414</v>
      </c>
      <c r="I31" t="s">
        <v>9518</v>
      </c>
      <c r="J31" t="s">
        <v>1375</v>
      </c>
      <c r="K31" t="s">
        <v>9445</v>
      </c>
      <c r="L31" t="s">
        <v>9417</v>
      </c>
      <c r="M31" t="s">
        <v>9442</v>
      </c>
      <c r="N31" t="s">
        <v>9426</v>
      </c>
      <c r="O31" t="s">
        <v>9446</v>
      </c>
      <c r="P31" t="s">
        <v>9447</v>
      </c>
      <c r="Q31" t="s">
        <v>9421</v>
      </c>
      <c r="R31" t="s">
        <v>24</v>
      </c>
      <c r="S31" t="s">
        <v>1078</v>
      </c>
      <c r="T31" t="s">
        <v>1080</v>
      </c>
    </row>
    <row r="32" spans="1:20">
      <c r="A32" t="s">
        <v>1454</v>
      </c>
      <c r="B32" t="s">
        <v>62</v>
      </c>
      <c r="C32" t="s">
        <v>5915</v>
      </c>
      <c r="D32" t="s">
        <v>445</v>
      </c>
      <c r="E32" t="s">
        <v>9521</v>
      </c>
      <c r="F32" t="s">
        <v>9412</v>
      </c>
      <c r="G32" t="s">
        <v>9413</v>
      </c>
      <c r="H32" t="s">
        <v>9414</v>
      </c>
      <c r="I32" t="s">
        <v>9522</v>
      </c>
      <c r="J32" t="s">
        <v>1442</v>
      </c>
      <c r="K32" t="s">
        <v>9416</v>
      </c>
      <c r="L32" t="s">
        <v>9417</v>
      </c>
      <c r="M32" t="s">
        <v>9463</v>
      </c>
      <c r="N32" t="s">
        <v>9430</v>
      </c>
      <c r="O32" t="s">
        <v>9523</v>
      </c>
      <c r="P32" t="s">
        <v>9524</v>
      </c>
      <c r="Q32" t="s">
        <v>9421</v>
      </c>
      <c r="R32" t="s">
        <v>24</v>
      </c>
      <c r="S32" t="s">
        <v>1455</v>
      </c>
      <c r="T32" t="s">
        <v>1457</v>
      </c>
    </row>
    <row r="33" spans="1:20">
      <c r="A33" t="s">
        <v>1454</v>
      </c>
      <c r="B33" t="s">
        <v>62</v>
      </c>
      <c r="C33" t="s">
        <v>5915</v>
      </c>
      <c r="D33" t="s">
        <v>445</v>
      </c>
      <c r="E33" t="s">
        <v>9521</v>
      </c>
      <c r="F33" t="s">
        <v>9412</v>
      </c>
      <c r="G33" t="s">
        <v>9413</v>
      </c>
      <c r="H33" t="s">
        <v>9414</v>
      </c>
      <c r="I33" t="s">
        <v>9522</v>
      </c>
      <c r="J33" t="s">
        <v>1442</v>
      </c>
      <c r="K33" t="s">
        <v>9416</v>
      </c>
      <c r="L33" t="s">
        <v>9417</v>
      </c>
      <c r="M33" t="s">
        <v>9463</v>
      </c>
      <c r="N33" t="s">
        <v>9428</v>
      </c>
      <c r="O33" t="s">
        <v>5917</v>
      </c>
      <c r="P33" t="s">
        <v>9420</v>
      </c>
      <c r="Q33" t="s">
        <v>9421</v>
      </c>
      <c r="R33" t="s">
        <v>17</v>
      </c>
      <c r="S33" t="s">
        <v>1459</v>
      </c>
      <c r="T33" t="s">
        <v>1461</v>
      </c>
    </row>
    <row r="34" spans="1:20">
      <c r="A34" t="s">
        <v>1156</v>
      </c>
      <c r="B34" t="s">
        <v>20</v>
      </c>
      <c r="C34" t="s">
        <v>5578</v>
      </c>
      <c r="D34" t="s">
        <v>9464</v>
      </c>
      <c r="E34" t="s">
        <v>9525</v>
      </c>
      <c r="F34" t="s">
        <v>9412</v>
      </c>
      <c r="G34" t="s">
        <v>9413</v>
      </c>
      <c r="H34" t="s">
        <v>9414</v>
      </c>
      <c r="I34" t="s">
        <v>9441</v>
      </c>
      <c r="J34" t="s">
        <v>1155</v>
      </c>
      <c r="K34" t="s">
        <v>9416</v>
      </c>
      <c r="L34" t="s">
        <v>9417</v>
      </c>
      <c r="M34" t="s">
        <v>9503</v>
      </c>
      <c r="N34" t="s">
        <v>9430</v>
      </c>
      <c r="O34" t="s">
        <v>5580</v>
      </c>
      <c r="P34" t="s">
        <v>9526</v>
      </c>
      <c r="Q34" t="s">
        <v>9421</v>
      </c>
      <c r="R34" t="s">
        <v>17</v>
      </c>
      <c r="S34" t="s">
        <v>1160</v>
      </c>
      <c r="T34" t="s">
        <v>1162</v>
      </c>
    </row>
    <row r="35" spans="1:20">
      <c r="A35" t="s">
        <v>1156</v>
      </c>
      <c r="B35" t="s">
        <v>20</v>
      </c>
      <c r="C35" t="s">
        <v>5578</v>
      </c>
      <c r="D35" t="s">
        <v>9464</v>
      </c>
      <c r="E35" t="s">
        <v>9525</v>
      </c>
      <c r="F35" t="s">
        <v>9412</v>
      </c>
      <c r="G35" t="s">
        <v>9413</v>
      </c>
      <c r="H35" t="s">
        <v>9414</v>
      </c>
      <c r="I35" t="s">
        <v>9441</v>
      </c>
      <c r="J35" t="s">
        <v>1155</v>
      </c>
      <c r="K35" t="s">
        <v>9416</v>
      </c>
      <c r="L35" t="s">
        <v>9417</v>
      </c>
      <c r="M35" t="s">
        <v>9503</v>
      </c>
      <c r="N35" t="s">
        <v>9488</v>
      </c>
      <c r="O35" t="s">
        <v>5576</v>
      </c>
      <c r="P35" t="s">
        <v>9420</v>
      </c>
      <c r="Q35" t="s">
        <v>9421</v>
      </c>
      <c r="R35" t="s">
        <v>17</v>
      </c>
      <c r="S35" t="s">
        <v>1156</v>
      </c>
      <c r="T35" t="s">
        <v>1158</v>
      </c>
    </row>
    <row r="36" spans="1:20">
      <c r="A36" t="s">
        <v>1251</v>
      </c>
      <c r="B36" t="s">
        <v>62</v>
      </c>
      <c r="C36" t="s">
        <v>5682</v>
      </c>
      <c r="D36" t="s">
        <v>445</v>
      </c>
      <c r="E36" t="s">
        <v>9527</v>
      </c>
      <c r="F36" t="s">
        <v>9412</v>
      </c>
      <c r="G36" t="s">
        <v>9413</v>
      </c>
      <c r="H36" t="s">
        <v>9414</v>
      </c>
      <c r="I36" t="s">
        <v>9528</v>
      </c>
      <c r="J36" t="s">
        <v>1246</v>
      </c>
      <c r="K36" t="s">
        <v>9416</v>
      </c>
      <c r="L36" t="s">
        <v>9417</v>
      </c>
      <c r="M36" t="s">
        <v>9529</v>
      </c>
      <c r="N36" t="s">
        <v>9419</v>
      </c>
      <c r="O36" t="s">
        <v>5681</v>
      </c>
      <c r="P36" t="s">
        <v>9420</v>
      </c>
      <c r="Q36" t="s">
        <v>9421</v>
      </c>
      <c r="R36" t="s">
        <v>17</v>
      </c>
      <c r="S36" t="s">
        <v>1251</v>
      </c>
      <c r="T36" t="s">
        <v>1253</v>
      </c>
    </row>
    <row r="37" spans="1:20">
      <c r="A37" t="s">
        <v>9530</v>
      </c>
      <c r="B37" t="s">
        <v>9409</v>
      </c>
      <c r="C37" t="s">
        <v>9531</v>
      </c>
      <c r="D37" t="s">
        <v>9410</v>
      </c>
      <c r="E37" t="s">
        <v>9532</v>
      </c>
      <c r="F37" t="s">
        <v>9412</v>
      </c>
      <c r="G37" t="s">
        <v>9413</v>
      </c>
      <c r="H37" t="s">
        <v>9414</v>
      </c>
      <c r="I37" t="s">
        <v>9533</v>
      </c>
      <c r="J37" t="s">
        <v>1375</v>
      </c>
      <c r="K37" t="s">
        <v>9416</v>
      </c>
      <c r="L37" t="s">
        <v>9417</v>
      </c>
      <c r="M37" t="s">
        <v>9534</v>
      </c>
      <c r="N37" t="s">
        <v>9430</v>
      </c>
      <c r="O37" t="s">
        <v>9535</v>
      </c>
      <c r="P37" t="s">
        <v>9536</v>
      </c>
      <c r="Q37" t="s">
        <v>9421</v>
      </c>
      <c r="R37" t="s">
        <v>52</v>
      </c>
      <c r="S37" t="s">
        <v>9537</v>
      </c>
      <c r="T37" t="s">
        <v>9538</v>
      </c>
    </row>
    <row r="38" spans="1:20">
      <c r="A38" t="s">
        <v>9530</v>
      </c>
      <c r="B38" t="s">
        <v>9409</v>
      </c>
      <c r="C38" t="s">
        <v>9531</v>
      </c>
      <c r="D38" t="s">
        <v>9410</v>
      </c>
      <c r="E38" t="s">
        <v>9532</v>
      </c>
      <c r="F38" t="s">
        <v>9412</v>
      </c>
      <c r="G38" t="s">
        <v>9413</v>
      </c>
      <c r="H38" t="s">
        <v>9414</v>
      </c>
      <c r="I38" t="s">
        <v>9533</v>
      </c>
      <c r="J38" t="s">
        <v>1375</v>
      </c>
      <c r="K38" t="s">
        <v>9416</v>
      </c>
      <c r="L38" t="s">
        <v>9417</v>
      </c>
      <c r="M38" t="s">
        <v>9534</v>
      </c>
      <c r="N38" t="s">
        <v>9443</v>
      </c>
      <c r="O38" t="s">
        <v>9539</v>
      </c>
      <c r="P38" t="s">
        <v>9459</v>
      </c>
      <c r="Q38" t="s">
        <v>9421</v>
      </c>
      <c r="R38" t="s">
        <v>17</v>
      </c>
      <c r="S38" t="s">
        <v>9530</v>
      </c>
      <c r="T38" t="s">
        <v>9540</v>
      </c>
    </row>
    <row r="39" spans="1:20">
      <c r="A39" t="s">
        <v>1376</v>
      </c>
      <c r="B39" t="s">
        <v>62</v>
      </c>
      <c r="C39" t="s">
        <v>5846</v>
      </c>
      <c r="D39" t="s">
        <v>9448</v>
      </c>
      <c r="E39" t="s">
        <v>9541</v>
      </c>
      <c r="F39" t="s">
        <v>9412</v>
      </c>
      <c r="G39" t="s">
        <v>9413</v>
      </c>
      <c r="H39" t="s">
        <v>9414</v>
      </c>
      <c r="I39" t="s">
        <v>9518</v>
      </c>
      <c r="J39" t="s">
        <v>1375</v>
      </c>
      <c r="K39" t="s">
        <v>9416</v>
      </c>
      <c r="L39" t="s">
        <v>9417</v>
      </c>
      <c r="M39" t="s">
        <v>9534</v>
      </c>
      <c r="N39" t="s">
        <v>9443</v>
      </c>
      <c r="O39" t="s">
        <v>5844</v>
      </c>
      <c r="P39" t="s">
        <v>9420</v>
      </c>
      <c r="Q39" t="s">
        <v>9421</v>
      </c>
      <c r="R39" t="s">
        <v>17</v>
      </c>
      <c r="S39" t="s">
        <v>1376</v>
      </c>
      <c r="T39" t="s">
        <v>1378</v>
      </c>
    </row>
    <row r="40" spans="1:20">
      <c r="A40" t="s">
        <v>1376</v>
      </c>
      <c r="B40" t="s">
        <v>62</v>
      </c>
      <c r="C40" t="s">
        <v>5846</v>
      </c>
      <c r="D40" t="s">
        <v>9448</v>
      </c>
      <c r="E40" t="s">
        <v>9541</v>
      </c>
      <c r="F40" t="s">
        <v>9412</v>
      </c>
      <c r="G40" t="s">
        <v>9413</v>
      </c>
      <c r="H40" t="s">
        <v>9414</v>
      </c>
      <c r="I40" t="s">
        <v>9518</v>
      </c>
      <c r="J40" t="s">
        <v>1375</v>
      </c>
      <c r="K40" t="s">
        <v>9445</v>
      </c>
      <c r="L40" t="s">
        <v>9417</v>
      </c>
      <c r="M40" t="s">
        <v>9534</v>
      </c>
      <c r="N40" t="s">
        <v>9426</v>
      </c>
      <c r="O40" t="s">
        <v>9446</v>
      </c>
      <c r="P40" t="s">
        <v>9447</v>
      </c>
      <c r="Q40" t="s">
        <v>9421</v>
      </c>
      <c r="R40" t="s">
        <v>24</v>
      </c>
      <c r="S40" t="s">
        <v>1078</v>
      </c>
      <c r="T40" t="s">
        <v>1080</v>
      </c>
    </row>
    <row r="41" spans="1:20">
      <c r="A41" t="s">
        <v>1376</v>
      </c>
      <c r="B41" t="s">
        <v>62</v>
      </c>
      <c r="C41" t="s">
        <v>5846</v>
      </c>
      <c r="D41" t="s">
        <v>9448</v>
      </c>
      <c r="E41" t="s">
        <v>9541</v>
      </c>
      <c r="F41" t="s">
        <v>9412</v>
      </c>
      <c r="G41" t="s">
        <v>9413</v>
      </c>
      <c r="H41" t="s">
        <v>9414</v>
      </c>
      <c r="I41" t="s">
        <v>9518</v>
      </c>
      <c r="J41" t="s">
        <v>1375</v>
      </c>
      <c r="K41" t="s">
        <v>9416</v>
      </c>
      <c r="L41" t="s">
        <v>9417</v>
      </c>
      <c r="M41" t="s">
        <v>9534</v>
      </c>
      <c r="N41" t="s">
        <v>9443</v>
      </c>
      <c r="O41" t="s">
        <v>5848</v>
      </c>
      <c r="P41" t="s">
        <v>9429</v>
      </c>
      <c r="Q41" t="s">
        <v>9421</v>
      </c>
      <c r="R41" t="s">
        <v>52</v>
      </c>
      <c r="S41" t="s">
        <v>1380</v>
      </c>
      <c r="T41" t="s">
        <v>1382</v>
      </c>
    </row>
    <row r="42" spans="1:20">
      <c r="A42" t="s">
        <v>9542</v>
      </c>
      <c r="B42" t="s">
        <v>9409</v>
      </c>
      <c r="C42" t="s">
        <v>9543</v>
      </c>
      <c r="D42" t="s">
        <v>9410</v>
      </c>
      <c r="E42" t="s">
        <v>9544</v>
      </c>
      <c r="F42" t="s">
        <v>9412</v>
      </c>
      <c r="G42" t="s">
        <v>9413</v>
      </c>
      <c r="H42" t="s">
        <v>9414</v>
      </c>
      <c r="I42" t="s">
        <v>9545</v>
      </c>
      <c r="J42" t="s">
        <v>1246</v>
      </c>
      <c r="K42" t="s">
        <v>9416</v>
      </c>
      <c r="L42" t="s">
        <v>9417</v>
      </c>
      <c r="M42" t="s">
        <v>9483</v>
      </c>
      <c r="N42" t="s">
        <v>9419</v>
      </c>
      <c r="O42" t="s">
        <v>9546</v>
      </c>
      <c r="P42" t="s">
        <v>9547</v>
      </c>
      <c r="Q42" t="s">
        <v>9421</v>
      </c>
      <c r="R42" t="s">
        <v>17</v>
      </c>
      <c r="S42" t="s">
        <v>6451</v>
      </c>
      <c r="T42" t="s">
        <v>9548</v>
      </c>
    </row>
    <row r="43" spans="1:20">
      <c r="A43" t="s">
        <v>9542</v>
      </c>
      <c r="B43" t="s">
        <v>9409</v>
      </c>
      <c r="C43" t="s">
        <v>9543</v>
      </c>
      <c r="D43" t="s">
        <v>9410</v>
      </c>
      <c r="E43" t="s">
        <v>9544</v>
      </c>
      <c r="F43" t="s">
        <v>9412</v>
      </c>
      <c r="G43" t="s">
        <v>9413</v>
      </c>
      <c r="H43" t="s">
        <v>9414</v>
      </c>
      <c r="I43" t="s">
        <v>9545</v>
      </c>
      <c r="J43" t="s">
        <v>1246</v>
      </c>
      <c r="K43" t="s">
        <v>9416</v>
      </c>
      <c r="L43" t="s">
        <v>9417</v>
      </c>
      <c r="M43" t="s">
        <v>9483</v>
      </c>
      <c r="N43" t="s">
        <v>9430</v>
      </c>
      <c r="O43" t="s">
        <v>9549</v>
      </c>
      <c r="P43" t="s">
        <v>9550</v>
      </c>
      <c r="Q43" t="s">
        <v>9421</v>
      </c>
      <c r="R43" t="s">
        <v>84</v>
      </c>
      <c r="S43" t="s">
        <v>5803</v>
      </c>
      <c r="T43" t="s">
        <v>9551</v>
      </c>
    </row>
    <row r="44" spans="1:20">
      <c r="A44" t="s">
        <v>9552</v>
      </c>
      <c r="B44" t="s">
        <v>9409</v>
      </c>
      <c r="C44" t="s">
        <v>9553</v>
      </c>
      <c r="D44" t="s">
        <v>9410</v>
      </c>
      <c r="E44" t="s">
        <v>9554</v>
      </c>
      <c r="F44" t="s">
        <v>9412</v>
      </c>
      <c r="G44" t="s">
        <v>9413</v>
      </c>
      <c r="H44" t="s">
        <v>9414</v>
      </c>
      <c r="I44" t="s">
        <v>9495</v>
      </c>
      <c r="J44" t="s">
        <v>1246</v>
      </c>
      <c r="K44" t="s">
        <v>9416</v>
      </c>
      <c r="L44" t="s">
        <v>9417</v>
      </c>
      <c r="M44" t="s">
        <v>9458</v>
      </c>
      <c r="N44" t="s">
        <v>9419</v>
      </c>
      <c r="O44" t="s">
        <v>9555</v>
      </c>
      <c r="P44" t="s">
        <v>9420</v>
      </c>
      <c r="Q44" t="s">
        <v>9421</v>
      </c>
      <c r="R44" t="s">
        <v>17</v>
      </c>
      <c r="S44" t="s">
        <v>9552</v>
      </c>
      <c r="T44" t="s">
        <v>9556</v>
      </c>
    </row>
    <row r="45" spans="1:20">
      <c r="A45" t="s">
        <v>9557</v>
      </c>
      <c r="B45" t="s">
        <v>9409</v>
      </c>
      <c r="C45" t="s">
        <v>9558</v>
      </c>
      <c r="D45" t="s">
        <v>9410</v>
      </c>
      <c r="E45" t="s">
        <v>9559</v>
      </c>
      <c r="F45" t="s">
        <v>9412</v>
      </c>
      <c r="G45" t="s">
        <v>9413</v>
      </c>
      <c r="H45" t="s">
        <v>9414</v>
      </c>
      <c r="I45" t="s">
        <v>9560</v>
      </c>
      <c r="J45" t="s">
        <v>1155</v>
      </c>
      <c r="K45" t="s">
        <v>9416</v>
      </c>
      <c r="L45" t="s">
        <v>9417</v>
      </c>
      <c r="M45" t="s">
        <v>9561</v>
      </c>
      <c r="N45" t="s">
        <v>9488</v>
      </c>
      <c r="O45" t="s">
        <v>9562</v>
      </c>
      <c r="P45" t="s">
        <v>9420</v>
      </c>
      <c r="Q45" t="s">
        <v>9421</v>
      </c>
      <c r="R45" t="s">
        <v>17</v>
      </c>
      <c r="S45" t="s">
        <v>9557</v>
      </c>
      <c r="T45" t="s">
        <v>9563</v>
      </c>
    </row>
    <row r="46" spans="1:20">
      <c r="A46" t="s">
        <v>1255</v>
      </c>
      <c r="B46" t="s">
        <v>62</v>
      </c>
      <c r="C46" t="s">
        <v>9564</v>
      </c>
      <c r="D46" t="s">
        <v>9448</v>
      </c>
      <c r="E46" t="s">
        <v>9565</v>
      </c>
      <c r="F46" t="s">
        <v>9412</v>
      </c>
      <c r="G46" t="s">
        <v>9413</v>
      </c>
      <c r="H46" t="s">
        <v>1044</v>
      </c>
      <c r="I46" t="s">
        <v>9511</v>
      </c>
      <c r="J46" t="s">
        <v>1246</v>
      </c>
      <c r="K46" t="s">
        <v>9416</v>
      </c>
      <c r="L46" t="s">
        <v>9417</v>
      </c>
      <c r="M46" t="s">
        <v>9483</v>
      </c>
      <c r="N46" t="s">
        <v>9419</v>
      </c>
      <c r="O46" t="s">
        <v>5684</v>
      </c>
      <c r="P46" t="s">
        <v>9420</v>
      </c>
      <c r="Q46" t="s">
        <v>9421</v>
      </c>
      <c r="R46" t="s">
        <v>17</v>
      </c>
      <c r="S46" t="s">
        <v>1255</v>
      </c>
      <c r="T46" t="s">
        <v>1257</v>
      </c>
    </row>
    <row r="47" spans="1:20">
      <c r="A47" t="s">
        <v>1163</v>
      </c>
      <c r="B47" t="s">
        <v>20</v>
      </c>
      <c r="C47" t="s">
        <v>1167</v>
      </c>
      <c r="D47" t="s">
        <v>9460</v>
      </c>
      <c r="E47" t="s">
        <v>9566</v>
      </c>
      <c r="F47" t="s">
        <v>9412</v>
      </c>
      <c r="G47" t="s">
        <v>9413</v>
      </c>
      <c r="H47" t="s">
        <v>1044</v>
      </c>
      <c r="I47" t="s">
        <v>9462</v>
      </c>
      <c r="J47" t="s">
        <v>1155</v>
      </c>
      <c r="K47" t="s">
        <v>9416</v>
      </c>
      <c r="L47" t="s">
        <v>9417</v>
      </c>
      <c r="M47" t="s">
        <v>9503</v>
      </c>
      <c r="N47" t="s">
        <v>9426</v>
      </c>
      <c r="O47" t="s">
        <v>5586</v>
      </c>
      <c r="P47" t="s">
        <v>9567</v>
      </c>
      <c r="Q47" t="s">
        <v>9421</v>
      </c>
      <c r="R47" t="s">
        <v>43</v>
      </c>
      <c r="S47" t="s">
        <v>1168</v>
      </c>
      <c r="T47" t="s">
        <v>1170</v>
      </c>
    </row>
    <row r="48" spans="1:20">
      <c r="A48" t="s">
        <v>1163</v>
      </c>
      <c r="B48" t="s">
        <v>20</v>
      </c>
      <c r="C48" t="s">
        <v>1167</v>
      </c>
      <c r="D48" t="s">
        <v>9460</v>
      </c>
      <c r="E48" t="s">
        <v>9566</v>
      </c>
      <c r="F48" t="s">
        <v>9412</v>
      </c>
      <c r="G48" t="s">
        <v>9413</v>
      </c>
      <c r="H48" t="s">
        <v>1044</v>
      </c>
      <c r="I48" t="s">
        <v>9462</v>
      </c>
      <c r="J48" t="s">
        <v>1155</v>
      </c>
      <c r="K48" t="s">
        <v>9416</v>
      </c>
      <c r="L48" t="s">
        <v>9417</v>
      </c>
      <c r="M48" t="s">
        <v>9503</v>
      </c>
      <c r="N48" t="s">
        <v>9430</v>
      </c>
      <c r="O48" t="s">
        <v>5582</v>
      </c>
      <c r="P48" t="s">
        <v>9568</v>
      </c>
      <c r="Q48" t="s">
        <v>9421</v>
      </c>
      <c r="R48" t="s">
        <v>24</v>
      </c>
      <c r="S48" t="s">
        <v>1164</v>
      </c>
      <c r="T48" t="s">
        <v>1166</v>
      </c>
    </row>
    <row r="49" spans="1:20">
      <c r="A49" t="s">
        <v>9569</v>
      </c>
      <c r="B49" t="s">
        <v>9409</v>
      </c>
      <c r="C49" t="s">
        <v>9570</v>
      </c>
      <c r="D49" t="s">
        <v>9410</v>
      </c>
      <c r="E49" t="s">
        <v>9571</v>
      </c>
      <c r="F49" t="s">
        <v>9412</v>
      </c>
      <c r="G49" t="s">
        <v>9413</v>
      </c>
      <c r="H49" t="s">
        <v>9414</v>
      </c>
      <c r="I49" t="s">
        <v>9572</v>
      </c>
      <c r="J49" t="s">
        <v>1155</v>
      </c>
      <c r="K49" t="s">
        <v>9416</v>
      </c>
      <c r="L49" t="s">
        <v>9417</v>
      </c>
      <c r="M49" t="s">
        <v>9561</v>
      </c>
      <c r="N49" t="s">
        <v>9488</v>
      </c>
      <c r="O49" t="s">
        <v>9573</v>
      </c>
      <c r="P49" t="s">
        <v>9420</v>
      </c>
      <c r="Q49" t="s">
        <v>9421</v>
      </c>
      <c r="R49" t="s">
        <v>17</v>
      </c>
      <c r="S49" t="s">
        <v>9569</v>
      </c>
      <c r="T49" t="s">
        <v>9574</v>
      </c>
    </row>
    <row r="50" spans="1:20">
      <c r="A50" t="s">
        <v>1383</v>
      </c>
      <c r="B50" t="s">
        <v>62</v>
      </c>
      <c r="C50" t="s">
        <v>1386</v>
      </c>
      <c r="D50" t="s">
        <v>9448</v>
      </c>
      <c r="E50" t="s">
        <v>9575</v>
      </c>
      <c r="F50" t="s">
        <v>9412</v>
      </c>
      <c r="G50" t="s">
        <v>9413</v>
      </c>
      <c r="H50" t="s">
        <v>1044</v>
      </c>
      <c r="I50" t="s">
        <v>9576</v>
      </c>
      <c r="J50" t="s">
        <v>1375</v>
      </c>
      <c r="K50" t="s">
        <v>9416</v>
      </c>
      <c r="L50" t="s">
        <v>9417</v>
      </c>
      <c r="M50" t="s">
        <v>9442</v>
      </c>
      <c r="N50" t="s">
        <v>9443</v>
      </c>
      <c r="O50" t="s">
        <v>5850</v>
      </c>
      <c r="P50" t="s">
        <v>9429</v>
      </c>
      <c r="Q50" t="s">
        <v>9421</v>
      </c>
      <c r="R50" t="s">
        <v>52</v>
      </c>
      <c r="S50" t="s">
        <v>1383</v>
      </c>
      <c r="T50" t="s">
        <v>1385</v>
      </c>
    </row>
    <row r="51" spans="1:20">
      <c r="A51" t="s">
        <v>1383</v>
      </c>
      <c r="B51" t="s">
        <v>62</v>
      </c>
      <c r="C51" t="s">
        <v>1386</v>
      </c>
      <c r="D51" t="s">
        <v>9448</v>
      </c>
      <c r="E51" t="s">
        <v>9575</v>
      </c>
      <c r="F51" t="s">
        <v>9412</v>
      </c>
      <c r="G51" t="s">
        <v>9413</v>
      </c>
      <c r="H51" t="s">
        <v>1044</v>
      </c>
      <c r="I51" t="s">
        <v>9576</v>
      </c>
      <c r="J51" t="s">
        <v>1375</v>
      </c>
      <c r="K51" t="s">
        <v>9416</v>
      </c>
      <c r="L51" t="s">
        <v>9417</v>
      </c>
      <c r="M51" t="s">
        <v>9442</v>
      </c>
      <c r="N51" t="s">
        <v>9443</v>
      </c>
      <c r="O51" t="s">
        <v>5854</v>
      </c>
      <c r="P51" t="s">
        <v>9420</v>
      </c>
      <c r="Q51" t="s">
        <v>9421</v>
      </c>
      <c r="R51" t="s">
        <v>17</v>
      </c>
      <c r="S51" t="s">
        <v>1387</v>
      </c>
      <c r="T51" t="s">
        <v>1389</v>
      </c>
    </row>
    <row r="52" spans="1:20">
      <c r="A52" t="s">
        <v>1383</v>
      </c>
      <c r="B52" t="s">
        <v>62</v>
      </c>
      <c r="C52" t="s">
        <v>1386</v>
      </c>
      <c r="D52" t="s">
        <v>9448</v>
      </c>
      <c r="E52" t="s">
        <v>9575</v>
      </c>
      <c r="F52" t="s">
        <v>9412</v>
      </c>
      <c r="G52" t="s">
        <v>9413</v>
      </c>
      <c r="H52" t="s">
        <v>1044</v>
      </c>
      <c r="I52" t="s">
        <v>9576</v>
      </c>
      <c r="J52" t="s">
        <v>1375</v>
      </c>
      <c r="K52" t="s">
        <v>9445</v>
      </c>
      <c r="L52" t="s">
        <v>9417</v>
      </c>
      <c r="M52" t="s">
        <v>9442</v>
      </c>
      <c r="N52" t="s">
        <v>9426</v>
      </c>
      <c r="O52" t="s">
        <v>9446</v>
      </c>
      <c r="P52" t="s">
        <v>9427</v>
      </c>
      <c r="Q52" t="s">
        <v>9421</v>
      </c>
      <c r="R52" t="s">
        <v>43</v>
      </c>
      <c r="S52" t="s">
        <v>1178</v>
      </c>
      <c r="T52" t="s">
        <v>1180</v>
      </c>
    </row>
    <row r="53" spans="1:20">
      <c r="A53" t="s">
        <v>9577</v>
      </c>
      <c r="B53" t="s">
        <v>9409</v>
      </c>
      <c r="C53" t="s">
        <v>9578</v>
      </c>
      <c r="D53" t="s">
        <v>9410</v>
      </c>
      <c r="E53" t="s">
        <v>9579</v>
      </c>
      <c r="F53" t="s">
        <v>9412</v>
      </c>
      <c r="G53" t="s">
        <v>9413</v>
      </c>
      <c r="H53" t="s">
        <v>9414</v>
      </c>
      <c r="I53" t="s">
        <v>9415</v>
      </c>
      <c r="J53" t="s">
        <v>1246</v>
      </c>
      <c r="K53" t="s">
        <v>9416</v>
      </c>
      <c r="L53" t="s">
        <v>9417</v>
      </c>
      <c r="M53" t="s">
        <v>9580</v>
      </c>
      <c r="N53" t="s">
        <v>9419</v>
      </c>
      <c r="O53" t="s">
        <v>9581</v>
      </c>
      <c r="P53" t="s">
        <v>9420</v>
      </c>
      <c r="Q53" t="s">
        <v>9421</v>
      </c>
      <c r="R53" t="s">
        <v>17</v>
      </c>
      <c r="S53" t="s">
        <v>9577</v>
      </c>
      <c r="T53" t="s">
        <v>9582</v>
      </c>
    </row>
    <row r="54" spans="1:20">
      <c r="A54" t="s">
        <v>9583</v>
      </c>
      <c r="B54" t="s">
        <v>9409</v>
      </c>
      <c r="C54" t="s">
        <v>9584</v>
      </c>
      <c r="D54" t="s">
        <v>9410</v>
      </c>
      <c r="E54" t="s">
        <v>9585</v>
      </c>
      <c r="F54" t="s">
        <v>9412</v>
      </c>
      <c r="G54" t="s">
        <v>9413</v>
      </c>
      <c r="H54" t="s">
        <v>9414</v>
      </c>
      <c r="I54" t="s">
        <v>9586</v>
      </c>
      <c r="J54" t="s">
        <v>1246</v>
      </c>
      <c r="K54" t="s">
        <v>9416</v>
      </c>
      <c r="L54" t="s">
        <v>9417</v>
      </c>
      <c r="M54" t="s">
        <v>9467</v>
      </c>
      <c r="N54" t="s">
        <v>9419</v>
      </c>
      <c r="O54" t="s">
        <v>9587</v>
      </c>
      <c r="P54" t="s">
        <v>9459</v>
      </c>
      <c r="Q54" t="s">
        <v>9421</v>
      </c>
      <c r="R54" t="s">
        <v>17</v>
      </c>
      <c r="S54" t="s">
        <v>9583</v>
      </c>
      <c r="T54" t="s">
        <v>9588</v>
      </c>
    </row>
    <row r="55" spans="1:20">
      <c r="A55" t="s">
        <v>9589</v>
      </c>
      <c r="B55" t="s">
        <v>9409</v>
      </c>
      <c r="C55" t="s">
        <v>9590</v>
      </c>
      <c r="D55" t="s">
        <v>9410</v>
      </c>
      <c r="E55" t="s">
        <v>9591</v>
      </c>
      <c r="F55" t="s">
        <v>9412</v>
      </c>
      <c r="G55" t="s">
        <v>9413</v>
      </c>
      <c r="H55" t="s">
        <v>9414</v>
      </c>
      <c r="I55" t="s">
        <v>9415</v>
      </c>
      <c r="J55" t="s">
        <v>1375</v>
      </c>
      <c r="K55" t="s">
        <v>9416</v>
      </c>
      <c r="L55" t="s">
        <v>9417</v>
      </c>
      <c r="M55" t="s">
        <v>9442</v>
      </c>
      <c r="N55" t="s">
        <v>9443</v>
      </c>
      <c r="O55" t="s">
        <v>9592</v>
      </c>
      <c r="P55" t="s">
        <v>9420</v>
      </c>
      <c r="Q55" t="s">
        <v>9421</v>
      </c>
      <c r="R55" t="s">
        <v>17</v>
      </c>
      <c r="S55" t="s">
        <v>9589</v>
      </c>
      <c r="T55" t="s">
        <v>9593</v>
      </c>
    </row>
    <row r="56" spans="1:20">
      <c r="A56" t="s">
        <v>2106</v>
      </c>
      <c r="B56" t="s">
        <v>20</v>
      </c>
      <c r="C56" t="s">
        <v>2109</v>
      </c>
      <c r="D56" t="s">
        <v>9594</v>
      </c>
      <c r="E56" t="s">
        <v>9595</v>
      </c>
      <c r="F56" t="s">
        <v>9412</v>
      </c>
      <c r="G56" t="s">
        <v>9413</v>
      </c>
      <c r="H56" t="s">
        <v>1044</v>
      </c>
      <c r="I56" t="s">
        <v>9415</v>
      </c>
      <c r="J56" t="s">
        <v>2098</v>
      </c>
      <c r="K56" t="s">
        <v>9416</v>
      </c>
      <c r="L56" t="s">
        <v>9417</v>
      </c>
      <c r="M56" t="s">
        <v>9596</v>
      </c>
      <c r="N56" t="s">
        <v>9597</v>
      </c>
      <c r="O56" t="s">
        <v>6746</v>
      </c>
      <c r="P56" t="s">
        <v>9429</v>
      </c>
      <c r="Q56" t="s">
        <v>9421</v>
      </c>
      <c r="R56" t="s">
        <v>52</v>
      </c>
      <c r="S56" t="s">
        <v>2110</v>
      </c>
      <c r="T56" t="s">
        <v>2112</v>
      </c>
    </row>
    <row r="57" spans="1:20">
      <c r="A57" t="s">
        <v>2106</v>
      </c>
      <c r="B57" t="s">
        <v>20</v>
      </c>
      <c r="C57" t="s">
        <v>2109</v>
      </c>
      <c r="D57" t="s">
        <v>9594</v>
      </c>
      <c r="E57" t="s">
        <v>9595</v>
      </c>
      <c r="F57" t="s">
        <v>9412</v>
      </c>
      <c r="G57" t="s">
        <v>9413</v>
      </c>
      <c r="H57" t="s">
        <v>1044</v>
      </c>
      <c r="I57" t="s">
        <v>9415</v>
      </c>
      <c r="J57" t="s">
        <v>2098</v>
      </c>
      <c r="K57" t="s">
        <v>9416</v>
      </c>
      <c r="L57" t="s">
        <v>9417</v>
      </c>
      <c r="M57" t="s">
        <v>9596</v>
      </c>
      <c r="N57" t="s">
        <v>9597</v>
      </c>
      <c r="O57" t="s">
        <v>6742</v>
      </c>
      <c r="P57" t="s">
        <v>9459</v>
      </c>
      <c r="Q57" t="s">
        <v>9421</v>
      </c>
      <c r="R57" t="s">
        <v>24</v>
      </c>
      <c r="S57" t="s">
        <v>2106</v>
      </c>
      <c r="T57" t="s">
        <v>2108</v>
      </c>
    </row>
    <row r="58" spans="1:20">
      <c r="A58" t="s">
        <v>9598</v>
      </c>
      <c r="B58" t="s">
        <v>9409</v>
      </c>
      <c r="C58" t="s">
        <v>9599</v>
      </c>
      <c r="D58" t="s">
        <v>9410</v>
      </c>
      <c r="E58" t="s">
        <v>9600</v>
      </c>
      <c r="F58" t="s">
        <v>9601</v>
      </c>
      <c r="G58" t="s">
        <v>9413</v>
      </c>
      <c r="H58" t="s">
        <v>9414</v>
      </c>
      <c r="I58" t="s">
        <v>9466</v>
      </c>
      <c r="J58" t="s">
        <v>2026</v>
      </c>
      <c r="K58" t="s">
        <v>9445</v>
      </c>
      <c r="L58" t="s">
        <v>9417</v>
      </c>
      <c r="M58" t="s">
        <v>9602</v>
      </c>
      <c r="N58" t="s">
        <v>9480</v>
      </c>
      <c r="O58" t="s">
        <v>9446</v>
      </c>
      <c r="P58" t="s">
        <v>9603</v>
      </c>
      <c r="Q58" t="s">
        <v>9421</v>
      </c>
      <c r="R58" t="s">
        <v>9604</v>
      </c>
      <c r="S58" t="s">
        <v>9605</v>
      </c>
      <c r="T58" t="s">
        <v>9606</v>
      </c>
    </row>
    <row r="59" spans="1:20">
      <c r="A59" t="s">
        <v>6470</v>
      </c>
      <c r="B59" t="s">
        <v>9409</v>
      </c>
      <c r="C59" t="s">
        <v>6474</v>
      </c>
      <c r="D59" t="s">
        <v>9410</v>
      </c>
      <c r="E59" t="s">
        <v>9607</v>
      </c>
      <c r="F59" t="s">
        <v>9412</v>
      </c>
      <c r="G59" t="s">
        <v>9413</v>
      </c>
      <c r="H59" t="s">
        <v>9414</v>
      </c>
      <c r="I59" t="s">
        <v>9415</v>
      </c>
      <c r="J59" t="s">
        <v>1920</v>
      </c>
      <c r="K59" t="s">
        <v>9416</v>
      </c>
      <c r="L59" t="s">
        <v>9417</v>
      </c>
      <c r="M59" t="s">
        <v>9478</v>
      </c>
      <c r="N59" t="s">
        <v>9608</v>
      </c>
      <c r="O59" t="s">
        <v>6472</v>
      </c>
      <c r="P59" t="s">
        <v>9429</v>
      </c>
      <c r="Q59" t="s">
        <v>9421</v>
      </c>
      <c r="R59" t="s">
        <v>52</v>
      </c>
      <c r="S59" t="s">
        <v>6471</v>
      </c>
      <c r="T59" t="s">
        <v>9609</v>
      </c>
    </row>
    <row r="60" spans="1:20">
      <c r="A60" t="s">
        <v>9610</v>
      </c>
      <c r="B60" t="s">
        <v>9409</v>
      </c>
      <c r="C60" t="s">
        <v>9611</v>
      </c>
      <c r="D60" t="s">
        <v>9410</v>
      </c>
      <c r="E60" t="s">
        <v>9612</v>
      </c>
      <c r="F60" t="s">
        <v>9412</v>
      </c>
      <c r="G60" t="s">
        <v>9413</v>
      </c>
      <c r="H60" t="s">
        <v>9414</v>
      </c>
      <c r="I60" t="s">
        <v>9511</v>
      </c>
      <c r="J60" t="s">
        <v>1043</v>
      </c>
      <c r="K60" t="s">
        <v>9416</v>
      </c>
      <c r="L60" t="s">
        <v>9417</v>
      </c>
      <c r="M60" t="s">
        <v>9534</v>
      </c>
      <c r="N60" t="s">
        <v>9430</v>
      </c>
      <c r="O60" t="s">
        <v>9613</v>
      </c>
      <c r="P60" t="s">
        <v>9550</v>
      </c>
      <c r="Q60" t="s">
        <v>9421</v>
      </c>
      <c r="R60" t="s">
        <v>84</v>
      </c>
      <c r="S60" t="s">
        <v>9614</v>
      </c>
      <c r="T60" t="s">
        <v>9615</v>
      </c>
    </row>
    <row r="61" spans="1:20">
      <c r="A61" t="s">
        <v>9610</v>
      </c>
      <c r="B61" t="s">
        <v>9409</v>
      </c>
      <c r="C61" t="s">
        <v>9611</v>
      </c>
      <c r="D61" t="s">
        <v>9410</v>
      </c>
      <c r="E61" t="s">
        <v>9612</v>
      </c>
      <c r="F61" t="s">
        <v>9412</v>
      </c>
      <c r="G61" t="s">
        <v>9413</v>
      </c>
      <c r="H61" t="s">
        <v>9414</v>
      </c>
      <c r="I61" t="s">
        <v>9511</v>
      </c>
      <c r="J61" t="s">
        <v>1043</v>
      </c>
      <c r="K61" t="s">
        <v>9416</v>
      </c>
      <c r="L61" t="s">
        <v>9417</v>
      </c>
      <c r="M61" t="s">
        <v>9534</v>
      </c>
      <c r="N61" t="s">
        <v>9437</v>
      </c>
      <c r="O61" t="s">
        <v>9616</v>
      </c>
      <c r="P61" t="s">
        <v>9420</v>
      </c>
      <c r="Q61" t="s">
        <v>9421</v>
      </c>
      <c r="R61" t="s">
        <v>17</v>
      </c>
      <c r="S61" t="s">
        <v>9610</v>
      </c>
      <c r="T61" t="s">
        <v>9617</v>
      </c>
    </row>
    <row r="62" spans="1:20">
      <c r="A62" t="s">
        <v>9618</v>
      </c>
      <c r="B62" t="s">
        <v>9409</v>
      </c>
      <c r="C62" t="s">
        <v>9619</v>
      </c>
      <c r="D62" t="s">
        <v>9410</v>
      </c>
      <c r="E62" t="s">
        <v>9620</v>
      </c>
      <c r="F62" t="s">
        <v>9412</v>
      </c>
      <c r="G62" t="s">
        <v>9413</v>
      </c>
      <c r="H62" t="s">
        <v>9414</v>
      </c>
      <c r="I62" t="s">
        <v>9441</v>
      </c>
      <c r="J62" t="s">
        <v>2174</v>
      </c>
      <c r="K62" t="s">
        <v>9416</v>
      </c>
      <c r="L62" t="s">
        <v>9417</v>
      </c>
      <c r="M62" t="s">
        <v>9473</v>
      </c>
      <c r="N62" t="s">
        <v>9621</v>
      </c>
      <c r="O62" t="s">
        <v>9622</v>
      </c>
      <c r="P62" t="s">
        <v>9623</v>
      </c>
      <c r="Q62" t="s">
        <v>9421</v>
      </c>
      <c r="R62" t="s">
        <v>24</v>
      </c>
      <c r="S62" t="s">
        <v>9618</v>
      </c>
      <c r="T62" t="s">
        <v>9624</v>
      </c>
    </row>
    <row r="63" spans="1:20">
      <c r="A63" t="s">
        <v>9625</v>
      </c>
      <c r="B63" t="s">
        <v>9409</v>
      </c>
      <c r="C63" t="s">
        <v>9626</v>
      </c>
      <c r="D63" t="s">
        <v>9410</v>
      </c>
      <c r="E63" t="s">
        <v>9627</v>
      </c>
      <c r="F63" t="s">
        <v>9412</v>
      </c>
      <c r="G63" t="s">
        <v>9413</v>
      </c>
      <c r="H63" t="s">
        <v>9414</v>
      </c>
      <c r="I63" t="s">
        <v>9628</v>
      </c>
      <c r="J63" t="s">
        <v>1043</v>
      </c>
      <c r="K63" t="s">
        <v>9416</v>
      </c>
      <c r="L63" t="s">
        <v>9417</v>
      </c>
      <c r="M63" t="s">
        <v>9512</v>
      </c>
      <c r="N63" t="s">
        <v>9437</v>
      </c>
      <c r="O63" t="s">
        <v>9629</v>
      </c>
      <c r="P63" t="s">
        <v>9420</v>
      </c>
      <c r="Q63" t="s">
        <v>9421</v>
      </c>
      <c r="R63" t="s">
        <v>17</v>
      </c>
      <c r="S63" t="s">
        <v>9625</v>
      </c>
      <c r="T63" t="s">
        <v>9630</v>
      </c>
    </row>
    <row r="64" spans="1:20">
      <c r="A64" t="s">
        <v>9625</v>
      </c>
      <c r="B64" t="s">
        <v>9409</v>
      </c>
      <c r="C64" t="s">
        <v>9626</v>
      </c>
      <c r="D64" t="s">
        <v>9410</v>
      </c>
      <c r="E64" t="s">
        <v>9627</v>
      </c>
      <c r="F64" t="s">
        <v>9412</v>
      </c>
      <c r="G64" t="s">
        <v>9413</v>
      </c>
      <c r="H64" t="s">
        <v>9414</v>
      </c>
      <c r="I64" t="s">
        <v>9628</v>
      </c>
      <c r="J64" t="s">
        <v>1043</v>
      </c>
      <c r="K64" t="s">
        <v>9416</v>
      </c>
      <c r="L64" t="s">
        <v>9417</v>
      </c>
      <c r="M64" t="s">
        <v>9512</v>
      </c>
      <c r="N64" t="s">
        <v>9437</v>
      </c>
      <c r="O64" t="s">
        <v>9631</v>
      </c>
      <c r="P64" t="s">
        <v>9429</v>
      </c>
      <c r="Q64" t="s">
        <v>9421</v>
      </c>
      <c r="R64" t="s">
        <v>52</v>
      </c>
      <c r="S64" t="s">
        <v>9632</v>
      </c>
      <c r="T64" t="s">
        <v>9633</v>
      </c>
    </row>
    <row r="65" spans="1:20">
      <c r="A65" t="s">
        <v>9634</v>
      </c>
      <c r="B65" t="s">
        <v>9409</v>
      </c>
      <c r="C65" t="s">
        <v>9635</v>
      </c>
      <c r="D65" t="s">
        <v>9410</v>
      </c>
      <c r="E65" t="s">
        <v>9636</v>
      </c>
      <c r="F65" t="s">
        <v>9412</v>
      </c>
      <c r="G65" t="s">
        <v>9413</v>
      </c>
      <c r="H65" t="s">
        <v>9414</v>
      </c>
      <c r="I65" t="s">
        <v>9637</v>
      </c>
      <c r="J65" t="s">
        <v>1808</v>
      </c>
      <c r="K65" t="s">
        <v>9416</v>
      </c>
      <c r="L65" t="s">
        <v>9417</v>
      </c>
      <c r="M65" t="s">
        <v>9638</v>
      </c>
      <c r="N65" t="s">
        <v>9639</v>
      </c>
      <c r="O65" t="s">
        <v>9640</v>
      </c>
      <c r="P65" t="s">
        <v>9420</v>
      </c>
      <c r="Q65" t="s">
        <v>9421</v>
      </c>
      <c r="R65" t="s">
        <v>17</v>
      </c>
      <c r="S65" t="s">
        <v>9634</v>
      </c>
      <c r="T65" t="s">
        <v>9641</v>
      </c>
    </row>
    <row r="66" spans="1:20">
      <c r="A66" t="s">
        <v>9642</v>
      </c>
      <c r="B66" t="s">
        <v>9409</v>
      </c>
      <c r="C66" t="s">
        <v>9643</v>
      </c>
      <c r="D66" t="s">
        <v>9410</v>
      </c>
      <c r="E66" t="s">
        <v>9644</v>
      </c>
      <c r="F66" t="s">
        <v>9412</v>
      </c>
      <c r="G66" t="s">
        <v>9413</v>
      </c>
      <c r="H66" t="s">
        <v>9414</v>
      </c>
      <c r="I66" t="s">
        <v>9645</v>
      </c>
      <c r="J66" t="s">
        <v>1155</v>
      </c>
      <c r="K66" t="s">
        <v>9416</v>
      </c>
      <c r="L66" t="s">
        <v>9417</v>
      </c>
      <c r="M66" t="s">
        <v>9503</v>
      </c>
      <c r="N66" t="s">
        <v>9446</v>
      </c>
      <c r="O66" t="s">
        <v>9646</v>
      </c>
      <c r="P66" t="s">
        <v>9647</v>
      </c>
      <c r="Q66" t="s">
        <v>9421</v>
      </c>
      <c r="R66" t="s">
        <v>84</v>
      </c>
      <c r="S66" t="s">
        <v>9648</v>
      </c>
      <c r="T66" t="s">
        <v>9649</v>
      </c>
    </row>
    <row r="67" spans="1:20">
      <c r="A67" t="s">
        <v>9642</v>
      </c>
      <c r="B67" t="s">
        <v>9409</v>
      </c>
      <c r="C67" t="s">
        <v>9643</v>
      </c>
      <c r="D67" t="s">
        <v>9410</v>
      </c>
      <c r="E67" t="s">
        <v>9644</v>
      </c>
      <c r="F67" t="s">
        <v>9412</v>
      </c>
      <c r="G67" t="s">
        <v>9413</v>
      </c>
      <c r="H67" t="s">
        <v>9414</v>
      </c>
      <c r="I67" t="s">
        <v>9645</v>
      </c>
      <c r="J67" t="s">
        <v>1155</v>
      </c>
      <c r="K67" t="s">
        <v>9416</v>
      </c>
      <c r="L67" t="s">
        <v>9417</v>
      </c>
      <c r="M67" t="s">
        <v>9503</v>
      </c>
      <c r="N67" t="s">
        <v>9446</v>
      </c>
      <c r="O67" t="s">
        <v>9650</v>
      </c>
      <c r="P67" t="s">
        <v>9651</v>
      </c>
      <c r="Q67" t="s">
        <v>9421</v>
      </c>
      <c r="R67" t="s">
        <v>56</v>
      </c>
      <c r="S67" t="s">
        <v>9652</v>
      </c>
      <c r="T67" t="s">
        <v>9653</v>
      </c>
    </row>
    <row r="68" spans="1:20">
      <c r="A68" t="s">
        <v>9642</v>
      </c>
      <c r="B68" t="s">
        <v>9409</v>
      </c>
      <c r="C68" t="s">
        <v>9643</v>
      </c>
      <c r="D68" t="s">
        <v>9410</v>
      </c>
      <c r="E68" t="s">
        <v>9644</v>
      </c>
      <c r="F68" t="s">
        <v>9412</v>
      </c>
      <c r="G68" t="s">
        <v>9413</v>
      </c>
      <c r="H68" t="s">
        <v>9414</v>
      </c>
      <c r="I68" t="s">
        <v>9645</v>
      </c>
      <c r="J68" t="s">
        <v>1155</v>
      </c>
      <c r="K68" t="s">
        <v>9416</v>
      </c>
      <c r="L68" t="s">
        <v>9417</v>
      </c>
      <c r="M68" t="s">
        <v>9503</v>
      </c>
      <c r="N68" t="s">
        <v>9446</v>
      </c>
      <c r="O68" t="s">
        <v>9654</v>
      </c>
      <c r="P68" t="s">
        <v>9655</v>
      </c>
      <c r="Q68" t="s">
        <v>9421</v>
      </c>
      <c r="R68" t="s">
        <v>56</v>
      </c>
      <c r="S68" t="s">
        <v>9656</v>
      </c>
      <c r="T68" t="s">
        <v>9657</v>
      </c>
    </row>
    <row r="69" spans="1:20">
      <c r="A69" t="s">
        <v>9658</v>
      </c>
      <c r="B69" t="s">
        <v>9409</v>
      </c>
      <c r="C69" t="s">
        <v>9659</v>
      </c>
      <c r="D69" t="s">
        <v>9410</v>
      </c>
      <c r="E69" t="s">
        <v>9660</v>
      </c>
      <c r="F69" t="s">
        <v>9412</v>
      </c>
      <c r="G69" t="s">
        <v>9413</v>
      </c>
      <c r="H69" t="s">
        <v>9414</v>
      </c>
      <c r="I69" t="s">
        <v>9637</v>
      </c>
      <c r="J69" t="s">
        <v>1155</v>
      </c>
      <c r="K69" t="s">
        <v>9416</v>
      </c>
      <c r="L69" t="s">
        <v>9417</v>
      </c>
      <c r="M69" t="s">
        <v>9487</v>
      </c>
      <c r="N69" t="s">
        <v>9488</v>
      </c>
      <c r="O69" t="s">
        <v>9661</v>
      </c>
      <c r="P69" t="s">
        <v>9429</v>
      </c>
      <c r="Q69" t="s">
        <v>9421</v>
      </c>
      <c r="R69" t="s">
        <v>52</v>
      </c>
      <c r="S69" t="s">
        <v>9658</v>
      </c>
      <c r="T69" t="s">
        <v>9662</v>
      </c>
    </row>
    <row r="70" spans="1:20">
      <c r="A70" t="s">
        <v>9658</v>
      </c>
      <c r="B70" t="s">
        <v>9409</v>
      </c>
      <c r="C70" t="s">
        <v>9659</v>
      </c>
      <c r="D70" t="s">
        <v>9410</v>
      </c>
      <c r="E70" t="s">
        <v>9660</v>
      </c>
      <c r="F70" t="s">
        <v>9412</v>
      </c>
      <c r="G70" t="s">
        <v>9413</v>
      </c>
      <c r="H70" t="s">
        <v>9414</v>
      </c>
      <c r="I70" t="s">
        <v>9637</v>
      </c>
      <c r="J70" t="s">
        <v>1155</v>
      </c>
      <c r="K70" t="s">
        <v>9416</v>
      </c>
      <c r="L70" t="s">
        <v>9417</v>
      </c>
      <c r="M70" t="s">
        <v>9487</v>
      </c>
      <c r="N70" t="s">
        <v>9430</v>
      </c>
      <c r="O70" t="s">
        <v>9663</v>
      </c>
      <c r="P70" t="s">
        <v>9459</v>
      </c>
      <c r="Q70" t="s">
        <v>9421</v>
      </c>
      <c r="R70" t="s">
        <v>17</v>
      </c>
      <c r="S70" t="s">
        <v>9664</v>
      </c>
      <c r="T70" t="s">
        <v>9665</v>
      </c>
    </row>
    <row r="71" spans="1:20">
      <c r="A71" t="s">
        <v>1259</v>
      </c>
      <c r="B71" t="s">
        <v>20</v>
      </c>
      <c r="C71" t="s">
        <v>1262</v>
      </c>
      <c r="D71" t="s">
        <v>9666</v>
      </c>
      <c r="E71" t="s">
        <v>9667</v>
      </c>
      <c r="F71" t="s">
        <v>9412</v>
      </c>
      <c r="G71" t="s">
        <v>9413</v>
      </c>
      <c r="H71" t="s">
        <v>1044</v>
      </c>
      <c r="I71" t="s">
        <v>9511</v>
      </c>
      <c r="J71" t="s">
        <v>1246</v>
      </c>
      <c r="K71" t="s">
        <v>9416</v>
      </c>
      <c r="L71" t="s">
        <v>9417</v>
      </c>
      <c r="M71" t="s">
        <v>9467</v>
      </c>
      <c r="N71" t="s">
        <v>9419</v>
      </c>
      <c r="O71" t="s">
        <v>5688</v>
      </c>
      <c r="P71" t="s">
        <v>9429</v>
      </c>
      <c r="Q71" t="s">
        <v>9421</v>
      </c>
      <c r="R71" t="s">
        <v>52</v>
      </c>
      <c r="S71" t="s">
        <v>1259</v>
      </c>
      <c r="T71" t="s">
        <v>1261</v>
      </c>
    </row>
    <row r="72" spans="1:20">
      <c r="A72" t="s">
        <v>9668</v>
      </c>
      <c r="B72" t="s">
        <v>9409</v>
      </c>
      <c r="C72" t="s">
        <v>9669</v>
      </c>
      <c r="D72" t="s">
        <v>9410</v>
      </c>
      <c r="E72" t="s">
        <v>9670</v>
      </c>
      <c r="F72" t="s">
        <v>9412</v>
      </c>
      <c r="G72" t="s">
        <v>9413</v>
      </c>
      <c r="H72" t="s">
        <v>9414</v>
      </c>
      <c r="I72" t="s">
        <v>9435</v>
      </c>
      <c r="J72" t="s">
        <v>2026</v>
      </c>
      <c r="K72" t="s">
        <v>9416</v>
      </c>
      <c r="L72" t="s">
        <v>9417</v>
      </c>
      <c r="M72" t="s">
        <v>9478</v>
      </c>
      <c r="N72" t="s">
        <v>9480</v>
      </c>
      <c r="O72" t="s">
        <v>9671</v>
      </c>
      <c r="P72" t="s">
        <v>9420</v>
      </c>
      <c r="Q72" t="s">
        <v>9421</v>
      </c>
      <c r="R72" t="s">
        <v>17</v>
      </c>
      <c r="S72" t="s">
        <v>9668</v>
      </c>
      <c r="T72" t="s">
        <v>9672</v>
      </c>
    </row>
    <row r="73" spans="1:20">
      <c r="A73" t="s">
        <v>5444</v>
      </c>
      <c r="B73" t="s">
        <v>9409</v>
      </c>
      <c r="C73" t="s">
        <v>5447</v>
      </c>
      <c r="D73" t="s">
        <v>9410</v>
      </c>
      <c r="E73" t="s">
        <v>9673</v>
      </c>
      <c r="F73" t="s">
        <v>9412</v>
      </c>
      <c r="G73" t="s">
        <v>9413</v>
      </c>
      <c r="H73" t="s">
        <v>9414</v>
      </c>
      <c r="I73" t="s">
        <v>9674</v>
      </c>
      <c r="J73" t="s">
        <v>1043</v>
      </c>
      <c r="K73" t="s">
        <v>9416</v>
      </c>
      <c r="L73" t="s">
        <v>9417</v>
      </c>
      <c r="M73" t="s">
        <v>9512</v>
      </c>
      <c r="N73" t="s">
        <v>9437</v>
      </c>
      <c r="O73" t="s">
        <v>5445</v>
      </c>
      <c r="P73" t="s">
        <v>9420</v>
      </c>
      <c r="Q73" t="s">
        <v>9421</v>
      </c>
      <c r="R73" t="s">
        <v>17</v>
      </c>
      <c r="S73" t="s">
        <v>5444</v>
      </c>
      <c r="T73" t="s">
        <v>9675</v>
      </c>
    </row>
    <row r="74" spans="1:20">
      <c r="A74" t="s">
        <v>5444</v>
      </c>
      <c r="B74" t="s">
        <v>9409</v>
      </c>
      <c r="C74" t="s">
        <v>5447</v>
      </c>
      <c r="D74" t="s">
        <v>9410</v>
      </c>
      <c r="E74" t="s">
        <v>9673</v>
      </c>
      <c r="F74" t="s">
        <v>9412</v>
      </c>
      <c r="G74" t="s">
        <v>9413</v>
      </c>
      <c r="H74" t="s">
        <v>9414</v>
      </c>
      <c r="I74" t="s">
        <v>9674</v>
      </c>
      <c r="J74" t="s">
        <v>1043</v>
      </c>
      <c r="K74" t="s">
        <v>9445</v>
      </c>
      <c r="L74" t="s">
        <v>9417</v>
      </c>
      <c r="M74" t="s">
        <v>9512</v>
      </c>
      <c r="N74" t="s">
        <v>9426</v>
      </c>
      <c r="O74" t="s">
        <v>9446</v>
      </c>
      <c r="P74" t="s">
        <v>9427</v>
      </c>
      <c r="Q74" t="s">
        <v>9421</v>
      </c>
      <c r="R74" t="s">
        <v>43</v>
      </c>
      <c r="S74" t="s">
        <v>1178</v>
      </c>
      <c r="T74" t="s">
        <v>1180</v>
      </c>
    </row>
    <row r="75" spans="1:20">
      <c r="A75" t="s">
        <v>2113</v>
      </c>
      <c r="B75" t="s">
        <v>20</v>
      </c>
      <c r="C75" t="s">
        <v>6750</v>
      </c>
      <c r="D75" t="s">
        <v>9455</v>
      </c>
      <c r="E75" t="s">
        <v>9676</v>
      </c>
      <c r="F75" t="s">
        <v>9412</v>
      </c>
      <c r="G75" t="s">
        <v>9413</v>
      </c>
      <c r="H75" t="s">
        <v>9414</v>
      </c>
      <c r="I75" t="s">
        <v>9482</v>
      </c>
      <c r="J75" t="s">
        <v>2098</v>
      </c>
      <c r="K75" t="s">
        <v>9416</v>
      </c>
      <c r="L75" t="s">
        <v>9417</v>
      </c>
      <c r="M75" t="s">
        <v>9442</v>
      </c>
      <c r="N75" t="s">
        <v>9446</v>
      </c>
      <c r="O75" t="s">
        <v>6748</v>
      </c>
      <c r="P75" t="s">
        <v>9655</v>
      </c>
      <c r="Q75" t="s">
        <v>9421</v>
      </c>
      <c r="R75" t="s">
        <v>56</v>
      </c>
      <c r="S75" t="s">
        <v>2114</v>
      </c>
      <c r="T75" t="s">
        <v>2116</v>
      </c>
    </row>
    <row r="76" spans="1:20">
      <c r="A76" t="s">
        <v>2113</v>
      </c>
      <c r="B76" t="s">
        <v>20</v>
      </c>
      <c r="C76" t="s">
        <v>6750</v>
      </c>
      <c r="D76" t="s">
        <v>9455</v>
      </c>
      <c r="E76" t="s">
        <v>9676</v>
      </c>
      <c r="F76" t="s">
        <v>9412</v>
      </c>
      <c r="G76" t="s">
        <v>9413</v>
      </c>
      <c r="H76" t="s">
        <v>9414</v>
      </c>
      <c r="I76" t="s">
        <v>9482</v>
      </c>
      <c r="J76" t="s">
        <v>2098</v>
      </c>
      <c r="K76" t="s">
        <v>9416</v>
      </c>
      <c r="L76" t="s">
        <v>9417</v>
      </c>
      <c r="M76" t="s">
        <v>9442</v>
      </c>
      <c r="N76" t="s">
        <v>9430</v>
      </c>
      <c r="O76" t="s">
        <v>6752</v>
      </c>
      <c r="P76" t="s">
        <v>9474</v>
      </c>
      <c r="Q76" t="s">
        <v>9421</v>
      </c>
      <c r="R76" t="s">
        <v>43</v>
      </c>
      <c r="S76" t="s">
        <v>2118</v>
      </c>
      <c r="T76" t="s">
        <v>2120</v>
      </c>
    </row>
    <row r="77" spans="1:20">
      <c r="A77" t="s">
        <v>1057</v>
      </c>
      <c r="B77" t="s">
        <v>20</v>
      </c>
      <c r="C77" t="s">
        <v>5451</v>
      </c>
      <c r="D77" t="s">
        <v>9677</v>
      </c>
      <c r="E77" t="s">
        <v>9678</v>
      </c>
      <c r="F77" t="s">
        <v>9412</v>
      </c>
      <c r="G77" t="s">
        <v>9413</v>
      </c>
      <c r="H77" t="s">
        <v>9414</v>
      </c>
      <c r="I77" t="s">
        <v>9441</v>
      </c>
      <c r="J77" t="s">
        <v>1043</v>
      </c>
      <c r="K77" t="s">
        <v>9416</v>
      </c>
      <c r="L77" t="s">
        <v>9417</v>
      </c>
      <c r="M77" t="s">
        <v>9463</v>
      </c>
      <c r="N77" t="s">
        <v>9437</v>
      </c>
      <c r="O77" t="s">
        <v>5453</v>
      </c>
      <c r="P77" t="s">
        <v>9429</v>
      </c>
      <c r="Q77" t="s">
        <v>9421</v>
      </c>
      <c r="R77" t="s">
        <v>52</v>
      </c>
      <c r="S77" t="s">
        <v>1061</v>
      </c>
      <c r="T77" t="s">
        <v>1063</v>
      </c>
    </row>
    <row r="78" spans="1:20">
      <c r="A78" t="s">
        <v>1057</v>
      </c>
      <c r="B78" t="s">
        <v>20</v>
      </c>
      <c r="C78" t="s">
        <v>5451</v>
      </c>
      <c r="D78" t="s">
        <v>9677</v>
      </c>
      <c r="E78" t="s">
        <v>9678</v>
      </c>
      <c r="F78" t="s">
        <v>9412</v>
      </c>
      <c r="G78" t="s">
        <v>9413</v>
      </c>
      <c r="H78" t="s">
        <v>9414</v>
      </c>
      <c r="I78" t="s">
        <v>9441</v>
      </c>
      <c r="J78" t="s">
        <v>1043</v>
      </c>
      <c r="K78" t="s">
        <v>9445</v>
      </c>
      <c r="L78" t="s">
        <v>9417</v>
      </c>
      <c r="M78" t="s">
        <v>9463</v>
      </c>
      <c r="N78" t="s">
        <v>9426</v>
      </c>
      <c r="O78" t="s">
        <v>9446</v>
      </c>
      <c r="P78" t="s">
        <v>9479</v>
      </c>
      <c r="Q78" t="s">
        <v>9421</v>
      </c>
      <c r="R78" t="s">
        <v>43</v>
      </c>
      <c r="S78" t="s">
        <v>1064</v>
      </c>
      <c r="T78" t="s">
        <v>1066</v>
      </c>
    </row>
    <row r="79" spans="1:20">
      <c r="A79" t="s">
        <v>1057</v>
      </c>
      <c r="B79" t="s">
        <v>20</v>
      </c>
      <c r="C79" t="s">
        <v>5451</v>
      </c>
      <c r="D79" t="s">
        <v>9677</v>
      </c>
      <c r="E79" t="s">
        <v>9678</v>
      </c>
      <c r="F79" t="s">
        <v>9412</v>
      </c>
      <c r="G79" t="s">
        <v>9413</v>
      </c>
      <c r="H79" t="s">
        <v>9414</v>
      </c>
      <c r="I79" t="s">
        <v>9441</v>
      </c>
      <c r="J79" t="s">
        <v>1043</v>
      </c>
      <c r="K79" t="s">
        <v>9416</v>
      </c>
      <c r="L79" t="s">
        <v>9417</v>
      </c>
      <c r="M79" t="s">
        <v>9463</v>
      </c>
      <c r="N79" t="s">
        <v>9437</v>
      </c>
      <c r="O79" t="s">
        <v>5449</v>
      </c>
      <c r="P79" t="s">
        <v>9420</v>
      </c>
      <c r="Q79" t="s">
        <v>9421</v>
      </c>
      <c r="R79" t="s">
        <v>17</v>
      </c>
      <c r="S79" t="s">
        <v>1057</v>
      </c>
      <c r="T79" t="s">
        <v>1059</v>
      </c>
    </row>
    <row r="80" spans="1:20">
      <c r="A80" t="s">
        <v>9679</v>
      </c>
      <c r="B80" t="s">
        <v>9409</v>
      </c>
      <c r="C80" t="s">
        <v>9680</v>
      </c>
      <c r="D80" t="s">
        <v>9410</v>
      </c>
      <c r="E80" t="s">
        <v>9681</v>
      </c>
      <c r="F80" t="s">
        <v>9412</v>
      </c>
      <c r="G80" t="s">
        <v>9413</v>
      </c>
      <c r="H80" t="s">
        <v>9414</v>
      </c>
      <c r="I80" t="s">
        <v>9682</v>
      </c>
      <c r="J80" t="s">
        <v>1375</v>
      </c>
      <c r="K80" t="s">
        <v>9416</v>
      </c>
      <c r="L80" t="s">
        <v>9417</v>
      </c>
      <c r="M80" t="s">
        <v>9534</v>
      </c>
      <c r="N80" t="s">
        <v>9443</v>
      </c>
      <c r="O80" t="s">
        <v>9683</v>
      </c>
      <c r="P80" t="s">
        <v>9429</v>
      </c>
      <c r="Q80" t="s">
        <v>9421</v>
      </c>
      <c r="R80" t="s">
        <v>52</v>
      </c>
      <c r="S80" t="s">
        <v>9679</v>
      </c>
      <c r="T80" t="s">
        <v>9684</v>
      </c>
    </row>
    <row r="81" spans="1:20">
      <c r="A81" t="s">
        <v>9679</v>
      </c>
      <c r="B81" t="s">
        <v>9409</v>
      </c>
      <c r="C81" t="s">
        <v>9680</v>
      </c>
      <c r="D81" t="s">
        <v>9410</v>
      </c>
      <c r="E81" t="s">
        <v>9681</v>
      </c>
      <c r="F81" t="s">
        <v>9412</v>
      </c>
      <c r="G81" t="s">
        <v>9413</v>
      </c>
      <c r="H81" t="s">
        <v>9414</v>
      </c>
      <c r="I81" t="s">
        <v>9682</v>
      </c>
      <c r="J81" t="s">
        <v>1375</v>
      </c>
      <c r="K81" t="s">
        <v>9416</v>
      </c>
      <c r="L81" t="s">
        <v>9417</v>
      </c>
      <c r="M81" t="s">
        <v>9534</v>
      </c>
      <c r="N81" t="s">
        <v>9443</v>
      </c>
      <c r="O81" t="s">
        <v>9685</v>
      </c>
      <c r="P81" t="s">
        <v>9655</v>
      </c>
      <c r="Q81" t="s">
        <v>9421</v>
      </c>
      <c r="R81" t="s">
        <v>56</v>
      </c>
      <c r="S81" t="s">
        <v>9686</v>
      </c>
      <c r="T81" t="s">
        <v>9687</v>
      </c>
    </row>
    <row r="82" spans="1:20">
      <c r="A82" t="s">
        <v>9679</v>
      </c>
      <c r="B82" t="s">
        <v>9409</v>
      </c>
      <c r="C82" t="s">
        <v>9680</v>
      </c>
      <c r="D82" t="s">
        <v>9410</v>
      </c>
      <c r="E82" t="s">
        <v>9681</v>
      </c>
      <c r="F82" t="s">
        <v>9412</v>
      </c>
      <c r="G82" t="s">
        <v>9413</v>
      </c>
      <c r="H82" t="s">
        <v>9414</v>
      </c>
      <c r="I82" t="s">
        <v>9682</v>
      </c>
      <c r="J82" t="s">
        <v>1375</v>
      </c>
      <c r="K82" t="s">
        <v>9416</v>
      </c>
      <c r="L82" t="s">
        <v>9417</v>
      </c>
      <c r="M82" t="s">
        <v>9534</v>
      </c>
      <c r="N82" t="s">
        <v>9430</v>
      </c>
      <c r="O82" t="s">
        <v>9688</v>
      </c>
      <c r="P82" t="s">
        <v>9655</v>
      </c>
      <c r="Q82" t="s">
        <v>9421</v>
      </c>
      <c r="R82" t="s">
        <v>56</v>
      </c>
      <c r="S82" t="s">
        <v>9689</v>
      </c>
      <c r="T82" t="s">
        <v>9690</v>
      </c>
    </row>
    <row r="83" spans="1:20">
      <c r="A83" t="s">
        <v>5692</v>
      </c>
      <c r="B83" t="s">
        <v>9409</v>
      </c>
      <c r="C83" t="s">
        <v>5695</v>
      </c>
      <c r="D83" t="s">
        <v>9410</v>
      </c>
      <c r="E83" t="s">
        <v>9691</v>
      </c>
      <c r="F83" t="s">
        <v>9412</v>
      </c>
      <c r="G83" t="s">
        <v>9413</v>
      </c>
      <c r="H83" t="s">
        <v>9414</v>
      </c>
      <c r="I83" t="s">
        <v>9462</v>
      </c>
      <c r="J83" t="s">
        <v>1246</v>
      </c>
      <c r="K83" t="s">
        <v>9416</v>
      </c>
      <c r="L83" t="s">
        <v>9417</v>
      </c>
      <c r="M83" t="s">
        <v>9483</v>
      </c>
      <c r="N83" t="s">
        <v>9419</v>
      </c>
      <c r="O83" t="s">
        <v>5693</v>
      </c>
      <c r="P83" t="s">
        <v>9420</v>
      </c>
      <c r="Q83" t="s">
        <v>9421</v>
      </c>
      <c r="R83" t="s">
        <v>17</v>
      </c>
      <c r="S83" t="s">
        <v>5692</v>
      </c>
      <c r="T83" t="s">
        <v>9692</v>
      </c>
    </row>
    <row r="84" spans="1:20">
      <c r="A84" t="s">
        <v>9693</v>
      </c>
      <c r="B84" t="s">
        <v>9409</v>
      </c>
      <c r="C84" t="s">
        <v>9694</v>
      </c>
      <c r="D84" t="s">
        <v>9410</v>
      </c>
      <c r="E84" t="s">
        <v>9695</v>
      </c>
      <c r="F84" t="s">
        <v>9412</v>
      </c>
      <c r="G84" t="s">
        <v>9413</v>
      </c>
      <c r="H84" t="s">
        <v>9414</v>
      </c>
      <c r="I84" t="s">
        <v>9518</v>
      </c>
      <c r="J84" t="s">
        <v>1155</v>
      </c>
      <c r="K84" t="s">
        <v>9416</v>
      </c>
      <c r="L84" t="s">
        <v>9417</v>
      </c>
      <c r="M84" t="s">
        <v>9503</v>
      </c>
      <c r="N84" t="s">
        <v>9430</v>
      </c>
      <c r="O84" t="s">
        <v>9696</v>
      </c>
      <c r="P84" t="s">
        <v>9459</v>
      </c>
      <c r="Q84" t="s">
        <v>9421</v>
      </c>
      <c r="R84" t="s">
        <v>17</v>
      </c>
      <c r="S84" t="s">
        <v>9697</v>
      </c>
      <c r="T84" t="s">
        <v>9698</v>
      </c>
    </row>
    <row r="85" spans="1:20">
      <c r="A85" t="s">
        <v>9693</v>
      </c>
      <c r="B85" t="s">
        <v>9409</v>
      </c>
      <c r="C85" t="s">
        <v>9694</v>
      </c>
      <c r="D85" t="s">
        <v>9410</v>
      </c>
      <c r="E85" t="s">
        <v>9695</v>
      </c>
      <c r="F85" t="s">
        <v>9412</v>
      </c>
      <c r="G85" t="s">
        <v>9413</v>
      </c>
      <c r="H85" t="s">
        <v>9414</v>
      </c>
      <c r="I85" t="s">
        <v>9518</v>
      </c>
      <c r="J85" t="s">
        <v>1155</v>
      </c>
      <c r="K85" t="s">
        <v>9416</v>
      </c>
      <c r="L85" t="s">
        <v>9417</v>
      </c>
      <c r="M85" t="s">
        <v>9503</v>
      </c>
      <c r="N85" t="s">
        <v>9488</v>
      </c>
      <c r="O85" t="s">
        <v>9699</v>
      </c>
      <c r="P85" t="s">
        <v>9420</v>
      </c>
      <c r="Q85" t="s">
        <v>9421</v>
      </c>
      <c r="R85" t="s">
        <v>17</v>
      </c>
      <c r="S85" t="s">
        <v>9693</v>
      </c>
      <c r="T85" t="s">
        <v>9700</v>
      </c>
    </row>
    <row r="86" spans="1:20">
      <c r="A86" t="s">
        <v>5919</v>
      </c>
      <c r="B86" t="s">
        <v>9409</v>
      </c>
      <c r="C86" t="s">
        <v>5922</v>
      </c>
      <c r="D86" t="s">
        <v>9410</v>
      </c>
      <c r="E86" t="s">
        <v>9701</v>
      </c>
      <c r="F86" t="s">
        <v>9412</v>
      </c>
      <c r="G86" t="s">
        <v>9413</v>
      </c>
      <c r="H86" t="s">
        <v>9414</v>
      </c>
      <c r="I86" t="s">
        <v>9469</v>
      </c>
      <c r="J86" t="s">
        <v>1442</v>
      </c>
      <c r="K86" t="s">
        <v>9445</v>
      </c>
      <c r="L86" t="s">
        <v>9417</v>
      </c>
      <c r="M86" t="s">
        <v>9702</v>
      </c>
      <c r="N86" t="s">
        <v>9426</v>
      </c>
      <c r="O86" t="s">
        <v>9446</v>
      </c>
      <c r="P86" t="s">
        <v>9647</v>
      </c>
      <c r="Q86" t="s">
        <v>9421</v>
      </c>
      <c r="R86" t="s">
        <v>56</v>
      </c>
      <c r="S86" t="s">
        <v>1560</v>
      </c>
      <c r="T86" t="s">
        <v>1562</v>
      </c>
    </row>
    <row r="87" spans="1:20">
      <c r="A87" t="s">
        <v>5919</v>
      </c>
      <c r="B87" t="s">
        <v>9409</v>
      </c>
      <c r="C87" t="s">
        <v>5922</v>
      </c>
      <c r="D87" t="s">
        <v>9410</v>
      </c>
      <c r="E87" t="s">
        <v>9701</v>
      </c>
      <c r="F87" t="s">
        <v>9412</v>
      </c>
      <c r="G87" t="s">
        <v>9413</v>
      </c>
      <c r="H87" t="s">
        <v>9414</v>
      </c>
      <c r="I87" t="s">
        <v>9469</v>
      </c>
      <c r="J87" t="s">
        <v>1442</v>
      </c>
      <c r="K87" t="s">
        <v>9416</v>
      </c>
      <c r="L87" t="s">
        <v>9417</v>
      </c>
      <c r="M87" t="s">
        <v>9702</v>
      </c>
      <c r="N87" t="s">
        <v>9428</v>
      </c>
      <c r="O87" t="s">
        <v>5920</v>
      </c>
      <c r="P87" t="s">
        <v>9429</v>
      </c>
      <c r="Q87" t="s">
        <v>9421</v>
      </c>
      <c r="R87" t="s">
        <v>52</v>
      </c>
      <c r="S87" t="s">
        <v>5919</v>
      </c>
      <c r="T87" t="s">
        <v>9703</v>
      </c>
    </row>
    <row r="88" spans="1:20">
      <c r="A88" t="s">
        <v>1809</v>
      </c>
      <c r="B88" t="s">
        <v>20</v>
      </c>
      <c r="C88" t="s">
        <v>1812</v>
      </c>
      <c r="D88" t="s">
        <v>9475</v>
      </c>
      <c r="E88" t="s">
        <v>9704</v>
      </c>
      <c r="F88" t="s">
        <v>9412</v>
      </c>
      <c r="G88" t="s">
        <v>9413</v>
      </c>
      <c r="H88" t="s">
        <v>1044</v>
      </c>
      <c r="I88" t="s">
        <v>9462</v>
      </c>
      <c r="J88" t="s">
        <v>1808</v>
      </c>
      <c r="K88" t="s">
        <v>9416</v>
      </c>
      <c r="L88" t="s">
        <v>9417</v>
      </c>
      <c r="M88" t="s">
        <v>9705</v>
      </c>
      <c r="N88" t="s">
        <v>9639</v>
      </c>
      <c r="O88" t="s">
        <v>6327</v>
      </c>
      <c r="P88" t="s">
        <v>9429</v>
      </c>
      <c r="Q88" t="s">
        <v>9421</v>
      </c>
      <c r="R88" t="s">
        <v>52</v>
      </c>
      <c r="S88" t="s">
        <v>1809</v>
      </c>
      <c r="T88" t="s">
        <v>1811</v>
      </c>
    </row>
    <row r="89" spans="1:20">
      <c r="A89" t="s">
        <v>1809</v>
      </c>
      <c r="B89" t="s">
        <v>20</v>
      </c>
      <c r="C89" t="s">
        <v>1812</v>
      </c>
      <c r="D89" t="s">
        <v>9475</v>
      </c>
      <c r="E89" t="s">
        <v>9704</v>
      </c>
      <c r="F89" t="s">
        <v>9412</v>
      </c>
      <c r="G89" t="s">
        <v>9413</v>
      </c>
      <c r="H89" t="s">
        <v>1044</v>
      </c>
      <c r="I89" t="s">
        <v>9462</v>
      </c>
      <c r="J89" t="s">
        <v>1808</v>
      </c>
      <c r="K89" t="s">
        <v>9445</v>
      </c>
      <c r="L89" t="s">
        <v>9417</v>
      </c>
      <c r="M89" t="s">
        <v>9705</v>
      </c>
      <c r="N89" t="s">
        <v>9426</v>
      </c>
      <c r="O89" t="s">
        <v>9446</v>
      </c>
      <c r="P89" t="s">
        <v>9479</v>
      </c>
      <c r="Q89" t="s">
        <v>9421</v>
      </c>
      <c r="R89" t="s">
        <v>43</v>
      </c>
      <c r="S89" t="s">
        <v>1889</v>
      </c>
      <c r="T89" t="s">
        <v>1891</v>
      </c>
    </row>
    <row r="90" spans="1:20">
      <c r="A90" t="s">
        <v>9706</v>
      </c>
      <c r="B90" t="s">
        <v>9409</v>
      </c>
      <c r="C90" t="s">
        <v>9707</v>
      </c>
      <c r="D90" t="s">
        <v>9410</v>
      </c>
      <c r="E90" t="s">
        <v>9708</v>
      </c>
      <c r="F90" t="s">
        <v>9601</v>
      </c>
      <c r="G90" t="s">
        <v>9413</v>
      </c>
      <c r="H90" t="s">
        <v>9414</v>
      </c>
      <c r="I90" t="s">
        <v>9709</v>
      </c>
      <c r="J90" t="s">
        <v>2026</v>
      </c>
      <c r="K90" t="s">
        <v>9445</v>
      </c>
      <c r="L90" t="s">
        <v>9417</v>
      </c>
      <c r="M90" t="s">
        <v>9602</v>
      </c>
      <c r="N90" t="s">
        <v>9480</v>
      </c>
      <c r="O90" t="s">
        <v>9446</v>
      </c>
      <c r="P90" t="s">
        <v>9603</v>
      </c>
      <c r="Q90" t="s">
        <v>9421</v>
      </c>
      <c r="R90" t="s">
        <v>9604</v>
      </c>
      <c r="S90" t="s">
        <v>9605</v>
      </c>
      <c r="T90" t="s">
        <v>9606</v>
      </c>
    </row>
    <row r="91" spans="1:20">
      <c r="A91" t="s">
        <v>1798</v>
      </c>
      <c r="B91" t="s">
        <v>9409</v>
      </c>
      <c r="C91" t="s">
        <v>9710</v>
      </c>
      <c r="D91" t="s">
        <v>9410</v>
      </c>
      <c r="E91" t="s">
        <v>9711</v>
      </c>
      <c r="F91" t="s">
        <v>9412</v>
      </c>
      <c r="G91" t="s">
        <v>9413</v>
      </c>
      <c r="H91" t="s">
        <v>9414</v>
      </c>
      <c r="I91" t="s">
        <v>9712</v>
      </c>
      <c r="J91" t="s">
        <v>1683</v>
      </c>
      <c r="K91" t="s">
        <v>9445</v>
      </c>
      <c r="L91" t="s">
        <v>9417</v>
      </c>
      <c r="M91" t="s">
        <v>9453</v>
      </c>
      <c r="N91" t="s">
        <v>9430</v>
      </c>
      <c r="O91" t="s">
        <v>9446</v>
      </c>
      <c r="P91" t="s">
        <v>9474</v>
      </c>
      <c r="Q91" t="s">
        <v>9421</v>
      </c>
      <c r="R91" t="s">
        <v>43</v>
      </c>
      <c r="S91" t="s">
        <v>1692</v>
      </c>
      <c r="T91" t="s">
        <v>1694</v>
      </c>
    </row>
    <row r="92" spans="1:20">
      <c r="A92" t="s">
        <v>1590</v>
      </c>
      <c r="B92" t="s">
        <v>62</v>
      </c>
      <c r="C92" t="s">
        <v>6077</v>
      </c>
      <c r="D92" t="s">
        <v>445</v>
      </c>
      <c r="E92" t="s">
        <v>9713</v>
      </c>
      <c r="F92" t="s">
        <v>9412</v>
      </c>
      <c r="G92" t="s">
        <v>9413</v>
      </c>
      <c r="H92" t="s">
        <v>9414</v>
      </c>
      <c r="I92" t="s">
        <v>9714</v>
      </c>
      <c r="J92" t="s">
        <v>1589</v>
      </c>
      <c r="K92" t="s">
        <v>9445</v>
      </c>
      <c r="L92" t="s">
        <v>9417</v>
      </c>
      <c r="M92" t="s">
        <v>9715</v>
      </c>
      <c r="N92" t="s">
        <v>9426</v>
      </c>
      <c r="O92" t="s">
        <v>9446</v>
      </c>
      <c r="P92" t="s">
        <v>9479</v>
      </c>
      <c r="Q92" t="s">
        <v>9421</v>
      </c>
      <c r="R92" t="s">
        <v>43</v>
      </c>
      <c r="S92" t="s">
        <v>1594</v>
      </c>
      <c r="T92" t="s">
        <v>1596</v>
      </c>
    </row>
    <row r="93" spans="1:20">
      <c r="A93" t="s">
        <v>1590</v>
      </c>
      <c r="B93" t="s">
        <v>62</v>
      </c>
      <c r="C93" t="s">
        <v>6077</v>
      </c>
      <c r="D93" t="s">
        <v>445</v>
      </c>
      <c r="E93" t="s">
        <v>9713</v>
      </c>
      <c r="F93" t="s">
        <v>9412</v>
      </c>
      <c r="G93" t="s">
        <v>9413</v>
      </c>
      <c r="H93" t="s">
        <v>9414</v>
      </c>
      <c r="I93" t="s">
        <v>9714</v>
      </c>
      <c r="J93" t="s">
        <v>1589</v>
      </c>
      <c r="K93" t="s">
        <v>9416</v>
      </c>
      <c r="L93" t="s">
        <v>9417</v>
      </c>
      <c r="M93" t="s">
        <v>9715</v>
      </c>
      <c r="N93" t="s">
        <v>9716</v>
      </c>
      <c r="O93" t="s">
        <v>6076</v>
      </c>
      <c r="P93" t="s">
        <v>9623</v>
      </c>
      <c r="Q93" t="s">
        <v>9421</v>
      </c>
      <c r="R93" t="s">
        <v>24</v>
      </c>
      <c r="S93" t="s">
        <v>1590</v>
      </c>
      <c r="T93" t="s">
        <v>1592</v>
      </c>
    </row>
    <row r="94" spans="1:20">
      <c r="A94" t="s">
        <v>9717</v>
      </c>
      <c r="B94" t="s">
        <v>9409</v>
      </c>
      <c r="C94" t="s">
        <v>9718</v>
      </c>
      <c r="D94" t="s">
        <v>9410</v>
      </c>
      <c r="E94" t="s">
        <v>9719</v>
      </c>
      <c r="F94" t="s">
        <v>9412</v>
      </c>
      <c r="G94" t="s">
        <v>9413</v>
      </c>
      <c r="H94" t="s">
        <v>9414</v>
      </c>
      <c r="I94" t="s">
        <v>9720</v>
      </c>
      <c r="J94" t="s">
        <v>1043</v>
      </c>
      <c r="K94" t="s">
        <v>9445</v>
      </c>
      <c r="L94" t="s">
        <v>9417</v>
      </c>
      <c r="M94" t="s">
        <v>9512</v>
      </c>
      <c r="N94" t="s">
        <v>9426</v>
      </c>
      <c r="O94" t="s">
        <v>9446</v>
      </c>
      <c r="P94" t="s">
        <v>9479</v>
      </c>
      <c r="Q94" t="s">
        <v>9421</v>
      </c>
      <c r="R94" t="s">
        <v>43</v>
      </c>
      <c r="S94" t="s">
        <v>1064</v>
      </c>
      <c r="T94" t="s">
        <v>1066</v>
      </c>
    </row>
    <row r="95" spans="1:20">
      <c r="A95" t="s">
        <v>9717</v>
      </c>
      <c r="B95" t="s">
        <v>9409</v>
      </c>
      <c r="C95" t="s">
        <v>9718</v>
      </c>
      <c r="D95" t="s">
        <v>9410</v>
      </c>
      <c r="E95" t="s">
        <v>9719</v>
      </c>
      <c r="F95" t="s">
        <v>9412</v>
      </c>
      <c r="G95" t="s">
        <v>9413</v>
      </c>
      <c r="H95" t="s">
        <v>9414</v>
      </c>
      <c r="I95" t="s">
        <v>9720</v>
      </c>
      <c r="J95" t="s">
        <v>1043</v>
      </c>
      <c r="K95" t="s">
        <v>9416</v>
      </c>
      <c r="L95" t="s">
        <v>9417</v>
      </c>
      <c r="M95" t="s">
        <v>9512</v>
      </c>
      <c r="N95" t="s">
        <v>9430</v>
      </c>
      <c r="O95" t="s">
        <v>9721</v>
      </c>
      <c r="P95" t="s">
        <v>9524</v>
      </c>
      <c r="Q95" t="s">
        <v>9421</v>
      </c>
      <c r="R95" t="s">
        <v>24</v>
      </c>
      <c r="S95" t="s">
        <v>9722</v>
      </c>
      <c r="T95" t="s">
        <v>9723</v>
      </c>
    </row>
    <row r="96" spans="1:20">
      <c r="A96" t="s">
        <v>9717</v>
      </c>
      <c r="B96" t="s">
        <v>9409</v>
      </c>
      <c r="C96" t="s">
        <v>9718</v>
      </c>
      <c r="D96" t="s">
        <v>9410</v>
      </c>
      <c r="E96" t="s">
        <v>9719</v>
      </c>
      <c r="F96" t="s">
        <v>9412</v>
      </c>
      <c r="G96" t="s">
        <v>9413</v>
      </c>
      <c r="H96" t="s">
        <v>9414</v>
      </c>
      <c r="I96" t="s">
        <v>9720</v>
      </c>
      <c r="J96" t="s">
        <v>1043</v>
      </c>
      <c r="K96" t="s">
        <v>9416</v>
      </c>
      <c r="L96" t="s">
        <v>9417</v>
      </c>
      <c r="M96" t="s">
        <v>9512</v>
      </c>
      <c r="N96" t="s">
        <v>9437</v>
      </c>
      <c r="O96" t="s">
        <v>9724</v>
      </c>
      <c r="P96" t="s">
        <v>9420</v>
      </c>
      <c r="Q96" t="s">
        <v>9421</v>
      </c>
      <c r="R96" t="s">
        <v>17</v>
      </c>
      <c r="S96" t="s">
        <v>9717</v>
      </c>
      <c r="T96" t="s">
        <v>9725</v>
      </c>
    </row>
    <row r="97" spans="1:20">
      <c r="A97" t="s">
        <v>9726</v>
      </c>
      <c r="B97" t="s">
        <v>9409</v>
      </c>
      <c r="C97" t="s">
        <v>9727</v>
      </c>
      <c r="D97" t="s">
        <v>9410</v>
      </c>
      <c r="E97" t="s">
        <v>9728</v>
      </c>
      <c r="F97" t="s">
        <v>9412</v>
      </c>
      <c r="G97" t="s">
        <v>9413</v>
      </c>
      <c r="H97" t="s">
        <v>9414</v>
      </c>
      <c r="I97" t="s">
        <v>9729</v>
      </c>
      <c r="J97" t="s">
        <v>1589</v>
      </c>
      <c r="K97" t="s">
        <v>9445</v>
      </c>
      <c r="L97" t="s">
        <v>9417</v>
      </c>
      <c r="M97" t="s">
        <v>9715</v>
      </c>
      <c r="N97" t="s">
        <v>9430</v>
      </c>
      <c r="O97" t="s">
        <v>9446</v>
      </c>
      <c r="P97" t="s">
        <v>9431</v>
      </c>
      <c r="Q97" t="s">
        <v>9421</v>
      </c>
      <c r="R97" t="s">
        <v>24</v>
      </c>
      <c r="S97" t="s">
        <v>1601</v>
      </c>
      <c r="T97" t="s">
        <v>1603</v>
      </c>
    </row>
    <row r="98" spans="1:20">
      <c r="A98" t="s">
        <v>9726</v>
      </c>
      <c r="B98" t="s">
        <v>9409</v>
      </c>
      <c r="C98" t="s">
        <v>9727</v>
      </c>
      <c r="D98" t="s">
        <v>9410</v>
      </c>
      <c r="E98" t="s">
        <v>9728</v>
      </c>
      <c r="F98" t="s">
        <v>9412</v>
      </c>
      <c r="G98" t="s">
        <v>9413</v>
      </c>
      <c r="H98" t="s">
        <v>9414</v>
      </c>
      <c r="I98" t="s">
        <v>9729</v>
      </c>
      <c r="J98" t="s">
        <v>1589</v>
      </c>
      <c r="K98" t="s">
        <v>9416</v>
      </c>
      <c r="L98" t="s">
        <v>9417</v>
      </c>
      <c r="M98" t="s">
        <v>9715</v>
      </c>
      <c r="N98" t="s">
        <v>9716</v>
      </c>
      <c r="O98" t="s">
        <v>9730</v>
      </c>
      <c r="P98" t="s">
        <v>9429</v>
      </c>
      <c r="Q98" t="s">
        <v>9421</v>
      </c>
      <c r="R98" t="s">
        <v>52</v>
      </c>
      <c r="S98" t="s">
        <v>9726</v>
      </c>
      <c r="T98" t="s">
        <v>9731</v>
      </c>
    </row>
    <row r="99" spans="1:20">
      <c r="A99" t="s">
        <v>1813</v>
      </c>
      <c r="B99" t="s">
        <v>62</v>
      </c>
      <c r="C99" t="s">
        <v>9732</v>
      </c>
      <c r="D99" t="s">
        <v>445</v>
      </c>
      <c r="E99" t="s">
        <v>9733</v>
      </c>
      <c r="F99" t="s">
        <v>9412</v>
      </c>
      <c r="G99" t="s">
        <v>9413</v>
      </c>
      <c r="H99" t="s">
        <v>9414</v>
      </c>
      <c r="I99" t="s">
        <v>9734</v>
      </c>
      <c r="J99" t="s">
        <v>1808</v>
      </c>
      <c r="K99" t="s">
        <v>9416</v>
      </c>
      <c r="L99" t="s">
        <v>9417</v>
      </c>
      <c r="M99" t="s">
        <v>9418</v>
      </c>
      <c r="N99" t="s">
        <v>9639</v>
      </c>
      <c r="O99" t="s">
        <v>6332</v>
      </c>
      <c r="P99" t="s">
        <v>9459</v>
      </c>
      <c r="Q99" t="s">
        <v>9421</v>
      </c>
      <c r="R99" t="s">
        <v>17</v>
      </c>
      <c r="S99" t="s">
        <v>1813</v>
      </c>
      <c r="T99" t="s">
        <v>1815</v>
      </c>
    </row>
    <row r="100" spans="1:20">
      <c r="A100" t="s">
        <v>1171</v>
      </c>
      <c r="B100" t="s">
        <v>20</v>
      </c>
      <c r="C100" t="s">
        <v>5589</v>
      </c>
      <c r="D100" t="s">
        <v>9455</v>
      </c>
      <c r="E100" t="s">
        <v>9735</v>
      </c>
      <c r="F100" t="s">
        <v>9412</v>
      </c>
      <c r="G100" t="s">
        <v>9413</v>
      </c>
      <c r="H100" t="s">
        <v>9414</v>
      </c>
      <c r="I100" t="s">
        <v>9736</v>
      </c>
      <c r="J100" t="s">
        <v>1155</v>
      </c>
      <c r="K100" t="s">
        <v>9416</v>
      </c>
      <c r="L100" t="s">
        <v>9417</v>
      </c>
      <c r="M100" t="s">
        <v>9503</v>
      </c>
      <c r="N100" t="s">
        <v>9488</v>
      </c>
      <c r="O100" t="s">
        <v>5591</v>
      </c>
      <c r="P100" t="s">
        <v>9647</v>
      </c>
      <c r="Q100" t="s">
        <v>9421</v>
      </c>
      <c r="R100" t="s">
        <v>84</v>
      </c>
      <c r="S100" t="s">
        <v>1171</v>
      </c>
      <c r="T100" t="s">
        <v>1177</v>
      </c>
    </row>
    <row r="101" spans="1:20">
      <c r="A101" t="s">
        <v>1171</v>
      </c>
      <c r="B101" t="s">
        <v>20</v>
      </c>
      <c r="C101" t="s">
        <v>5589</v>
      </c>
      <c r="D101" t="s">
        <v>9455</v>
      </c>
      <c r="E101" t="s">
        <v>9735</v>
      </c>
      <c r="F101" t="s">
        <v>9412</v>
      </c>
      <c r="G101" t="s">
        <v>9413</v>
      </c>
      <c r="H101" t="s">
        <v>9414</v>
      </c>
      <c r="I101" t="s">
        <v>9736</v>
      </c>
      <c r="J101" t="s">
        <v>1155</v>
      </c>
      <c r="K101" t="s">
        <v>9445</v>
      </c>
      <c r="L101" t="s">
        <v>9417</v>
      </c>
      <c r="M101" t="s">
        <v>9503</v>
      </c>
      <c r="N101" t="s">
        <v>9426</v>
      </c>
      <c r="O101" t="s">
        <v>9446</v>
      </c>
      <c r="P101" t="s">
        <v>9427</v>
      </c>
      <c r="Q101" t="s">
        <v>9421</v>
      </c>
      <c r="R101" t="s">
        <v>43</v>
      </c>
      <c r="S101" t="s">
        <v>1178</v>
      </c>
      <c r="T101" t="s">
        <v>1180</v>
      </c>
    </row>
    <row r="102" spans="1:20">
      <c r="A102" t="s">
        <v>1171</v>
      </c>
      <c r="B102" t="s">
        <v>20</v>
      </c>
      <c r="C102" t="s">
        <v>5589</v>
      </c>
      <c r="D102" t="s">
        <v>9455</v>
      </c>
      <c r="E102" t="s">
        <v>9735</v>
      </c>
      <c r="F102" t="s">
        <v>9412</v>
      </c>
      <c r="G102" t="s">
        <v>9413</v>
      </c>
      <c r="H102" t="s">
        <v>9414</v>
      </c>
      <c r="I102" t="s">
        <v>9736</v>
      </c>
      <c r="J102" t="s">
        <v>1155</v>
      </c>
      <c r="K102" t="s">
        <v>9416</v>
      </c>
      <c r="L102" t="s">
        <v>9417</v>
      </c>
      <c r="M102" t="s">
        <v>9503</v>
      </c>
      <c r="N102" t="s">
        <v>9430</v>
      </c>
      <c r="O102" t="s">
        <v>5587</v>
      </c>
      <c r="P102" t="s">
        <v>9737</v>
      </c>
      <c r="Q102" t="s">
        <v>9421</v>
      </c>
      <c r="R102" t="s">
        <v>24</v>
      </c>
      <c r="S102" t="s">
        <v>1172</v>
      </c>
      <c r="T102" t="s">
        <v>1174</v>
      </c>
    </row>
    <row r="103" spans="1:20">
      <c r="A103" t="s">
        <v>1695</v>
      </c>
      <c r="B103" t="s">
        <v>20</v>
      </c>
      <c r="C103" t="s">
        <v>6207</v>
      </c>
      <c r="D103" t="s">
        <v>9677</v>
      </c>
      <c r="E103" t="s">
        <v>9738</v>
      </c>
      <c r="F103" t="s">
        <v>9412</v>
      </c>
      <c r="G103" t="s">
        <v>9413</v>
      </c>
      <c r="H103" t="s">
        <v>9414</v>
      </c>
      <c r="I103" t="s">
        <v>9472</v>
      </c>
      <c r="J103" t="s">
        <v>1683</v>
      </c>
      <c r="K103" t="s">
        <v>9416</v>
      </c>
      <c r="L103" t="s">
        <v>9417</v>
      </c>
      <c r="M103" t="s">
        <v>9453</v>
      </c>
      <c r="N103" t="s">
        <v>9454</v>
      </c>
      <c r="O103" t="s">
        <v>6211</v>
      </c>
      <c r="P103" t="s">
        <v>9429</v>
      </c>
      <c r="Q103" t="s">
        <v>9421</v>
      </c>
      <c r="R103" t="s">
        <v>52</v>
      </c>
      <c r="S103" t="s">
        <v>1700</v>
      </c>
      <c r="T103" t="s">
        <v>1702</v>
      </c>
    </row>
    <row r="104" spans="1:20">
      <c r="A104" t="s">
        <v>1695</v>
      </c>
      <c r="B104" t="s">
        <v>20</v>
      </c>
      <c r="C104" t="s">
        <v>6207</v>
      </c>
      <c r="D104" t="s">
        <v>9677</v>
      </c>
      <c r="E104" t="s">
        <v>9738</v>
      </c>
      <c r="F104" t="s">
        <v>9412</v>
      </c>
      <c r="G104" t="s">
        <v>9413</v>
      </c>
      <c r="H104" t="s">
        <v>9414</v>
      </c>
      <c r="I104" t="s">
        <v>9472</v>
      </c>
      <c r="J104" t="s">
        <v>1683</v>
      </c>
      <c r="K104" t="s">
        <v>9445</v>
      </c>
      <c r="L104" t="s">
        <v>9417</v>
      </c>
      <c r="M104" t="s">
        <v>9453</v>
      </c>
      <c r="N104" t="s">
        <v>9426</v>
      </c>
      <c r="O104" t="s">
        <v>9446</v>
      </c>
      <c r="P104" t="s">
        <v>9420</v>
      </c>
      <c r="Q104" t="s">
        <v>9421</v>
      </c>
      <c r="R104" t="s">
        <v>17</v>
      </c>
      <c r="S104" t="s">
        <v>1391</v>
      </c>
      <c r="T104" t="s">
        <v>1393</v>
      </c>
    </row>
    <row r="105" spans="1:20">
      <c r="A105" t="s">
        <v>1695</v>
      </c>
      <c r="B105" t="s">
        <v>20</v>
      </c>
      <c r="C105" t="s">
        <v>6207</v>
      </c>
      <c r="D105" t="s">
        <v>9677</v>
      </c>
      <c r="E105" t="s">
        <v>9738</v>
      </c>
      <c r="F105" t="s">
        <v>9412</v>
      </c>
      <c r="G105" t="s">
        <v>9413</v>
      </c>
      <c r="H105" t="s">
        <v>9414</v>
      </c>
      <c r="I105" t="s">
        <v>9472</v>
      </c>
      <c r="J105" t="s">
        <v>1683</v>
      </c>
      <c r="K105" t="s">
        <v>9416</v>
      </c>
      <c r="L105" t="s">
        <v>9417</v>
      </c>
      <c r="M105" t="s">
        <v>9453</v>
      </c>
      <c r="N105" t="s">
        <v>9454</v>
      </c>
      <c r="O105" t="s">
        <v>6209</v>
      </c>
      <c r="P105" t="s">
        <v>9420</v>
      </c>
      <c r="Q105" t="s">
        <v>9421</v>
      </c>
      <c r="R105" t="s">
        <v>17</v>
      </c>
      <c r="S105" t="s">
        <v>1697</v>
      </c>
      <c r="T105" t="s">
        <v>1699</v>
      </c>
    </row>
    <row r="106" spans="1:20">
      <c r="A106" t="s">
        <v>9739</v>
      </c>
      <c r="B106" t="s">
        <v>9409</v>
      </c>
      <c r="C106" t="s">
        <v>9740</v>
      </c>
      <c r="D106" t="s">
        <v>9410</v>
      </c>
      <c r="E106" t="s">
        <v>9741</v>
      </c>
      <c r="F106" t="s">
        <v>9412</v>
      </c>
      <c r="G106" t="s">
        <v>9413</v>
      </c>
      <c r="H106" t="s">
        <v>1044</v>
      </c>
      <c r="I106" t="s">
        <v>9742</v>
      </c>
      <c r="J106" t="s">
        <v>2098</v>
      </c>
      <c r="K106" t="s">
        <v>9416</v>
      </c>
      <c r="L106" t="s">
        <v>9417</v>
      </c>
      <c r="M106" t="s">
        <v>9442</v>
      </c>
      <c r="N106" t="s">
        <v>9597</v>
      </c>
      <c r="O106" t="s">
        <v>9743</v>
      </c>
      <c r="P106" t="s">
        <v>9429</v>
      </c>
      <c r="Q106" t="s">
        <v>9421</v>
      </c>
      <c r="R106" t="s">
        <v>52</v>
      </c>
      <c r="S106" t="s">
        <v>9744</v>
      </c>
      <c r="T106" t="s">
        <v>9745</v>
      </c>
    </row>
    <row r="107" spans="1:20">
      <c r="A107" t="s">
        <v>9739</v>
      </c>
      <c r="B107" t="s">
        <v>9409</v>
      </c>
      <c r="C107" t="s">
        <v>9740</v>
      </c>
      <c r="D107" t="s">
        <v>9410</v>
      </c>
      <c r="E107" t="s">
        <v>9741</v>
      </c>
      <c r="F107" t="s">
        <v>9412</v>
      </c>
      <c r="G107" t="s">
        <v>9413</v>
      </c>
      <c r="H107" t="s">
        <v>1044</v>
      </c>
      <c r="I107" t="s">
        <v>9742</v>
      </c>
      <c r="J107" t="s">
        <v>2098</v>
      </c>
      <c r="K107" t="s">
        <v>9416</v>
      </c>
      <c r="L107" t="s">
        <v>9417</v>
      </c>
      <c r="M107" t="s">
        <v>9442</v>
      </c>
      <c r="N107" t="s">
        <v>9597</v>
      </c>
      <c r="O107" t="s">
        <v>9746</v>
      </c>
      <c r="P107" t="s">
        <v>9420</v>
      </c>
      <c r="Q107" t="s">
        <v>9421</v>
      </c>
      <c r="R107" t="s">
        <v>17</v>
      </c>
      <c r="S107" t="s">
        <v>1773</v>
      </c>
      <c r="T107" t="s">
        <v>9747</v>
      </c>
    </row>
    <row r="108" spans="1:20">
      <c r="A108" t="s">
        <v>9748</v>
      </c>
      <c r="B108" t="s">
        <v>9409</v>
      </c>
      <c r="C108" t="s">
        <v>9749</v>
      </c>
      <c r="D108" t="s">
        <v>9410</v>
      </c>
      <c r="E108" t="s">
        <v>9750</v>
      </c>
      <c r="F108" t="s">
        <v>9412</v>
      </c>
      <c r="G108" t="s">
        <v>9413</v>
      </c>
      <c r="H108" t="s">
        <v>9414</v>
      </c>
      <c r="I108" t="s">
        <v>9751</v>
      </c>
      <c r="J108" t="s">
        <v>2174</v>
      </c>
      <c r="K108" t="s">
        <v>9416</v>
      </c>
      <c r="L108" t="s">
        <v>9417</v>
      </c>
      <c r="M108" t="s">
        <v>9534</v>
      </c>
      <c r="N108" t="s">
        <v>9621</v>
      </c>
      <c r="O108" t="s">
        <v>9752</v>
      </c>
      <c r="P108" t="s">
        <v>9420</v>
      </c>
      <c r="Q108" t="s">
        <v>9421</v>
      </c>
      <c r="R108" t="s">
        <v>17</v>
      </c>
      <c r="S108" t="s">
        <v>9748</v>
      </c>
      <c r="T108" t="s">
        <v>9753</v>
      </c>
    </row>
    <row r="109" spans="1:20">
      <c r="A109" t="s">
        <v>9754</v>
      </c>
      <c r="B109" t="s">
        <v>9409</v>
      </c>
      <c r="C109" t="s">
        <v>9755</v>
      </c>
      <c r="D109" t="s">
        <v>9410</v>
      </c>
      <c r="E109" t="s">
        <v>9756</v>
      </c>
      <c r="F109" t="s">
        <v>9412</v>
      </c>
      <c r="G109" t="s">
        <v>9413</v>
      </c>
      <c r="H109" t="s">
        <v>9414</v>
      </c>
      <c r="I109" t="s">
        <v>9729</v>
      </c>
      <c r="J109" t="s">
        <v>2026</v>
      </c>
      <c r="K109" t="s">
        <v>9416</v>
      </c>
      <c r="L109" t="s">
        <v>9417</v>
      </c>
      <c r="M109" t="s">
        <v>9757</v>
      </c>
      <c r="N109" t="s">
        <v>9480</v>
      </c>
      <c r="O109" t="s">
        <v>9758</v>
      </c>
      <c r="P109" t="s">
        <v>9429</v>
      </c>
      <c r="Q109" t="s">
        <v>9421</v>
      </c>
      <c r="R109" t="s">
        <v>52</v>
      </c>
      <c r="S109" t="s">
        <v>9754</v>
      </c>
      <c r="T109" t="s">
        <v>9759</v>
      </c>
    </row>
    <row r="110" spans="1:20">
      <c r="A110" t="s">
        <v>9754</v>
      </c>
      <c r="B110" t="s">
        <v>9409</v>
      </c>
      <c r="C110" t="s">
        <v>9755</v>
      </c>
      <c r="D110" t="s">
        <v>9410</v>
      </c>
      <c r="E110" t="s">
        <v>9756</v>
      </c>
      <c r="F110" t="s">
        <v>9412</v>
      </c>
      <c r="G110" t="s">
        <v>9413</v>
      </c>
      <c r="H110" t="s">
        <v>9414</v>
      </c>
      <c r="I110" t="s">
        <v>9729</v>
      </c>
      <c r="J110" t="s">
        <v>2026</v>
      </c>
      <c r="K110" t="s">
        <v>9416</v>
      </c>
      <c r="L110" t="s">
        <v>9417</v>
      </c>
      <c r="M110" t="s">
        <v>9757</v>
      </c>
      <c r="N110" t="s">
        <v>9430</v>
      </c>
      <c r="O110" t="s">
        <v>9760</v>
      </c>
      <c r="P110" t="s">
        <v>9524</v>
      </c>
      <c r="Q110" t="s">
        <v>9421</v>
      </c>
      <c r="R110" t="s">
        <v>24</v>
      </c>
      <c r="S110" t="s">
        <v>9761</v>
      </c>
      <c r="T110" t="s">
        <v>9762</v>
      </c>
    </row>
    <row r="111" spans="1:20">
      <c r="A111" t="s">
        <v>1390</v>
      </c>
      <c r="B111" t="s">
        <v>20</v>
      </c>
      <c r="C111" t="s">
        <v>5857</v>
      </c>
      <c r="D111" t="s">
        <v>9464</v>
      </c>
      <c r="E111" t="s">
        <v>9763</v>
      </c>
      <c r="F111" t="s">
        <v>9412</v>
      </c>
      <c r="G111" t="s">
        <v>9413</v>
      </c>
      <c r="H111" t="s">
        <v>9414</v>
      </c>
      <c r="I111" t="s">
        <v>9441</v>
      </c>
      <c r="J111" t="s">
        <v>1375</v>
      </c>
      <c r="K111" t="s">
        <v>9416</v>
      </c>
      <c r="L111" t="s">
        <v>9417</v>
      </c>
      <c r="M111" t="s">
        <v>9534</v>
      </c>
      <c r="N111" t="s">
        <v>9443</v>
      </c>
      <c r="O111" t="s">
        <v>5859</v>
      </c>
      <c r="P111" t="s">
        <v>9420</v>
      </c>
      <c r="Q111" t="s">
        <v>9421</v>
      </c>
      <c r="R111" t="s">
        <v>17</v>
      </c>
      <c r="S111" t="s">
        <v>1390</v>
      </c>
      <c r="T111" t="s">
        <v>1396</v>
      </c>
    </row>
    <row r="112" spans="1:20">
      <c r="A112" t="s">
        <v>1390</v>
      </c>
      <c r="B112" t="s">
        <v>20</v>
      </c>
      <c r="C112" t="s">
        <v>5857</v>
      </c>
      <c r="D112" t="s">
        <v>9464</v>
      </c>
      <c r="E112" t="s">
        <v>9763</v>
      </c>
      <c r="F112" t="s">
        <v>9412</v>
      </c>
      <c r="G112" t="s">
        <v>9413</v>
      </c>
      <c r="H112" t="s">
        <v>9414</v>
      </c>
      <c r="I112" t="s">
        <v>9441</v>
      </c>
      <c r="J112" t="s">
        <v>1375</v>
      </c>
      <c r="K112" t="s">
        <v>9445</v>
      </c>
      <c r="L112" t="s">
        <v>9417</v>
      </c>
      <c r="M112" t="s">
        <v>9534</v>
      </c>
      <c r="N112" t="s">
        <v>9426</v>
      </c>
      <c r="O112" t="s">
        <v>9446</v>
      </c>
      <c r="P112" t="s">
        <v>9420</v>
      </c>
      <c r="Q112" t="s">
        <v>9421</v>
      </c>
      <c r="R112" t="s">
        <v>17</v>
      </c>
      <c r="S112" t="s">
        <v>1391</v>
      </c>
      <c r="T112" t="s">
        <v>1393</v>
      </c>
    </row>
    <row r="113" spans="1:20">
      <c r="A113" t="s">
        <v>1181</v>
      </c>
      <c r="B113" t="s">
        <v>20</v>
      </c>
      <c r="C113" t="s">
        <v>1184</v>
      </c>
      <c r="D113" t="s">
        <v>9764</v>
      </c>
      <c r="E113" t="s">
        <v>9765</v>
      </c>
      <c r="F113" t="s">
        <v>9412</v>
      </c>
      <c r="G113" t="s">
        <v>9413</v>
      </c>
      <c r="H113" t="s">
        <v>1044</v>
      </c>
      <c r="I113" t="s">
        <v>9766</v>
      </c>
      <c r="J113" t="s">
        <v>1155</v>
      </c>
      <c r="K113" t="s">
        <v>9416</v>
      </c>
      <c r="L113" t="s">
        <v>9417</v>
      </c>
      <c r="M113" t="s">
        <v>9767</v>
      </c>
      <c r="N113" t="s">
        <v>9488</v>
      </c>
      <c r="O113" t="s">
        <v>5594</v>
      </c>
      <c r="P113" t="s">
        <v>9623</v>
      </c>
      <c r="Q113" t="s">
        <v>9421</v>
      </c>
      <c r="R113" t="s">
        <v>24</v>
      </c>
      <c r="S113" t="s">
        <v>1181</v>
      </c>
      <c r="T113" t="s">
        <v>1183</v>
      </c>
    </row>
    <row r="114" spans="1:20">
      <c r="A114" t="s">
        <v>9768</v>
      </c>
      <c r="B114" t="s">
        <v>9409</v>
      </c>
      <c r="C114" t="s">
        <v>9769</v>
      </c>
      <c r="D114" t="s">
        <v>9410</v>
      </c>
      <c r="E114" t="s">
        <v>9770</v>
      </c>
      <c r="F114" t="s">
        <v>9412</v>
      </c>
      <c r="G114" t="s">
        <v>9413</v>
      </c>
      <c r="H114" t="s">
        <v>9414</v>
      </c>
      <c r="I114" t="s">
        <v>9771</v>
      </c>
      <c r="J114" t="s">
        <v>1043</v>
      </c>
      <c r="K114" t="s">
        <v>9416</v>
      </c>
      <c r="L114" t="s">
        <v>9417</v>
      </c>
      <c r="M114" t="s">
        <v>9463</v>
      </c>
      <c r="N114" t="s">
        <v>9426</v>
      </c>
      <c r="O114" t="s">
        <v>5783</v>
      </c>
      <c r="P114" t="s">
        <v>9647</v>
      </c>
      <c r="Q114" t="s">
        <v>9421</v>
      </c>
      <c r="R114" t="s">
        <v>56</v>
      </c>
      <c r="S114" t="s">
        <v>1560</v>
      </c>
      <c r="T114" t="s">
        <v>1562</v>
      </c>
    </row>
    <row r="115" spans="1:20">
      <c r="A115" t="s">
        <v>9772</v>
      </c>
      <c r="B115" t="s">
        <v>9409</v>
      </c>
      <c r="C115" t="s">
        <v>9773</v>
      </c>
      <c r="D115" t="s">
        <v>9410</v>
      </c>
      <c r="E115" t="s">
        <v>9774</v>
      </c>
      <c r="F115" t="s">
        <v>9412</v>
      </c>
      <c r="G115" t="s">
        <v>9413</v>
      </c>
      <c r="H115" t="s">
        <v>9414</v>
      </c>
      <c r="I115" t="s">
        <v>9775</v>
      </c>
      <c r="J115" t="s">
        <v>2174</v>
      </c>
      <c r="K115" t="s">
        <v>9416</v>
      </c>
      <c r="L115" t="s">
        <v>9417</v>
      </c>
      <c r="M115" t="s">
        <v>9776</v>
      </c>
      <c r="N115" t="s">
        <v>9621</v>
      </c>
      <c r="O115" t="s">
        <v>9777</v>
      </c>
      <c r="P115" t="s">
        <v>9459</v>
      </c>
      <c r="Q115" t="s">
        <v>9421</v>
      </c>
      <c r="R115" t="s">
        <v>17</v>
      </c>
      <c r="S115" t="s">
        <v>9772</v>
      </c>
      <c r="T115" t="s">
        <v>9778</v>
      </c>
    </row>
    <row r="116" spans="1:20">
      <c r="A116" t="s">
        <v>1263</v>
      </c>
      <c r="B116" t="s">
        <v>62</v>
      </c>
      <c r="C116" t="s">
        <v>9779</v>
      </c>
      <c r="D116" t="s">
        <v>9448</v>
      </c>
      <c r="E116" t="s">
        <v>9780</v>
      </c>
      <c r="F116" t="s">
        <v>9412</v>
      </c>
      <c r="G116" t="s">
        <v>9413</v>
      </c>
      <c r="H116" t="s">
        <v>9414</v>
      </c>
      <c r="I116" t="s">
        <v>9781</v>
      </c>
      <c r="J116" t="s">
        <v>1246</v>
      </c>
      <c r="K116" t="s">
        <v>9416</v>
      </c>
      <c r="L116" t="s">
        <v>9417</v>
      </c>
      <c r="M116" t="s">
        <v>9467</v>
      </c>
      <c r="N116" t="s">
        <v>9419</v>
      </c>
      <c r="O116" t="s">
        <v>5700</v>
      </c>
      <c r="P116" t="s">
        <v>9429</v>
      </c>
      <c r="Q116" t="s">
        <v>9421</v>
      </c>
      <c r="R116" t="s">
        <v>52</v>
      </c>
      <c r="S116" t="s">
        <v>1263</v>
      </c>
      <c r="T116" t="s">
        <v>1269</v>
      </c>
    </row>
    <row r="117" spans="1:20">
      <c r="A117" t="s">
        <v>1263</v>
      </c>
      <c r="B117" t="s">
        <v>62</v>
      </c>
      <c r="C117" t="s">
        <v>9779</v>
      </c>
      <c r="D117" t="s">
        <v>9448</v>
      </c>
      <c r="E117" t="s">
        <v>9780</v>
      </c>
      <c r="F117" t="s">
        <v>9412</v>
      </c>
      <c r="G117" t="s">
        <v>9413</v>
      </c>
      <c r="H117" t="s">
        <v>9414</v>
      </c>
      <c r="I117" t="s">
        <v>9781</v>
      </c>
      <c r="J117" t="s">
        <v>1246</v>
      </c>
      <c r="K117" t="s">
        <v>9416</v>
      </c>
      <c r="L117" t="s">
        <v>9417</v>
      </c>
      <c r="M117" t="s">
        <v>9467</v>
      </c>
      <c r="N117" t="s">
        <v>9426</v>
      </c>
      <c r="O117" t="s">
        <v>5697</v>
      </c>
      <c r="P117" t="s">
        <v>9479</v>
      </c>
      <c r="Q117" t="s">
        <v>9421</v>
      </c>
      <c r="R117" t="s">
        <v>43</v>
      </c>
      <c r="S117" t="s">
        <v>1264</v>
      </c>
      <c r="T117" t="s">
        <v>1266</v>
      </c>
    </row>
    <row r="118" spans="1:20">
      <c r="A118" t="s">
        <v>1921</v>
      </c>
      <c r="B118" t="s">
        <v>62</v>
      </c>
      <c r="C118" t="s">
        <v>6478</v>
      </c>
      <c r="D118" t="s">
        <v>9448</v>
      </c>
      <c r="E118" t="s">
        <v>9782</v>
      </c>
      <c r="F118" t="s">
        <v>9412</v>
      </c>
      <c r="G118" t="s">
        <v>9413</v>
      </c>
      <c r="H118" t="s">
        <v>9414</v>
      </c>
      <c r="I118" t="s">
        <v>9415</v>
      </c>
      <c r="J118" t="s">
        <v>1920</v>
      </c>
      <c r="K118" t="s">
        <v>9416</v>
      </c>
      <c r="L118" t="s">
        <v>9417</v>
      </c>
      <c r="M118" t="s">
        <v>9783</v>
      </c>
      <c r="N118" t="s">
        <v>9608</v>
      </c>
      <c r="O118" t="s">
        <v>6476</v>
      </c>
      <c r="P118" t="s">
        <v>9420</v>
      </c>
      <c r="Q118" t="s">
        <v>9421</v>
      </c>
      <c r="R118" t="s">
        <v>17</v>
      </c>
      <c r="S118" t="s">
        <v>1921</v>
      </c>
      <c r="T118" t="s">
        <v>1923</v>
      </c>
    </row>
    <row r="119" spans="1:20">
      <c r="A119" t="s">
        <v>9784</v>
      </c>
      <c r="B119" t="s">
        <v>9409</v>
      </c>
      <c r="C119" t="s">
        <v>9785</v>
      </c>
      <c r="D119" t="s">
        <v>9410</v>
      </c>
      <c r="E119" t="s">
        <v>9786</v>
      </c>
      <c r="F119" t="s">
        <v>9412</v>
      </c>
      <c r="G119" t="s">
        <v>9413</v>
      </c>
      <c r="H119" t="s">
        <v>9414</v>
      </c>
      <c r="I119" t="s">
        <v>9787</v>
      </c>
      <c r="J119" t="s">
        <v>1442</v>
      </c>
      <c r="K119" t="s">
        <v>9445</v>
      </c>
      <c r="L119" t="s">
        <v>9417</v>
      </c>
      <c r="M119" t="s">
        <v>9788</v>
      </c>
      <c r="N119" t="s">
        <v>9426</v>
      </c>
      <c r="O119" t="s">
        <v>9446</v>
      </c>
      <c r="P119" t="s">
        <v>9524</v>
      </c>
      <c r="Q119" t="s">
        <v>9421</v>
      </c>
      <c r="R119" t="s">
        <v>24</v>
      </c>
      <c r="S119" t="s">
        <v>1480</v>
      </c>
      <c r="T119" t="s">
        <v>1482</v>
      </c>
    </row>
    <row r="120" spans="1:20">
      <c r="A120" t="s">
        <v>9784</v>
      </c>
      <c r="B120" t="s">
        <v>9409</v>
      </c>
      <c r="C120" t="s">
        <v>9785</v>
      </c>
      <c r="D120" t="s">
        <v>9410</v>
      </c>
      <c r="E120" t="s">
        <v>9786</v>
      </c>
      <c r="F120" t="s">
        <v>9412</v>
      </c>
      <c r="G120" t="s">
        <v>9413</v>
      </c>
      <c r="H120" t="s">
        <v>9414</v>
      </c>
      <c r="I120" t="s">
        <v>9787</v>
      </c>
      <c r="J120" t="s">
        <v>1442</v>
      </c>
      <c r="K120" t="s">
        <v>9416</v>
      </c>
      <c r="L120" t="s">
        <v>9417</v>
      </c>
      <c r="M120" t="s">
        <v>9788</v>
      </c>
      <c r="N120" t="s">
        <v>9428</v>
      </c>
      <c r="O120" t="s">
        <v>9789</v>
      </c>
      <c r="P120" t="s">
        <v>9420</v>
      </c>
      <c r="Q120" t="s">
        <v>9421</v>
      </c>
      <c r="R120" t="s">
        <v>17</v>
      </c>
      <c r="S120" t="s">
        <v>9784</v>
      </c>
      <c r="T120" t="s">
        <v>9790</v>
      </c>
    </row>
    <row r="121" spans="1:20">
      <c r="A121" t="s">
        <v>1462</v>
      </c>
      <c r="B121" t="s">
        <v>20</v>
      </c>
      <c r="C121" t="s">
        <v>5926</v>
      </c>
      <c r="D121" t="s">
        <v>9460</v>
      </c>
      <c r="E121" t="s">
        <v>9791</v>
      </c>
      <c r="F121" t="s">
        <v>9412</v>
      </c>
      <c r="G121" t="s">
        <v>9413</v>
      </c>
      <c r="H121" t="s">
        <v>9414</v>
      </c>
      <c r="I121" t="s">
        <v>9792</v>
      </c>
      <c r="J121" t="s">
        <v>1442</v>
      </c>
      <c r="K121" t="s">
        <v>9416</v>
      </c>
      <c r="L121" t="s">
        <v>9417</v>
      </c>
      <c r="M121" t="s">
        <v>9425</v>
      </c>
      <c r="N121" t="s">
        <v>9428</v>
      </c>
      <c r="O121" t="s">
        <v>5924</v>
      </c>
      <c r="P121" t="s">
        <v>9420</v>
      </c>
      <c r="Q121" t="s">
        <v>9421</v>
      </c>
      <c r="R121" t="s">
        <v>17</v>
      </c>
      <c r="S121" t="s">
        <v>1462</v>
      </c>
      <c r="T121" t="s">
        <v>1464</v>
      </c>
    </row>
    <row r="122" spans="1:20">
      <c r="A122" t="s">
        <v>1462</v>
      </c>
      <c r="B122" t="s">
        <v>20</v>
      </c>
      <c r="C122" t="s">
        <v>5926</v>
      </c>
      <c r="D122" t="s">
        <v>9460</v>
      </c>
      <c r="E122" t="s">
        <v>9791</v>
      </c>
      <c r="F122" t="s">
        <v>9412</v>
      </c>
      <c r="G122" t="s">
        <v>9413</v>
      </c>
      <c r="H122" t="s">
        <v>9414</v>
      </c>
      <c r="I122" t="s">
        <v>9792</v>
      </c>
      <c r="J122" t="s">
        <v>1442</v>
      </c>
      <c r="K122" t="s">
        <v>9416</v>
      </c>
      <c r="L122" t="s">
        <v>9417</v>
      </c>
      <c r="M122" t="s">
        <v>9425</v>
      </c>
      <c r="N122" t="s">
        <v>9430</v>
      </c>
      <c r="O122" t="s">
        <v>9793</v>
      </c>
      <c r="P122" t="s">
        <v>9794</v>
      </c>
      <c r="Q122" t="s">
        <v>9421</v>
      </c>
      <c r="R122" t="s">
        <v>24</v>
      </c>
      <c r="S122" t="s">
        <v>1466</v>
      </c>
      <c r="T122" t="s">
        <v>1468</v>
      </c>
    </row>
    <row r="123" spans="1:20">
      <c r="A123" t="s">
        <v>9795</v>
      </c>
      <c r="B123" t="s">
        <v>9409</v>
      </c>
      <c r="C123" t="s">
        <v>9796</v>
      </c>
      <c r="D123" t="s">
        <v>9410</v>
      </c>
      <c r="E123" t="s">
        <v>9797</v>
      </c>
      <c r="F123" t="s">
        <v>9412</v>
      </c>
      <c r="G123" t="s">
        <v>9413</v>
      </c>
      <c r="H123" t="s">
        <v>9414</v>
      </c>
      <c r="I123" t="s">
        <v>9798</v>
      </c>
      <c r="J123" t="s">
        <v>1043</v>
      </c>
      <c r="K123" t="s">
        <v>9416</v>
      </c>
      <c r="L123" t="s">
        <v>9417</v>
      </c>
      <c r="M123" t="s">
        <v>9436</v>
      </c>
      <c r="N123" t="s">
        <v>9437</v>
      </c>
      <c r="O123" t="s">
        <v>9799</v>
      </c>
      <c r="P123" t="s">
        <v>9420</v>
      </c>
      <c r="Q123" t="s">
        <v>9421</v>
      </c>
      <c r="R123" t="s">
        <v>17</v>
      </c>
      <c r="S123" t="s">
        <v>9795</v>
      </c>
      <c r="T123" t="s">
        <v>9800</v>
      </c>
    </row>
    <row r="124" spans="1:20">
      <c r="A124" t="s">
        <v>9795</v>
      </c>
      <c r="B124" t="s">
        <v>9409</v>
      </c>
      <c r="C124" t="s">
        <v>9796</v>
      </c>
      <c r="D124" t="s">
        <v>9410</v>
      </c>
      <c r="E124" t="s">
        <v>9797</v>
      </c>
      <c r="F124" t="s">
        <v>9412</v>
      </c>
      <c r="G124" t="s">
        <v>9413</v>
      </c>
      <c r="H124" t="s">
        <v>9414</v>
      </c>
      <c r="I124" t="s">
        <v>9798</v>
      </c>
      <c r="J124" t="s">
        <v>1043</v>
      </c>
      <c r="K124" t="s">
        <v>9416</v>
      </c>
      <c r="L124" t="s">
        <v>9417</v>
      </c>
      <c r="M124" t="s">
        <v>9436</v>
      </c>
      <c r="N124" t="s">
        <v>9437</v>
      </c>
      <c r="O124" t="s">
        <v>9801</v>
      </c>
      <c r="P124" t="s">
        <v>9429</v>
      </c>
      <c r="Q124" t="s">
        <v>9421</v>
      </c>
      <c r="R124" t="s">
        <v>52</v>
      </c>
      <c r="S124" t="s">
        <v>9802</v>
      </c>
      <c r="T124" t="s">
        <v>9803</v>
      </c>
    </row>
    <row r="125" spans="1:20">
      <c r="A125" t="s">
        <v>9804</v>
      </c>
      <c r="B125" t="s">
        <v>9409</v>
      </c>
      <c r="C125" t="s">
        <v>9805</v>
      </c>
      <c r="D125" t="s">
        <v>9410</v>
      </c>
      <c r="E125" t="s">
        <v>9806</v>
      </c>
      <c r="F125" t="s">
        <v>9412</v>
      </c>
      <c r="G125" t="s">
        <v>9413</v>
      </c>
      <c r="H125" t="s">
        <v>9414</v>
      </c>
      <c r="I125" t="s">
        <v>9751</v>
      </c>
      <c r="J125" t="s">
        <v>1246</v>
      </c>
      <c r="K125" t="s">
        <v>9416</v>
      </c>
      <c r="L125" t="s">
        <v>9417</v>
      </c>
      <c r="M125" t="s">
        <v>9418</v>
      </c>
      <c r="N125" t="s">
        <v>9419</v>
      </c>
      <c r="O125" t="s">
        <v>9807</v>
      </c>
      <c r="P125" t="s">
        <v>9459</v>
      </c>
      <c r="Q125" t="s">
        <v>9421</v>
      </c>
      <c r="R125" t="s">
        <v>17</v>
      </c>
      <c r="S125" t="s">
        <v>9804</v>
      </c>
      <c r="T125" t="s">
        <v>9808</v>
      </c>
    </row>
    <row r="126" spans="1:20">
      <c r="A126" t="s">
        <v>6480</v>
      </c>
      <c r="B126" t="s">
        <v>9409</v>
      </c>
      <c r="C126" t="s">
        <v>6483</v>
      </c>
      <c r="D126" t="s">
        <v>9410</v>
      </c>
      <c r="E126" t="s">
        <v>9809</v>
      </c>
      <c r="F126" t="s">
        <v>9412</v>
      </c>
      <c r="G126" t="s">
        <v>9413</v>
      </c>
      <c r="H126" t="s">
        <v>9414</v>
      </c>
      <c r="I126" t="s">
        <v>9637</v>
      </c>
      <c r="J126" t="s">
        <v>1920</v>
      </c>
      <c r="K126" t="s">
        <v>9416</v>
      </c>
      <c r="L126" t="s">
        <v>9417</v>
      </c>
      <c r="M126" t="s">
        <v>9810</v>
      </c>
      <c r="N126" t="s">
        <v>9608</v>
      </c>
      <c r="O126" t="s">
        <v>6481</v>
      </c>
      <c r="P126" t="s">
        <v>9524</v>
      </c>
      <c r="Q126" t="s">
        <v>9421</v>
      </c>
      <c r="R126" t="s">
        <v>24</v>
      </c>
      <c r="S126" t="s">
        <v>6480</v>
      </c>
      <c r="T126" t="s">
        <v>9811</v>
      </c>
    </row>
    <row r="127" spans="1:20">
      <c r="A127" t="s">
        <v>1925</v>
      </c>
      <c r="B127" t="s">
        <v>62</v>
      </c>
      <c r="C127" t="s">
        <v>6487</v>
      </c>
      <c r="D127" t="s">
        <v>445</v>
      </c>
      <c r="E127" t="s">
        <v>9812</v>
      </c>
      <c r="F127" t="s">
        <v>9412</v>
      </c>
      <c r="G127" t="s">
        <v>9413</v>
      </c>
      <c r="H127" t="s">
        <v>9414</v>
      </c>
      <c r="I127" t="s">
        <v>9813</v>
      </c>
      <c r="J127" t="s">
        <v>1920</v>
      </c>
      <c r="K127" t="s">
        <v>9416</v>
      </c>
      <c r="L127" t="s">
        <v>9417</v>
      </c>
      <c r="M127" t="s">
        <v>9638</v>
      </c>
      <c r="N127" t="s">
        <v>9608</v>
      </c>
      <c r="O127" t="s">
        <v>6485</v>
      </c>
      <c r="P127" t="s">
        <v>9429</v>
      </c>
      <c r="Q127" t="s">
        <v>9421</v>
      </c>
      <c r="R127" t="s">
        <v>52</v>
      </c>
      <c r="S127" t="s">
        <v>1925</v>
      </c>
      <c r="T127" t="s">
        <v>1927</v>
      </c>
    </row>
    <row r="128" spans="1:20">
      <c r="A128" t="s">
        <v>1925</v>
      </c>
      <c r="B128" t="s">
        <v>62</v>
      </c>
      <c r="C128" t="s">
        <v>6487</v>
      </c>
      <c r="D128" t="s">
        <v>445</v>
      </c>
      <c r="E128" t="s">
        <v>9812</v>
      </c>
      <c r="F128" t="s">
        <v>9412</v>
      </c>
      <c r="G128" t="s">
        <v>9413</v>
      </c>
      <c r="H128" t="s">
        <v>9414</v>
      </c>
      <c r="I128" t="s">
        <v>9813</v>
      </c>
      <c r="J128" t="s">
        <v>1920</v>
      </c>
      <c r="K128" t="s">
        <v>9416</v>
      </c>
      <c r="L128" t="s">
        <v>9417</v>
      </c>
      <c r="M128" t="s">
        <v>9638</v>
      </c>
      <c r="N128" t="s">
        <v>9430</v>
      </c>
      <c r="O128" t="s">
        <v>6489</v>
      </c>
      <c r="P128" t="s">
        <v>9459</v>
      </c>
      <c r="Q128" t="s">
        <v>9421</v>
      </c>
      <c r="R128" t="s">
        <v>17</v>
      </c>
      <c r="S128" t="s">
        <v>1929</v>
      </c>
      <c r="T128" t="s">
        <v>1931</v>
      </c>
    </row>
    <row r="129" spans="1:20">
      <c r="A129" t="s">
        <v>1932</v>
      </c>
      <c r="B129" t="s">
        <v>62</v>
      </c>
      <c r="C129" t="s">
        <v>9814</v>
      </c>
      <c r="D129" t="s">
        <v>9448</v>
      </c>
      <c r="E129" t="s">
        <v>9815</v>
      </c>
      <c r="F129" t="s">
        <v>9412</v>
      </c>
      <c r="G129" t="s">
        <v>9413</v>
      </c>
      <c r="H129" t="s">
        <v>1044</v>
      </c>
      <c r="I129" t="s">
        <v>9495</v>
      </c>
      <c r="J129" t="s">
        <v>1920</v>
      </c>
      <c r="K129" t="s">
        <v>9416</v>
      </c>
      <c r="L129" t="s">
        <v>9417</v>
      </c>
      <c r="M129" t="s">
        <v>9810</v>
      </c>
      <c r="N129" t="s">
        <v>9608</v>
      </c>
      <c r="O129" t="s">
        <v>6491</v>
      </c>
      <c r="P129" t="s">
        <v>9420</v>
      </c>
      <c r="Q129" t="s">
        <v>9421</v>
      </c>
      <c r="R129" t="s">
        <v>17</v>
      </c>
      <c r="S129" t="s">
        <v>1932</v>
      </c>
      <c r="T129" t="s">
        <v>1934</v>
      </c>
    </row>
    <row r="130" spans="1:20">
      <c r="A130" t="s">
        <v>9816</v>
      </c>
      <c r="B130" t="s">
        <v>9409</v>
      </c>
      <c r="C130" t="s">
        <v>9817</v>
      </c>
      <c r="D130" t="s">
        <v>9410</v>
      </c>
      <c r="E130" t="s">
        <v>9818</v>
      </c>
      <c r="F130" t="s">
        <v>9412</v>
      </c>
      <c r="G130" t="s">
        <v>9413</v>
      </c>
      <c r="H130" t="s">
        <v>9414</v>
      </c>
      <c r="I130" t="s">
        <v>9819</v>
      </c>
      <c r="J130" t="s">
        <v>1920</v>
      </c>
      <c r="K130" t="s">
        <v>9416</v>
      </c>
      <c r="L130" t="s">
        <v>9417</v>
      </c>
      <c r="M130" t="s">
        <v>9820</v>
      </c>
      <c r="N130" t="s">
        <v>9608</v>
      </c>
      <c r="O130" t="s">
        <v>9821</v>
      </c>
      <c r="P130" t="s">
        <v>9623</v>
      </c>
      <c r="Q130" t="s">
        <v>9421</v>
      </c>
      <c r="R130" t="s">
        <v>24</v>
      </c>
      <c r="S130" t="s">
        <v>9816</v>
      </c>
      <c r="T130" t="s">
        <v>9822</v>
      </c>
    </row>
    <row r="131" spans="1:20">
      <c r="A131" t="s">
        <v>9823</v>
      </c>
      <c r="B131" t="s">
        <v>9409</v>
      </c>
      <c r="C131" t="s">
        <v>9824</v>
      </c>
      <c r="D131" t="s">
        <v>9410</v>
      </c>
      <c r="E131" t="s">
        <v>9825</v>
      </c>
      <c r="F131" t="s">
        <v>9412</v>
      </c>
      <c r="G131" t="s">
        <v>9413</v>
      </c>
      <c r="H131" t="s">
        <v>9414</v>
      </c>
      <c r="I131" t="s">
        <v>9826</v>
      </c>
      <c r="J131" t="s">
        <v>1920</v>
      </c>
      <c r="K131" t="s">
        <v>9416</v>
      </c>
      <c r="L131" t="s">
        <v>9417</v>
      </c>
      <c r="M131" t="s">
        <v>9783</v>
      </c>
      <c r="N131" t="s">
        <v>9608</v>
      </c>
      <c r="O131" t="s">
        <v>9827</v>
      </c>
      <c r="P131" t="s">
        <v>9420</v>
      </c>
      <c r="Q131" t="s">
        <v>9421</v>
      </c>
      <c r="R131" t="s">
        <v>17</v>
      </c>
      <c r="S131" t="s">
        <v>9823</v>
      </c>
      <c r="T131" t="s">
        <v>9828</v>
      </c>
    </row>
    <row r="132" spans="1:20">
      <c r="A132" t="s">
        <v>9823</v>
      </c>
      <c r="B132" t="s">
        <v>9409</v>
      </c>
      <c r="C132" t="s">
        <v>9824</v>
      </c>
      <c r="D132" t="s">
        <v>9410</v>
      </c>
      <c r="E132" t="s">
        <v>9825</v>
      </c>
      <c r="F132" t="s">
        <v>9412</v>
      </c>
      <c r="G132" t="s">
        <v>9413</v>
      </c>
      <c r="H132" t="s">
        <v>9414</v>
      </c>
      <c r="I132" t="s">
        <v>9826</v>
      </c>
      <c r="J132" t="s">
        <v>1920</v>
      </c>
      <c r="K132" t="s">
        <v>9445</v>
      </c>
      <c r="L132" t="s">
        <v>9417</v>
      </c>
      <c r="M132" t="s">
        <v>9783</v>
      </c>
      <c r="N132" t="s">
        <v>9426</v>
      </c>
      <c r="O132" t="s">
        <v>9446</v>
      </c>
      <c r="P132" t="s">
        <v>9479</v>
      </c>
      <c r="Q132" t="s">
        <v>9421</v>
      </c>
      <c r="R132" t="s">
        <v>43</v>
      </c>
      <c r="S132" t="s">
        <v>1889</v>
      </c>
      <c r="T132" t="s">
        <v>1891</v>
      </c>
    </row>
    <row r="133" spans="1:20">
      <c r="A133" t="s">
        <v>1936</v>
      </c>
      <c r="B133" t="s">
        <v>62</v>
      </c>
      <c r="C133" t="s">
        <v>1939</v>
      </c>
      <c r="D133" t="s">
        <v>445</v>
      </c>
      <c r="E133" t="s">
        <v>9829</v>
      </c>
      <c r="F133" t="s">
        <v>9412</v>
      </c>
      <c r="G133" t="s">
        <v>9413</v>
      </c>
      <c r="H133" t="s">
        <v>1044</v>
      </c>
      <c r="I133" t="s">
        <v>9830</v>
      </c>
      <c r="J133" t="s">
        <v>1920</v>
      </c>
      <c r="K133" t="s">
        <v>9416</v>
      </c>
      <c r="L133" t="s">
        <v>9417</v>
      </c>
      <c r="M133" t="s">
        <v>9831</v>
      </c>
      <c r="N133" t="s">
        <v>9608</v>
      </c>
      <c r="O133" t="s">
        <v>6495</v>
      </c>
      <c r="P133" t="s">
        <v>9420</v>
      </c>
      <c r="Q133" t="s">
        <v>9421</v>
      </c>
      <c r="R133" t="s">
        <v>17</v>
      </c>
      <c r="S133" t="s">
        <v>1936</v>
      </c>
      <c r="T133" t="s">
        <v>1938</v>
      </c>
    </row>
    <row r="134" spans="1:20">
      <c r="A134" t="s">
        <v>6336</v>
      </c>
      <c r="B134" t="s">
        <v>20</v>
      </c>
      <c r="C134" t="s">
        <v>6339</v>
      </c>
      <c r="D134" t="s">
        <v>9464</v>
      </c>
      <c r="E134" t="s">
        <v>9832</v>
      </c>
      <c r="F134" t="s">
        <v>9412</v>
      </c>
      <c r="G134" t="s">
        <v>9413</v>
      </c>
      <c r="H134" t="s">
        <v>9414</v>
      </c>
      <c r="I134" t="s">
        <v>9560</v>
      </c>
      <c r="J134" t="s">
        <v>1808</v>
      </c>
      <c r="K134" t="s">
        <v>9416</v>
      </c>
      <c r="L134" t="s">
        <v>9417</v>
      </c>
      <c r="M134" t="s">
        <v>9833</v>
      </c>
      <c r="N134" t="s">
        <v>9639</v>
      </c>
      <c r="O134" t="s">
        <v>6337</v>
      </c>
      <c r="P134" t="s">
        <v>9459</v>
      </c>
      <c r="Q134" t="s">
        <v>9421</v>
      </c>
      <c r="R134" t="s">
        <v>17</v>
      </c>
      <c r="S134" t="s">
        <v>6336</v>
      </c>
      <c r="T134" t="s">
        <v>9834</v>
      </c>
    </row>
    <row r="135" spans="1:20">
      <c r="A135" t="s">
        <v>6341</v>
      </c>
      <c r="B135" t="s">
        <v>20</v>
      </c>
      <c r="C135" t="s">
        <v>6344</v>
      </c>
      <c r="D135" t="s">
        <v>9460</v>
      </c>
      <c r="E135" t="s">
        <v>9835</v>
      </c>
      <c r="F135" t="s">
        <v>9412</v>
      </c>
      <c r="G135" t="s">
        <v>9413</v>
      </c>
      <c r="H135" t="s">
        <v>9414</v>
      </c>
      <c r="I135" t="s">
        <v>9457</v>
      </c>
      <c r="J135" t="s">
        <v>1808</v>
      </c>
      <c r="K135" t="s">
        <v>9416</v>
      </c>
      <c r="L135" t="s">
        <v>9417</v>
      </c>
      <c r="M135" t="s">
        <v>9833</v>
      </c>
      <c r="N135" t="s">
        <v>9639</v>
      </c>
      <c r="O135" t="s">
        <v>6342</v>
      </c>
      <c r="P135" t="s">
        <v>9524</v>
      </c>
      <c r="Q135" t="s">
        <v>9421</v>
      </c>
      <c r="R135" t="s">
        <v>24</v>
      </c>
      <c r="S135" t="s">
        <v>6341</v>
      </c>
      <c r="T135" t="s">
        <v>9836</v>
      </c>
    </row>
    <row r="136" spans="1:20">
      <c r="A136" t="s">
        <v>9837</v>
      </c>
      <c r="B136" t="s">
        <v>9409</v>
      </c>
      <c r="C136" t="s">
        <v>9838</v>
      </c>
      <c r="D136" t="s">
        <v>9410</v>
      </c>
      <c r="E136" t="s">
        <v>9839</v>
      </c>
      <c r="F136" t="s">
        <v>9412</v>
      </c>
      <c r="G136" t="s">
        <v>9413</v>
      </c>
      <c r="H136" t="s">
        <v>9414</v>
      </c>
      <c r="I136" t="s">
        <v>9576</v>
      </c>
      <c r="J136" t="s">
        <v>1808</v>
      </c>
      <c r="K136" t="s">
        <v>9416</v>
      </c>
      <c r="L136" t="s">
        <v>9417</v>
      </c>
      <c r="M136" t="s">
        <v>9840</v>
      </c>
      <c r="N136" t="s">
        <v>9639</v>
      </c>
      <c r="O136" t="s">
        <v>9841</v>
      </c>
      <c r="P136" t="s">
        <v>9459</v>
      </c>
      <c r="Q136" t="s">
        <v>9421</v>
      </c>
      <c r="R136" t="s">
        <v>17</v>
      </c>
      <c r="S136" t="s">
        <v>9837</v>
      </c>
      <c r="T136" t="s">
        <v>9842</v>
      </c>
    </row>
    <row r="137" spans="1:20">
      <c r="A137" t="s">
        <v>9843</v>
      </c>
      <c r="B137" t="s">
        <v>9409</v>
      </c>
      <c r="C137" t="s">
        <v>9844</v>
      </c>
      <c r="D137" t="s">
        <v>9410</v>
      </c>
      <c r="E137" t="s">
        <v>9845</v>
      </c>
      <c r="F137" t="s">
        <v>9412</v>
      </c>
      <c r="G137" t="s">
        <v>9413</v>
      </c>
      <c r="H137" t="s">
        <v>9414</v>
      </c>
      <c r="I137" t="s">
        <v>9846</v>
      </c>
      <c r="J137" t="s">
        <v>2174</v>
      </c>
      <c r="K137" t="s">
        <v>9416</v>
      </c>
      <c r="L137" t="s">
        <v>9417</v>
      </c>
      <c r="M137" t="s">
        <v>9534</v>
      </c>
      <c r="N137" t="s">
        <v>9621</v>
      </c>
      <c r="O137" t="s">
        <v>9847</v>
      </c>
      <c r="P137" t="s">
        <v>9420</v>
      </c>
      <c r="Q137" t="s">
        <v>9421</v>
      </c>
      <c r="R137" t="s">
        <v>17</v>
      </c>
      <c r="S137" t="s">
        <v>9843</v>
      </c>
      <c r="T137" t="s">
        <v>9848</v>
      </c>
    </row>
    <row r="138" spans="1:20">
      <c r="A138" t="s">
        <v>5702</v>
      </c>
      <c r="B138" t="s">
        <v>20</v>
      </c>
      <c r="C138" t="s">
        <v>5705</v>
      </c>
      <c r="D138" t="s">
        <v>9764</v>
      </c>
      <c r="E138" t="s">
        <v>9849</v>
      </c>
      <c r="F138" t="s">
        <v>9412</v>
      </c>
      <c r="G138" t="s">
        <v>9413</v>
      </c>
      <c r="H138" t="s">
        <v>9414</v>
      </c>
      <c r="I138" t="s">
        <v>9846</v>
      </c>
      <c r="J138" t="s">
        <v>1246</v>
      </c>
      <c r="K138" t="s">
        <v>9416</v>
      </c>
      <c r="L138" t="s">
        <v>9417</v>
      </c>
      <c r="M138" t="s">
        <v>9467</v>
      </c>
      <c r="N138" t="s">
        <v>9419</v>
      </c>
      <c r="O138" t="s">
        <v>5703</v>
      </c>
      <c r="P138" t="s">
        <v>9420</v>
      </c>
      <c r="Q138" t="s">
        <v>9421</v>
      </c>
      <c r="R138" t="s">
        <v>17</v>
      </c>
      <c r="S138" t="s">
        <v>5702</v>
      </c>
      <c r="T138" t="s">
        <v>9850</v>
      </c>
    </row>
    <row r="139" spans="1:20">
      <c r="A139" t="s">
        <v>9851</v>
      </c>
      <c r="B139" t="s">
        <v>9409</v>
      </c>
      <c r="C139" t="s">
        <v>9852</v>
      </c>
      <c r="D139" t="s">
        <v>9410</v>
      </c>
      <c r="E139" t="s">
        <v>9853</v>
      </c>
      <c r="F139" t="s">
        <v>9412</v>
      </c>
      <c r="G139" t="s">
        <v>9413</v>
      </c>
      <c r="H139" t="s">
        <v>9414</v>
      </c>
      <c r="I139" t="s">
        <v>9854</v>
      </c>
      <c r="J139" t="s">
        <v>1683</v>
      </c>
      <c r="K139" t="s">
        <v>9416</v>
      </c>
      <c r="L139" t="s">
        <v>9417</v>
      </c>
      <c r="M139" t="s">
        <v>9453</v>
      </c>
      <c r="N139" t="s">
        <v>9454</v>
      </c>
      <c r="O139" t="s">
        <v>9855</v>
      </c>
      <c r="P139" t="s">
        <v>9420</v>
      </c>
      <c r="Q139" t="s">
        <v>9421</v>
      </c>
      <c r="R139" t="s">
        <v>17</v>
      </c>
      <c r="S139" t="s">
        <v>9851</v>
      </c>
      <c r="T139" t="s">
        <v>9856</v>
      </c>
    </row>
    <row r="140" spans="1:20">
      <c r="A140" t="s">
        <v>1185</v>
      </c>
      <c r="B140" t="s">
        <v>62</v>
      </c>
      <c r="C140" t="s">
        <v>5600</v>
      </c>
      <c r="D140" t="s">
        <v>9448</v>
      </c>
      <c r="E140" t="s">
        <v>9857</v>
      </c>
      <c r="F140" t="s">
        <v>9412</v>
      </c>
      <c r="G140" t="s">
        <v>9413</v>
      </c>
      <c r="H140" t="s">
        <v>9414</v>
      </c>
      <c r="I140" t="s">
        <v>9854</v>
      </c>
      <c r="J140" t="s">
        <v>1155</v>
      </c>
      <c r="K140" t="s">
        <v>9416</v>
      </c>
      <c r="L140" t="s">
        <v>9417</v>
      </c>
      <c r="M140" t="s">
        <v>9561</v>
      </c>
      <c r="N140" t="s">
        <v>9488</v>
      </c>
      <c r="O140" t="s">
        <v>5598</v>
      </c>
      <c r="P140" t="s">
        <v>9420</v>
      </c>
      <c r="Q140" t="s">
        <v>9421</v>
      </c>
      <c r="R140" t="s">
        <v>17</v>
      </c>
      <c r="S140" t="s">
        <v>1185</v>
      </c>
      <c r="T140" t="s">
        <v>1187</v>
      </c>
    </row>
    <row r="141" spans="1:20">
      <c r="A141" t="s">
        <v>9858</v>
      </c>
      <c r="B141" t="s">
        <v>9409</v>
      </c>
      <c r="C141" t="s">
        <v>9859</v>
      </c>
      <c r="D141" t="s">
        <v>9410</v>
      </c>
      <c r="E141" t="s">
        <v>9860</v>
      </c>
      <c r="F141" t="s">
        <v>9412</v>
      </c>
      <c r="G141" t="s">
        <v>9413</v>
      </c>
      <c r="H141" t="s">
        <v>9414</v>
      </c>
      <c r="I141" t="s">
        <v>9729</v>
      </c>
      <c r="J141" t="s">
        <v>2174</v>
      </c>
      <c r="K141" t="s">
        <v>9416</v>
      </c>
      <c r="L141" t="s">
        <v>9417</v>
      </c>
      <c r="M141" t="s">
        <v>9534</v>
      </c>
      <c r="N141" t="s">
        <v>9621</v>
      </c>
      <c r="O141" t="s">
        <v>9861</v>
      </c>
      <c r="P141" t="s">
        <v>9429</v>
      </c>
      <c r="Q141" t="s">
        <v>9421</v>
      </c>
      <c r="R141" t="s">
        <v>52</v>
      </c>
      <c r="S141" t="s">
        <v>5748</v>
      </c>
      <c r="T141" t="s">
        <v>9862</v>
      </c>
    </row>
    <row r="142" spans="1:20">
      <c r="A142" t="s">
        <v>9858</v>
      </c>
      <c r="B142" t="s">
        <v>9409</v>
      </c>
      <c r="C142" t="s">
        <v>9859</v>
      </c>
      <c r="D142" t="s">
        <v>9410</v>
      </c>
      <c r="E142" t="s">
        <v>9860</v>
      </c>
      <c r="F142" t="s">
        <v>9412</v>
      </c>
      <c r="G142" t="s">
        <v>9413</v>
      </c>
      <c r="H142" t="s">
        <v>9414</v>
      </c>
      <c r="I142" t="s">
        <v>9729</v>
      </c>
      <c r="J142" t="s">
        <v>2174</v>
      </c>
      <c r="K142" t="s">
        <v>9416</v>
      </c>
      <c r="L142" t="s">
        <v>9417</v>
      </c>
      <c r="M142" t="s">
        <v>9534</v>
      </c>
      <c r="N142" t="s">
        <v>9621</v>
      </c>
      <c r="O142" t="s">
        <v>9863</v>
      </c>
      <c r="P142" t="s">
        <v>9429</v>
      </c>
      <c r="Q142" t="s">
        <v>9421</v>
      </c>
      <c r="R142" t="s">
        <v>52</v>
      </c>
      <c r="S142" t="s">
        <v>9864</v>
      </c>
      <c r="T142" t="s">
        <v>9865</v>
      </c>
    </row>
    <row r="143" spans="1:20">
      <c r="A143" t="s">
        <v>9858</v>
      </c>
      <c r="B143" t="s">
        <v>9409</v>
      </c>
      <c r="C143" t="s">
        <v>9859</v>
      </c>
      <c r="D143" t="s">
        <v>9410</v>
      </c>
      <c r="E143" t="s">
        <v>9860</v>
      </c>
      <c r="F143" t="s">
        <v>9412</v>
      </c>
      <c r="G143" t="s">
        <v>9413</v>
      </c>
      <c r="H143" t="s">
        <v>9414</v>
      </c>
      <c r="I143" t="s">
        <v>9729</v>
      </c>
      <c r="J143" t="s">
        <v>2174</v>
      </c>
      <c r="K143" t="s">
        <v>9445</v>
      </c>
      <c r="L143" t="s">
        <v>9417</v>
      </c>
      <c r="M143" t="s">
        <v>9534</v>
      </c>
      <c r="N143" t="s">
        <v>9430</v>
      </c>
      <c r="O143" t="s">
        <v>9446</v>
      </c>
      <c r="P143" t="s">
        <v>9474</v>
      </c>
      <c r="Q143" t="s">
        <v>9421</v>
      </c>
      <c r="R143" t="s">
        <v>43</v>
      </c>
      <c r="S143" t="s">
        <v>1692</v>
      </c>
      <c r="T143" t="s">
        <v>1694</v>
      </c>
    </row>
    <row r="144" spans="1:20">
      <c r="A144" t="s">
        <v>9866</v>
      </c>
      <c r="B144" t="s">
        <v>9409</v>
      </c>
      <c r="C144" t="s">
        <v>9867</v>
      </c>
      <c r="D144" t="s">
        <v>9410</v>
      </c>
      <c r="E144" t="s">
        <v>9868</v>
      </c>
      <c r="F144" t="s">
        <v>9412</v>
      </c>
      <c r="G144" t="s">
        <v>9413</v>
      </c>
      <c r="H144" t="s">
        <v>9414</v>
      </c>
      <c r="I144" t="s">
        <v>9869</v>
      </c>
      <c r="J144" t="s">
        <v>1808</v>
      </c>
      <c r="K144" t="s">
        <v>9416</v>
      </c>
      <c r="L144" t="s">
        <v>9417</v>
      </c>
      <c r="M144" t="s">
        <v>9870</v>
      </c>
      <c r="N144" t="s">
        <v>9639</v>
      </c>
      <c r="O144" t="s">
        <v>9871</v>
      </c>
      <c r="P144" t="s">
        <v>9420</v>
      </c>
      <c r="Q144" t="s">
        <v>9421</v>
      </c>
      <c r="R144" t="s">
        <v>17</v>
      </c>
      <c r="S144" t="s">
        <v>9866</v>
      </c>
      <c r="T144" t="s">
        <v>9872</v>
      </c>
    </row>
    <row r="145" spans="1:20">
      <c r="A145" t="s">
        <v>1067</v>
      </c>
      <c r="B145" t="s">
        <v>20</v>
      </c>
      <c r="C145" t="s">
        <v>5459</v>
      </c>
      <c r="D145" t="s">
        <v>9455</v>
      </c>
      <c r="E145" t="s">
        <v>9873</v>
      </c>
      <c r="F145" t="s">
        <v>9412</v>
      </c>
      <c r="G145" t="s">
        <v>9413</v>
      </c>
      <c r="H145" t="s">
        <v>9414</v>
      </c>
      <c r="I145" t="s">
        <v>9874</v>
      </c>
      <c r="J145" t="s">
        <v>1043</v>
      </c>
      <c r="K145" t="s">
        <v>9416</v>
      </c>
      <c r="L145" t="s">
        <v>9417</v>
      </c>
      <c r="M145" t="s">
        <v>9512</v>
      </c>
      <c r="N145" t="s">
        <v>9437</v>
      </c>
      <c r="O145" t="s">
        <v>5457</v>
      </c>
      <c r="P145" t="s">
        <v>9429</v>
      </c>
      <c r="Q145" t="s">
        <v>9421</v>
      </c>
      <c r="R145" t="s">
        <v>52</v>
      </c>
      <c r="S145" t="s">
        <v>1067</v>
      </c>
      <c r="T145" t="s">
        <v>1069</v>
      </c>
    </row>
    <row r="146" spans="1:20">
      <c r="A146" t="s">
        <v>1067</v>
      </c>
      <c r="B146" t="s">
        <v>20</v>
      </c>
      <c r="C146" t="s">
        <v>5459</v>
      </c>
      <c r="D146" t="s">
        <v>9455</v>
      </c>
      <c r="E146" t="s">
        <v>9873</v>
      </c>
      <c r="F146" t="s">
        <v>9412</v>
      </c>
      <c r="G146" t="s">
        <v>9413</v>
      </c>
      <c r="H146" t="s">
        <v>9414</v>
      </c>
      <c r="I146" t="s">
        <v>9874</v>
      </c>
      <c r="J146" t="s">
        <v>1043</v>
      </c>
      <c r="K146" t="s">
        <v>9445</v>
      </c>
      <c r="L146" t="s">
        <v>9417</v>
      </c>
      <c r="M146" t="s">
        <v>9512</v>
      </c>
      <c r="N146" t="s">
        <v>9426</v>
      </c>
      <c r="O146" t="s">
        <v>9446</v>
      </c>
      <c r="P146" t="s">
        <v>9524</v>
      </c>
      <c r="Q146" t="s">
        <v>9421</v>
      </c>
      <c r="R146" t="s">
        <v>24</v>
      </c>
      <c r="S146" t="s">
        <v>1071</v>
      </c>
      <c r="T146" t="s">
        <v>1073</v>
      </c>
    </row>
    <row r="147" spans="1:20">
      <c r="A147" t="s">
        <v>1067</v>
      </c>
      <c r="B147" t="s">
        <v>20</v>
      </c>
      <c r="C147" t="s">
        <v>5459</v>
      </c>
      <c r="D147" t="s">
        <v>9455</v>
      </c>
      <c r="E147" t="s">
        <v>9873</v>
      </c>
      <c r="F147" t="s">
        <v>9412</v>
      </c>
      <c r="G147" t="s">
        <v>9413</v>
      </c>
      <c r="H147" t="s">
        <v>9414</v>
      </c>
      <c r="I147" t="s">
        <v>9874</v>
      </c>
      <c r="J147" t="s">
        <v>1043</v>
      </c>
      <c r="K147" t="s">
        <v>9416</v>
      </c>
      <c r="L147" t="s">
        <v>9417</v>
      </c>
      <c r="M147" t="s">
        <v>9512</v>
      </c>
      <c r="N147" t="s">
        <v>9430</v>
      </c>
      <c r="O147" t="s">
        <v>5463</v>
      </c>
      <c r="P147" t="s">
        <v>9420</v>
      </c>
      <c r="Q147" t="s">
        <v>9421</v>
      </c>
      <c r="R147" t="s">
        <v>17</v>
      </c>
      <c r="S147" t="s">
        <v>1074</v>
      </c>
      <c r="T147" t="s">
        <v>1076</v>
      </c>
    </row>
    <row r="148" spans="1:20">
      <c r="A148" t="s">
        <v>1597</v>
      </c>
      <c r="B148" t="s">
        <v>62</v>
      </c>
      <c r="C148" t="s">
        <v>6082</v>
      </c>
      <c r="D148" t="s">
        <v>9448</v>
      </c>
      <c r="E148" t="s">
        <v>9875</v>
      </c>
      <c r="F148" t="s">
        <v>9412</v>
      </c>
      <c r="G148" t="s">
        <v>9413</v>
      </c>
      <c r="H148" t="s">
        <v>9414</v>
      </c>
      <c r="I148" t="s">
        <v>9457</v>
      </c>
      <c r="J148" t="s">
        <v>1589</v>
      </c>
      <c r="K148" t="s">
        <v>9416</v>
      </c>
      <c r="L148" t="s">
        <v>9417</v>
      </c>
      <c r="M148" t="s">
        <v>9715</v>
      </c>
      <c r="N148" t="s">
        <v>9430</v>
      </c>
      <c r="O148" t="s">
        <v>6084</v>
      </c>
      <c r="P148" t="s">
        <v>9431</v>
      </c>
      <c r="Q148" t="s">
        <v>9421</v>
      </c>
      <c r="R148" t="s">
        <v>24</v>
      </c>
      <c r="S148" t="s">
        <v>1601</v>
      </c>
      <c r="T148" t="s">
        <v>1603</v>
      </c>
    </row>
    <row r="149" spans="1:20">
      <c r="A149" t="s">
        <v>1597</v>
      </c>
      <c r="B149" t="s">
        <v>62</v>
      </c>
      <c r="C149" t="s">
        <v>6082</v>
      </c>
      <c r="D149" t="s">
        <v>9448</v>
      </c>
      <c r="E149" t="s">
        <v>9875</v>
      </c>
      <c r="F149" t="s">
        <v>9412</v>
      </c>
      <c r="G149" t="s">
        <v>9413</v>
      </c>
      <c r="H149" t="s">
        <v>9414</v>
      </c>
      <c r="I149" t="s">
        <v>9457</v>
      </c>
      <c r="J149" t="s">
        <v>1589</v>
      </c>
      <c r="K149" t="s">
        <v>9416</v>
      </c>
      <c r="L149" t="s">
        <v>9417</v>
      </c>
      <c r="M149" t="s">
        <v>9715</v>
      </c>
      <c r="N149" t="s">
        <v>9716</v>
      </c>
      <c r="O149" t="s">
        <v>6080</v>
      </c>
      <c r="P149" t="s">
        <v>9420</v>
      </c>
      <c r="Q149" t="s">
        <v>9421</v>
      </c>
      <c r="R149" t="s">
        <v>17</v>
      </c>
      <c r="S149" t="s">
        <v>1597</v>
      </c>
      <c r="T149" t="s">
        <v>1599</v>
      </c>
    </row>
    <row r="150" spans="1:20">
      <c r="A150" t="s">
        <v>1604</v>
      </c>
      <c r="B150" t="s">
        <v>62</v>
      </c>
      <c r="C150" t="s">
        <v>1607</v>
      </c>
      <c r="D150" t="s">
        <v>9448</v>
      </c>
      <c r="E150" t="s">
        <v>9876</v>
      </c>
      <c r="F150" t="s">
        <v>9412</v>
      </c>
      <c r="G150" t="s">
        <v>9413</v>
      </c>
      <c r="H150" t="s">
        <v>1044</v>
      </c>
      <c r="I150" t="s">
        <v>9674</v>
      </c>
      <c r="J150" t="s">
        <v>1589</v>
      </c>
      <c r="K150" t="s">
        <v>9416</v>
      </c>
      <c r="L150" t="s">
        <v>9417</v>
      </c>
      <c r="M150" t="s">
        <v>9715</v>
      </c>
      <c r="N150" t="s">
        <v>9716</v>
      </c>
      <c r="O150" t="s">
        <v>6086</v>
      </c>
      <c r="P150" t="s">
        <v>9420</v>
      </c>
      <c r="Q150" t="s">
        <v>9421</v>
      </c>
      <c r="R150" t="s">
        <v>17</v>
      </c>
      <c r="S150" t="s">
        <v>1604</v>
      </c>
      <c r="T150" t="s">
        <v>1606</v>
      </c>
    </row>
    <row r="151" spans="1:20">
      <c r="A151" t="s">
        <v>9877</v>
      </c>
      <c r="B151" t="s">
        <v>9409</v>
      </c>
      <c r="C151" t="s">
        <v>9878</v>
      </c>
      <c r="D151" t="s">
        <v>9410</v>
      </c>
      <c r="E151" t="s">
        <v>9879</v>
      </c>
      <c r="F151" t="s">
        <v>9412</v>
      </c>
      <c r="G151" t="s">
        <v>9413</v>
      </c>
      <c r="H151" t="s">
        <v>9414</v>
      </c>
      <c r="I151" t="s">
        <v>9880</v>
      </c>
      <c r="J151" t="s">
        <v>2174</v>
      </c>
      <c r="K151" t="s">
        <v>9416</v>
      </c>
      <c r="L151" t="s">
        <v>9417</v>
      </c>
      <c r="M151" t="s">
        <v>9776</v>
      </c>
      <c r="N151" t="s">
        <v>9621</v>
      </c>
      <c r="O151" t="s">
        <v>9881</v>
      </c>
      <c r="P151" t="s">
        <v>9420</v>
      </c>
      <c r="Q151" t="s">
        <v>9421</v>
      </c>
      <c r="R151" t="s">
        <v>17</v>
      </c>
      <c r="S151" t="s">
        <v>9877</v>
      </c>
      <c r="T151" t="s">
        <v>9882</v>
      </c>
    </row>
    <row r="152" spans="1:20">
      <c r="A152" t="s">
        <v>9883</v>
      </c>
      <c r="B152" t="s">
        <v>9409</v>
      </c>
      <c r="C152" t="s">
        <v>9884</v>
      </c>
      <c r="D152" t="s">
        <v>9410</v>
      </c>
      <c r="E152" t="s">
        <v>9885</v>
      </c>
      <c r="F152" t="s">
        <v>9412</v>
      </c>
      <c r="G152" t="s">
        <v>9413</v>
      </c>
      <c r="H152" t="s">
        <v>9414</v>
      </c>
      <c r="I152" t="s">
        <v>9886</v>
      </c>
      <c r="J152" t="s">
        <v>1043</v>
      </c>
      <c r="K152" t="s">
        <v>9416</v>
      </c>
      <c r="L152" t="s">
        <v>9417</v>
      </c>
      <c r="M152" t="s">
        <v>9512</v>
      </c>
      <c r="N152" t="s">
        <v>9446</v>
      </c>
      <c r="O152" t="s">
        <v>9887</v>
      </c>
      <c r="P152" t="s">
        <v>9655</v>
      </c>
      <c r="Q152" t="s">
        <v>9421</v>
      </c>
      <c r="R152" t="s">
        <v>56</v>
      </c>
      <c r="S152" t="s">
        <v>9888</v>
      </c>
      <c r="T152" t="s">
        <v>9889</v>
      </c>
    </row>
    <row r="153" spans="1:20">
      <c r="A153" t="s">
        <v>9883</v>
      </c>
      <c r="B153" t="s">
        <v>9409</v>
      </c>
      <c r="C153" t="s">
        <v>9884</v>
      </c>
      <c r="D153" t="s">
        <v>9410</v>
      </c>
      <c r="E153" t="s">
        <v>9885</v>
      </c>
      <c r="F153" t="s">
        <v>9412</v>
      </c>
      <c r="G153" t="s">
        <v>9413</v>
      </c>
      <c r="H153" t="s">
        <v>9414</v>
      </c>
      <c r="I153" t="s">
        <v>9886</v>
      </c>
      <c r="J153" t="s">
        <v>1043</v>
      </c>
      <c r="K153" t="s">
        <v>9416</v>
      </c>
      <c r="L153" t="s">
        <v>9417</v>
      </c>
      <c r="M153" t="s">
        <v>9512</v>
      </c>
      <c r="N153" t="s">
        <v>9446</v>
      </c>
      <c r="O153" t="s">
        <v>9890</v>
      </c>
      <c r="P153" t="s">
        <v>9655</v>
      </c>
      <c r="Q153" t="s">
        <v>9421</v>
      </c>
      <c r="R153" t="s">
        <v>56</v>
      </c>
      <c r="S153" t="s">
        <v>9891</v>
      </c>
      <c r="T153" t="s">
        <v>9892</v>
      </c>
    </row>
    <row r="154" spans="1:20">
      <c r="A154" t="s">
        <v>9883</v>
      </c>
      <c r="B154" t="s">
        <v>9409</v>
      </c>
      <c r="C154" t="s">
        <v>9884</v>
      </c>
      <c r="D154" t="s">
        <v>9410</v>
      </c>
      <c r="E154" t="s">
        <v>9885</v>
      </c>
      <c r="F154" t="s">
        <v>9412</v>
      </c>
      <c r="G154" t="s">
        <v>9413</v>
      </c>
      <c r="H154" t="s">
        <v>9414</v>
      </c>
      <c r="I154" t="s">
        <v>9886</v>
      </c>
      <c r="J154" t="s">
        <v>1043</v>
      </c>
      <c r="K154" t="s">
        <v>9445</v>
      </c>
      <c r="L154" t="s">
        <v>9417</v>
      </c>
      <c r="M154" t="s">
        <v>9512</v>
      </c>
      <c r="N154" t="s">
        <v>9426</v>
      </c>
      <c r="O154" t="s">
        <v>9446</v>
      </c>
      <c r="P154" t="s">
        <v>9479</v>
      </c>
      <c r="Q154" t="s">
        <v>9421</v>
      </c>
      <c r="R154" t="s">
        <v>43</v>
      </c>
      <c r="S154" t="s">
        <v>1064</v>
      </c>
      <c r="T154" t="s">
        <v>1066</v>
      </c>
    </row>
    <row r="155" spans="1:20">
      <c r="A155" t="s">
        <v>9893</v>
      </c>
      <c r="B155" t="s">
        <v>9409</v>
      </c>
      <c r="C155" t="s">
        <v>9894</v>
      </c>
      <c r="D155" t="s">
        <v>9410</v>
      </c>
      <c r="E155" t="s">
        <v>9895</v>
      </c>
      <c r="F155" t="s">
        <v>9412</v>
      </c>
      <c r="G155" t="s">
        <v>9413</v>
      </c>
      <c r="H155" t="s">
        <v>9414</v>
      </c>
      <c r="I155" t="s">
        <v>9787</v>
      </c>
      <c r="J155" t="s">
        <v>2026</v>
      </c>
      <c r="K155" t="s">
        <v>9416</v>
      </c>
      <c r="L155" t="s">
        <v>9417</v>
      </c>
      <c r="M155" t="s">
        <v>9602</v>
      </c>
      <c r="N155" t="s">
        <v>9480</v>
      </c>
      <c r="O155" t="s">
        <v>9896</v>
      </c>
      <c r="P155" t="s">
        <v>9420</v>
      </c>
      <c r="Q155" t="s">
        <v>9421</v>
      </c>
      <c r="R155" t="s">
        <v>17</v>
      </c>
      <c r="S155" t="s">
        <v>9893</v>
      </c>
      <c r="T155" t="s">
        <v>9897</v>
      </c>
    </row>
    <row r="156" spans="1:20">
      <c r="A156" t="s">
        <v>1189</v>
      </c>
      <c r="B156" t="s">
        <v>20</v>
      </c>
      <c r="C156" t="s">
        <v>1192</v>
      </c>
      <c r="D156" t="s">
        <v>9898</v>
      </c>
      <c r="E156" t="s">
        <v>9899</v>
      </c>
      <c r="F156" t="s">
        <v>9412</v>
      </c>
      <c r="G156" t="s">
        <v>9413</v>
      </c>
      <c r="H156" t="s">
        <v>1044</v>
      </c>
      <c r="I156" t="s">
        <v>9415</v>
      </c>
      <c r="J156" t="s">
        <v>1155</v>
      </c>
      <c r="K156" t="s">
        <v>9445</v>
      </c>
      <c r="L156" t="s">
        <v>9417</v>
      </c>
      <c r="M156" t="s">
        <v>9503</v>
      </c>
      <c r="N156" t="s">
        <v>9426</v>
      </c>
      <c r="O156" t="s">
        <v>9446</v>
      </c>
      <c r="P156" t="s">
        <v>9567</v>
      </c>
      <c r="Q156" t="s">
        <v>9421</v>
      </c>
      <c r="R156" t="s">
        <v>43</v>
      </c>
      <c r="S156" t="s">
        <v>1168</v>
      </c>
      <c r="T156" t="s">
        <v>1170</v>
      </c>
    </row>
    <row r="157" spans="1:20">
      <c r="A157" t="s">
        <v>1189</v>
      </c>
      <c r="B157" t="s">
        <v>20</v>
      </c>
      <c r="C157" t="s">
        <v>1192</v>
      </c>
      <c r="D157" t="s">
        <v>9898</v>
      </c>
      <c r="E157" t="s">
        <v>9899</v>
      </c>
      <c r="F157" t="s">
        <v>9412</v>
      </c>
      <c r="G157" t="s">
        <v>9413</v>
      </c>
      <c r="H157" t="s">
        <v>1044</v>
      </c>
      <c r="I157" t="s">
        <v>9415</v>
      </c>
      <c r="J157" t="s">
        <v>1155</v>
      </c>
      <c r="K157" t="s">
        <v>9416</v>
      </c>
      <c r="L157" t="s">
        <v>9417</v>
      </c>
      <c r="M157" t="s">
        <v>9503</v>
      </c>
      <c r="N157" t="s">
        <v>9488</v>
      </c>
      <c r="O157" t="s">
        <v>5602</v>
      </c>
      <c r="P157" t="s">
        <v>9420</v>
      </c>
      <c r="Q157" t="s">
        <v>9421</v>
      </c>
      <c r="R157" t="s">
        <v>17</v>
      </c>
      <c r="S157" t="s">
        <v>1189</v>
      </c>
      <c r="T157" t="s">
        <v>1191</v>
      </c>
    </row>
    <row r="158" spans="1:20">
      <c r="A158" t="s">
        <v>6499</v>
      </c>
      <c r="B158" t="s">
        <v>9409</v>
      </c>
      <c r="C158" t="s">
        <v>6502</v>
      </c>
      <c r="D158" t="s">
        <v>9410</v>
      </c>
      <c r="E158" t="s">
        <v>9900</v>
      </c>
      <c r="F158" t="s">
        <v>9412</v>
      </c>
      <c r="G158" t="s">
        <v>9413</v>
      </c>
      <c r="H158" t="s">
        <v>9414</v>
      </c>
      <c r="I158" t="s">
        <v>9813</v>
      </c>
      <c r="J158" t="s">
        <v>1920</v>
      </c>
      <c r="K158" t="s">
        <v>9416</v>
      </c>
      <c r="L158" t="s">
        <v>9417</v>
      </c>
      <c r="M158" t="s">
        <v>9638</v>
      </c>
      <c r="N158" t="s">
        <v>9608</v>
      </c>
      <c r="O158" t="s">
        <v>6500</v>
      </c>
      <c r="P158" t="s">
        <v>9524</v>
      </c>
      <c r="Q158" t="s">
        <v>9421</v>
      </c>
      <c r="R158" t="s">
        <v>24</v>
      </c>
      <c r="S158" t="s">
        <v>6499</v>
      </c>
      <c r="T158" t="s">
        <v>9901</v>
      </c>
    </row>
    <row r="159" spans="1:20">
      <c r="A159" t="s">
        <v>9902</v>
      </c>
      <c r="B159" t="s">
        <v>9409</v>
      </c>
      <c r="C159" t="s">
        <v>9903</v>
      </c>
      <c r="D159" t="s">
        <v>9410</v>
      </c>
      <c r="E159" t="s">
        <v>9904</v>
      </c>
      <c r="F159" t="s">
        <v>9412</v>
      </c>
      <c r="G159" t="s">
        <v>9413</v>
      </c>
      <c r="H159" t="s">
        <v>9414</v>
      </c>
      <c r="I159" t="s">
        <v>9905</v>
      </c>
      <c r="J159" t="s">
        <v>2174</v>
      </c>
      <c r="K159" t="s">
        <v>9416</v>
      </c>
      <c r="L159" t="s">
        <v>9417</v>
      </c>
      <c r="M159" t="s">
        <v>9776</v>
      </c>
      <c r="N159" t="s">
        <v>9621</v>
      </c>
      <c r="O159" t="s">
        <v>9906</v>
      </c>
      <c r="P159" t="s">
        <v>9420</v>
      </c>
      <c r="Q159" t="s">
        <v>9421</v>
      </c>
      <c r="R159" t="s">
        <v>17</v>
      </c>
      <c r="S159" t="s">
        <v>9902</v>
      </c>
      <c r="T159" t="s">
        <v>9907</v>
      </c>
    </row>
    <row r="160" spans="1:20">
      <c r="A160" t="s">
        <v>9908</v>
      </c>
      <c r="B160" t="s">
        <v>9409</v>
      </c>
      <c r="C160" t="s">
        <v>9909</v>
      </c>
      <c r="D160" t="s">
        <v>9410</v>
      </c>
      <c r="E160" t="s">
        <v>9910</v>
      </c>
      <c r="F160" t="s">
        <v>9412</v>
      </c>
      <c r="G160" t="s">
        <v>9413</v>
      </c>
      <c r="H160" t="s">
        <v>9414</v>
      </c>
      <c r="I160" t="s">
        <v>9560</v>
      </c>
      <c r="J160" t="s">
        <v>1246</v>
      </c>
      <c r="K160" t="s">
        <v>9416</v>
      </c>
      <c r="L160" t="s">
        <v>9417</v>
      </c>
      <c r="M160" t="s">
        <v>9467</v>
      </c>
      <c r="N160" t="s">
        <v>9419</v>
      </c>
      <c r="O160" t="s">
        <v>9911</v>
      </c>
      <c r="P160" t="s">
        <v>9420</v>
      </c>
      <c r="Q160" t="s">
        <v>9421</v>
      </c>
      <c r="R160" t="s">
        <v>17</v>
      </c>
      <c r="S160" t="s">
        <v>9908</v>
      </c>
      <c r="T160" t="s">
        <v>9912</v>
      </c>
    </row>
    <row r="161" spans="1:20">
      <c r="A161" t="s">
        <v>1193</v>
      </c>
      <c r="B161" t="s">
        <v>62</v>
      </c>
      <c r="C161" t="s">
        <v>5608</v>
      </c>
      <c r="D161" t="s">
        <v>9448</v>
      </c>
      <c r="E161" t="s">
        <v>9913</v>
      </c>
      <c r="F161" t="s">
        <v>9412</v>
      </c>
      <c r="G161" t="s">
        <v>9413</v>
      </c>
      <c r="H161" t="s">
        <v>9414</v>
      </c>
      <c r="I161" t="s">
        <v>9441</v>
      </c>
      <c r="J161" t="s">
        <v>1155</v>
      </c>
      <c r="K161" t="s">
        <v>9416</v>
      </c>
      <c r="L161" t="s">
        <v>9417</v>
      </c>
      <c r="M161" t="s">
        <v>9561</v>
      </c>
      <c r="N161" t="s">
        <v>9488</v>
      </c>
      <c r="O161" t="s">
        <v>5606</v>
      </c>
      <c r="P161" t="s">
        <v>9429</v>
      </c>
      <c r="Q161" t="s">
        <v>9421</v>
      </c>
      <c r="R161" t="s">
        <v>52</v>
      </c>
      <c r="S161" t="s">
        <v>1193</v>
      </c>
      <c r="T161" t="s">
        <v>1195</v>
      </c>
    </row>
    <row r="162" spans="1:20">
      <c r="A162" t="s">
        <v>1193</v>
      </c>
      <c r="B162" t="s">
        <v>62</v>
      </c>
      <c r="C162" t="s">
        <v>5608</v>
      </c>
      <c r="D162" t="s">
        <v>9448</v>
      </c>
      <c r="E162" t="s">
        <v>9913</v>
      </c>
      <c r="F162" t="s">
        <v>9412</v>
      </c>
      <c r="G162" t="s">
        <v>9413</v>
      </c>
      <c r="H162" t="s">
        <v>9414</v>
      </c>
      <c r="I162" t="s">
        <v>9441</v>
      </c>
      <c r="J162" t="s">
        <v>1155</v>
      </c>
      <c r="K162" t="s">
        <v>9416</v>
      </c>
      <c r="L162" t="s">
        <v>9417</v>
      </c>
      <c r="M162" t="s">
        <v>9561</v>
      </c>
      <c r="N162" t="s">
        <v>9430</v>
      </c>
      <c r="O162" t="s">
        <v>5610</v>
      </c>
      <c r="P162" t="s">
        <v>9651</v>
      </c>
      <c r="Q162" t="s">
        <v>9421</v>
      </c>
      <c r="R162" t="s">
        <v>56</v>
      </c>
      <c r="S162" t="s">
        <v>1197</v>
      </c>
      <c r="T162" t="s">
        <v>1199</v>
      </c>
    </row>
    <row r="163" spans="1:20">
      <c r="A163" t="s">
        <v>1817</v>
      </c>
      <c r="B163" t="s">
        <v>62</v>
      </c>
      <c r="C163" t="s">
        <v>1820</v>
      </c>
      <c r="D163" t="s">
        <v>9448</v>
      </c>
      <c r="E163" t="s">
        <v>9914</v>
      </c>
      <c r="F163" t="s">
        <v>9412</v>
      </c>
      <c r="G163" t="s">
        <v>9413</v>
      </c>
      <c r="H163" t="s">
        <v>1044</v>
      </c>
      <c r="I163" t="s">
        <v>9560</v>
      </c>
      <c r="J163" t="s">
        <v>1808</v>
      </c>
      <c r="K163" t="s">
        <v>9416</v>
      </c>
      <c r="L163" t="s">
        <v>9417</v>
      </c>
      <c r="M163" t="s">
        <v>9870</v>
      </c>
      <c r="N163" t="s">
        <v>9639</v>
      </c>
      <c r="O163" t="s">
        <v>6346</v>
      </c>
      <c r="P163" t="s">
        <v>9459</v>
      </c>
      <c r="Q163" t="s">
        <v>9421</v>
      </c>
      <c r="R163" t="s">
        <v>17</v>
      </c>
      <c r="S163" t="s">
        <v>1817</v>
      </c>
      <c r="T163" t="s">
        <v>9915</v>
      </c>
    </row>
    <row r="164" spans="1:20">
      <c r="A164" t="s">
        <v>9916</v>
      </c>
      <c r="B164" t="s">
        <v>9409</v>
      </c>
      <c r="C164" t="s">
        <v>9917</v>
      </c>
      <c r="D164" t="s">
        <v>9410</v>
      </c>
      <c r="E164" t="s">
        <v>9918</v>
      </c>
      <c r="F164" t="s">
        <v>9412</v>
      </c>
      <c r="G164" t="s">
        <v>9413</v>
      </c>
      <c r="H164" t="s">
        <v>9414</v>
      </c>
      <c r="I164" t="s">
        <v>9560</v>
      </c>
      <c r="J164" t="s">
        <v>1920</v>
      </c>
      <c r="K164" t="s">
        <v>9416</v>
      </c>
      <c r="L164" t="s">
        <v>9417</v>
      </c>
      <c r="M164" t="s">
        <v>9831</v>
      </c>
      <c r="N164" t="s">
        <v>9608</v>
      </c>
      <c r="O164" t="s">
        <v>9919</v>
      </c>
      <c r="P164" t="s">
        <v>9459</v>
      </c>
      <c r="Q164" t="s">
        <v>9421</v>
      </c>
      <c r="R164" t="s">
        <v>17</v>
      </c>
      <c r="S164" t="s">
        <v>9916</v>
      </c>
      <c r="T164" t="s">
        <v>9920</v>
      </c>
    </row>
    <row r="165" spans="1:20">
      <c r="A165" t="s">
        <v>1270</v>
      </c>
      <c r="B165" t="s">
        <v>20</v>
      </c>
      <c r="C165" t="s">
        <v>1273</v>
      </c>
      <c r="D165" t="s">
        <v>9475</v>
      </c>
      <c r="E165" t="s">
        <v>9921</v>
      </c>
      <c r="F165" t="s">
        <v>9412</v>
      </c>
      <c r="G165" t="s">
        <v>9413</v>
      </c>
      <c r="H165" t="s">
        <v>1044</v>
      </c>
      <c r="I165" t="s">
        <v>9922</v>
      </c>
      <c r="J165" t="s">
        <v>1246</v>
      </c>
      <c r="K165" t="s">
        <v>9416</v>
      </c>
      <c r="L165" t="s">
        <v>9417</v>
      </c>
      <c r="M165" t="s">
        <v>9705</v>
      </c>
      <c r="N165" t="s">
        <v>9419</v>
      </c>
      <c r="O165" t="s">
        <v>5707</v>
      </c>
      <c r="P165" t="s">
        <v>9420</v>
      </c>
      <c r="Q165" t="s">
        <v>9421</v>
      </c>
      <c r="R165" t="s">
        <v>17</v>
      </c>
      <c r="S165" t="s">
        <v>1270</v>
      </c>
      <c r="T165" t="s">
        <v>1272</v>
      </c>
    </row>
    <row r="166" spans="1:20">
      <c r="A166" t="s">
        <v>9923</v>
      </c>
      <c r="B166" t="s">
        <v>9409</v>
      </c>
      <c r="C166" t="s">
        <v>9924</v>
      </c>
      <c r="D166" t="s">
        <v>9410</v>
      </c>
      <c r="E166" t="s">
        <v>9925</v>
      </c>
      <c r="F166" t="s">
        <v>9412</v>
      </c>
      <c r="G166" t="s">
        <v>9413</v>
      </c>
      <c r="H166" t="s">
        <v>9414</v>
      </c>
      <c r="I166" t="s">
        <v>9905</v>
      </c>
      <c r="J166" t="s">
        <v>1246</v>
      </c>
      <c r="K166" t="s">
        <v>9416</v>
      </c>
      <c r="L166" t="s">
        <v>9417</v>
      </c>
      <c r="M166" t="s">
        <v>9840</v>
      </c>
      <c r="N166" t="s">
        <v>9419</v>
      </c>
      <c r="O166" t="s">
        <v>9926</v>
      </c>
      <c r="P166" t="s">
        <v>9420</v>
      </c>
      <c r="Q166" t="s">
        <v>9421</v>
      </c>
      <c r="R166" t="s">
        <v>17</v>
      </c>
      <c r="S166" t="s">
        <v>9923</v>
      </c>
      <c r="T166" t="s">
        <v>9927</v>
      </c>
    </row>
    <row r="167" spans="1:20">
      <c r="A167" t="s">
        <v>1200</v>
      </c>
      <c r="B167" t="s">
        <v>62</v>
      </c>
      <c r="C167" t="s">
        <v>5614</v>
      </c>
      <c r="D167" t="s">
        <v>9448</v>
      </c>
      <c r="E167" t="s">
        <v>9928</v>
      </c>
      <c r="F167" t="s">
        <v>9412</v>
      </c>
      <c r="G167" t="s">
        <v>9413</v>
      </c>
      <c r="H167" t="s">
        <v>9414</v>
      </c>
      <c r="I167" t="s">
        <v>9929</v>
      </c>
      <c r="J167" t="s">
        <v>1155</v>
      </c>
      <c r="K167" t="s">
        <v>9416</v>
      </c>
      <c r="L167" t="s">
        <v>9417</v>
      </c>
      <c r="M167" t="s">
        <v>9487</v>
      </c>
      <c r="N167" t="s">
        <v>9488</v>
      </c>
      <c r="O167" t="s">
        <v>5612</v>
      </c>
      <c r="P167" t="s">
        <v>9420</v>
      </c>
      <c r="Q167" t="s">
        <v>9421</v>
      </c>
      <c r="R167" t="s">
        <v>17</v>
      </c>
      <c r="S167" t="s">
        <v>1200</v>
      </c>
      <c r="T167" t="s">
        <v>1202</v>
      </c>
    </row>
    <row r="168" spans="1:20">
      <c r="A168" t="s">
        <v>6090</v>
      </c>
      <c r="B168" t="s">
        <v>9409</v>
      </c>
      <c r="C168" t="s">
        <v>6093</v>
      </c>
      <c r="D168" t="s">
        <v>9410</v>
      </c>
      <c r="E168" t="s">
        <v>9930</v>
      </c>
      <c r="F168" t="s">
        <v>9412</v>
      </c>
      <c r="G168" t="s">
        <v>9413</v>
      </c>
      <c r="H168" t="s">
        <v>9414</v>
      </c>
      <c r="I168" t="s">
        <v>9720</v>
      </c>
      <c r="J168" t="s">
        <v>1589</v>
      </c>
      <c r="K168" t="s">
        <v>9416</v>
      </c>
      <c r="L168" t="s">
        <v>9417</v>
      </c>
      <c r="M168" t="s">
        <v>9788</v>
      </c>
      <c r="N168" t="s">
        <v>9716</v>
      </c>
      <c r="O168" t="s">
        <v>6091</v>
      </c>
      <c r="P168" t="s">
        <v>9420</v>
      </c>
      <c r="Q168" t="s">
        <v>9421</v>
      </c>
      <c r="R168" t="s">
        <v>17</v>
      </c>
      <c r="S168" t="s">
        <v>6090</v>
      </c>
      <c r="T168" t="s">
        <v>9931</v>
      </c>
    </row>
    <row r="169" spans="1:20">
      <c r="A169" t="s">
        <v>9932</v>
      </c>
      <c r="B169" t="s">
        <v>9409</v>
      </c>
      <c r="C169" t="s">
        <v>9933</v>
      </c>
      <c r="D169" t="s">
        <v>9410</v>
      </c>
      <c r="E169" t="s">
        <v>9934</v>
      </c>
      <c r="F169" t="s">
        <v>9412</v>
      </c>
      <c r="G169" t="s">
        <v>9413</v>
      </c>
      <c r="H169" t="s">
        <v>9414</v>
      </c>
      <c r="I169" t="s">
        <v>9905</v>
      </c>
      <c r="J169" t="s">
        <v>1246</v>
      </c>
      <c r="K169" t="s">
        <v>9416</v>
      </c>
      <c r="L169" t="s">
        <v>9417</v>
      </c>
      <c r="M169" t="s">
        <v>9529</v>
      </c>
      <c r="N169" t="s">
        <v>9419</v>
      </c>
      <c r="O169" t="s">
        <v>9935</v>
      </c>
      <c r="P169" t="s">
        <v>9429</v>
      </c>
      <c r="Q169" t="s">
        <v>9421</v>
      </c>
      <c r="R169" t="s">
        <v>52</v>
      </c>
      <c r="S169" t="s">
        <v>9932</v>
      </c>
      <c r="T169" t="s">
        <v>9936</v>
      </c>
    </row>
    <row r="170" spans="1:20">
      <c r="A170" t="s">
        <v>9932</v>
      </c>
      <c r="B170" t="s">
        <v>9409</v>
      </c>
      <c r="C170" t="s">
        <v>9933</v>
      </c>
      <c r="D170" t="s">
        <v>9410</v>
      </c>
      <c r="E170" t="s">
        <v>9934</v>
      </c>
      <c r="F170" t="s">
        <v>9412</v>
      </c>
      <c r="G170" t="s">
        <v>9413</v>
      </c>
      <c r="H170" t="s">
        <v>9414</v>
      </c>
      <c r="I170" t="s">
        <v>9905</v>
      </c>
      <c r="J170" t="s">
        <v>1246</v>
      </c>
      <c r="K170" t="s">
        <v>9416</v>
      </c>
      <c r="L170" t="s">
        <v>9417</v>
      </c>
      <c r="M170" t="s">
        <v>9529</v>
      </c>
      <c r="N170" t="s">
        <v>9419</v>
      </c>
      <c r="O170" t="s">
        <v>9937</v>
      </c>
      <c r="P170" t="s">
        <v>9429</v>
      </c>
      <c r="Q170" t="s">
        <v>9421</v>
      </c>
      <c r="R170" t="s">
        <v>52</v>
      </c>
      <c r="S170" t="s">
        <v>9938</v>
      </c>
      <c r="T170" t="s">
        <v>9939</v>
      </c>
    </row>
    <row r="171" spans="1:20">
      <c r="A171" t="s">
        <v>6754</v>
      </c>
      <c r="B171" t="s">
        <v>9409</v>
      </c>
      <c r="C171" t="s">
        <v>6757</v>
      </c>
      <c r="D171" t="s">
        <v>9410</v>
      </c>
      <c r="E171" t="s">
        <v>9940</v>
      </c>
      <c r="F171" t="s">
        <v>9412</v>
      </c>
      <c r="G171" t="s">
        <v>9413</v>
      </c>
      <c r="H171" t="s">
        <v>9414</v>
      </c>
      <c r="I171" t="s">
        <v>9929</v>
      </c>
      <c r="J171" t="s">
        <v>2098</v>
      </c>
      <c r="K171" t="s">
        <v>9416</v>
      </c>
      <c r="L171" t="s">
        <v>9417</v>
      </c>
      <c r="M171" t="s">
        <v>9442</v>
      </c>
      <c r="N171" t="s">
        <v>9597</v>
      </c>
      <c r="O171" t="s">
        <v>6755</v>
      </c>
      <c r="P171" t="s">
        <v>9420</v>
      </c>
      <c r="Q171" t="s">
        <v>9421</v>
      </c>
      <c r="R171" t="s">
        <v>17</v>
      </c>
      <c r="S171" t="s">
        <v>6754</v>
      </c>
      <c r="T171" t="s">
        <v>9941</v>
      </c>
    </row>
    <row r="172" spans="1:20">
      <c r="A172" t="s">
        <v>1469</v>
      </c>
      <c r="B172" t="s">
        <v>20</v>
      </c>
      <c r="C172" t="s">
        <v>5930</v>
      </c>
      <c r="D172" t="s">
        <v>9460</v>
      </c>
      <c r="E172" t="s">
        <v>9942</v>
      </c>
      <c r="F172" t="s">
        <v>9412</v>
      </c>
      <c r="G172" t="s">
        <v>9413</v>
      </c>
      <c r="H172" t="s">
        <v>9414</v>
      </c>
      <c r="I172" t="s">
        <v>9929</v>
      </c>
      <c r="J172" t="s">
        <v>1442</v>
      </c>
      <c r="K172" t="s">
        <v>9416</v>
      </c>
      <c r="L172" t="s">
        <v>9417</v>
      </c>
      <c r="M172" t="s">
        <v>9436</v>
      </c>
      <c r="N172" t="s">
        <v>9430</v>
      </c>
      <c r="O172" t="s">
        <v>5932</v>
      </c>
      <c r="P172" t="s">
        <v>9459</v>
      </c>
      <c r="Q172" t="s">
        <v>9421</v>
      </c>
      <c r="R172" t="s">
        <v>24</v>
      </c>
      <c r="S172" t="s">
        <v>1473</v>
      </c>
      <c r="T172" t="s">
        <v>1475</v>
      </c>
    </row>
    <row r="173" spans="1:20">
      <c r="A173" t="s">
        <v>1469</v>
      </c>
      <c r="B173" t="s">
        <v>20</v>
      </c>
      <c r="C173" t="s">
        <v>5930</v>
      </c>
      <c r="D173" t="s">
        <v>9460</v>
      </c>
      <c r="E173" t="s">
        <v>9942</v>
      </c>
      <c r="F173" t="s">
        <v>9412</v>
      </c>
      <c r="G173" t="s">
        <v>9413</v>
      </c>
      <c r="H173" t="s">
        <v>9414</v>
      </c>
      <c r="I173" t="s">
        <v>9929</v>
      </c>
      <c r="J173" t="s">
        <v>1442</v>
      </c>
      <c r="K173" t="s">
        <v>9416</v>
      </c>
      <c r="L173" t="s">
        <v>9417</v>
      </c>
      <c r="M173" t="s">
        <v>9436</v>
      </c>
      <c r="N173" t="s">
        <v>9428</v>
      </c>
      <c r="O173" t="s">
        <v>5928</v>
      </c>
      <c r="P173" t="s">
        <v>9623</v>
      </c>
      <c r="Q173" t="s">
        <v>9421</v>
      </c>
      <c r="R173" t="s">
        <v>24</v>
      </c>
      <c r="S173" t="s">
        <v>1469</v>
      </c>
      <c r="T173" t="s">
        <v>1471</v>
      </c>
    </row>
    <row r="174" spans="1:20">
      <c r="A174" t="s">
        <v>9943</v>
      </c>
      <c r="B174" t="s">
        <v>9409</v>
      </c>
      <c r="C174" t="s">
        <v>9944</v>
      </c>
      <c r="D174" t="s">
        <v>9410</v>
      </c>
      <c r="E174" t="s">
        <v>9945</v>
      </c>
      <c r="F174" t="s">
        <v>9412</v>
      </c>
      <c r="G174" t="s">
        <v>9413</v>
      </c>
      <c r="H174" t="s">
        <v>9414</v>
      </c>
      <c r="I174" t="s">
        <v>9929</v>
      </c>
      <c r="J174" t="s">
        <v>2026</v>
      </c>
      <c r="K174" t="s">
        <v>9416</v>
      </c>
      <c r="L174" t="s">
        <v>9417</v>
      </c>
      <c r="M174" t="s">
        <v>9425</v>
      </c>
      <c r="N174" t="s">
        <v>9480</v>
      </c>
      <c r="O174" t="s">
        <v>9946</v>
      </c>
      <c r="P174" t="s">
        <v>9420</v>
      </c>
      <c r="Q174" t="s">
        <v>9421</v>
      </c>
      <c r="R174" t="s">
        <v>17</v>
      </c>
      <c r="S174" t="s">
        <v>9943</v>
      </c>
      <c r="T174" t="s">
        <v>9947</v>
      </c>
    </row>
    <row r="175" spans="1:20">
      <c r="A175" t="s">
        <v>5711</v>
      </c>
      <c r="B175" t="s">
        <v>9409</v>
      </c>
      <c r="C175" t="s">
        <v>5715</v>
      </c>
      <c r="D175" t="s">
        <v>9410</v>
      </c>
      <c r="E175" t="s">
        <v>9948</v>
      </c>
      <c r="F175" t="s">
        <v>9412</v>
      </c>
      <c r="G175" t="s">
        <v>9413</v>
      </c>
      <c r="H175" t="s">
        <v>9414</v>
      </c>
      <c r="I175" t="s">
        <v>9922</v>
      </c>
      <c r="J175" t="s">
        <v>1246</v>
      </c>
      <c r="K175" t="s">
        <v>9416</v>
      </c>
      <c r="L175" t="s">
        <v>9417</v>
      </c>
      <c r="M175" t="s">
        <v>9483</v>
      </c>
      <c r="N175" t="s">
        <v>9419</v>
      </c>
      <c r="O175" t="s">
        <v>5713</v>
      </c>
      <c r="P175" t="s">
        <v>9420</v>
      </c>
      <c r="Q175" t="s">
        <v>9421</v>
      </c>
      <c r="R175" t="s">
        <v>17</v>
      </c>
      <c r="S175" t="s">
        <v>5712</v>
      </c>
      <c r="T175" t="s">
        <v>9949</v>
      </c>
    </row>
    <row r="176" spans="1:20">
      <c r="A176" t="s">
        <v>5711</v>
      </c>
      <c r="B176" t="s">
        <v>9409</v>
      </c>
      <c r="C176" t="s">
        <v>5715</v>
      </c>
      <c r="D176" t="s">
        <v>9410</v>
      </c>
      <c r="E176" t="s">
        <v>9948</v>
      </c>
      <c r="F176" t="s">
        <v>9412</v>
      </c>
      <c r="G176" t="s">
        <v>9413</v>
      </c>
      <c r="H176" t="s">
        <v>9414</v>
      </c>
      <c r="I176" t="s">
        <v>9922</v>
      </c>
      <c r="J176" t="s">
        <v>1246</v>
      </c>
      <c r="K176" t="s">
        <v>9416</v>
      </c>
      <c r="L176" t="s">
        <v>9417</v>
      </c>
      <c r="M176" t="s">
        <v>9483</v>
      </c>
      <c r="N176" t="s">
        <v>9446</v>
      </c>
      <c r="O176" t="s">
        <v>5718</v>
      </c>
      <c r="P176" t="s">
        <v>9647</v>
      </c>
      <c r="Q176" t="s">
        <v>9421</v>
      </c>
      <c r="R176" t="s">
        <v>84</v>
      </c>
      <c r="S176" t="s">
        <v>5717</v>
      </c>
      <c r="T176" t="s">
        <v>9950</v>
      </c>
    </row>
    <row r="177" spans="1:20">
      <c r="A177" t="s">
        <v>2175</v>
      </c>
      <c r="B177" t="s">
        <v>62</v>
      </c>
      <c r="C177" t="s">
        <v>6832</v>
      </c>
      <c r="D177" t="s">
        <v>9448</v>
      </c>
      <c r="E177" t="s">
        <v>9951</v>
      </c>
      <c r="F177" t="s">
        <v>9412</v>
      </c>
      <c r="G177" t="s">
        <v>9413</v>
      </c>
      <c r="H177" t="s">
        <v>9414</v>
      </c>
      <c r="I177" t="s">
        <v>9869</v>
      </c>
      <c r="J177" t="s">
        <v>2174</v>
      </c>
      <c r="K177" t="s">
        <v>9416</v>
      </c>
      <c r="L177" t="s">
        <v>9417</v>
      </c>
      <c r="M177" t="s">
        <v>9503</v>
      </c>
      <c r="N177" t="s">
        <v>9621</v>
      </c>
      <c r="O177" t="s">
        <v>6830</v>
      </c>
      <c r="P177" t="s">
        <v>9420</v>
      </c>
      <c r="Q177" t="s">
        <v>9421</v>
      </c>
      <c r="R177" t="s">
        <v>17</v>
      </c>
      <c r="S177" t="s">
        <v>2175</v>
      </c>
      <c r="T177" t="s">
        <v>2177</v>
      </c>
    </row>
    <row r="178" spans="1:20">
      <c r="A178" t="s">
        <v>5616</v>
      </c>
      <c r="B178" t="s">
        <v>9409</v>
      </c>
      <c r="C178" t="s">
        <v>5619</v>
      </c>
      <c r="D178" t="s">
        <v>9410</v>
      </c>
      <c r="E178" t="s">
        <v>9952</v>
      </c>
      <c r="F178" t="s">
        <v>9412</v>
      </c>
      <c r="G178" t="s">
        <v>9413</v>
      </c>
      <c r="H178" t="s">
        <v>9414</v>
      </c>
      <c r="I178" t="s">
        <v>9792</v>
      </c>
      <c r="J178" t="s">
        <v>1155</v>
      </c>
      <c r="K178" t="s">
        <v>9416</v>
      </c>
      <c r="L178" t="s">
        <v>9417</v>
      </c>
      <c r="M178" t="s">
        <v>9503</v>
      </c>
      <c r="N178" t="s">
        <v>9488</v>
      </c>
      <c r="O178" t="s">
        <v>5617</v>
      </c>
      <c r="P178" t="s">
        <v>9420</v>
      </c>
      <c r="Q178" t="s">
        <v>9421</v>
      </c>
      <c r="R178" t="s">
        <v>17</v>
      </c>
      <c r="S178" t="s">
        <v>5616</v>
      </c>
      <c r="T178" t="s">
        <v>9953</v>
      </c>
    </row>
    <row r="179" spans="1:20">
      <c r="A179" t="s">
        <v>5616</v>
      </c>
      <c r="B179" t="s">
        <v>9409</v>
      </c>
      <c r="C179" t="s">
        <v>5619</v>
      </c>
      <c r="D179" t="s">
        <v>9410</v>
      </c>
      <c r="E179" t="s">
        <v>9952</v>
      </c>
      <c r="F179" t="s">
        <v>9412</v>
      </c>
      <c r="G179" t="s">
        <v>9413</v>
      </c>
      <c r="H179" t="s">
        <v>9414</v>
      </c>
      <c r="I179" t="s">
        <v>9792</v>
      </c>
      <c r="J179" t="s">
        <v>1155</v>
      </c>
      <c r="K179" t="s">
        <v>9416</v>
      </c>
      <c r="L179" t="s">
        <v>9417</v>
      </c>
      <c r="M179" t="s">
        <v>9503</v>
      </c>
      <c r="N179" t="s">
        <v>9446</v>
      </c>
      <c r="O179" t="s">
        <v>5622</v>
      </c>
      <c r="P179" t="s">
        <v>9647</v>
      </c>
      <c r="Q179" t="s">
        <v>9421</v>
      </c>
      <c r="R179" t="s">
        <v>84</v>
      </c>
      <c r="S179" t="s">
        <v>5621</v>
      </c>
      <c r="T179" t="s">
        <v>9954</v>
      </c>
    </row>
    <row r="180" spans="1:20">
      <c r="A180" t="s">
        <v>9955</v>
      </c>
      <c r="B180" t="s">
        <v>9409</v>
      </c>
      <c r="C180" t="s">
        <v>9956</v>
      </c>
      <c r="D180" t="s">
        <v>9410</v>
      </c>
      <c r="E180" t="s">
        <v>9957</v>
      </c>
      <c r="F180" t="s">
        <v>9412</v>
      </c>
      <c r="G180" t="s">
        <v>9413</v>
      </c>
      <c r="H180" t="s">
        <v>9414</v>
      </c>
      <c r="I180" t="s">
        <v>9457</v>
      </c>
      <c r="J180" t="s">
        <v>1155</v>
      </c>
      <c r="K180" t="s">
        <v>9416</v>
      </c>
      <c r="L180" t="s">
        <v>9417</v>
      </c>
      <c r="M180" t="s">
        <v>9503</v>
      </c>
      <c r="N180" t="s">
        <v>9426</v>
      </c>
      <c r="O180" t="s">
        <v>5808</v>
      </c>
      <c r="P180" t="s">
        <v>9655</v>
      </c>
      <c r="Q180" t="s">
        <v>9421</v>
      </c>
      <c r="R180" t="s">
        <v>56</v>
      </c>
      <c r="S180" t="s">
        <v>1353</v>
      </c>
      <c r="T180" t="s">
        <v>1355</v>
      </c>
    </row>
    <row r="181" spans="1:20">
      <c r="A181" t="s">
        <v>9958</v>
      </c>
      <c r="B181" t="s">
        <v>9409</v>
      </c>
      <c r="C181" t="s">
        <v>9959</v>
      </c>
      <c r="D181" t="s">
        <v>9410</v>
      </c>
      <c r="E181" t="s">
        <v>9960</v>
      </c>
      <c r="F181" t="s">
        <v>9412</v>
      </c>
      <c r="G181" t="s">
        <v>9413</v>
      </c>
      <c r="H181" t="s">
        <v>9414</v>
      </c>
      <c r="I181" t="s">
        <v>9792</v>
      </c>
      <c r="J181" t="s">
        <v>1683</v>
      </c>
      <c r="K181" t="s">
        <v>9416</v>
      </c>
      <c r="L181" t="s">
        <v>9417</v>
      </c>
      <c r="M181" t="s">
        <v>9473</v>
      </c>
      <c r="N181" t="s">
        <v>9454</v>
      </c>
      <c r="O181" t="s">
        <v>9961</v>
      </c>
      <c r="P181" t="s">
        <v>9420</v>
      </c>
      <c r="Q181" t="s">
        <v>9421</v>
      </c>
      <c r="R181" t="s">
        <v>17</v>
      </c>
      <c r="S181" t="s">
        <v>9958</v>
      </c>
      <c r="T181" t="s">
        <v>9962</v>
      </c>
    </row>
    <row r="182" spans="1:20">
      <c r="A182" t="s">
        <v>6759</v>
      </c>
      <c r="B182" t="s">
        <v>9409</v>
      </c>
      <c r="C182" t="s">
        <v>6760</v>
      </c>
      <c r="D182" t="s">
        <v>9410</v>
      </c>
      <c r="E182" t="s">
        <v>9963</v>
      </c>
      <c r="F182" t="s">
        <v>9412</v>
      </c>
      <c r="G182" t="s">
        <v>9413</v>
      </c>
      <c r="H182" t="s">
        <v>9414</v>
      </c>
      <c r="I182" t="s">
        <v>9457</v>
      </c>
      <c r="J182" t="s">
        <v>2098</v>
      </c>
      <c r="K182" t="s">
        <v>9416</v>
      </c>
      <c r="L182" t="s">
        <v>9417</v>
      </c>
      <c r="M182" t="s">
        <v>9596</v>
      </c>
      <c r="N182" t="s">
        <v>9597</v>
      </c>
      <c r="O182" t="s">
        <v>6762</v>
      </c>
      <c r="P182" t="s">
        <v>9420</v>
      </c>
      <c r="Q182" t="s">
        <v>9421</v>
      </c>
      <c r="R182" t="s">
        <v>17</v>
      </c>
      <c r="S182" t="s">
        <v>6759</v>
      </c>
      <c r="T182" t="s">
        <v>9964</v>
      </c>
    </row>
    <row r="183" spans="1:20">
      <c r="A183" t="s">
        <v>6759</v>
      </c>
      <c r="B183" t="s">
        <v>9409</v>
      </c>
      <c r="C183" t="s">
        <v>6760</v>
      </c>
      <c r="D183" t="s">
        <v>9410</v>
      </c>
      <c r="E183" t="s">
        <v>9963</v>
      </c>
      <c r="F183" t="s">
        <v>9412</v>
      </c>
      <c r="G183" t="s">
        <v>9413</v>
      </c>
      <c r="H183" t="s">
        <v>9414</v>
      </c>
      <c r="I183" t="s">
        <v>9457</v>
      </c>
      <c r="J183" t="s">
        <v>2098</v>
      </c>
      <c r="K183" t="s">
        <v>9445</v>
      </c>
      <c r="L183" t="s">
        <v>9417</v>
      </c>
      <c r="M183" t="s">
        <v>9596</v>
      </c>
      <c r="N183" t="s">
        <v>9426</v>
      </c>
      <c r="O183" t="s">
        <v>9446</v>
      </c>
      <c r="P183" t="s">
        <v>9479</v>
      </c>
      <c r="Q183" t="s">
        <v>9421</v>
      </c>
      <c r="R183" t="s">
        <v>43</v>
      </c>
      <c r="S183" t="s">
        <v>1774</v>
      </c>
      <c r="T183" t="s">
        <v>1776</v>
      </c>
    </row>
    <row r="184" spans="1:20">
      <c r="A184" t="s">
        <v>6834</v>
      </c>
      <c r="B184" t="s">
        <v>9409</v>
      </c>
      <c r="C184" t="s">
        <v>6837</v>
      </c>
      <c r="D184" t="s">
        <v>9410</v>
      </c>
      <c r="E184" t="s">
        <v>9965</v>
      </c>
      <c r="F184" t="s">
        <v>9412</v>
      </c>
      <c r="G184" t="s">
        <v>9413</v>
      </c>
      <c r="H184" t="s">
        <v>9414</v>
      </c>
      <c r="I184" t="s">
        <v>9792</v>
      </c>
      <c r="J184" t="s">
        <v>2174</v>
      </c>
      <c r="K184" t="s">
        <v>9416</v>
      </c>
      <c r="L184" t="s">
        <v>9417</v>
      </c>
      <c r="M184" t="s">
        <v>9473</v>
      </c>
      <c r="N184" t="s">
        <v>9621</v>
      </c>
      <c r="O184" t="s">
        <v>6835</v>
      </c>
      <c r="P184" t="s">
        <v>9420</v>
      </c>
      <c r="Q184" t="s">
        <v>9421</v>
      </c>
      <c r="R184" t="s">
        <v>17</v>
      </c>
      <c r="S184" t="s">
        <v>6834</v>
      </c>
      <c r="T184" t="s">
        <v>9966</v>
      </c>
    </row>
    <row r="185" spans="1:20">
      <c r="A185" t="s">
        <v>2031</v>
      </c>
      <c r="B185" t="s">
        <v>20</v>
      </c>
      <c r="C185" t="s">
        <v>6637</v>
      </c>
      <c r="D185" t="s">
        <v>9455</v>
      </c>
      <c r="E185" t="s">
        <v>9967</v>
      </c>
      <c r="F185" t="s">
        <v>9412</v>
      </c>
      <c r="G185" t="s">
        <v>9413</v>
      </c>
      <c r="H185" t="s">
        <v>9414</v>
      </c>
      <c r="I185" t="s">
        <v>9457</v>
      </c>
      <c r="J185" t="s">
        <v>2026</v>
      </c>
      <c r="K185" t="s">
        <v>9416</v>
      </c>
      <c r="L185" t="s">
        <v>9417</v>
      </c>
      <c r="M185" t="s">
        <v>9602</v>
      </c>
      <c r="N185" t="s">
        <v>9480</v>
      </c>
      <c r="O185" t="s">
        <v>6636</v>
      </c>
      <c r="P185" t="s">
        <v>9420</v>
      </c>
      <c r="Q185" t="s">
        <v>9421</v>
      </c>
      <c r="R185" t="s">
        <v>17</v>
      </c>
      <c r="S185" t="s">
        <v>2035</v>
      </c>
      <c r="T185" t="s">
        <v>2037</v>
      </c>
    </row>
    <row r="186" spans="1:20">
      <c r="A186" t="s">
        <v>2031</v>
      </c>
      <c r="B186" t="s">
        <v>20</v>
      </c>
      <c r="C186" t="s">
        <v>6634</v>
      </c>
      <c r="D186" t="s">
        <v>9455</v>
      </c>
      <c r="E186" t="s">
        <v>9967</v>
      </c>
      <c r="F186" t="s">
        <v>9412</v>
      </c>
      <c r="G186" t="s">
        <v>9413</v>
      </c>
      <c r="H186" t="s">
        <v>9414</v>
      </c>
      <c r="I186" t="s">
        <v>9457</v>
      </c>
      <c r="J186" t="s">
        <v>2026</v>
      </c>
      <c r="K186" t="s">
        <v>9416</v>
      </c>
      <c r="L186" t="s">
        <v>9417</v>
      </c>
      <c r="M186" t="s">
        <v>9602</v>
      </c>
      <c r="N186" t="s">
        <v>9480</v>
      </c>
      <c r="O186" t="s">
        <v>6632</v>
      </c>
      <c r="P186" t="s">
        <v>9420</v>
      </c>
      <c r="Q186" t="s">
        <v>9421</v>
      </c>
      <c r="R186" t="s">
        <v>17</v>
      </c>
      <c r="S186" t="s">
        <v>2031</v>
      </c>
      <c r="T186" t="s">
        <v>2033</v>
      </c>
    </row>
    <row r="187" spans="1:20">
      <c r="A187" t="s">
        <v>9968</v>
      </c>
      <c r="B187" t="s">
        <v>9409</v>
      </c>
      <c r="C187" t="s">
        <v>9969</v>
      </c>
      <c r="D187" t="s">
        <v>9410</v>
      </c>
      <c r="E187" t="s">
        <v>9970</v>
      </c>
      <c r="F187" t="s">
        <v>9412</v>
      </c>
      <c r="G187" t="s">
        <v>9413</v>
      </c>
      <c r="H187" t="s">
        <v>9414</v>
      </c>
      <c r="I187" t="s">
        <v>9751</v>
      </c>
      <c r="J187" t="s">
        <v>1920</v>
      </c>
      <c r="K187" t="s">
        <v>9416</v>
      </c>
      <c r="L187" t="s">
        <v>9417</v>
      </c>
      <c r="M187" t="s">
        <v>9971</v>
      </c>
      <c r="N187" t="s">
        <v>9608</v>
      </c>
      <c r="O187" t="s">
        <v>9972</v>
      </c>
      <c r="P187" t="s">
        <v>9420</v>
      </c>
      <c r="Q187" t="s">
        <v>9421</v>
      </c>
      <c r="R187" t="s">
        <v>17</v>
      </c>
      <c r="S187" t="s">
        <v>9968</v>
      </c>
      <c r="T187" t="s">
        <v>9973</v>
      </c>
    </row>
    <row r="188" spans="1:20">
      <c r="A188" t="s">
        <v>9974</v>
      </c>
      <c r="B188" t="s">
        <v>9409</v>
      </c>
      <c r="C188" t="s">
        <v>9975</v>
      </c>
      <c r="D188" t="s">
        <v>9410</v>
      </c>
      <c r="E188" t="s">
        <v>9976</v>
      </c>
      <c r="F188" t="s">
        <v>9412</v>
      </c>
      <c r="G188" t="s">
        <v>9413</v>
      </c>
      <c r="H188" t="s">
        <v>9414</v>
      </c>
      <c r="I188" t="s">
        <v>9751</v>
      </c>
      <c r="J188" t="s">
        <v>1246</v>
      </c>
      <c r="K188" t="s">
        <v>9416</v>
      </c>
      <c r="L188" t="s">
        <v>9417</v>
      </c>
      <c r="M188" t="s">
        <v>9467</v>
      </c>
      <c r="N188" t="s">
        <v>9419</v>
      </c>
      <c r="O188" t="s">
        <v>9977</v>
      </c>
      <c r="P188" t="s">
        <v>9459</v>
      </c>
      <c r="Q188" t="s">
        <v>9421</v>
      </c>
      <c r="R188" t="s">
        <v>17</v>
      </c>
      <c r="S188" t="s">
        <v>9974</v>
      </c>
      <c r="T188" t="s">
        <v>9978</v>
      </c>
    </row>
    <row r="189" spans="1:20">
      <c r="A189" t="s">
        <v>9979</v>
      </c>
      <c r="B189" t="s">
        <v>9409</v>
      </c>
      <c r="C189" t="s">
        <v>9980</v>
      </c>
      <c r="D189" t="s">
        <v>9410</v>
      </c>
      <c r="E189" t="s">
        <v>9981</v>
      </c>
      <c r="F189" t="s">
        <v>9412</v>
      </c>
      <c r="G189" t="s">
        <v>9413</v>
      </c>
      <c r="H189" t="s">
        <v>9414</v>
      </c>
      <c r="I189" t="s">
        <v>9751</v>
      </c>
      <c r="J189" t="s">
        <v>2098</v>
      </c>
      <c r="K189" t="s">
        <v>9416</v>
      </c>
      <c r="L189" t="s">
        <v>9417</v>
      </c>
      <c r="M189" t="s">
        <v>9442</v>
      </c>
      <c r="N189" t="s">
        <v>9597</v>
      </c>
      <c r="O189" t="s">
        <v>9982</v>
      </c>
      <c r="P189" t="s">
        <v>9623</v>
      </c>
      <c r="Q189" t="s">
        <v>9421</v>
      </c>
      <c r="R189" t="s">
        <v>24</v>
      </c>
      <c r="S189" t="s">
        <v>9979</v>
      </c>
      <c r="T189" t="s">
        <v>9983</v>
      </c>
    </row>
    <row r="190" spans="1:20">
      <c r="A190" t="s">
        <v>9984</v>
      </c>
      <c r="B190" t="s">
        <v>9409</v>
      </c>
      <c r="C190" t="s">
        <v>9985</v>
      </c>
      <c r="D190" t="s">
        <v>9410</v>
      </c>
      <c r="E190" t="s">
        <v>9986</v>
      </c>
      <c r="F190" t="s">
        <v>9412</v>
      </c>
      <c r="G190" t="s">
        <v>9413</v>
      </c>
      <c r="H190" t="s">
        <v>9414</v>
      </c>
      <c r="I190" t="s">
        <v>9798</v>
      </c>
      <c r="J190" t="s">
        <v>1155</v>
      </c>
      <c r="K190" t="s">
        <v>9416</v>
      </c>
      <c r="L190" t="s">
        <v>9417</v>
      </c>
      <c r="M190" t="s">
        <v>9512</v>
      </c>
      <c r="N190" t="s">
        <v>9488</v>
      </c>
      <c r="O190" t="s">
        <v>9987</v>
      </c>
      <c r="P190" t="s">
        <v>9623</v>
      </c>
      <c r="Q190" t="s">
        <v>9421</v>
      </c>
      <c r="R190" t="s">
        <v>24</v>
      </c>
      <c r="S190" t="s">
        <v>9984</v>
      </c>
      <c r="T190" t="s">
        <v>9988</v>
      </c>
    </row>
    <row r="191" spans="1:20">
      <c r="A191" t="s">
        <v>6213</v>
      </c>
      <c r="B191" t="s">
        <v>9409</v>
      </c>
      <c r="C191" t="s">
        <v>6216</v>
      </c>
      <c r="D191" t="s">
        <v>9410</v>
      </c>
      <c r="E191" t="s">
        <v>9989</v>
      </c>
      <c r="F191" t="s">
        <v>9412</v>
      </c>
      <c r="G191" t="s">
        <v>9413</v>
      </c>
      <c r="H191" t="s">
        <v>9414</v>
      </c>
      <c r="I191" t="s">
        <v>9798</v>
      </c>
      <c r="J191" t="s">
        <v>1683</v>
      </c>
      <c r="K191" t="s">
        <v>9416</v>
      </c>
      <c r="L191" t="s">
        <v>9417</v>
      </c>
      <c r="M191" t="s">
        <v>9473</v>
      </c>
      <c r="N191" t="s">
        <v>9454</v>
      </c>
      <c r="O191" t="s">
        <v>6214</v>
      </c>
      <c r="P191" t="s">
        <v>9420</v>
      </c>
      <c r="Q191" t="s">
        <v>9421</v>
      </c>
      <c r="R191" t="s">
        <v>17</v>
      </c>
      <c r="S191" t="s">
        <v>6213</v>
      </c>
      <c r="T191" t="s">
        <v>9990</v>
      </c>
    </row>
    <row r="192" spans="1:20">
      <c r="A192" t="s">
        <v>9991</v>
      </c>
      <c r="B192" t="s">
        <v>9409</v>
      </c>
      <c r="C192" t="s">
        <v>9992</v>
      </c>
      <c r="D192" t="s">
        <v>9410</v>
      </c>
      <c r="E192" t="s">
        <v>9993</v>
      </c>
      <c r="F192" t="s">
        <v>9412</v>
      </c>
      <c r="G192" t="s">
        <v>9413</v>
      </c>
      <c r="H192" t="s">
        <v>9414</v>
      </c>
      <c r="I192" t="s">
        <v>9751</v>
      </c>
      <c r="J192" t="s">
        <v>1683</v>
      </c>
      <c r="K192" t="s">
        <v>9416</v>
      </c>
      <c r="L192" t="s">
        <v>9417</v>
      </c>
      <c r="M192" t="s">
        <v>9453</v>
      </c>
      <c r="N192" t="s">
        <v>9454</v>
      </c>
      <c r="O192" t="s">
        <v>9994</v>
      </c>
      <c r="P192" t="s">
        <v>9420</v>
      </c>
      <c r="Q192" t="s">
        <v>9421</v>
      </c>
      <c r="R192" t="s">
        <v>17</v>
      </c>
      <c r="S192" t="s">
        <v>9991</v>
      </c>
      <c r="T192" t="s">
        <v>9995</v>
      </c>
    </row>
    <row r="193" spans="1:20">
      <c r="A193" t="s">
        <v>1821</v>
      </c>
      <c r="B193" t="s">
        <v>20</v>
      </c>
      <c r="C193" t="s">
        <v>1824</v>
      </c>
      <c r="D193" t="s">
        <v>9455</v>
      </c>
      <c r="E193" t="s">
        <v>9996</v>
      </c>
      <c r="F193" t="s">
        <v>9412</v>
      </c>
      <c r="G193" t="s">
        <v>9413</v>
      </c>
      <c r="H193" t="s">
        <v>9414</v>
      </c>
      <c r="I193" t="s">
        <v>9798</v>
      </c>
      <c r="J193" t="s">
        <v>1808</v>
      </c>
      <c r="K193" t="s">
        <v>9416</v>
      </c>
      <c r="L193" t="s">
        <v>9417</v>
      </c>
      <c r="M193" t="s">
        <v>9840</v>
      </c>
      <c r="N193" t="s">
        <v>9639</v>
      </c>
      <c r="O193" t="s">
        <v>6350</v>
      </c>
      <c r="P193" t="s">
        <v>9459</v>
      </c>
      <c r="Q193" t="s">
        <v>9421</v>
      </c>
      <c r="R193" t="s">
        <v>17</v>
      </c>
      <c r="S193" t="s">
        <v>1821</v>
      </c>
      <c r="T193" t="s">
        <v>1823</v>
      </c>
    </row>
    <row r="194" spans="1:20">
      <c r="A194" t="s">
        <v>9997</v>
      </c>
      <c r="B194" t="s">
        <v>9409</v>
      </c>
      <c r="C194" t="s">
        <v>9998</v>
      </c>
      <c r="D194" t="s">
        <v>9410</v>
      </c>
      <c r="E194" t="s">
        <v>9999</v>
      </c>
      <c r="F194" t="s">
        <v>9412</v>
      </c>
      <c r="G194" t="s">
        <v>9413</v>
      </c>
      <c r="H194" t="s">
        <v>9414</v>
      </c>
      <c r="I194" t="s">
        <v>9720</v>
      </c>
      <c r="J194" t="s">
        <v>1442</v>
      </c>
      <c r="K194" t="s">
        <v>9416</v>
      </c>
      <c r="L194" t="s">
        <v>9417</v>
      </c>
      <c r="M194" t="s">
        <v>9702</v>
      </c>
      <c r="N194" t="s">
        <v>9428</v>
      </c>
      <c r="O194" t="s">
        <v>10000</v>
      </c>
      <c r="P194" t="s">
        <v>9420</v>
      </c>
      <c r="Q194" t="s">
        <v>9421</v>
      </c>
      <c r="R194" t="s">
        <v>17</v>
      </c>
      <c r="S194" t="s">
        <v>9997</v>
      </c>
      <c r="T194" t="s">
        <v>10001</v>
      </c>
    </row>
    <row r="195" spans="1:20">
      <c r="A195" t="s">
        <v>9997</v>
      </c>
      <c r="B195" t="s">
        <v>9409</v>
      </c>
      <c r="C195" t="s">
        <v>9998</v>
      </c>
      <c r="D195" t="s">
        <v>9410</v>
      </c>
      <c r="E195" t="s">
        <v>9999</v>
      </c>
      <c r="F195" t="s">
        <v>9412</v>
      </c>
      <c r="G195" t="s">
        <v>9413</v>
      </c>
      <c r="H195" t="s">
        <v>9414</v>
      </c>
      <c r="I195" t="s">
        <v>9720</v>
      </c>
      <c r="J195" t="s">
        <v>1442</v>
      </c>
      <c r="K195" t="s">
        <v>9416</v>
      </c>
      <c r="L195" t="s">
        <v>9417</v>
      </c>
      <c r="M195" t="s">
        <v>9702</v>
      </c>
      <c r="N195" t="s">
        <v>9430</v>
      </c>
      <c r="O195" t="s">
        <v>5967</v>
      </c>
      <c r="P195" t="s">
        <v>9524</v>
      </c>
      <c r="Q195" t="s">
        <v>9421</v>
      </c>
      <c r="R195" t="s">
        <v>24</v>
      </c>
      <c r="S195" t="s">
        <v>1487</v>
      </c>
      <c r="T195" t="s">
        <v>1489</v>
      </c>
    </row>
    <row r="196" spans="1:20">
      <c r="A196" t="s">
        <v>2179</v>
      </c>
      <c r="B196" t="s">
        <v>20</v>
      </c>
      <c r="C196" t="s">
        <v>2182</v>
      </c>
      <c r="D196" t="s">
        <v>9455</v>
      </c>
      <c r="E196" t="s">
        <v>10002</v>
      </c>
      <c r="F196" t="s">
        <v>9412</v>
      </c>
      <c r="G196" t="s">
        <v>9413</v>
      </c>
      <c r="H196" t="s">
        <v>1044</v>
      </c>
      <c r="I196" t="s">
        <v>9798</v>
      </c>
      <c r="J196" t="s">
        <v>2174</v>
      </c>
      <c r="K196" t="s">
        <v>9416</v>
      </c>
      <c r="L196" t="s">
        <v>9417</v>
      </c>
      <c r="M196" t="s">
        <v>9776</v>
      </c>
      <c r="N196" t="s">
        <v>9621</v>
      </c>
      <c r="O196" t="s">
        <v>6839</v>
      </c>
      <c r="P196" t="s">
        <v>9429</v>
      </c>
      <c r="Q196" t="s">
        <v>9421</v>
      </c>
      <c r="R196" t="s">
        <v>52</v>
      </c>
      <c r="S196" t="s">
        <v>2179</v>
      </c>
      <c r="T196" t="s">
        <v>2181</v>
      </c>
    </row>
    <row r="197" spans="1:20">
      <c r="A197" t="s">
        <v>1912</v>
      </c>
      <c r="B197" t="s">
        <v>9409</v>
      </c>
      <c r="C197" t="s">
        <v>10003</v>
      </c>
      <c r="D197" t="s">
        <v>9410</v>
      </c>
      <c r="E197" t="s">
        <v>10004</v>
      </c>
      <c r="F197" t="s">
        <v>9412</v>
      </c>
      <c r="G197" t="s">
        <v>9413</v>
      </c>
      <c r="H197" t="s">
        <v>9414</v>
      </c>
      <c r="I197" t="s">
        <v>9798</v>
      </c>
      <c r="J197" t="s">
        <v>1808</v>
      </c>
      <c r="K197" t="s">
        <v>9416</v>
      </c>
      <c r="L197" t="s">
        <v>9417</v>
      </c>
      <c r="M197" t="s">
        <v>9831</v>
      </c>
      <c r="N197" t="s">
        <v>9639</v>
      </c>
      <c r="O197" t="s">
        <v>10005</v>
      </c>
      <c r="P197" t="s">
        <v>9459</v>
      </c>
      <c r="Q197" t="s">
        <v>9421</v>
      </c>
      <c r="R197" t="s">
        <v>17</v>
      </c>
      <c r="S197" t="s">
        <v>5531</v>
      </c>
      <c r="T197" t="s">
        <v>10006</v>
      </c>
    </row>
    <row r="198" spans="1:20">
      <c r="A198" t="s">
        <v>10007</v>
      </c>
      <c r="B198" t="s">
        <v>9409</v>
      </c>
      <c r="C198" t="s">
        <v>10008</v>
      </c>
      <c r="D198" t="s">
        <v>9410</v>
      </c>
      <c r="E198" t="s">
        <v>10009</v>
      </c>
      <c r="F198" t="s">
        <v>9412</v>
      </c>
      <c r="G198" t="s">
        <v>9413</v>
      </c>
      <c r="H198" t="s">
        <v>9414</v>
      </c>
      <c r="I198" t="s">
        <v>10010</v>
      </c>
      <c r="J198" t="s">
        <v>1808</v>
      </c>
      <c r="K198" t="s">
        <v>9445</v>
      </c>
      <c r="L198" t="s">
        <v>9417</v>
      </c>
      <c r="M198" t="s">
        <v>9840</v>
      </c>
      <c r="N198" t="s">
        <v>9426</v>
      </c>
      <c r="O198" t="s">
        <v>9446</v>
      </c>
      <c r="P198" t="s">
        <v>9479</v>
      </c>
      <c r="Q198" t="s">
        <v>9421</v>
      </c>
      <c r="R198" t="s">
        <v>43</v>
      </c>
      <c r="S198" t="s">
        <v>1774</v>
      </c>
      <c r="T198" t="s">
        <v>1776</v>
      </c>
    </row>
    <row r="199" spans="1:20">
      <c r="A199" t="s">
        <v>10007</v>
      </c>
      <c r="B199" t="s">
        <v>9409</v>
      </c>
      <c r="C199" t="s">
        <v>10008</v>
      </c>
      <c r="D199" t="s">
        <v>9410</v>
      </c>
      <c r="E199" t="s">
        <v>10009</v>
      </c>
      <c r="F199" t="s">
        <v>9412</v>
      </c>
      <c r="G199" t="s">
        <v>9413</v>
      </c>
      <c r="H199" t="s">
        <v>9414</v>
      </c>
      <c r="I199" t="s">
        <v>10010</v>
      </c>
      <c r="J199" t="s">
        <v>1808</v>
      </c>
      <c r="K199" t="s">
        <v>9416</v>
      </c>
      <c r="L199" t="s">
        <v>9417</v>
      </c>
      <c r="M199" t="s">
        <v>9840</v>
      </c>
      <c r="N199" t="s">
        <v>9639</v>
      </c>
      <c r="O199" t="s">
        <v>10011</v>
      </c>
      <c r="P199" t="s">
        <v>9420</v>
      </c>
      <c r="Q199" t="s">
        <v>9421</v>
      </c>
      <c r="R199" t="s">
        <v>17</v>
      </c>
      <c r="S199" t="s">
        <v>10007</v>
      </c>
      <c r="T199" t="s">
        <v>10012</v>
      </c>
    </row>
    <row r="200" spans="1:20">
      <c r="A200" t="s">
        <v>10013</v>
      </c>
      <c r="B200" t="s">
        <v>9409</v>
      </c>
      <c r="C200" t="s">
        <v>10014</v>
      </c>
      <c r="D200" t="s">
        <v>9410</v>
      </c>
      <c r="E200" t="s">
        <v>10015</v>
      </c>
      <c r="F200" t="s">
        <v>9412</v>
      </c>
      <c r="G200" t="s">
        <v>9413</v>
      </c>
      <c r="H200" t="s">
        <v>9414</v>
      </c>
      <c r="I200" t="s">
        <v>10016</v>
      </c>
      <c r="J200" t="s">
        <v>2098</v>
      </c>
      <c r="K200" t="s">
        <v>9416</v>
      </c>
      <c r="L200" t="s">
        <v>9417</v>
      </c>
      <c r="M200" t="s">
        <v>9596</v>
      </c>
      <c r="N200" t="s">
        <v>9597</v>
      </c>
      <c r="O200" t="s">
        <v>10017</v>
      </c>
      <c r="P200" t="s">
        <v>9420</v>
      </c>
      <c r="Q200" t="s">
        <v>9421</v>
      </c>
      <c r="R200" t="s">
        <v>17</v>
      </c>
      <c r="S200" t="s">
        <v>10013</v>
      </c>
      <c r="T200" t="s">
        <v>10018</v>
      </c>
    </row>
    <row r="201" spans="1:20">
      <c r="A201" t="s">
        <v>1703</v>
      </c>
      <c r="B201" t="s">
        <v>62</v>
      </c>
      <c r="C201" t="s">
        <v>6220</v>
      </c>
      <c r="D201" t="s">
        <v>9448</v>
      </c>
      <c r="E201" t="s">
        <v>10019</v>
      </c>
      <c r="F201" t="s">
        <v>9412</v>
      </c>
      <c r="G201" t="s">
        <v>9413</v>
      </c>
      <c r="H201" t="s">
        <v>9414</v>
      </c>
      <c r="I201" t="s">
        <v>9518</v>
      </c>
      <c r="J201" t="s">
        <v>1683</v>
      </c>
      <c r="K201" t="s">
        <v>9416</v>
      </c>
      <c r="L201" t="s">
        <v>9417</v>
      </c>
      <c r="M201" t="s">
        <v>9473</v>
      </c>
      <c r="N201" t="s">
        <v>9446</v>
      </c>
      <c r="O201" t="s">
        <v>6224</v>
      </c>
      <c r="P201" t="s">
        <v>9655</v>
      </c>
      <c r="Q201" t="s">
        <v>9421</v>
      </c>
      <c r="R201" t="s">
        <v>56</v>
      </c>
      <c r="S201" t="s">
        <v>1711</v>
      </c>
      <c r="T201" t="s">
        <v>1713</v>
      </c>
    </row>
    <row r="202" spans="1:20">
      <c r="A202" t="s">
        <v>1703</v>
      </c>
      <c r="B202" t="s">
        <v>62</v>
      </c>
      <c r="C202" t="s">
        <v>6220</v>
      </c>
      <c r="D202" t="s">
        <v>9448</v>
      </c>
      <c r="E202" t="s">
        <v>10019</v>
      </c>
      <c r="F202" t="s">
        <v>9412</v>
      </c>
      <c r="G202" t="s">
        <v>9413</v>
      </c>
      <c r="H202" t="s">
        <v>9414</v>
      </c>
      <c r="I202" t="s">
        <v>9518</v>
      </c>
      <c r="J202" t="s">
        <v>1683</v>
      </c>
      <c r="K202" t="s">
        <v>9416</v>
      </c>
      <c r="L202" t="s">
        <v>9417</v>
      </c>
      <c r="M202" t="s">
        <v>9473</v>
      </c>
      <c r="N202" t="s">
        <v>9454</v>
      </c>
      <c r="O202" t="s">
        <v>6218</v>
      </c>
      <c r="P202" t="s">
        <v>9429</v>
      </c>
      <c r="Q202" t="s">
        <v>9421</v>
      </c>
      <c r="R202" t="s">
        <v>52</v>
      </c>
      <c r="S202" t="s">
        <v>1704</v>
      </c>
      <c r="T202" t="s">
        <v>1706</v>
      </c>
    </row>
    <row r="203" spans="1:20">
      <c r="A203" t="s">
        <v>1703</v>
      </c>
      <c r="B203" t="s">
        <v>62</v>
      </c>
      <c r="C203" t="s">
        <v>6220</v>
      </c>
      <c r="D203" t="s">
        <v>9448</v>
      </c>
      <c r="E203" t="s">
        <v>10019</v>
      </c>
      <c r="F203" t="s">
        <v>9412</v>
      </c>
      <c r="G203" t="s">
        <v>9413</v>
      </c>
      <c r="H203" t="s">
        <v>9414</v>
      </c>
      <c r="I203" t="s">
        <v>9518</v>
      </c>
      <c r="J203" t="s">
        <v>1683</v>
      </c>
      <c r="K203" t="s">
        <v>9416</v>
      </c>
      <c r="L203" t="s">
        <v>9417</v>
      </c>
      <c r="M203" t="s">
        <v>9473</v>
      </c>
      <c r="N203" t="s">
        <v>9430</v>
      </c>
      <c r="O203" t="s">
        <v>6222</v>
      </c>
      <c r="P203" t="s">
        <v>9431</v>
      </c>
      <c r="Q203" t="s">
        <v>9421</v>
      </c>
      <c r="R203" t="s">
        <v>24</v>
      </c>
      <c r="S203" t="s">
        <v>1708</v>
      </c>
      <c r="T203" t="s">
        <v>1710</v>
      </c>
    </row>
    <row r="204" spans="1:20">
      <c r="A204" t="s">
        <v>5934</v>
      </c>
      <c r="B204" t="s">
        <v>9409</v>
      </c>
      <c r="C204" t="s">
        <v>5937</v>
      </c>
      <c r="D204" t="s">
        <v>9410</v>
      </c>
      <c r="E204" t="s">
        <v>10020</v>
      </c>
      <c r="F204" t="s">
        <v>9412</v>
      </c>
      <c r="G204" t="s">
        <v>9413</v>
      </c>
      <c r="H204" t="s">
        <v>9414</v>
      </c>
      <c r="I204" t="s">
        <v>9506</v>
      </c>
      <c r="J204" t="s">
        <v>1442</v>
      </c>
      <c r="K204" t="s">
        <v>9445</v>
      </c>
      <c r="L204" t="s">
        <v>9417</v>
      </c>
      <c r="M204" t="s">
        <v>10021</v>
      </c>
      <c r="N204" t="s">
        <v>9426</v>
      </c>
      <c r="O204" t="s">
        <v>9446</v>
      </c>
      <c r="P204" t="s">
        <v>9524</v>
      </c>
      <c r="Q204" t="s">
        <v>9421</v>
      </c>
      <c r="R204" t="s">
        <v>24</v>
      </c>
      <c r="S204" t="s">
        <v>1480</v>
      </c>
      <c r="T204" t="s">
        <v>1482</v>
      </c>
    </row>
    <row r="205" spans="1:20">
      <c r="A205" t="s">
        <v>5934</v>
      </c>
      <c r="B205" t="s">
        <v>9409</v>
      </c>
      <c r="C205" t="s">
        <v>5937</v>
      </c>
      <c r="D205" t="s">
        <v>9410</v>
      </c>
      <c r="E205" t="s">
        <v>10020</v>
      </c>
      <c r="F205" t="s">
        <v>9412</v>
      </c>
      <c r="G205" t="s">
        <v>9413</v>
      </c>
      <c r="H205" t="s">
        <v>9414</v>
      </c>
      <c r="I205" t="s">
        <v>9506</v>
      </c>
      <c r="J205" t="s">
        <v>1442</v>
      </c>
      <c r="K205" t="s">
        <v>9416</v>
      </c>
      <c r="L205" t="s">
        <v>9417</v>
      </c>
      <c r="M205" t="s">
        <v>10021</v>
      </c>
      <c r="N205" t="s">
        <v>9428</v>
      </c>
      <c r="O205" t="s">
        <v>5940</v>
      </c>
      <c r="P205" t="s">
        <v>9420</v>
      </c>
      <c r="Q205" t="s">
        <v>9421</v>
      </c>
      <c r="R205" t="s">
        <v>17</v>
      </c>
      <c r="S205" t="s">
        <v>5939</v>
      </c>
      <c r="T205" t="s">
        <v>10022</v>
      </c>
    </row>
    <row r="206" spans="1:20">
      <c r="A206" t="s">
        <v>10023</v>
      </c>
      <c r="B206" t="s">
        <v>9409</v>
      </c>
      <c r="C206" t="s">
        <v>10024</v>
      </c>
      <c r="D206" t="s">
        <v>9410</v>
      </c>
      <c r="E206" t="s">
        <v>10025</v>
      </c>
      <c r="F206" t="s">
        <v>9412</v>
      </c>
      <c r="G206" t="s">
        <v>9413</v>
      </c>
      <c r="H206" t="s">
        <v>9414</v>
      </c>
      <c r="I206" t="s">
        <v>9637</v>
      </c>
      <c r="J206" t="s">
        <v>1246</v>
      </c>
      <c r="K206" t="s">
        <v>9416</v>
      </c>
      <c r="L206" t="s">
        <v>9417</v>
      </c>
      <c r="M206" t="s">
        <v>9529</v>
      </c>
      <c r="N206" t="s">
        <v>9419</v>
      </c>
      <c r="O206" t="s">
        <v>10026</v>
      </c>
      <c r="P206" t="s">
        <v>9459</v>
      </c>
      <c r="Q206" t="s">
        <v>9421</v>
      </c>
      <c r="R206" t="s">
        <v>17</v>
      </c>
      <c r="S206" t="s">
        <v>10023</v>
      </c>
      <c r="T206" t="s">
        <v>10027</v>
      </c>
    </row>
    <row r="207" spans="1:20">
      <c r="A207" t="s">
        <v>1825</v>
      </c>
      <c r="B207" t="s">
        <v>62</v>
      </c>
      <c r="C207" t="s">
        <v>1828</v>
      </c>
      <c r="D207" t="s">
        <v>9448</v>
      </c>
      <c r="E207" t="s">
        <v>10028</v>
      </c>
      <c r="F207" t="s">
        <v>9412</v>
      </c>
      <c r="G207" t="s">
        <v>9413</v>
      </c>
      <c r="H207" t="s">
        <v>1044</v>
      </c>
      <c r="I207" t="s">
        <v>9637</v>
      </c>
      <c r="J207" t="s">
        <v>1808</v>
      </c>
      <c r="K207" t="s">
        <v>9416</v>
      </c>
      <c r="L207" t="s">
        <v>9417</v>
      </c>
      <c r="M207" t="s">
        <v>9833</v>
      </c>
      <c r="N207" t="s">
        <v>9639</v>
      </c>
      <c r="O207" t="s">
        <v>6354</v>
      </c>
      <c r="P207" t="s">
        <v>9459</v>
      </c>
      <c r="Q207" t="s">
        <v>9421</v>
      </c>
      <c r="R207" t="s">
        <v>17</v>
      </c>
      <c r="S207" t="s">
        <v>1825</v>
      </c>
      <c r="T207" t="s">
        <v>1827</v>
      </c>
    </row>
    <row r="208" spans="1:20">
      <c r="A208" t="s">
        <v>10029</v>
      </c>
      <c r="B208" t="s">
        <v>9409</v>
      </c>
      <c r="C208" t="s">
        <v>10030</v>
      </c>
      <c r="D208" t="s">
        <v>9410</v>
      </c>
      <c r="E208" t="s">
        <v>10031</v>
      </c>
      <c r="F208" t="s">
        <v>9412</v>
      </c>
      <c r="G208" t="s">
        <v>9413</v>
      </c>
      <c r="H208" t="s">
        <v>9414</v>
      </c>
      <c r="I208" t="s">
        <v>10016</v>
      </c>
      <c r="J208" t="s">
        <v>1683</v>
      </c>
      <c r="K208" t="s">
        <v>9416</v>
      </c>
      <c r="L208" t="s">
        <v>9417</v>
      </c>
      <c r="M208" t="s">
        <v>9453</v>
      </c>
      <c r="N208" t="s">
        <v>9454</v>
      </c>
      <c r="O208" t="s">
        <v>10032</v>
      </c>
      <c r="P208" t="s">
        <v>9429</v>
      </c>
      <c r="Q208" t="s">
        <v>9421</v>
      </c>
      <c r="R208" t="s">
        <v>52</v>
      </c>
      <c r="S208" t="s">
        <v>10029</v>
      </c>
      <c r="T208" t="s">
        <v>10033</v>
      </c>
    </row>
    <row r="209" spans="1:20">
      <c r="A209" t="s">
        <v>10029</v>
      </c>
      <c r="B209" t="s">
        <v>9409</v>
      </c>
      <c r="C209" t="s">
        <v>10030</v>
      </c>
      <c r="D209" t="s">
        <v>9410</v>
      </c>
      <c r="E209" t="s">
        <v>10031</v>
      </c>
      <c r="F209" t="s">
        <v>9412</v>
      </c>
      <c r="G209" t="s">
        <v>9413</v>
      </c>
      <c r="H209" t="s">
        <v>9414</v>
      </c>
      <c r="I209" t="s">
        <v>10016</v>
      </c>
      <c r="J209" t="s">
        <v>1683</v>
      </c>
      <c r="K209" t="s">
        <v>9416</v>
      </c>
      <c r="L209" t="s">
        <v>9417</v>
      </c>
      <c r="M209" t="s">
        <v>9453</v>
      </c>
      <c r="N209" t="s">
        <v>9454</v>
      </c>
      <c r="O209" t="s">
        <v>10034</v>
      </c>
      <c r="P209" t="s">
        <v>9429</v>
      </c>
      <c r="Q209" t="s">
        <v>9421</v>
      </c>
      <c r="R209" t="s">
        <v>52</v>
      </c>
      <c r="S209" t="s">
        <v>10035</v>
      </c>
      <c r="T209" t="s">
        <v>10036</v>
      </c>
    </row>
    <row r="210" spans="1:20">
      <c r="A210" t="s">
        <v>10037</v>
      </c>
      <c r="B210" t="s">
        <v>9409</v>
      </c>
      <c r="C210" t="s">
        <v>10038</v>
      </c>
      <c r="D210" t="s">
        <v>9410</v>
      </c>
      <c r="E210" t="s">
        <v>10039</v>
      </c>
      <c r="F210" t="s">
        <v>9412</v>
      </c>
      <c r="G210" t="s">
        <v>9413</v>
      </c>
      <c r="H210" t="s">
        <v>9414</v>
      </c>
      <c r="I210" t="s">
        <v>9819</v>
      </c>
      <c r="J210" t="s">
        <v>1246</v>
      </c>
      <c r="K210" t="s">
        <v>9416</v>
      </c>
      <c r="L210" t="s">
        <v>9417</v>
      </c>
      <c r="M210" t="s">
        <v>9529</v>
      </c>
      <c r="N210" t="s">
        <v>9419</v>
      </c>
      <c r="O210" t="s">
        <v>10040</v>
      </c>
      <c r="P210" t="s">
        <v>9420</v>
      </c>
      <c r="Q210" t="s">
        <v>9421</v>
      </c>
      <c r="R210" t="s">
        <v>17</v>
      </c>
      <c r="S210" t="s">
        <v>10037</v>
      </c>
      <c r="T210" t="s">
        <v>10041</v>
      </c>
    </row>
    <row r="211" spans="1:20">
      <c r="A211" t="s">
        <v>10042</v>
      </c>
      <c r="B211" t="s">
        <v>9409</v>
      </c>
      <c r="C211" t="s">
        <v>10043</v>
      </c>
      <c r="D211" t="s">
        <v>9410</v>
      </c>
      <c r="E211" t="s">
        <v>10044</v>
      </c>
      <c r="F211" t="s">
        <v>9412</v>
      </c>
      <c r="G211" t="s">
        <v>9413</v>
      </c>
      <c r="H211" t="s">
        <v>9414</v>
      </c>
      <c r="I211" t="s">
        <v>10045</v>
      </c>
      <c r="J211" t="s">
        <v>1683</v>
      </c>
      <c r="K211" t="s">
        <v>9416</v>
      </c>
      <c r="L211" t="s">
        <v>9417</v>
      </c>
      <c r="M211" t="s">
        <v>9473</v>
      </c>
      <c r="N211" t="s">
        <v>9454</v>
      </c>
      <c r="O211" t="s">
        <v>10046</v>
      </c>
      <c r="P211" t="s">
        <v>9429</v>
      </c>
      <c r="Q211" t="s">
        <v>9421</v>
      </c>
      <c r="R211" t="s">
        <v>52</v>
      </c>
      <c r="S211" t="s">
        <v>10047</v>
      </c>
      <c r="T211" t="s">
        <v>10048</v>
      </c>
    </row>
    <row r="212" spans="1:20">
      <c r="A212" t="s">
        <v>10042</v>
      </c>
      <c r="B212" t="s">
        <v>9409</v>
      </c>
      <c r="C212" t="s">
        <v>10043</v>
      </c>
      <c r="D212" t="s">
        <v>9410</v>
      </c>
      <c r="E212" t="s">
        <v>10044</v>
      </c>
      <c r="F212" t="s">
        <v>9412</v>
      </c>
      <c r="G212" t="s">
        <v>9413</v>
      </c>
      <c r="H212" t="s">
        <v>9414</v>
      </c>
      <c r="I212" t="s">
        <v>10045</v>
      </c>
      <c r="J212" t="s">
        <v>1683</v>
      </c>
      <c r="K212" t="s">
        <v>9416</v>
      </c>
      <c r="L212" t="s">
        <v>9417</v>
      </c>
      <c r="M212" t="s">
        <v>9473</v>
      </c>
      <c r="N212" t="s">
        <v>9454</v>
      </c>
      <c r="O212" t="s">
        <v>10049</v>
      </c>
      <c r="P212" t="s">
        <v>9420</v>
      </c>
      <c r="Q212" t="s">
        <v>9421</v>
      </c>
      <c r="R212" t="s">
        <v>17</v>
      </c>
      <c r="S212" t="s">
        <v>5764</v>
      </c>
      <c r="T212" t="s">
        <v>10050</v>
      </c>
    </row>
    <row r="213" spans="1:20">
      <c r="A213" t="s">
        <v>2121</v>
      </c>
      <c r="B213" t="s">
        <v>20</v>
      </c>
      <c r="C213" t="s">
        <v>6766</v>
      </c>
      <c r="D213" t="s">
        <v>9677</v>
      </c>
      <c r="E213" t="s">
        <v>10051</v>
      </c>
      <c r="F213" t="s">
        <v>9412</v>
      </c>
      <c r="G213" t="s">
        <v>9413</v>
      </c>
      <c r="H213" t="s">
        <v>9414</v>
      </c>
      <c r="I213" t="s">
        <v>9819</v>
      </c>
      <c r="J213" t="s">
        <v>2098</v>
      </c>
      <c r="K213" t="s">
        <v>9416</v>
      </c>
      <c r="L213" t="s">
        <v>9417</v>
      </c>
      <c r="M213" t="s">
        <v>9596</v>
      </c>
      <c r="N213" t="s">
        <v>9446</v>
      </c>
      <c r="O213" t="s">
        <v>6768</v>
      </c>
      <c r="P213" t="s">
        <v>9655</v>
      </c>
      <c r="Q213" t="s">
        <v>9421</v>
      </c>
      <c r="R213" t="s">
        <v>56</v>
      </c>
      <c r="S213" t="s">
        <v>2126</v>
      </c>
      <c r="T213" t="s">
        <v>2128</v>
      </c>
    </row>
    <row r="214" spans="1:20">
      <c r="A214" t="s">
        <v>2121</v>
      </c>
      <c r="B214" t="s">
        <v>20</v>
      </c>
      <c r="C214" t="s">
        <v>6766</v>
      </c>
      <c r="D214" t="s">
        <v>9677</v>
      </c>
      <c r="E214" t="s">
        <v>10051</v>
      </c>
      <c r="F214" t="s">
        <v>9412</v>
      </c>
      <c r="G214" t="s">
        <v>9413</v>
      </c>
      <c r="H214" t="s">
        <v>9414</v>
      </c>
      <c r="I214" t="s">
        <v>9819</v>
      </c>
      <c r="J214" t="s">
        <v>2098</v>
      </c>
      <c r="K214" t="s">
        <v>9416</v>
      </c>
      <c r="L214" t="s">
        <v>9417</v>
      </c>
      <c r="M214" t="s">
        <v>9596</v>
      </c>
      <c r="N214" t="s">
        <v>9446</v>
      </c>
      <c r="O214" t="s">
        <v>6764</v>
      </c>
      <c r="P214" t="s">
        <v>9655</v>
      </c>
      <c r="Q214" t="s">
        <v>9421</v>
      </c>
      <c r="R214" t="s">
        <v>56</v>
      </c>
      <c r="S214" t="s">
        <v>2122</v>
      </c>
      <c r="T214" t="s">
        <v>2124</v>
      </c>
    </row>
    <row r="215" spans="1:20">
      <c r="A215" t="s">
        <v>1829</v>
      </c>
      <c r="B215" t="s">
        <v>20</v>
      </c>
      <c r="C215" t="s">
        <v>6360</v>
      </c>
      <c r="D215" t="s">
        <v>10052</v>
      </c>
      <c r="E215" t="s">
        <v>10053</v>
      </c>
      <c r="F215" t="s">
        <v>9412</v>
      </c>
      <c r="G215" t="s">
        <v>9413</v>
      </c>
      <c r="H215" t="s">
        <v>9414</v>
      </c>
      <c r="I215" t="s">
        <v>9819</v>
      </c>
      <c r="J215" t="s">
        <v>1808</v>
      </c>
      <c r="K215" t="s">
        <v>9416</v>
      </c>
      <c r="L215" t="s">
        <v>9417</v>
      </c>
      <c r="M215" t="s">
        <v>9840</v>
      </c>
      <c r="N215" t="s">
        <v>9639</v>
      </c>
      <c r="O215" t="s">
        <v>6358</v>
      </c>
      <c r="P215" t="s">
        <v>9459</v>
      </c>
      <c r="Q215" t="s">
        <v>9421</v>
      </c>
      <c r="R215" t="s">
        <v>17</v>
      </c>
      <c r="S215" t="s">
        <v>1829</v>
      </c>
      <c r="T215" t="s">
        <v>1831</v>
      </c>
    </row>
    <row r="216" spans="1:20">
      <c r="A216" t="s">
        <v>6504</v>
      </c>
      <c r="B216" t="s">
        <v>9409</v>
      </c>
      <c r="C216" t="s">
        <v>6507</v>
      </c>
      <c r="D216" t="s">
        <v>9410</v>
      </c>
      <c r="E216" t="s">
        <v>10054</v>
      </c>
      <c r="F216" t="s">
        <v>9412</v>
      </c>
      <c r="G216" t="s">
        <v>9413</v>
      </c>
      <c r="H216" t="s">
        <v>9414</v>
      </c>
      <c r="I216" t="s">
        <v>9826</v>
      </c>
      <c r="J216" t="s">
        <v>1920</v>
      </c>
      <c r="K216" t="s">
        <v>9416</v>
      </c>
      <c r="L216" t="s">
        <v>9417</v>
      </c>
      <c r="M216" t="s">
        <v>9638</v>
      </c>
      <c r="N216" t="s">
        <v>9608</v>
      </c>
      <c r="O216" t="s">
        <v>6505</v>
      </c>
      <c r="P216" t="s">
        <v>9420</v>
      </c>
      <c r="Q216" t="s">
        <v>9421</v>
      </c>
      <c r="R216" t="s">
        <v>17</v>
      </c>
      <c r="S216" t="s">
        <v>6504</v>
      </c>
      <c r="T216" t="s">
        <v>10055</v>
      </c>
    </row>
    <row r="217" spans="1:20">
      <c r="A217" t="s">
        <v>6770</v>
      </c>
      <c r="B217" t="s">
        <v>9409</v>
      </c>
      <c r="C217" t="s">
        <v>6771</v>
      </c>
      <c r="D217" t="s">
        <v>9410</v>
      </c>
      <c r="E217" t="s">
        <v>10056</v>
      </c>
      <c r="F217" t="s">
        <v>9412</v>
      </c>
      <c r="G217" t="s">
        <v>9413</v>
      </c>
      <c r="H217" t="s">
        <v>9414</v>
      </c>
      <c r="I217" t="s">
        <v>9637</v>
      </c>
      <c r="J217" t="s">
        <v>2098</v>
      </c>
      <c r="K217" t="s">
        <v>9416</v>
      </c>
      <c r="L217" t="s">
        <v>9417</v>
      </c>
      <c r="M217" t="s">
        <v>9442</v>
      </c>
      <c r="N217" t="s">
        <v>9597</v>
      </c>
      <c r="O217" t="s">
        <v>6773</v>
      </c>
      <c r="P217" t="s">
        <v>9623</v>
      </c>
      <c r="Q217" t="s">
        <v>9421</v>
      </c>
      <c r="R217" t="s">
        <v>24</v>
      </c>
      <c r="S217" t="s">
        <v>6770</v>
      </c>
      <c r="T217" t="s">
        <v>10057</v>
      </c>
    </row>
    <row r="218" spans="1:20">
      <c r="A218" t="s">
        <v>6770</v>
      </c>
      <c r="B218" t="s">
        <v>9409</v>
      </c>
      <c r="C218" t="s">
        <v>6771</v>
      </c>
      <c r="D218" t="s">
        <v>9410</v>
      </c>
      <c r="E218" t="s">
        <v>10056</v>
      </c>
      <c r="F218" t="s">
        <v>9412</v>
      </c>
      <c r="G218" t="s">
        <v>9413</v>
      </c>
      <c r="H218" t="s">
        <v>9414</v>
      </c>
      <c r="I218" t="s">
        <v>9637</v>
      </c>
      <c r="J218" t="s">
        <v>2098</v>
      </c>
      <c r="K218" t="s">
        <v>9445</v>
      </c>
      <c r="L218" t="s">
        <v>9417</v>
      </c>
      <c r="M218" t="s">
        <v>9442</v>
      </c>
      <c r="N218" t="s">
        <v>9426</v>
      </c>
      <c r="O218" t="s">
        <v>9446</v>
      </c>
      <c r="P218" t="s">
        <v>9479</v>
      </c>
      <c r="Q218" t="s">
        <v>9421</v>
      </c>
      <c r="R218" t="s">
        <v>43</v>
      </c>
      <c r="S218" t="s">
        <v>1774</v>
      </c>
      <c r="T218" t="s">
        <v>1776</v>
      </c>
    </row>
    <row r="219" spans="1:20">
      <c r="A219" t="s">
        <v>10058</v>
      </c>
      <c r="B219" t="s">
        <v>9409</v>
      </c>
      <c r="C219" t="s">
        <v>10059</v>
      </c>
      <c r="D219" t="s">
        <v>9410</v>
      </c>
      <c r="E219" t="s">
        <v>10060</v>
      </c>
      <c r="F219" t="s">
        <v>9412</v>
      </c>
      <c r="G219" t="s">
        <v>9413</v>
      </c>
      <c r="H219" t="s">
        <v>9414</v>
      </c>
      <c r="I219" t="s">
        <v>9637</v>
      </c>
      <c r="J219" t="s">
        <v>1808</v>
      </c>
      <c r="K219" t="s">
        <v>9416</v>
      </c>
      <c r="L219" t="s">
        <v>9417</v>
      </c>
      <c r="M219" t="s">
        <v>9705</v>
      </c>
      <c r="N219" t="s">
        <v>9639</v>
      </c>
      <c r="O219" t="s">
        <v>10061</v>
      </c>
      <c r="P219" t="s">
        <v>9420</v>
      </c>
      <c r="Q219" t="s">
        <v>9421</v>
      </c>
      <c r="R219" t="s">
        <v>17</v>
      </c>
      <c r="S219" t="s">
        <v>10058</v>
      </c>
      <c r="T219" t="s">
        <v>10062</v>
      </c>
    </row>
    <row r="220" spans="1:20">
      <c r="A220" t="s">
        <v>10063</v>
      </c>
      <c r="B220" t="s">
        <v>9409</v>
      </c>
      <c r="C220" t="s">
        <v>10064</v>
      </c>
      <c r="D220" t="s">
        <v>9410</v>
      </c>
      <c r="E220" t="s">
        <v>10065</v>
      </c>
      <c r="F220" t="s">
        <v>9412</v>
      </c>
      <c r="G220" t="s">
        <v>9413</v>
      </c>
      <c r="H220" t="s">
        <v>9414</v>
      </c>
      <c r="I220" t="s">
        <v>10066</v>
      </c>
      <c r="J220" t="s">
        <v>1808</v>
      </c>
      <c r="K220" t="s">
        <v>9416</v>
      </c>
      <c r="L220" t="s">
        <v>9417</v>
      </c>
      <c r="M220" t="s">
        <v>9638</v>
      </c>
      <c r="N220" t="s">
        <v>9639</v>
      </c>
      <c r="O220" t="s">
        <v>10067</v>
      </c>
      <c r="P220" t="s">
        <v>9623</v>
      </c>
      <c r="Q220" t="s">
        <v>9421</v>
      </c>
      <c r="R220" t="s">
        <v>24</v>
      </c>
      <c r="S220" t="s">
        <v>10063</v>
      </c>
      <c r="T220" t="s">
        <v>10068</v>
      </c>
    </row>
    <row r="221" spans="1:20">
      <c r="A221" t="s">
        <v>10063</v>
      </c>
      <c r="B221" t="s">
        <v>9409</v>
      </c>
      <c r="C221" t="s">
        <v>10064</v>
      </c>
      <c r="D221" t="s">
        <v>9410</v>
      </c>
      <c r="E221" t="s">
        <v>10065</v>
      </c>
      <c r="F221" t="s">
        <v>9412</v>
      </c>
      <c r="G221" t="s">
        <v>9413</v>
      </c>
      <c r="H221" t="s">
        <v>9414</v>
      </c>
      <c r="I221" t="s">
        <v>10066</v>
      </c>
      <c r="J221" t="s">
        <v>1808</v>
      </c>
      <c r="K221" t="s">
        <v>9416</v>
      </c>
      <c r="L221" t="s">
        <v>9417</v>
      </c>
      <c r="M221" t="s">
        <v>9638</v>
      </c>
      <c r="N221" t="s">
        <v>9426</v>
      </c>
      <c r="O221" t="s">
        <v>6407</v>
      </c>
      <c r="P221" t="s">
        <v>10069</v>
      </c>
      <c r="Q221" t="s">
        <v>9421</v>
      </c>
      <c r="R221" t="s">
        <v>24</v>
      </c>
      <c r="S221" t="s">
        <v>1865</v>
      </c>
      <c r="T221" t="s">
        <v>1867</v>
      </c>
    </row>
    <row r="222" spans="1:20">
      <c r="A222" t="s">
        <v>1476</v>
      </c>
      <c r="B222" t="s">
        <v>62</v>
      </c>
      <c r="C222" t="s">
        <v>5944</v>
      </c>
      <c r="D222" t="s">
        <v>9448</v>
      </c>
      <c r="E222" t="s">
        <v>10070</v>
      </c>
      <c r="F222" t="s">
        <v>9412</v>
      </c>
      <c r="G222" t="s">
        <v>9413</v>
      </c>
      <c r="H222" t="s">
        <v>9414</v>
      </c>
      <c r="I222" t="s">
        <v>9674</v>
      </c>
      <c r="J222" t="s">
        <v>1442</v>
      </c>
      <c r="K222" t="s">
        <v>9445</v>
      </c>
      <c r="L222" t="s">
        <v>9417</v>
      </c>
      <c r="M222" t="s">
        <v>9788</v>
      </c>
      <c r="N222" t="s">
        <v>9426</v>
      </c>
      <c r="O222" t="s">
        <v>9446</v>
      </c>
      <c r="P222" t="s">
        <v>9524</v>
      </c>
      <c r="Q222" t="s">
        <v>9421</v>
      </c>
      <c r="R222" t="s">
        <v>24</v>
      </c>
      <c r="S222" t="s">
        <v>1480</v>
      </c>
      <c r="T222" t="s">
        <v>1482</v>
      </c>
    </row>
    <row r="223" spans="1:20">
      <c r="A223" t="s">
        <v>1476</v>
      </c>
      <c r="B223" t="s">
        <v>62</v>
      </c>
      <c r="C223" t="s">
        <v>5944</v>
      </c>
      <c r="D223" t="s">
        <v>9448</v>
      </c>
      <c r="E223" t="s">
        <v>10070</v>
      </c>
      <c r="F223" t="s">
        <v>9412</v>
      </c>
      <c r="G223" t="s">
        <v>9413</v>
      </c>
      <c r="H223" t="s">
        <v>9414</v>
      </c>
      <c r="I223" t="s">
        <v>9674</v>
      </c>
      <c r="J223" t="s">
        <v>1442</v>
      </c>
      <c r="K223" t="s">
        <v>9416</v>
      </c>
      <c r="L223" t="s">
        <v>9417</v>
      </c>
      <c r="M223" t="s">
        <v>9788</v>
      </c>
      <c r="N223" t="s">
        <v>9428</v>
      </c>
      <c r="O223" t="s">
        <v>5942</v>
      </c>
      <c r="P223" t="s">
        <v>9623</v>
      </c>
      <c r="Q223" t="s">
        <v>9421</v>
      </c>
      <c r="R223" t="s">
        <v>24</v>
      </c>
      <c r="S223" t="s">
        <v>1476</v>
      </c>
      <c r="T223" t="s">
        <v>1478</v>
      </c>
    </row>
    <row r="224" spans="1:20">
      <c r="A224" t="s">
        <v>10071</v>
      </c>
      <c r="B224" t="s">
        <v>9409</v>
      </c>
      <c r="C224" t="s">
        <v>10072</v>
      </c>
      <c r="D224" t="s">
        <v>9410</v>
      </c>
      <c r="E224" t="s">
        <v>10073</v>
      </c>
      <c r="F224" t="s">
        <v>9412</v>
      </c>
      <c r="G224" t="s">
        <v>9413</v>
      </c>
      <c r="H224" t="s">
        <v>9414</v>
      </c>
      <c r="I224" t="s">
        <v>9720</v>
      </c>
      <c r="J224" t="s">
        <v>2098</v>
      </c>
      <c r="K224" t="s">
        <v>9416</v>
      </c>
      <c r="L224" t="s">
        <v>9417</v>
      </c>
      <c r="M224" t="s">
        <v>9596</v>
      </c>
      <c r="N224" t="s">
        <v>9597</v>
      </c>
      <c r="O224" t="s">
        <v>10074</v>
      </c>
      <c r="P224" t="s">
        <v>9420</v>
      </c>
      <c r="Q224" t="s">
        <v>9421</v>
      </c>
      <c r="R224" t="s">
        <v>17</v>
      </c>
      <c r="S224" t="s">
        <v>10075</v>
      </c>
      <c r="T224" t="s">
        <v>10076</v>
      </c>
    </row>
    <row r="225" spans="1:20">
      <c r="A225" t="s">
        <v>10071</v>
      </c>
      <c r="B225" t="s">
        <v>9409</v>
      </c>
      <c r="C225" t="s">
        <v>10072</v>
      </c>
      <c r="D225" t="s">
        <v>9410</v>
      </c>
      <c r="E225" t="s">
        <v>10073</v>
      </c>
      <c r="F225" t="s">
        <v>9412</v>
      </c>
      <c r="G225" t="s">
        <v>9413</v>
      </c>
      <c r="H225" t="s">
        <v>9414</v>
      </c>
      <c r="I225" t="s">
        <v>9720</v>
      </c>
      <c r="J225" t="s">
        <v>2098</v>
      </c>
      <c r="K225" t="s">
        <v>9416</v>
      </c>
      <c r="L225" t="s">
        <v>9417</v>
      </c>
      <c r="M225" t="s">
        <v>9596</v>
      </c>
      <c r="N225" t="s">
        <v>9597</v>
      </c>
      <c r="O225" t="s">
        <v>10077</v>
      </c>
      <c r="P225" t="s">
        <v>9429</v>
      </c>
      <c r="Q225" t="s">
        <v>9421</v>
      </c>
      <c r="R225" t="s">
        <v>52</v>
      </c>
      <c r="S225" t="s">
        <v>10078</v>
      </c>
      <c r="T225" t="s">
        <v>10079</v>
      </c>
    </row>
    <row r="226" spans="1:20">
      <c r="A226" t="s">
        <v>6775</v>
      </c>
      <c r="B226" t="s">
        <v>9409</v>
      </c>
      <c r="C226" t="s">
        <v>6778</v>
      </c>
      <c r="D226" t="s">
        <v>9410</v>
      </c>
      <c r="E226" t="s">
        <v>10080</v>
      </c>
      <c r="F226" t="s">
        <v>9412</v>
      </c>
      <c r="G226" t="s">
        <v>9413</v>
      </c>
      <c r="H226" t="s">
        <v>9414</v>
      </c>
      <c r="I226" t="s">
        <v>9720</v>
      </c>
      <c r="J226" t="s">
        <v>2098</v>
      </c>
      <c r="K226" t="s">
        <v>9416</v>
      </c>
      <c r="L226" t="s">
        <v>9417</v>
      </c>
      <c r="M226" t="s">
        <v>9596</v>
      </c>
      <c r="N226" t="s">
        <v>9597</v>
      </c>
      <c r="O226" t="s">
        <v>6776</v>
      </c>
      <c r="P226" t="s">
        <v>9623</v>
      </c>
      <c r="Q226" t="s">
        <v>9421</v>
      </c>
      <c r="R226" t="s">
        <v>24</v>
      </c>
      <c r="S226" t="s">
        <v>6775</v>
      </c>
      <c r="T226" t="s">
        <v>10081</v>
      </c>
    </row>
    <row r="227" spans="1:20">
      <c r="A227" t="s">
        <v>10082</v>
      </c>
      <c r="B227" t="s">
        <v>9409</v>
      </c>
      <c r="C227" t="s">
        <v>10083</v>
      </c>
      <c r="D227" t="s">
        <v>9410</v>
      </c>
      <c r="E227" t="s">
        <v>10084</v>
      </c>
      <c r="F227" t="s">
        <v>9412</v>
      </c>
      <c r="G227" t="s">
        <v>9413</v>
      </c>
      <c r="H227" t="s">
        <v>9414</v>
      </c>
      <c r="I227" t="s">
        <v>9495</v>
      </c>
      <c r="J227" t="s">
        <v>1808</v>
      </c>
      <c r="K227" t="s">
        <v>9416</v>
      </c>
      <c r="L227" t="s">
        <v>9417</v>
      </c>
      <c r="M227" t="s">
        <v>9833</v>
      </c>
      <c r="N227" t="s">
        <v>9639</v>
      </c>
      <c r="O227" t="s">
        <v>10085</v>
      </c>
      <c r="P227" t="s">
        <v>9459</v>
      </c>
      <c r="Q227" t="s">
        <v>9421</v>
      </c>
      <c r="R227" t="s">
        <v>17</v>
      </c>
      <c r="S227" t="s">
        <v>10082</v>
      </c>
      <c r="T227" t="s">
        <v>10086</v>
      </c>
    </row>
    <row r="228" spans="1:20">
      <c r="A228" t="s">
        <v>10087</v>
      </c>
      <c r="B228" t="s">
        <v>9409</v>
      </c>
      <c r="C228" t="s">
        <v>10088</v>
      </c>
      <c r="D228" t="s">
        <v>9410</v>
      </c>
      <c r="E228" t="s">
        <v>10089</v>
      </c>
      <c r="F228" t="s">
        <v>9412</v>
      </c>
      <c r="G228" t="s">
        <v>9413</v>
      </c>
      <c r="H228" t="s">
        <v>9414</v>
      </c>
      <c r="I228" t="s">
        <v>9720</v>
      </c>
      <c r="J228" t="s">
        <v>1808</v>
      </c>
      <c r="K228" t="s">
        <v>9416</v>
      </c>
      <c r="L228" t="s">
        <v>9417</v>
      </c>
      <c r="M228" t="s">
        <v>9831</v>
      </c>
      <c r="N228" t="s">
        <v>9639</v>
      </c>
      <c r="O228" t="s">
        <v>10090</v>
      </c>
      <c r="P228" t="s">
        <v>9459</v>
      </c>
      <c r="Q228" t="s">
        <v>9421</v>
      </c>
      <c r="R228" t="s">
        <v>17</v>
      </c>
      <c r="S228" t="s">
        <v>10087</v>
      </c>
      <c r="T228" t="s">
        <v>10091</v>
      </c>
    </row>
    <row r="229" spans="1:20">
      <c r="A229" t="s">
        <v>1940</v>
      </c>
      <c r="B229" t="s">
        <v>20</v>
      </c>
      <c r="C229" t="s">
        <v>1943</v>
      </c>
      <c r="D229" t="s">
        <v>9594</v>
      </c>
      <c r="E229" t="s">
        <v>10092</v>
      </c>
      <c r="F229" t="s">
        <v>9412</v>
      </c>
      <c r="G229" t="s">
        <v>9413</v>
      </c>
      <c r="H229" t="s">
        <v>1044</v>
      </c>
      <c r="I229" t="s">
        <v>9826</v>
      </c>
      <c r="J229" t="s">
        <v>1920</v>
      </c>
      <c r="K229" t="s">
        <v>9416</v>
      </c>
      <c r="L229" t="s">
        <v>9417</v>
      </c>
      <c r="M229" t="s">
        <v>9783</v>
      </c>
      <c r="N229" t="s">
        <v>9608</v>
      </c>
      <c r="O229" t="s">
        <v>6509</v>
      </c>
      <c r="P229" t="s">
        <v>9420</v>
      </c>
      <c r="Q229" t="s">
        <v>9421</v>
      </c>
      <c r="R229" t="s">
        <v>17</v>
      </c>
      <c r="S229" t="s">
        <v>1940</v>
      </c>
      <c r="T229" t="s">
        <v>1942</v>
      </c>
    </row>
    <row r="230" spans="1:20">
      <c r="A230" t="s">
        <v>5946</v>
      </c>
      <c r="B230" t="s">
        <v>9409</v>
      </c>
      <c r="C230" t="s">
        <v>5949</v>
      </c>
      <c r="D230" t="s">
        <v>9410</v>
      </c>
      <c r="E230" t="s">
        <v>10093</v>
      </c>
      <c r="F230" t="s">
        <v>9412</v>
      </c>
      <c r="G230" t="s">
        <v>9413</v>
      </c>
      <c r="H230" t="s">
        <v>9414</v>
      </c>
      <c r="I230" t="s">
        <v>9720</v>
      </c>
      <c r="J230" t="s">
        <v>1442</v>
      </c>
      <c r="K230" t="s">
        <v>9416</v>
      </c>
      <c r="L230" t="s">
        <v>9417</v>
      </c>
      <c r="M230" t="s">
        <v>9596</v>
      </c>
      <c r="N230" t="s">
        <v>9428</v>
      </c>
      <c r="O230" t="s">
        <v>5947</v>
      </c>
      <c r="P230" t="s">
        <v>9524</v>
      </c>
      <c r="Q230" t="s">
        <v>9421</v>
      </c>
      <c r="R230" t="s">
        <v>24</v>
      </c>
      <c r="S230" t="s">
        <v>5946</v>
      </c>
      <c r="T230" t="s">
        <v>10094</v>
      </c>
    </row>
    <row r="231" spans="1:20">
      <c r="A231" t="s">
        <v>1714</v>
      </c>
      <c r="B231" t="s">
        <v>62</v>
      </c>
      <c r="C231" t="s">
        <v>6228</v>
      </c>
      <c r="D231" t="s">
        <v>9448</v>
      </c>
      <c r="E231" t="s">
        <v>10095</v>
      </c>
      <c r="F231" t="s">
        <v>9412</v>
      </c>
      <c r="G231" t="s">
        <v>9413</v>
      </c>
      <c r="H231" t="s">
        <v>9414</v>
      </c>
      <c r="I231" t="s">
        <v>9826</v>
      </c>
      <c r="J231" t="s">
        <v>1683</v>
      </c>
      <c r="K231" t="s">
        <v>9416</v>
      </c>
      <c r="L231" t="s">
        <v>9417</v>
      </c>
      <c r="M231" t="s">
        <v>9473</v>
      </c>
      <c r="N231" t="s">
        <v>9454</v>
      </c>
      <c r="O231" t="s">
        <v>6226</v>
      </c>
      <c r="P231" t="s">
        <v>9420</v>
      </c>
      <c r="Q231" t="s">
        <v>9421</v>
      </c>
      <c r="R231" t="s">
        <v>17</v>
      </c>
      <c r="S231" t="s">
        <v>1714</v>
      </c>
      <c r="T231" t="s">
        <v>1716</v>
      </c>
    </row>
    <row r="232" spans="1:20">
      <c r="A232" t="s">
        <v>1714</v>
      </c>
      <c r="B232" t="s">
        <v>62</v>
      </c>
      <c r="C232" t="s">
        <v>6228</v>
      </c>
      <c r="D232" t="s">
        <v>9448</v>
      </c>
      <c r="E232" t="s">
        <v>10095</v>
      </c>
      <c r="F232" t="s">
        <v>9412</v>
      </c>
      <c r="G232" t="s">
        <v>9413</v>
      </c>
      <c r="H232" t="s">
        <v>9414</v>
      </c>
      <c r="I232" t="s">
        <v>9826</v>
      </c>
      <c r="J232" t="s">
        <v>1683</v>
      </c>
      <c r="K232" t="s">
        <v>9416</v>
      </c>
      <c r="L232" t="s">
        <v>9417</v>
      </c>
      <c r="M232" t="s">
        <v>9473</v>
      </c>
      <c r="N232" t="s">
        <v>9454</v>
      </c>
      <c r="O232" t="s">
        <v>6230</v>
      </c>
      <c r="P232" t="s">
        <v>9429</v>
      </c>
      <c r="Q232" t="s">
        <v>9421</v>
      </c>
      <c r="R232" t="s">
        <v>52</v>
      </c>
      <c r="S232" t="s">
        <v>1576</v>
      </c>
      <c r="T232" t="s">
        <v>1719</v>
      </c>
    </row>
    <row r="233" spans="1:20">
      <c r="A233" t="s">
        <v>10096</v>
      </c>
      <c r="B233" t="s">
        <v>9409</v>
      </c>
      <c r="C233" t="s">
        <v>10097</v>
      </c>
      <c r="D233" t="s">
        <v>9410</v>
      </c>
      <c r="E233" t="s">
        <v>10098</v>
      </c>
      <c r="F233" t="s">
        <v>9412</v>
      </c>
      <c r="G233" t="s">
        <v>9413</v>
      </c>
      <c r="H233" t="s">
        <v>9414</v>
      </c>
      <c r="I233" t="s">
        <v>10099</v>
      </c>
      <c r="J233" t="s">
        <v>1442</v>
      </c>
      <c r="K233" t="s">
        <v>9445</v>
      </c>
      <c r="L233" t="s">
        <v>9417</v>
      </c>
      <c r="M233" t="s">
        <v>9442</v>
      </c>
      <c r="N233" t="s">
        <v>9430</v>
      </c>
      <c r="O233" t="s">
        <v>9446</v>
      </c>
      <c r="P233" t="s">
        <v>9474</v>
      </c>
      <c r="Q233" t="s">
        <v>9421</v>
      </c>
      <c r="R233" t="s">
        <v>43</v>
      </c>
      <c r="S233" t="s">
        <v>6014</v>
      </c>
      <c r="T233" t="s">
        <v>10100</v>
      </c>
    </row>
    <row r="234" spans="1:20">
      <c r="A234" t="s">
        <v>10096</v>
      </c>
      <c r="B234" t="s">
        <v>9409</v>
      </c>
      <c r="C234" t="s">
        <v>10097</v>
      </c>
      <c r="D234" t="s">
        <v>9410</v>
      </c>
      <c r="E234" t="s">
        <v>10098</v>
      </c>
      <c r="F234" t="s">
        <v>9412</v>
      </c>
      <c r="G234" t="s">
        <v>9413</v>
      </c>
      <c r="H234" t="s">
        <v>9414</v>
      </c>
      <c r="I234" t="s">
        <v>10099</v>
      </c>
      <c r="J234" t="s">
        <v>1442</v>
      </c>
      <c r="K234" t="s">
        <v>9416</v>
      </c>
      <c r="L234" t="s">
        <v>9417</v>
      </c>
      <c r="M234" t="s">
        <v>9442</v>
      </c>
      <c r="N234" t="s">
        <v>9428</v>
      </c>
      <c r="O234" t="s">
        <v>10101</v>
      </c>
      <c r="P234" t="s">
        <v>9420</v>
      </c>
      <c r="Q234" t="s">
        <v>9421</v>
      </c>
      <c r="R234" t="s">
        <v>17</v>
      </c>
      <c r="S234" t="s">
        <v>10096</v>
      </c>
      <c r="T234" t="s">
        <v>10102</v>
      </c>
    </row>
    <row r="235" spans="1:20">
      <c r="A235" t="s">
        <v>6362</v>
      </c>
      <c r="B235" t="s">
        <v>9409</v>
      </c>
      <c r="C235" t="s">
        <v>6363</v>
      </c>
      <c r="D235" t="s">
        <v>9410</v>
      </c>
      <c r="E235" t="s">
        <v>10103</v>
      </c>
      <c r="F235" t="s">
        <v>9412</v>
      </c>
      <c r="G235" t="s">
        <v>9413</v>
      </c>
      <c r="H235" t="s">
        <v>9414</v>
      </c>
      <c r="I235" t="s">
        <v>9826</v>
      </c>
      <c r="J235" t="s">
        <v>1808</v>
      </c>
      <c r="K235" t="s">
        <v>9445</v>
      </c>
      <c r="L235" t="s">
        <v>9417</v>
      </c>
      <c r="M235" t="s">
        <v>9638</v>
      </c>
      <c r="N235" t="s">
        <v>9426</v>
      </c>
      <c r="O235" t="s">
        <v>9446</v>
      </c>
      <c r="P235" t="s">
        <v>9567</v>
      </c>
      <c r="Q235" t="s">
        <v>9421</v>
      </c>
      <c r="R235" t="s">
        <v>43</v>
      </c>
      <c r="S235" t="s">
        <v>1721</v>
      </c>
      <c r="T235" t="s">
        <v>1723</v>
      </c>
    </row>
    <row r="236" spans="1:20">
      <c r="A236" t="s">
        <v>6362</v>
      </c>
      <c r="B236" t="s">
        <v>9409</v>
      </c>
      <c r="C236" t="s">
        <v>6363</v>
      </c>
      <c r="D236" t="s">
        <v>9410</v>
      </c>
      <c r="E236" t="s">
        <v>10103</v>
      </c>
      <c r="F236" t="s">
        <v>9412</v>
      </c>
      <c r="G236" t="s">
        <v>9413</v>
      </c>
      <c r="H236" t="s">
        <v>9414</v>
      </c>
      <c r="I236" t="s">
        <v>9826</v>
      </c>
      <c r="J236" t="s">
        <v>1808</v>
      </c>
      <c r="K236" t="s">
        <v>9416</v>
      </c>
      <c r="L236" t="s">
        <v>9417</v>
      </c>
      <c r="M236" t="s">
        <v>9638</v>
      </c>
      <c r="N236" t="s">
        <v>9639</v>
      </c>
      <c r="O236" t="s">
        <v>6365</v>
      </c>
      <c r="P236" t="s">
        <v>9623</v>
      </c>
      <c r="Q236" t="s">
        <v>9421</v>
      </c>
      <c r="R236" t="s">
        <v>24</v>
      </c>
      <c r="S236" t="s">
        <v>6362</v>
      </c>
      <c r="T236" t="s">
        <v>10104</v>
      </c>
    </row>
    <row r="237" spans="1:20">
      <c r="A237" t="s">
        <v>10105</v>
      </c>
      <c r="B237" t="s">
        <v>9409</v>
      </c>
      <c r="C237" t="s">
        <v>10106</v>
      </c>
      <c r="D237" t="s">
        <v>9410</v>
      </c>
      <c r="E237" t="s">
        <v>10107</v>
      </c>
      <c r="F237" t="s">
        <v>9412</v>
      </c>
      <c r="G237" t="s">
        <v>9413</v>
      </c>
      <c r="H237" t="s">
        <v>9414</v>
      </c>
      <c r="I237" t="s">
        <v>9826</v>
      </c>
      <c r="J237" t="s">
        <v>2026</v>
      </c>
      <c r="K237" t="s">
        <v>9416</v>
      </c>
      <c r="L237" t="s">
        <v>9417</v>
      </c>
      <c r="M237" t="s">
        <v>9602</v>
      </c>
      <c r="N237" t="s">
        <v>9480</v>
      </c>
      <c r="O237" t="s">
        <v>10108</v>
      </c>
      <c r="P237" t="s">
        <v>9420</v>
      </c>
      <c r="Q237" t="s">
        <v>9421</v>
      </c>
      <c r="R237" t="s">
        <v>17</v>
      </c>
      <c r="S237" t="s">
        <v>10105</v>
      </c>
      <c r="T237" t="s">
        <v>10109</v>
      </c>
    </row>
    <row r="238" spans="1:20">
      <c r="A238" t="s">
        <v>10110</v>
      </c>
      <c r="B238" t="s">
        <v>9409</v>
      </c>
      <c r="C238" t="s">
        <v>10111</v>
      </c>
      <c r="D238" t="s">
        <v>9410</v>
      </c>
      <c r="E238" t="s">
        <v>10112</v>
      </c>
      <c r="F238" t="s">
        <v>9412</v>
      </c>
      <c r="G238" t="s">
        <v>9413</v>
      </c>
      <c r="H238" t="s">
        <v>9414</v>
      </c>
      <c r="I238" t="s">
        <v>9813</v>
      </c>
      <c r="J238" t="s">
        <v>2026</v>
      </c>
      <c r="K238" t="s">
        <v>9416</v>
      </c>
      <c r="L238" t="s">
        <v>9417</v>
      </c>
      <c r="M238" t="s">
        <v>9971</v>
      </c>
      <c r="N238" t="s">
        <v>9480</v>
      </c>
      <c r="O238" t="s">
        <v>10113</v>
      </c>
      <c r="P238" t="s">
        <v>9420</v>
      </c>
      <c r="Q238" t="s">
        <v>9421</v>
      </c>
      <c r="R238" t="s">
        <v>17</v>
      </c>
      <c r="S238" t="s">
        <v>10110</v>
      </c>
      <c r="T238" t="s">
        <v>10114</v>
      </c>
    </row>
    <row r="239" spans="1:20">
      <c r="A239" t="s">
        <v>2038</v>
      </c>
      <c r="B239" t="s">
        <v>20</v>
      </c>
      <c r="C239" t="s">
        <v>6640</v>
      </c>
      <c r="D239" t="s">
        <v>9764</v>
      </c>
      <c r="E239" t="s">
        <v>10115</v>
      </c>
      <c r="F239" t="s">
        <v>9412</v>
      </c>
      <c r="G239" t="s">
        <v>9413</v>
      </c>
      <c r="H239" t="s">
        <v>9414</v>
      </c>
      <c r="I239" t="s">
        <v>10116</v>
      </c>
      <c r="J239" t="s">
        <v>2026</v>
      </c>
      <c r="K239" t="s">
        <v>9416</v>
      </c>
      <c r="L239" t="s">
        <v>9417</v>
      </c>
      <c r="M239" t="s">
        <v>9478</v>
      </c>
      <c r="N239" t="s">
        <v>9480</v>
      </c>
      <c r="O239" t="s">
        <v>6638</v>
      </c>
      <c r="P239" t="s">
        <v>9420</v>
      </c>
      <c r="Q239" t="s">
        <v>9421</v>
      </c>
      <c r="R239" t="s">
        <v>17</v>
      </c>
      <c r="S239" t="s">
        <v>2038</v>
      </c>
      <c r="T239" t="s">
        <v>2040</v>
      </c>
    </row>
    <row r="240" spans="1:20">
      <c r="A240" t="s">
        <v>5624</v>
      </c>
      <c r="B240" t="s">
        <v>9409</v>
      </c>
      <c r="C240" t="s">
        <v>5627</v>
      </c>
      <c r="D240" t="s">
        <v>9410</v>
      </c>
      <c r="E240" t="s">
        <v>10117</v>
      </c>
      <c r="F240" t="s">
        <v>9412</v>
      </c>
      <c r="G240" t="s">
        <v>9413</v>
      </c>
      <c r="H240" t="s">
        <v>9414</v>
      </c>
      <c r="I240" t="s">
        <v>9826</v>
      </c>
      <c r="J240" t="s">
        <v>1155</v>
      </c>
      <c r="K240" t="s">
        <v>9416</v>
      </c>
      <c r="L240" t="s">
        <v>9417</v>
      </c>
      <c r="M240" t="s">
        <v>9503</v>
      </c>
      <c r="N240" t="s">
        <v>9488</v>
      </c>
      <c r="O240" t="s">
        <v>5625</v>
      </c>
      <c r="P240" t="s">
        <v>9420</v>
      </c>
      <c r="Q240" t="s">
        <v>9421</v>
      </c>
      <c r="R240" t="s">
        <v>17</v>
      </c>
      <c r="S240" t="s">
        <v>5624</v>
      </c>
      <c r="T240" t="s">
        <v>10118</v>
      </c>
    </row>
    <row r="241" spans="1:20">
      <c r="A241" t="s">
        <v>5624</v>
      </c>
      <c r="B241" t="s">
        <v>9409</v>
      </c>
      <c r="C241" t="s">
        <v>5627</v>
      </c>
      <c r="D241" t="s">
        <v>9410</v>
      </c>
      <c r="E241" t="s">
        <v>10117</v>
      </c>
      <c r="F241" t="s">
        <v>9412</v>
      </c>
      <c r="G241" t="s">
        <v>9413</v>
      </c>
      <c r="H241" t="s">
        <v>9414</v>
      </c>
      <c r="I241" t="s">
        <v>9826</v>
      </c>
      <c r="J241" t="s">
        <v>1155</v>
      </c>
      <c r="K241" t="s">
        <v>9416</v>
      </c>
      <c r="L241" t="s">
        <v>9417</v>
      </c>
      <c r="M241" t="s">
        <v>9503</v>
      </c>
      <c r="N241" t="s">
        <v>9488</v>
      </c>
      <c r="O241" t="s">
        <v>5630</v>
      </c>
      <c r="P241" t="s">
        <v>9429</v>
      </c>
      <c r="Q241" t="s">
        <v>9421</v>
      </c>
      <c r="R241" t="s">
        <v>52</v>
      </c>
      <c r="S241" t="s">
        <v>5629</v>
      </c>
      <c r="T241" t="s">
        <v>5631</v>
      </c>
    </row>
    <row r="242" spans="1:20">
      <c r="A242" t="s">
        <v>6642</v>
      </c>
      <c r="B242" t="s">
        <v>9409</v>
      </c>
      <c r="C242" t="s">
        <v>6645</v>
      </c>
      <c r="D242" t="s">
        <v>9410</v>
      </c>
      <c r="E242" t="s">
        <v>10119</v>
      </c>
      <c r="F242" t="s">
        <v>9412</v>
      </c>
      <c r="G242" t="s">
        <v>9413</v>
      </c>
      <c r="H242" t="s">
        <v>9414</v>
      </c>
      <c r="I242" t="s">
        <v>10066</v>
      </c>
      <c r="J242" t="s">
        <v>2026</v>
      </c>
      <c r="K242" t="s">
        <v>9416</v>
      </c>
      <c r="L242" t="s">
        <v>9417</v>
      </c>
      <c r="M242" t="s">
        <v>9602</v>
      </c>
      <c r="N242" t="s">
        <v>9480</v>
      </c>
      <c r="O242" t="s">
        <v>6643</v>
      </c>
      <c r="P242" t="s">
        <v>9420</v>
      </c>
      <c r="Q242" t="s">
        <v>9421</v>
      </c>
      <c r="R242" t="s">
        <v>17</v>
      </c>
      <c r="S242" t="s">
        <v>6642</v>
      </c>
      <c r="T242" t="s">
        <v>10120</v>
      </c>
    </row>
    <row r="243" spans="1:20">
      <c r="A243" t="s">
        <v>2042</v>
      </c>
      <c r="B243" t="s">
        <v>20</v>
      </c>
      <c r="C243" t="s">
        <v>6649</v>
      </c>
      <c r="D243" t="s">
        <v>9460</v>
      </c>
      <c r="E243" t="s">
        <v>10121</v>
      </c>
      <c r="F243" t="s">
        <v>9412</v>
      </c>
      <c r="G243" t="s">
        <v>9413</v>
      </c>
      <c r="H243" t="s">
        <v>9414</v>
      </c>
      <c r="I243" t="s">
        <v>9709</v>
      </c>
      <c r="J243" t="s">
        <v>2026</v>
      </c>
      <c r="K243" t="s">
        <v>9416</v>
      </c>
      <c r="L243" t="s">
        <v>9417</v>
      </c>
      <c r="M243" t="s">
        <v>9602</v>
      </c>
      <c r="N243" t="s">
        <v>9480</v>
      </c>
      <c r="O243" t="s">
        <v>6647</v>
      </c>
      <c r="P243" t="s">
        <v>9420</v>
      </c>
      <c r="Q243" t="s">
        <v>9421</v>
      </c>
      <c r="R243" t="s">
        <v>17</v>
      </c>
      <c r="S243" t="s">
        <v>2042</v>
      </c>
      <c r="T243" t="s">
        <v>2044</v>
      </c>
    </row>
    <row r="244" spans="1:20">
      <c r="A244" t="s">
        <v>6513</v>
      </c>
      <c r="B244" t="s">
        <v>9409</v>
      </c>
      <c r="C244" t="s">
        <v>6516</v>
      </c>
      <c r="D244" t="s">
        <v>9410</v>
      </c>
      <c r="E244" t="s">
        <v>10122</v>
      </c>
      <c r="F244" t="s">
        <v>9412</v>
      </c>
      <c r="G244" t="s">
        <v>9413</v>
      </c>
      <c r="H244" t="s">
        <v>9414</v>
      </c>
      <c r="I244" t="s">
        <v>9466</v>
      </c>
      <c r="J244" t="s">
        <v>1920</v>
      </c>
      <c r="K244" t="s">
        <v>9416</v>
      </c>
      <c r="L244" t="s">
        <v>9417</v>
      </c>
      <c r="M244" t="s">
        <v>9820</v>
      </c>
      <c r="N244" t="s">
        <v>9608</v>
      </c>
      <c r="O244" t="s">
        <v>6514</v>
      </c>
      <c r="P244" t="s">
        <v>9420</v>
      </c>
      <c r="Q244" t="s">
        <v>9421</v>
      </c>
      <c r="R244" t="s">
        <v>17</v>
      </c>
      <c r="S244" t="s">
        <v>6513</v>
      </c>
      <c r="T244" t="s">
        <v>10123</v>
      </c>
    </row>
    <row r="245" spans="1:20">
      <c r="A245" t="s">
        <v>6367</v>
      </c>
      <c r="B245" t="s">
        <v>9409</v>
      </c>
      <c r="C245" t="s">
        <v>6370</v>
      </c>
      <c r="D245" t="s">
        <v>9410</v>
      </c>
      <c r="E245" t="s">
        <v>10124</v>
      </c>
      <c r="F245" t="s">
        <v>9412</v>
      </c>
      <c r="G245" t="s">
        <v>9413</v>
      </c>
      <c r="H245" t="s">
        <v>9414</v>
      </c>
      <c r="I245" t="s">
        <v>9813</v>
      </c>
      <c r="J245" t="s">
        <v>1808</v>
      </c>
      <c r="K245" t="s">
        <v>9416</v>
      </c>
      <c r="L245" t="s">
        <v>9417</v>
      </c>
      <c r="M245" t="s">
        <v>9831</v>
      </c>
      <c r="N245" t="s">
        <v>9639</v>
      </c>
      <c r="O245" t="s">
        <v>6368</v>
      </c>
      <c r="P245" t="s">
        <v>9420</v>
      </c>
      <c r="Q245" t="s">
        <v>9421</v>
      </c>
      <c r="R245" t="s">
        <v>17</v>
      </c>
      <c r="S245" t="s">
        <v>6367</v>
      </c>
      <c r="T245" t="s">
        <v>10125</v>
      </c>
    </row>
    <row r="246" spans="1:20">
      <c r="A246" t="s">
        <v>1833</v>
      </c>
      <c r="B246" t="s">
        <v>20</v>
      </c>
      <c r="C246" t="s">
        <v>6374</v>
      </c>
      <c r="D246" t="s">
        <v>9455</v>
      </c>
      <c r="E246" t="s">
        <v>10126</v>
      </c>
      <c r="F246" t="s">
        <v>9412</v>
      </c>
      <c r="G246" t="s">
        <v>9413</v>
      </c>
      <c r="H246" t="s">
        <v>9414</v>
      </c>
      <c r="I246" t="s">
        <v>10066</v>
      </c>
      <c r="J246" t="s">
        <v>1808</v>
      </c>
      <c r="K246" t="s">
        <v>9416</v>
      </c>
      <c r="L246" t="s">
        <v>9417</v>
      </c>
      <c r="M246" t="s">
        <v>9870</v>
      </c>
      <c r="N246" t="s">
        <v>9639</v>
      </c>
      <c r="O246" t="s">
        <v>6372</v>
      </c>
      <c r="P246" t="s">
        <v>9429</v>
      </c>
      <c r="Q246" t="s">
        <v>9421</v>
      </c>
      <c r="R246" t="s">
        <v>52</v>
      </c>
      <c r="S246" t="s">
        <v>1833</v>
      </c>
      <c r="T246" t="s">
        <v>1835</v>
      </c>
    </row>
    <row r="247" spans="1:20">
      <c r="A247" t="s">
        <v>6232</v>
      </c>
      <c r="B247" t="s">
        <v>9409</v>
      </c>
      <c r="C247" t="s">
        <v>6235</v>
      </c>
      <c r="D247" t="s">
        <v>9410</v>
      </c>
      <c r="E247" t="s">
        <v>10127</v>
      </c>
      <c r="F247" t="s">
        <v>9412</v>
      </c>
      <c r="G247" t="s">
        <v>9413</v>
      </c>
      <c r="H247" t="s">
        <v>9414</v>
      </c>
      <c r="I247" t="s">
        <v>10066</v>
      </c>
      <c r="J247" t="s">
        <v>1683</v>
      </c>
      <c r="K247" t="s">
        <v>9416</v>
      </c>
      <c r="L247" t="s">
        <v>9417</v>
      </c>
      <c r="M247" t="s">
        <v>9453</v>
      </c>
      <c r="N247" t="s">
        <v>9430</v>
      </c>
      <c r="O247" t="s">
        <v>6238</v>
      </c>
      <c r="P247" t="s">
        <v>9737</v>
      </c>
      <c r="Q247" t="s">
        <v>9421</v>
      </c>
      <c r="R247" t="s">
        <v>24</v>
      </c>
      <c r="S247" t="s">
        <v>6237</v>
      </c>
      <c r="T247" t="s">
        <v>10128</v>
      </c>
    </row>
    <row r="248" spans="1:20">
      <c r="A248" t="s">
        <v>6232</v>
      </c>
      <c r="B248" t="s">
        <v>9409</v>
      </c>
      <c r="C248" t="s">
        <v>6235</v>
      </c>
      <c r="D248" t="s">
        <v>9410</v>
      </c>
      <c r="E248" t="s">
        <v>10127</v>
      </c>
      <c r="F248" t="s">
        <v>9412</v>
      </c>
      <c r="G248" t="s">
        <v>9413</v>
      </c>
      <c r="H248" t="s">
        <v>9414</v>
      </c>
      <c r="I248" t="s">
        <v>10066</v>
      </c>
      <c r="J248" t="s">
        <v>1683</v>
      </c>
      <c r="K248" t="s">
        <v>9416</v>
      </c>
      <c r="L248" t="s">
        <v>9417</v>
      </c>
      <c r="M248" t="s">
        <v>9453</v>
      </c>
      <c r="N248" t="s">
        <v>9454</v>
      </c>
      <c r="O248" t="s">
        <v>6233</v>
      </c>
      <c r="P248" t="s">
        <v>9420</v>
      </c>
      <c r="Q248" t="s">
        <v>9421</v>
      </c>
      <c r="R248" t="s">
        <v>17</v>
      </c>
      <c r="S248" t="s">
        <v>6232</v>
      </c>
      <c r="T248" t="s">
        <v>10129</v>
      </c>
    </row>
    <row r="249" spans="1:20">
      <c r="A249" t="s">
        <v>6651</v>
      </c>
      <c r="B249" t="s">
        <v>9409</v>
      </c>
      <c r="C249" t="s">
        <v>6654</v>
      </c>
      <c r="D249" t="s">
        <v>9410</v>
      </c>
      <c r="E249" t="s">
        <v>10130</v>
      </c>
      <c r="F249" t="s">
        <v>9412</v>
      </c>
      <c r="G249" t="s">
        <v>9413</v>
      </c>
      <c r="H249" t="s">
        <v>9414</v>
      </c>
      <c r="I249" t="s">
        <v>9830</v>
      </c>
      <c r="J249" t="s">
        <v>2026</v>
      </c>
      <c r="K249" t="s">
        <v>9416</v>
      </c>
      <c r="L249" t="s">
        <v>9417</v>
      </c>
      <c r="M249" t="s">
        <v>9757</v>
      </c>
      <c r="N249" t="s">
        <v>9480</v>
      </c>
      <c r="O249" t="s">
        <v>6652</v>
      </c>
      <c r="P249" t="s">
        <v>9420</v>
      </c>
      <c r="Q249" t="s">
        <v>9421</v>
      </c>
      <c r="R249" t="s">
        <v>17</v>
      </c>
      <c r="S249" t="s">
        <v>6651</v>
      </c>
      <c r="T249" t="s">
        <v>10131</v>
      </c>
    </row>
    <row r="250" spans="1:20">
      <c r="A250" t="s">
        <v>6651</v>
      </c>
      <c r="B250" t="s">
        <v>9409</v>
      </c>
      <c r="C250" t="s">
        <v>6654</v>
      </c>
      <c r="D250" t="s">
        <v>9410</v>
      </c>
      <c r="E250" t="s">
        <v>10130</v>
      </c>
      <c r="F250" t="s">
        <v>9412</v>
      </c>
      <c r="G250" t="s">
        <v>9413</v>
      </c>
      <c r="H250" t="s">
        <v>9414</v>
      </c>
      <c r="I250" t="s">
        <v>9830</v>
      </c>
      <c r="J250" t="s">
        <v>2026</v>
      </c>
      <c r="K250" t="s">
        <v>9445</v>
      </c>
      <c r="L250" t="s">
        <v>9417</v>
      </c>
      <c r="M250" t="s">
        <v>9757</v>
      </c>
      <c r="N250" t="s">
        <v>9426</v>
      </c>
      <c r="O250" t="s">
        <v>9446</v>
      </c>
      <c r="P250" t="s">
        <v>9479</v>
      </c>
      <c r="Q250" t="s">
        <v>9421</v>
      </c>
      <c r="R250" t="s">
        <v>43</v>
      </c>
      <c r="S250" t="s">
        <v>1594</v>
      </c>
      <c r="T250" t="s">
        <v>1596</v>
      </c>
    </row>
    <row r="251" spans="1:20">
      <c r="A251" t="s">
        <v>1837</v>
      </c>
      <c r="B251" t="s">
        <v>20</v>
      </c>
      <c r="C251" t="s">
        <v>6378</v>
      </c>
      <c r="D251" t="s">
        <v>9666</v>
      </c>
      <c r="E251" t="s">
        <v>10132</v>
      </c>
      <c r="F251" t="s">
        <v>9412</v>
      </c>
      <c r="G251" t="s">
        <v>9413</v>
      </c>
      <c r="H251" t="s">
        <v>9414</v>
      </c>
      <c r="I251" t="s">
        <v>9813</v>
      </c>
      <c r="J251" t="s">
        <v>1808</v>
      </c>
      <c r="K251" t="s">
        <v>9416</v>
      </c>
      <c r="L251" t="s">
        <v>9417</v>
      </c>
      <c r="M251" t="s">
        <v>9870</v>
      </c>
      <c r="N251" t="s">
        <v>9639</v>
      </c>
      <c r="O251" t="s">
        <v>6376</v>
      </c>
      <c r="P251" t="s">
        <v>9420</v>
      </c>
      <c r="Q251" t="s">
        <v>9421</v>
      </c>
      <c r="R251" t="s">
        <v>17</v>
      </c>
      <c r="S251" t="s">
        <v>1837</v>
      </c>
      <c r="T251" t="s">
        <v>1839</v>
      </c>
    </row>
    <row r="252" spans="1:20">
      <c r="A252" t="s">
        <v>1841</v>
      </c>
      <c r="B252" t="s">
        <v>62</v>
      </c>
      <c r="C252" t="s">
        <v>6382</v>
      </c>
      <c r="D252" t="s">
        <v>9448</v>
      </c>
      <c r="E252" t="s">
        <v>10133</v>
      </c>
      <c r="F252" t="s">
        <v>9412</v>
      </c>
      <c r="G252" t="s">
        <v>9413</v>
      </c>
      <c r="H252" t="s">
        <v>9414</v>
      </c>
      <c r="I252" t="s">
        <v>10066</v>
      </c>
      <c r="J252" t="s">
        <v>1808</v>
      </c>
      <c r="K252" t="s">
        <v>9416</v>
      </c>
      <c r="L252" t="s">
        <v>9417</v>
      </c>
      <c r="M252" t="s">
        <v>9638</v>
      </c>
      <c r="N252" t="s">
        <v>9639</v>
      </c>
      <c r="O252" t="s">
        <v>6380</v>
      </c>
      <c r="P252" t="s">
        <v>9420</v>
      </c>
      <c r="Q252" t="s">
        <v>9421</v>
      </c>
      <c r="R252" t="s">
        <v>17</v>
      </c>
      <c r="S252" t="s">
        <v>1841</v>
      </c>
      <c r="T252" t="s">
        <v>1843</v>
      </c>
    </row>
    <row r="253" spans="1:20">
      <c r="A253" t="s">
        <v>6656</v>
      </c>
      <c r="B253" t="s">
        <v>9409</v>
      </c>
      <c r="C253" t="s">
        <v>6659</v>
      </c>
      <c r="D253" t="s">
        <v>9410</v>
      </c>
      <c r="E253" t="s">
        <v>10134</v>
      </c>
      <c r="F253" t="s">
        <v>9412</v>
      </c>
      <c r="G253" t="s">
        <v>9413</v>
      </c>
      <c r="H253" t="s">
        <v>9414</v>
      </c>
      <c r="I253" t="s">
        <v>10066</v>
      </c>
      <c r="J253" t="s">
        <v>2026</v>
      </c>
      <c r="K253" t="s">
        <v>9416</v>
      </c>
      <c r="L253" t="s">
        <v>9417</v>
      </c>
      <c r="M253" t="s">
        <v>9971</v>
      </c>
      <c r="N253" t="s">
        <v>9480</v>
      </c>
      <c r="O253" t="s">
        <v>6657</v>
      </c>
      <c r="P253" t="s">
        <v>9524</v>
      </c>
      <c r="Q253" t="s">
        <v>9421</v>
      </c>
      <c r="R253" t="s">
        <v>24</v>
      </c>
      <c r="S253" t="s">
        <v>6656</v>
      </c>
      <c r="T253" t="s">
        <v>10135</v>
      </c>
    </row>
    <row r="254" spans="1:20">
      <c r="A254" t="s">
        <v>6661</v>
      </c>
      <c r="B254" t="s">
        <v>9409</v>
      </c>
      <c r="C254" t="s">
        <v>6664</v>
      </c>
      <c r="D254" t="s">
        <v>9410</v>
      </c>
      <c r="E254" t="s">
        <v>10136</v>
      </c>
      <c r="F254" t="s">
        <v>9412</v>
      </c>
      <c r="G254" t="s">
        <v>9413</v>
      </c>
      <c r="H254" t="s">
        <v>9414</v>
      </c>
      <c r="I254" t="s">
        <v>9576</v>
      </c>
      <c r="J254" t="s">
        <v>2026</v>
      </c>
      <c r="K254" t="s">
        <v>9416</v>
      </c>
      <c r="L254" t="s">
        <v>9417</v>
      </c>
      <c r="M254" t="s">
        <v>9757</v>
      </c>
      <c r="N254" t="s">
        <v>9480</v>
      </c>
      <c r="O254" t="s">
        <v>6662</v>
      </c>
      <c r="P254" t="s">
        <v>9623</v>
      </c>
      <c r="Q254" t="s">
        <v>9421</v>
      </c>
      <c r="R254" t="s">
        <v>24</v>
      </c>
      <c r="S254" t="s">
        <v>6661</v>
      </c>
      <c r="T254" t="s">
        <v>10137</v>
      </c>
    </row>
    <row r="255" spans="1:20">
      <c r="A255" t="s">
        <v>6095</v>
      </c>
      <c r="B255" t="s">
        <v>9409</v>
      </c>
      <c r="C255" t="s">
        <v>6096</v>
      </c>
      <c r="D255" t="s">
        <v>9410</v>
      </c>
      <c r="E255" t="s">
        <v>10138</v>
      </c>
      <c r="F255" t="s">
        <v>9412</v>
      </c>
      <c r="G255" t="s">
        <v>9413</v>
      </c>
      <c r="H255" t="s">
        <v>9414</v>
      </c>
      <c r="I255" t="s">
        <v>9830</v>
      </c>
      <c r="J255" t="s">
        <v>1589</v>
      </c>
      <c r="K255" t="s">
        <v>9416</v>
      </c>
      <c r="L255" t="s">
        <v>9417</v>
      </c>
      <c r="M255" t="s">
        <v>9788</v>
      </c>
      <c r="N255" t="s">
        <v>9716</v>
      </c>
      <c r="O255" t="s">
        <v>6098</v>
      </c>
      <c r="P255" t="s">
        <v>9420</v>
      </c>
      <c r="Q255" t="s">
        <v>9421</v>
      </c>
      <c r="R255" t="s">
        <v>17</v>
      </c>
      <c r="S255" t="s">
        <v>6095</v>
      </c>
      <c r="T255" t="s">
        <v>10139</v>
      </c>
    </row>
    <row r="256" spans="1:20">
      <c r="A256" t="s">
        <v>6095</v>
      </c>
      <c r="B256" t="s">
        <v>9409</v>
      </c>
      <c r="C256" t="s">
        <v>6096</v>
      </c>
      <c r="D256" t="s">
        <v>9410</v>
      </c>
      <c r="E256" t="s">
        <v>10138</v>
      </c>
      <c r="F256" t="s">
        <v>9412</v>
      </c>
      <c r="G256" t="s">
        <v>9413</v>
      </c>
      <c r="H256" t="s">
        <v>9414</v>
      </c>
      <c r="I256" t="s">
        <v>9830</v>
      </c>
      <c r="J256" t="s">
        <v>1589</v>
      </c>
      <c r="K256" t="s">
        <v>9445</v>
      </c>
      <c r="L256" t="s">
        <v>9417</v>
      </c>
      <c r="M256" t="s">
        <v>9788</v>
      </c>
      <c r="N256" t="s">
        <v>9426</v>
      </c>
      <c r="O256" t="s">
        <v>9446</v>
      </c>
      <c r="P256" t="s">
        <v>9567</v>
      </c>
      <c r="Q256" t="s">
        <v>9421</v>
      </c>
      <c r="R256" t="s">
        <v>43</v>
      </c>
      <c r="S256" t="s">
        <v>1721</v>
      </c>
      <c r="T256" t="s">
        <v>1723</v>
      </c>
    </row>
    <row r="257" spans="1:20">
      <c r="A257" t="s">
        <v>6518</v>
      </c>
      <c r="B257" t="s">
        <v>9409</v>
      </c>
      <c r="C257" t="s">
        <v>6521</v>
      </c>
      <c r="D257" t="s">
        <v>9410</v>
      </c>
      <c r="E257" t="s">
        <v>10140</v>
      </c>
      <c r="F257" t="s">
        <v>9412</v>
      </c>
      <c r="G257" t="s">
        <v>9413</v>
      </c>
      <c r="H257" t="s">
        <v>9414</v>
      </c>
      <c r="I257" t="s">
        <v>9466</v>
      </c>
      <c r="J257" t="s">
        <v>1920</v>
      </c>
      <c r="K257" t="s">
        <v>9416</v>
      </c>
      <c r="L257" t="s">
        <v>9417</v>
      </c>
      <c r="M257" t="s">
        <v>9478</v>
      </c>
      <c r="N257" t="s">
        <v>9608</v>
      </c>
      <c r="O257" t="s">
        <v>6519</v>
      </c>
      <c r="P257" t="s">
        <v>9524</v>
      </c>
      <c r="Q257" t="s">
        <v>9421</v>
      </c>
      <c r="R257" t="s">
        <v>24</v>
      </c>
      <c r="S257" t="s">
        <v>6518</v>
      </c>
      <c r="T257" t="s">
        <v>10141</v>
      </c>
    </row>
    <row r="258" spans="1:20">
      <c r="A258" t="s">
        <v>5951</v>
      </c>
      <c r="B258" t="s">
        <v>9409</v>
      </c>
      <c r="C258" t="s">
        <v>5955</v>
      </c>
      <c r="D258" t="s">
        <v>9410</v>
      </c>
      <c r="E258" t="s">
        <v>10142</v>
      </c>
      <c r="F258" t="s">
        <v>9412</v>
      </c>
      <c r="G258" t="s">
        <v>9413</v>
      </c>
      <c r="H258" t="s">
        <v>9414</v>
      </c>
      <c r="I258" t="s">
        <v>10066</v>
      </c>
      <c r="J258" t="s">
        <v>1442</v>
      </c>
      <c r="K258" t="s">
        <v>9416</v>
      </c>
      <c r="L258" t="s">
        <v>9417</v>
      </c>
      <c r="M258" t="s">
        <v>10021</v>
      </c>
      <c r="N258" t="s">
        <v>9430</v>
      </c>
      <c r="O258" t="s">
        <v>5958</v>
      </c>
      <c r="P258" t="s">
        <v>9431</v>
      </c>
      <c r="Q258" t="s">
        <v>9421</v>
      </c>
      <c r="R258" t="s">
        <v>24</v>
      </c>
      <c r="S258" t="s">
        <v>5957</v>
      </c>
      <c r="T258" t="s">
        <v>10143</v>
      </c>
    </row>
    <row r="259" spans="1:20">
      <c r="A259" t="s">
        <v>5951</v>
      </c>
      <c r="B259" t="s">
        <v>9409</v>
      </c>
      <c r="C259" t="s">
        <v>5955</v>
      </c>
      <c r="D259" t="s">
        <v>9410</v>
      </c>
      <c r="E259" t="s">
        <v>10142</v>
      </c>
      <c r="F259" t="s">
        <v>9412</v>
      </c>
      <c r="G259" t="s">
        <v>9413</v>
      </c>
      <c r="H259" t="s">
        <v>9414</v>
      </c>
      <c r="I259" t="s">
        <v>10066</v>
      </c>
      <c r="J259" t="s">
        <v>1442</v>
      </c>
      <c r="K259" t="s">
        <v>9416</v>
      </c>
      <c r="L259" t="s">
        <v>9417</v>
      </c>
      <c r="M259" t="s">
        <v>10021</v>
      </c>
      <c r="N259" t="s">
        <v>9428</v>
      </c>
      <c r="O259" t="s">
        <v>5953</v>
      </c>
      <c r="P259" t="s">
        <v>9623</v>
      </c>
      <c r="Q259" t="s">
        <v>9421</v>
      </c>
      <c r="R259" t="s">
        <v>24</v>
      </c>
      <c r="S259" t="s">
        <v>5952</v>
      </c>
      <c r="T259" t="s">
        <v>5954</v>
      </c>
    </row>
    <row r="260" spans="1:20">
      <c r="A260" t="s">
        <v>1608</v>
      </c>
      <c r="B260" t="s">
        <v>20</v>
      </c>
      <c r="C260" t="s">
        <v>6102</v>
      </c>
      <c r="D260" t="s">
        <v>9455</v>
      </c>
      <c r="E260" t="s">
        <v>10144</v>
      </c>
      <c r="F260" t="s">
        <v>9412</v>
      </c>
      <c r="G260" t="s">
        <v>9413</v>
      </c>
      <c r="H260" t="s">
        <v>9414</v>
      </c>
      <c r="I260" t="s">
        <v>9469</v>
      </c>
      <c r="J260" t="s">
        <v>1589</v>
      </c>
      <c r="K260" t="s">
        <v>9445</v>
      </c>
      <c r="L260" t="s">
        <v>9417</v>
      </c>
      <c r="M260" t="s">
        <v>9715</v>
      </c>
      <c r="N260" t="s">
        <v>9430</v>
      </c>
      <c r="O260" t="s">
        <v>9446</v>
      </c>
      <c r="P260" t="s">
        <v>9431</v>
      </c>
      <c r="Q260" t="s">
        <v>9421</v>
      </c>
      <c r="R260" t="s">
        <v>24</v>
      </c>
      <c r="S260" t="s">
        <v>1612</v>
      </c>
      <c r="T260" t="s">
        <v>1614</v>
      </c>
    </row>
    <row r="261" spans="1:20">
      <c r="A261" t="s">
        <v>1608</v>
      </c>
      <c r="B261" t="s">
        <v>20</v>
      </c>
      <c r="C261" t="s">
        <v>6102</v>
      </c>
      <c r="D261" t="s">
        <v>9455</v>
      </c>
      <c r="E261" t="s">
        <v>10144</v>
      </c>
      <c r="F261" t="s">
        <v>9412</v>
      </c>
      <c r="G261" t="s">
        <v>9413</v>
      </c>
      <c r="H261" t="s">
        <v>9414</v>
      </c>
      <c r="I261" t="s">
        <v>9469</v>
      </c>
      <c r="J261" t="s">
        <v>1589</v>
      </c>
      <c r="K261" t="s">
        <v>9416</v>
      </c>
      <c r="L261" t="s">
        <v>9417</v>
      </c>
      <c r="M261" t="s">
        <v>9715</v>
      </c>
      <c r="N261" t="s">
        <v>9716</v>
      </c>
      <c r="O261" t="s">
        <v>6100</v>
      </c>
      <c r="P261" t="s">
        <v>9429</v>
      </c>
      <c r="Q261" t="s">
        <v>9421</v>
      </c>
      <c r="R261" t="s">
        <v>52</v>
      </c>
      <c r="S261" t="s">
        <v>1608</v>
      </c>
      <c r="T261" t="s">
        <v>1610</v>
      </c>
    </row>
    <row r="262" spans="1:20">
      <c r="A262" t="s">
        <v>6523</v>
      </c>
      <c r="B262" t="s">
        <v>9409</v>
      </c>
      <c r="C262" t="s">
        <v>6526</v>
      </c>
      <c r="D262" t="s">
        <v>9410</v>
      </c>
      <c r="E262" t="s">
        <v>10145</v>
      </c>
      <c r="F262" t="s">
        <v>9412</v>
      </c>
      <c r="G262" t="s">
        <v>9413</v>
      </c>
      <c r="H262" t="s">
        <v>9414</v>
      </c>
      <c r="I262" t="s">
        <v>10066</v>
      </c>
      <c r="J262" t="s">
        <v>1920</v>
      </c>
      <c r="K262" t="s">
        <v>9416</v>
      </c>
      <c r="L262" t="s">
        <v>9417</v>
      </c>
      <c r="M262" t="s">
        <v>9831</v>
      </c>
      <c r="N262" t="s">
        <v>9608</v>
      </c>
      <c r="O262" t="s">
        <v>6524</v>
      </c>
      <c r="P262" t="s">
        <v>9420</v>
      </c>
      <c r="Q262" t="s">
        <v>9421</v>
      </c>
      <c r="R262" t="s">
        <v>17</v>
      </c>
      <c r="S262" t="s">
        <v>6523</v>
      </c>
      <c r="T262" t="s">
        <v>10146</v>
      </c>
    </row>
    <row r="263" spans="1:20">
      <c r="A263" t="s">
        <v>10147</v>
      </c>
      <c r="B263" t="s">
        <v>9409</v>
      </c>
      <c r="C263" t="s">
        <v>10148</v>
      </c>
      <c r="D263" t="s">
        <v>9410</v>
      </c>
      <c r="E263" t="s">
        <v>10149</v>
      </c>
      <c r="F263" t="s">
        <v>9412</v>
      </c>
      <c r="G263" t="s">
        <v>9413</v>
      </c>
      <c r="H263" t="s">
        <v>9414</v>
      </c>
      <c r="I263" t="s">
        <v>10150</v>
      </c>
      <c r="J263" t="s">
        <v>1683</v>
      </c>
      <c r="K263" t="s">
        <v>9445</v>
      </c>
      <c r="L263" t="s">
        <v>9417</v>
      </c>
      <c r="M263" t="s">
        <v>9473</v>
      </c>
      <c r="N263" t="s">
        <v>9426</v>
      </c>
      <c r="O263" t="s">
        <v>9446</v>
      </c>
      <c r="P263" t="s">
        <v>9567</v>
      </c>
      <c r="Q263" t="s">
        <v>9421</v>
      </c>
      <c r="R263" t="s">
        <v>43</v>
      </c>
      <c r="S263" t="s">
        <v>1721</v>
      </c>
      <c r="T263" t="s">
        <v>1723</v>
      </c>
    </row>
    <row r="264" spans="1:20">
      <c r="A264" t="s">
        <v>10147</v>
      </c>
      <c r="B264" t="s">
        <v>9409</v>
      </c>
      <c r="C264" t="s">
        <v>10148</v>
      </c>
      <c r="D264" t="s">
        <v>9410</v>
      </c>
      <c r="E264" t="s">
        <v>10149</v>
      </c>
      <c r="F264" t="s">
        <v>9412</v>
      </c>
      <c r="G264" t="s">
        <v>9413</v>
      </c>
      <c r="H264" t="s">
        <v>9414</v>
      </c>
      <c r="I264" t="s">
        <v>10150</v>
      </c>
      <c r="J264" t="s">
        <v>1683</v>
      </c>
      <c r="K264" t="s">
        <v>9416</v>
      </c>
      <c r="L264" t="s">
        <v>9417</v>
      </c>
      <c r="M264" t="s">
        <v>9473</v>
      </c>
      <c r="N264" t="s">
        <v>9454</v>
      </c>
      <c r="O264" t="s">
        <v>10151</v>
      </c>
      <c r="P264" t="s">
        <v>9420</v>
      </c>
      <c r="Q264" t="s">
        <v>9421</v>
      </c>
      <c r="R264" t="s">
        <v>17</v>
      </c>
      <c r="S264" t="s">
        <v>10147</v>
      </c>
      <c r="T264" t="s">
        <v>10152</v>
      </c>
    </row>
    <row r="265" spans="1:20">
      <c r="A265" t="s">
        <v>10153</v>
      </c>
      <c r="B265" t="s">
        <v>9409</v>
      </c>
      <c r="C265" t="s">
        <v>10154</v>
      </c>
      <c r="D265" t="s">
        <v>9410</v>
      </c>
      <c r="E265" t="s">
        <v>10155</v>
      </c>
      <c r="F265" t="s">
        <v>9412</v>
      </c>
      <c r="G265" t="s">
        <v>9413</v>
      </c>
      <c r="H265" t="s">
        <v>9414</v>
      </c>
      <c r="I265" t="s">
        <v>10066</v>
      </c>
      <c r="J265" t="s">
        <v>1683</v>
      </c>
      <c r="K265" t="s">
        <v>9416</v>
      </c>
      <c r="L265" t="s">
        <v>9417</v>
      </c>
      <c r="M265" t="s">
        <v>9453</v>
      </c>
      <c r="N265" t="s">
        <v>9454</v>
      </c>
      <c r="O265" t="s">
        <v>10156</v>
      </c>
      <c r="P265" t="s">
        <v>9420</v>
      </c>
      <c r="Q265" t="s">
        <v>9421</v>
      </c>
      <c r="R265" t="s">
        <v>17</v>
      </c>
      <c r="S265" t="s">
        <v>10153</v>
      </c>
      <c r="T265" t="s">
        <v>10157</v>
      </c>
    </row>
    <row r="266" spans="1:20">
      <c r="A266" t="s">
        <v>1944</v>
      </c>
      <c r="B266" t="s">
        <v>20</v>
      </c>
      <c r="C266" t="s">
        <v>6530</v>
      </c>
      <c r="D266" t="s">
        <v>9455</v>
      </c>
      <c r="E266" t="s">
        <v>10158</v>
      </c>
      <c r="F266" t="s">
        <v>9412</v>
      </c>
      <c r="G266" t="s">
        <v>9413</v>
      </c>
      <c r="H266" t="s">
        <v>9414</v>
      </c>
      <c r="I266" t="s">
        <v>10066</v>
      </c>
      <c r="J266" t="s">
        <v>1920</v>
      </c>
      <c r="K266" t="s">
        <v>9416</v>
      </c>
      <c r="L266" t="s">
        <v>9417</v>
      </c>
      <c r="M266" t="s">
        <v>9810</v>
      </c>
      <c r="N266" t="s">
        <v>9608</v>
      </c>
      <c r="O266" t="s">
        <v>6528</v>
      </c>
      <c r="P266" t="s">
        <v>9420</v>
      </c>
      <c r="Q266" t="s">
        <v>9421</v>
      </c>
      <c r="R266" t="s">
        <v>17</v>
      </c>
      <c r="S266" t="s">
        <v>1944</v>
      </c>
      <c r="T266" t="s">
        <v>1946</v>
      </c>
    </row>
    <row r="267" spans="1:20">
      <c r="A267" t="s">
        <v>1944</v>
      </c>
      <c r="B267" t="s">
        <v>20</v>
      </c>
      <c r="C267" t="s">
        <v>6530</v>
      </c>
      <c r="D267" t="s">
        <v>9455</v>
      </c>
      <c r="E267" t="s">
        <v>10158</v>
      </c>
      <c r="F267" t="s">
        <v>9412</v>
      </c>
      <c r="G267" t="s">
        <v>9413</v>
      </c>
      <c r="H267" t="s">
        <v>9414</v>
      </c>
      <c r="I267" t="s">
        <v>10066</v>
      </c>
      <c r="J267" t="s">
        <v>1920</v>
      </c>
      <c r="K267" t="s">
        <v>9445</v>
      </c>
      <c r="L267" t="s">
        <v>9417</v>
      </c>
      <c r="M267" t="s">
        <v>9810</v>
      </c>
      <c r="N267" t="s">
        <v>9426</v>
      </c>
      <c r="O267" t="s">
        <v>9446</v>
      </c>
      <c r="P267" t="s">
        <v>10069</v>
      </c>
      <c r="Q267" t="s">
        <v>9421</v>
      </c>
      <c r="R267" t="s">
        <v>24</v>
      </c>
      <c r="S267" t="s">
        <v>1865</v>
      </c>
      <c r="T267" t="s">
        <v>1867</v>
      </c>
    </row>
    <row r="268" spans="1:20">
      <c r="A268" t="s">
        <v>6532</v>
      </c>
      <c r="B268" t="s">
        <v>9409</v>
      </c>
      <c r="C268" t="s">
        <v>6535</v>
      </c>
      <c r="D268" t="s">
        <v>9410</v>
      </c>
      <c r="E268" t="s">
        <v>10159</v>
      </c>
      <c r="F268" t="s">
        <v>9412</v>
      </c>
      <c r="G268" t="s">
        <v>9413</v>
      </c>
      <c r="H268" t="s">
        <v>9414</v>
      </c>
      <c r="I268" t="s">
        <v>10066</v>
      </c>
      <c r="J268" t="s">
        <v>1920</v>
      </c>
      <c r="K268" t="s">
        <v>9416</v>
      </c>
      <c r="L268" t="s">
        <v>9417</v>
      </c>
      <c r="M268" t="s">
        <v>9810</v>
      </c>
      <c r="N268" t="s">
        <v>9608</v>
      </c>
      <c r="O268" t="s">
        <v>6533</v>
      </c>
      <c r="P268" t="s">
        <v>9420</v>
      </c>
      <c r="Q268" t="s">
        <v>9421</v>
      </c>
      <c r="R268" t="s">
        <v>17</v>
      </c>
      <c r="S268" t="s">
        <v>6532</v>
      </c>
      <c r="T268" t="s">
        <v>10160</v>
      </c>
    </row>
    <row r="269" spans="1:20">
      <c r="A269" t="s">
        <v>2046</v>
      </c>
      <c r="B269" t="s">
        <v>62</v>
      </c>
      <c r="C269" t="s">
        <v>2049</v>
      </c>
      <c r="D269" t="s">
        <v>9448</v>
      </c>
      <c r="E269" t="s">
        <v>10161</v>
      </c>
      <c r="F269" t="s">
        <v>9412</v>
      </c>
      <c r="G269" t="s">
        <v>9413</v>
      </c>
      <c r="H269" t="s">
        <v>1044</v>
      </c>
      <c r="I269" t="s">
        <v>10066</v>
      </c>
      <c r="J269" t="s">
        <v>2026</v>
      </c>
      <c r="K269" t="s">
        <v>9416</v>
      </c>
      <c r="L269" t="s">
        <v>9417</v>
      </c>
      <c r="M269" t="s">
        <v>9820</v>
      </c>
      <c r="N269" t="s">
        <v>9480</v>
      </c>
      <c r="O269" t="s">
        <v>6666</v>
      </c>
      <c r="P269" t="s">
        <v>9420</v>
      </c>
      <c r="Q269" t="s">
        <v>9421</v>
      </c>
      <c r="R269" t="s">
        <v>17</v>
      </c>
      <c r="S269" t="s">
        <v>2046</v>
      </c>
      <c r="T269" t="s">
        <v>2048</v>
      </c>
    </row>
    <row r="270" spans="1:20">
      <c r="A270" t="s">
        <v>6240</v>
      </c>
      <c r="B270" t="s">
        <v>9409</v>
      </c>
      <c r="C270" t="s">
        <v>6243</v>
      </c>
      <c r="D270" t="s">
        <v>9410</v>
      </c>
      <c r="E270" t="s">
        <v>10162</v>
      </c>
      <c r="F270" t="s">
        <v>9412</v>
      </c>
      <c r="G270" t="s">
        <v>9413</v>
      </c>
      <c r="H270" t="s">
        <v>9414</v>
      </c>
      <c r="I270" t="s">
        <v>9729</v>
      </c>
      <c r="J270" t="s">
        <v>1683</v>
      </c>
      <c r="K270" t="s">
        <v>9416</v>
      </c>
      <c r="L270" t="s">
        <v>9417</v>
      </c>
      <c r="M270" t="s">
        <v>9453</v>
      </c>
      <c r="N270" t="s">
        <v>9454</v>
      </c>
      <c r="O270" t="s">
        <v>6241</v>
      </c>
      <c r="P270" t="s">
        <v>9429</v>
      </c>
      <c r="Q270" t="s">
        <v>9421</v>
      </c>
      <c r="R270" t="s">
        <v>52</v>
      </c>
      <c r="S270" t="s">
        <v>6240</v>
      </c>
      <c r="T270" t="s">
        <v>10163</v>
      </c>
    </row>
    <row r="271" spans="1:20">
      <c r="A271" t="s">
        <v>6240</v>
      </c>
      <c r="B271" t="s">
        <v>9409</v>
      </c>
      <c r="C271" t="s">
        <v>6243</v>
      </c>
      <c r="D271" t="s">
        <v>9410</v>
      </c>
      <c r="E271" t="s">
        <v>10162</v>
      </c>
      <c r="F271" t="s">
        <v>9412</v>
      </c>
      <c r="G271" t="s">
        <v>9413</v>
      </c>
      <c r="H271" t="s">
        <v>9414</v>
      </c>
      <c r="I271" t="s">
        <v>9729</v>
      </c>
      <c r="J271" t="s">
        <v>1683</v>
      </c>
      <c r="K271" t="s">
        <v>9445</v>
      </c>
      <c r="L271" t="s">
        <v>9417</v>
      </c>
      <c r="M271" t="s">
        <v>9453</v>
      </c>
      <c r="N271" t="s">
        <v>9430</v>
      </c>
      <c r="O271" t="s">
        <v>9446</v>
      </c>
      <c r="P271" t="s">
        <v>9431</v>
      </c>
      <c r="Q271" t="s">
        <v>9421</v>
      </c>
      <c r="R271" t="s">
        <v>24</v>
      </c>
      <c r="S271" t="s">
        <v>1708</v>
      </c>
      <c r="T271" t="s">
        <v>1710</v>
      </c>
    </row>
    <row r="272" spans="1:20">
      <c r="A272" t="s">
        <v>6240</v>
      </c>
      <c r="B272" t="s">
        <v>9409</v>
      </c>
      <c r="C272" t="s">
        <v>6243</v>
      </c>
      <c r="D272" t="s">
        <v>9410</v>
      </c>
      <c r="E272" t="s">
        <v>10162</v>
      </c>
      <c r="F272" t="s">
        <v>9412</v>
      </c>
      <c r="G272" t="s">
        <v>9413</v>
      </c>
      <c r="H272" t="s">
        <v>9414</v>
      </c>
      <c r="I272" t="s">
        <v>9729</v>
      </c>
      <c r="J272" t="s">
        <v>1683</v>
      </c>
      <c r="K272" t="s">
        <v>9416</v>
      </c>
      <c r="L272" t="s">
        <v>9417</v>
      </c>
      <c r="M272" t="s">
        <v>9453</v>
      </c>
      <c r="N272" t="s">
        <v>9446</v>
      </c>
      <c r="O272" t="s">
        <v>6246</v>
      </c>
      <c r="P272" t="s">
        <v>10164</v>
      </c>
      <c r="Q272" t="s">
        <v>9421</v>
      </c>
      <c r="R272" t="s">
        <v>56</v>
      </c>
      <c r="S272" t="s">
        <v>6245</v>
      </c>
      <c r="T272" t="s">
        <v>10165</v>
      </c>
    </row>
    <row r="273" spans="1:20">
      <c r="A273" t="s">
        <v>6106</v>
      </c>
      <c r="B273" t="s">
        <v>9409</v>
      </c>
      <c r="C273" t="s">
        <v>6109</v>
      </c>
      <c r="D273" t="s">
        <v>9410</v>
      </c>
      <c r="E273" t="s">
        <v>10166</v>
      </c>
      <c r="F273" t="s">
        <v>9412</v>
      </c>
      <c r="G273" t="s">
        <v>9413</v>
      </c>
      <c r="H273" t="s">
        <v>9414</v>
      </c>
      <c r="I273" t="s">
        <v>9830</v>
      </c>
      <c r="J273" t="s">
        <v>1589</v>
      </c>
      <c r="K273" t="s">
        <v>9416</v>
      </c>
      <c r="L273" t="s">
        <v>9417</v>
      </c>
      <c r="M273" t="s">
        <v>9596</v>
      </c>
      <c r="N273" t="s">
        <v>9430</v>
      </c>
      <c r="O273" t="s">
        <v>6112</v>
      </c>
      <c r="P273" t="s">
        <v>9794</v>
      </c>
      <c r="Q273" t="s">
        <v>9421</v>
      </c>
      <c r="R273" t="s">
        <v>52</v>
      </c>
      <c r="S273" t="s">
        <v>6111</v>
      </c>
      <c r="T273" t="s">
        <v>10167</v>
      </c>
    </row>
    <row r="274" spans="1:20">
      <c r="A274" t="s">
        <v>6106</v>
      </c>
      <c r="B274" t="s">
        <v>9409</v>
      </c>
      <c r="C274" t="s">
        <v>6109</v>
      </c>
      <c r="D274" t="s">
        <v>9410</v>
      </c>
      <c r="E274" t="s">
        <v>10166</v>
      </c>
      <c r="F274" t="s">
        <v>9412</v>
      </c>
      <c r="G274" t="s">
        <v>9413</v>
      </c>
      <c r="H274" t="s">
        <v>9414</v>
      </c>
      <c r="I274" t="s">
        <v>9830</v>
      </c>
      <c r="J274" t="s">
        <v>1589</v>
      </c>
      <c r="K274" t="s">
        <v>9416</v>
      </c>
      <c r="L274" t="s">
        <v>9417</v>
      </c>
      <c r="M274" t="s">
        <v>9596</v>
      </c>
      <c r="N274" t="s">
        <v>9716</v>
      </c>
      <c r="O274" t="s">
        <v>6107</v>
      </c>
      <c r="P274" t="s">
        <v>9420</v>
      </c>
      <c r="Q274" t="s">
        <v>9421</v>
      </c>
      <c r="R274" t="s">
        <v>17</v>
      </c>
      <c r="S274" t="s">
        <v>6106</v>
      </c>
      <c r="T274" t="s">
        <v>10168</v>
      </c>
    </row>
    <row r="275" spans="1:20">
      <c r="A275" t="s">
        <v>10169</v>
      </c>
      <c r="B275" t="s">
        <v>9409</v>
      </c>
      <c r="C275" t="s">
        <v>10170</v>
      </c>
      <c r="D275" t="s">
        <v>9410</v>
      </c>
      <c r="E275" t="s">
        <v>10171</v>
      </c>
      <c r="F275" t="s">
        <v>9412</v>
      </c>
      <c r="G275" t="s">
        <v>9413</v>
      </c>
      <c r="H275" t="s">
        <v>9414</v>
      </c>
      <c r="I275" t="s">
        <v>10066</v>
      </c>
      <c r="J275" t="s">
        <v>1808</v>
      </c>
      <c r="K275" t="s">
        <v>9416</v>
      </c>
      <c r="L275" t="s">
        <v>9417</v>
      </c>
      <c r="M275" t="s">
        <v>9418</v>
      </c>
      <c r="N275" t="s">
        <v>9639</v>
      </c>
      <c r="O275" t="s">
        <v>10172</v>
      </c>
      <c r="P275" t="s">
        <v>9429</v>
      </c>
      <c r="Q275" t="s">
        <v>9421</v>
      </c>
      <c r="R275" t="s">
        <v>52</v>
      </c>
      <c r="S275" t="s">
        <v>10169</v>
      </c>
      <c r="T275" t="s">
        <v>10173</v>
      </c>
    </row>
    <row r="276" spans="1:20">
      <c r="A276" t="s">
        <v>10174</v>
      </c>
      <c r="B276" t="s">
        <v>9409</v>
      </c>
      <c r="C276" t="s">
        <v>10175</v>
      </c>
      <c r="D276" t="s">
        <v>9410</v>
      </c>
      <c r="E276" t="s">
        <v>10176</v>
      </c>
      <c r="F276" t="s">
        <v>9412</v>
      </c>
      <c r="G276" t="s">
        <v>9413</v>
      </c>
      <c r="H276" t="s">
        <v>9414</v>
      </c>
      <c r="I276" t="s">
        <v>10177</v>
      </c>
      <c r="J276" t="s">
        <v>1442</v>
      </c>
      <c r="K276" t="s">
        <v>9445</v>
      </c>
      <c r="L276" t="s">
        <v>9417</v>
      </c>
      <c r="M276" t="s">
        <v>10021</v>
      </c>
      <c r="N276" t="s">
        <v>9430</v>
      </c>
      <c r="O276" t="s">
        <v>9446</v>
      </c>
      <c r="P276" t="s">
        <v>10178</v>
      </c>
      <c r="Q276" t="s">
        <v>9421</v>
      </c>
      <c r="R276" t="s">
        <v>24</v>
      </c>
      <c r="S276" t="s">
        <v>6793</v>
      </c>
      <c r="T276" t="s">
        <v>10179</v>
      </c>
    </row>
    <row r="277" spans="1:20">
      <c r="A277" t="s">
        <v>10174</v>
      </c>
      <c r="B277" t="s">
        <v>9409</v>
      </c>
      <c r="C277" t="s">
        <v>10175</v>
      </c>
      <c r="D277" t="s">
        <v>9410</v>
      </c>
      <c r="E277" t="s">
        <v>10176</v>
      </c>
      <c r="F277" t="s">
        <v>9412</v>
      </c>
      <c r="G277" t="s">
        <v>9413</v>
      </c>
      <c r="H277" t="s">
        <v>9414</v>
      </c>
      <c r="I277" t="s">
        <v>10177</v>
      </c>
      <c r="J277" t="s">
        <v>1442</v>
      </c>
      <c r="K277" t="s">
        <v>9416</v>
      </c>
      <c r="L277" t="s">
        <v>9417</v>
      </c>
      <c r="M277" t="s">
        <v>10021</v>
      </c>
      <c r="N277" t="s">
        <v>9428</v>
      </c>
      <c r="O277" t="s">
        <v>10180</v>
      </c>
      <c r="P277" t="s">
        <v>9420</v>
      </c>
      <c r="Q277" t="s">
        <v>9421</v>
      </c>
      <c r="R277" t="s">
        <v>17</v>
      </c>
      <c r="S277" t="s">
        <v>10174</v>
      </c>
      <c r="T277" t="s">
        <v>10181</v>
      </c>
    </row>
    <row r="278" spans="1:20">
      <c r="A278" t="s">
        <v>2050</v>
      </c>
      <c r="B278" t="s">
        <v>62</v>
      </c>
      <c r="C278" t="s">
        <v>6672</v>
      </c>
      <c r="D278" t="s">
        <v>9448</v>
      </c>
      <c r="E278" t="s">
        <v>10182</v>
      </c>
      <c r="F278" t="s">
        <v>9412</v>
      </c>
      <c r="G278" t="s">
        <v>9413</v>
      </c>
      <c r="H278" t="s">
        <v>9414</v>
      </c>
      <c r="I278" t="s">
        <v>9813</v>
      </c>
      <c r="J278" t="s">
        <v>2026</v>
      </c>
      <c r="K278" t="s">
        <v>9416</v>
      </c>
      <c r="L278" t="s">
        <v>9417</v>
      </c>
      <c r="M278" t="s">
        <v>9757</v>
      </c>
      <c r="N278" t="s">
        <v>9480</v>
      </c>
      <c r="O278" t="s">
        <v>6670</v>
      </c>
      <c r="P278" t="s">
        <v>9459</v>
      </c>
      <c r="Q278" t="s">
        <v>9421</v>
      </c>
      <c r="R278" t="s">
        <v>17</v>
      </c>
      <c r="S278" t="s">
        <v>2050</v>
      </c>
      <c r="T278" t="s">
        <v>2052</v>
      </c>
    </row>
    <row r="279" spans="1:20">
      <c r="A279" t="s">
        <v>1845</v>
      </c>
      <c r="B279" t="s">
        <v>20</v>
      </c>
      <c r="C279" t="s">
        <v>6386</v>
      </c>
      <c r="D279" t="s">
        <v>9455</v>
      </c>
      <c r="E279" t="s">
        <v>10183</v>
      </c>
      <c r="F279" t="s">
        <v>9412</v>
      </c>
      <c r="G279" t="s">
        <v>9413</v>
      </c>
      <c r="H279" t="s">
        <v>9414</v>
      </c>
      <c r="I279" t="s">
        <v>9466</v>
      </c>
      <c r="J279" t="s">
        <v>1808</v>
      </c>
      <c r="K279" t="s">
        <v>9416</v>
      </c>
      <c r="L279" t="s">
        <v>9417</v>
      </c>
      <c r="M279" t="s">
        <v>9638</v>
      </c>
      <c r="N279" t="s">
        <v>9639</v>
      </c>
      <c r="O279" t="s">
        <v>6384</v>
      </c>
      <c r="P279" t="s">
        <v>9429</v>
      </c>
      <c r="Q279" t="s">
        <v>9421</v>
      </c>
      <c r="R279" t="s">
        <v>52</v>
      </c>
      <c r="S279" t="s">
        <v>1845</v>
      </c>
      <c r="T279" t="s">
        <v>1847</v>
      </c>
    </row>
    <row r="280" spans="1:20">
      <c r="A280" t="s">
        <v>1845</v>
      </c>
      <c r="B280" t="s">
        <v>20</v>
      </c>
      <c r="C280" t="s">
        <v>6386</v>
      </c>
      <c r="D280" t="s">
        <v>9455</v>
      </c>
      <c r="E280" t="s">
        <v>10183</v>
      </c>
      <c r="F280" t="s">
        <v>9412</v>
      </c>
      <c r="G280" t="s">
        <v>9413</v>
      </c>
      <c r="H280" t="s">
        <v>9414</v>
      </c>
      <c r="I280" t="s">
        <v>9466</v>
      </c>
      <c r="J280" t="s">
        <v>1808</v>
      </c>
      <c r="K280" t="s">
        <v>9416</v>
      </c>
      <c r="L280" t="s">
        <v>9417</v>
      </c>
      <c r="M280" t="s">
        <v>9638</v>
      </c>
      <c r="N280" t="s">
        <v>9446</v>
      </c>
      <c r="O280" t="s">
        <v>6388</v>
      </c>
      <c r="P280" t="s">
        <v>9647</v>
      </c>
      <c r="Q280" t="s">
        <v>9421</v>
      </c>
      <c r="R280" t="s">
        <v>84</v>
      </c>
      <c r="S280" t="s">
        <v>1849</v>
      </c>
      <c r="T280" t="s">
        <v>1851</v>
      </c>
    </row>
    <row r="281" spans="1:20">
      <c r="A281" t="s">
        <v>1720</v>
      </c>
      <c r="B281" t="s">
        <v>62</v>
      </c>
      <c r="C281" t="s">
        <v>6248</v>
      </c>
      <c r="D281" t="s">
        <v>9448</v>
      </c>
      <c r="E281" t="s">
        <v>10184</v>
      </c>
      <c r="F281" t="s">
        <v>9412</v>
      </c>
      <c r="G281" t="s">
        <v>9413</v>
      </c>
      <c r="H281" t="s">
        <v>9414</v>
      </c>
      <c r="I281" t="s">
        <v>9466</v>
      </c>
      <c r="J281" t="s">
        <v>1683</v>
      </c>
      <c r="K281" t="s">
        <v>9445</v>
      </c>
      <c r="L281" t="s">
        <v>9417</v>
      </c>
      <c r="M281" t="s">
        <v>9453</v>
      </c>
      <c r="N281" t="s">
        <v>9426</v>
      </c>
      <c r="O281" t="s">
        <v>9446</v>
      </c>
      <c r="P281" t="s">
        <v>9567</v>
      </c>
      <c r="Q281" t="s">
        <v>9421</v>
      </c>
      <c r="R281" t="s">
        <v>43</v>
      </c>
      <c r="S281" t="s">
        <v>1721</v>
      </c>
      <c r="T281" t="s">
        <v>1723</v>
      </c>
    </row>
    <row r="282" spans="1:20">
      <c r="A282" t="s">
        <v>1720</v>
      </c>
      <c r="B282" t="s">
        <v>62</v>
      </c>
      <c r="C282" t="s">
        <v>6248</v>
      </c>
      <c r="D282" t="s">
        <v>9448</v>
      </c>
      <c r="E282" t="s">
        <v>10184</v>
      </c>
      <c r="F282" t="s">
        <v>9412</v>
      </c>
      <c r="G282" t="s">
        <v>9413</v>
      </c>
      <c r="H282" t="s">
        <v>9414</v>
      </c>
      <c r="I282" t="s">
        <v>9466</v>
      </c>
      <c r="J282" t="s">
        <v>1683</v>
      </c>
      <c r="K282" t="s">
        <v>9416</v>
      </c>
      <c r="L282" t="s">
        <v>9417</v>
      </c>
      <c r="M282" t="s">
        <v>9453</v>
      </c>
      <c r="N282" t="s">
        <v>9454</v>
      </c>
      <c r="O282" t="s">
        <v>6250</v>
      </c>
      <c r="P282" t="s">
        <v>9420</v>
      </c>
      <c r="Q282" t="s">
        <v>9421</v>
      </c>
      <c r="R282" t="s">
        <v>17</v>
      </c>
      <c r="S282" t="s">
        <v>1720</v>
      </c>
      <c r="T282" t="s">
        <v>1726</v>
      </c>
    </row>
    <row r="283" spans="1:20">
      <c r="A283" t="s">
        <v>1948</v>
      </c>
      <c r="B283" t="s">
        <v>20</v>
      </c>
      <c r="C283" t="s">
        <v>6539</v>
      </c>
      <c r="D283" t="s">
        <v>9455</v>
      </c>
      <c r="E283" t="s">
        <v>10185</v>
      </c>
      <c r="F283" t="s">
        <v>9412</v>
      </c>
      <c r="G283" t="s">
        <v>9413</v>
      </c>
      <c r="H283" t="s">
        <v>9414</v>
      </c>
      <c r="I283" t="s">
        <v>10186</v>
      </c>
      <c r="J283" t="s">
        <v>1920</v>
      </c>
      <c r="K283" t="s">
        <v>9416</v>
      </c>
      <c r="L283" t="s">
        <v>9417</v>
      </c>
      <c r="M283" t="s">
        <v>9478</v>
      </c>
      <c r="N283" t="s">
        <v>9608</v>
      </c>
      <c r="O283" t="s">
        <v>6537</v>
      </c>
      <c r="P283" t="s">
        <v>9623</v>
      </c>
      <c r="Q283" t="s">
        <v>9421</v>
      </c>
      <c r="R283" t="s">
        <v>24</v>
      </c>
      <c r="S283" t="s">
        <v>1948</v>
      </c>
      <c r="T283" t="s">
        <v>1950</v>
      </c>
    </row>
    <row r="284" spans="1:20">
      <c r="A284" t="s">
        <v>1948</v>
      </c>
      <c r="B284" t="s">
        <v>20</v>
      </c>
      <c r="C284" t="s">
        <v>6539</v>
      </c>
      <c r="D284" t="s">
        <v>9455</v>
      </c>
      <c r="E284" t="s">
        <v>10185</v>
      </c>
      <c r="F284" t="s">
        <v>9412</v>
      </c>
      <c r="G284" t="s">
        <v>9413</v>
      </c>
      <c r="H284" t="s">
        <v>9414</v>
      </c>
      <c r="I284" t="s">
        <v>10186</v>
      </c>
      <c r="J284" t="s">
        <v>1920</v>
      </c>
      <c r="K284" t="s">
        <v>9416</v>
      </c>
      <c r="L284" t="s">
        <v>9417</v>
      </c>
      <c r="M284" t="s">
        <v>9478</v>
      </c>
      <c r="N284" t="s">
        <v>9426</v>
      </c>
      <c r="O284" t="s">
        <v>6079</v>
      </c>
      <c r="P284" t="s">
        <v>9479</v>
      </c>
      <c r="Q284" t="s">
        <v>9421</v>
      </c>
      <c r="R284" t="s">
        <v>43</v>
      </c>
      <c r="S284" t="s">
        <v>1594</v>
      </c>
      <c r="T284" t="s">
        <v>1596</v>
      </c>
    </row>
    <row r="285" spans="1:20">
      <c r="A285" t="s">
        <v>1952</v>
      </c>
      <c r="B285" t="s">
        <v>62</v>
      </c>
      <c r="C285" t="s">
        <v>6543</v>
      </c>
      <c r="D285" t="s">
        <v>9448</v>
      </c>
      <c r="E285" t="s">
        <v>10187</v>
      </c>
      <c r="F285" t="s">
        <v>9412</v>
      </c>
      <c r="G285" t="s">
        <v>9413</v>
      </c>
      <c r="H285" t="s">
        <v>9414</v>
      </c>
      <c r="I285" t="s">
        <v>9466</v>
      </c>
      <c r="J285" t="s">
        <v>1920</v>
      </c>
      <c r="K285" t="s">
        <v>9416</v>
      </c>
      <c r="L285" t="s">
        <v>9417</v>
      </c>
      <c r="M285" t="s">
        <v>9638</v>
      </c>
      <c r="N285" t="s">
        <v>9608</v>
      </c>
      <c r="O285" t="s">
        <v>6541</v>
      </c>
      <c r="P285" t="s">
        <v>9623</v>
      </c>
      <c r="Q285" t="s">
        <v>9421</v>
      </c>
      <c r="R285" t="s">
        <v>24</v>
      </c>
      <c r="S285" t="s">
        <v>1952</v>
      </c>
      <c r="T285" t="s">
        <v>1954</v>
      </c>
    </row>
    <row r="286" spans="1:20">
      <c r="A286" t="s">
        <v>1852</v>
      </c>
      <c r="B286" t="s">
        <v>20</v>
      </c>
      <c r="C286" t="s">
        <v>6392</v>
      </c>
      <c r="D286" t="s">
        <v>10052</v>
      </c>
      <c r="E286" t="s">
        <v>10188</v>
      </c>
      <c r="F286" t="s">
        <v>9412</v>
      </c>
      <c r="G286" t="s">
        <v>9413</v>
      </c>
      <c r="H286" t="s">
        <v>9414</v>
      </c>
      <c r="I286" t="s">
        <v>9466</v>
      </c>
      <c r="J286" t="s">
        <v>1808</v>
      </c>
      <c r="K286" t="s">
        <v>9416</v>
      </c>
      <c r="L286" t="s">
        <v>9417</v>
      </c>
      <c r="M286" t="s">
        <v>9638</v>
      </c>
      <c r="N286" t="s">
        <v>9639</v>
      </c>
      <c r="O286" t="s">
        <v>6390</v>
      </c>
      <c r="P286" t="s">
        <v>9429</v>
      </c>
      <c r="Q286" t="s">
        <v>9421</v>
      </c>
      <c r="R286" t="s">
        <v>52</v>
      </c>
      <c r="S286" t="s">
        <v>1852</v>
      </c>
      <c r="T286" t="s">
        <v>1854</v>
      </c>
    </row>
    <row r="287" spans="1:20">
      <c r="A287" t="s">
        <v>1956</v>
      </c>
      <c r="B287" t="s">
        <v>20</v>
      </c>
      <c r="C287" t="s">
        <v>6547</v>
      </c>
      <c r="D287" t="s">
        <v>9464</v>
      </c>
      <c r="E287" t="s">
        <v>10189</v>
      </c>
      <c r="F287" t="s">
        <v>9412</v>
      </c>
      <c r="G287" t="s">
        <v>9413</v>
      </c>
      <c r="H287" t="s">
        <v>9414</v>
      </c>
      <c r="I287" t="s">
        <v>9466</v>
      </c>
      <c r="J287" t="s">
        <v>1920</v>
      </c>
      <c r="K287" t="s">
        <v>9416</v>
      </c>
      <c r="L287" t="s">
        <v>9417</v>
      </c>
      <c r="M287" t="s">
        <v>9810</v>
      </c>
      <c r="N287" t="s">
        <v>9608</v>
      </c>
      <c r="O287" t="s">
        <v>6545</v>
      </c>
      <c r="P287" t="s">
        <v>9429</v>
      </c>
      <c r="Q287" t="s">
        <v>9421</v>
      </c>
      <c r="R287" t="s">
        <v>52</v>
      </c>
      <c r="S287" t="s">
        <v>1956</v>
      </c>
      <c r="T287" t="s">
        <v>1958</v>
      </c>
    </row>
    <row r="288" spans="1:20">
      <c r="A288" t="s">
        <v>1856</v>
      </c>
      <c r="B288" t="s">
        <v>62</v>
      </c>
      <c r="C288" t="s">
        <v>6396</v>
      </c>
      <c r="D288" t="s">
        <v>9448</v>
      </c>
      <c r="E288" t="s">
        <v>10190</v>
      </c>
      <c r="F288" t="s">
        <v>9412</v>
      </c>
      <c r="G288" t="s">
        <v>9413</v>
      </c>
      <c r="H288" t="s">
        <v>9414</v>
      </c>
      <c r="I288" t="s">
        <v>10191</v>
      </c>
      <c r="J288" t="s">
        <v>1808</v>
      </c>
      <c r="K288" t="s">
        <v>9416</v>
      </c>
      <c r="L288" t="s">
        <v>9417</v>
      </c>
      <c r="M288" t="s">
        <v>9870</v>
      </c>
      <c r="N288" t="s">
        <v>9639</v>
      </c>
      <c r="O288" t="s">
        <v>6394</v>
      </c>
      <c r="P288" t="s">
        <v>9623</v>
      </c>
      <c r="Q288" t="s">
        <v>9421</v>
      </c>
      <c r="R288" t="s">
        <v>24</v>
      </c>
      <c r="S288" t="s">
        <v>1856</v>
      </c>
      <c r="T288" t="s">
        <v>1858</v>
      </c>
    </row>
    <row r="289" spans="1:20">
      <c r="A289" t="s">
        <v>1274</v>
      </c>
      <c r="B289" t="s">
        <v>20</v>
      </c>
      <c r="C289" t="s">
        <v>5722</v>
      </c>
      <c r="D289" t="s">
        <v>9455</v>
      </c>
      <c r="E289" t="s">
        <v>10192</v>
      </c>
      <c r="F289" t="s">
        <v>9412</v>
      </c>
      <c r="G289" t="s">
        <v>9413</v>
      </c>
      <c r="H289" t="s">
        <v>9414</v>
      </c>
      <c r="I289" t="s">
        <v>9466</v>
      </c>
      <c r="J289" t="s">
        <v>1246</v>
      </c>
      <c r="K289" t="s">
        <v>9416</v>
      </c>
      <c r="L289" t="s">
        <v>9417</v>
      </c>
      <c r="M289" t="s">
        <v>9705</v>
      </c>
      <c r="N289" t="s">
        <v>9419</v>
      </c>
      <c r="O289" t="s">
        <v>5720</v>
      </c>
      <c r="P289" t="s">
        <v>9420</v>
      </c>
      <c r="Q289" t="s">
        <v>9421</v>
      </c>
      <c r="R289" t="s">
        <v>17</v>
      </c>
      <c r="S289" t="s">
        <v>1274</v>
      </c>
      <c r="T289" t="s">
        <v>1276</v>
      </c>
    </row>
    <row r="290" spans="1:20">
      <c r="A290" t="s">
        <v>1865</v>
      </c>
      <c r="B290" t="s">
        <v>9409</v>
      </c>
      <c r="C290" t="s">
        <v>10193</v>
      </c>
      <c r="D290" t="s">
        <v>9410</v>
      </c>
      <c r="E290" t="s">
        <v>10194</v>
      </c>
      <c r="F290" t="s">
        <v>9412</v>
      </c>
      <c r="G290" t="s">
        <v>9413</v>
      </c>
      <c r="H290" t="s">
        <v>9414</v>
      </c>
      <c r="I290" t="s">
        <v>9441</v>
      </c>
      <c r="J290" t="s">
        <v>1246</v>
      </c>
      <c r="K290" t="s">
        <v>9445</v>
      </c>
      <c r="L290" t="s">
        <v>9417</v>
      </c>
      <c r="M290" t="s">
        <v>9529</v>
      </c>
      <c r="N290" t="s">
        <v>9426</v>
      </c>
      <c r="O290" t="s">
        <v>9446</v>
      </c>
      <c r="P290" t="s">
        <v>10195</v>
      </c>
      <c r="Q290" t="s">
        <v>9421</v>
      </c>
      <c r="R290" t="s">
        <v>43</v>
      </c>
      <c r="S290" t="s">
        <v>2022</v>
      </c>
      <c r="T290" t="s">
        <v>2024</v>
      </c>
    </row>
    <row r="291" spans="1:20">
      <c r="A291" t="s">
        <v>6114</v>
      </c>
      <c r="B291" t="s">
        <v>9409</v>
      </c>
      <c r="C291" t="s">
        <v>6118</v>
      </c>
      <c r="D291" t="s">
        <v>9410</v>
      </c>
      <c r="E291" t="s">
        <v>10196</v>
      </c>
      <c r="F291" t="s">
        <v>9412</v>
      </c>
      <c r="G291" t="s">
        <v>9413</v>
      </c>
      <c r="H291" t="s">
        <v>9414</v>
      </c>
      <c r="I291" t="s">
        <v>9466</v>
      </c>
      <c r="J291" t="s">
        <v>1589</v>
      </c>
      <c r="K291" t="s">
        <v>9445</v>
      </c>
      <c r="L291" t="s">
        <v>9417</v>
      </c>
      <c r="M291" t="s">
        <v>9788</v>
      </c>
      <c r="N291" t="s">
        <v>9426</v>
      </c>
      <c r="O291" t="s">
        <v>9446</v>
      </c>
      <c r="P291" t="s">
        <v>9647</v>
      </c>
      <c r="Q291" t="s">
        <v>9421</v>
      </c>
      <c r="R291" t="s">
        <v>56</v>
      </c>
      <c r="S291" t="s">
        <v>1560</v>
      </c>
      <c r="T291" t="s">
        <v>1562</v>
      </c>
    </row>
    <row r="292" spans="1:20">
      <c r="A292" t="s">
        <v>6114</v>
      </c>
      <c r="B292" t="s">
        <v>9409</v>
      </c>
      <c r="C292" t="s">
        <v>6118</v>
      </c>
      <c r="D292" t="s">
        <v>9410</v>
      </c>
      <c r="E292" t="s">
        <v>10196</v>
      </c>
      <c r="F292" t="s">
        <v>9412</v>
      </c>
      <c r="G292" t="s">
        <v>9413</v>
      </c>
      <c r="H292" t="s">
        <v>9414</v>
      </c>
      <c r="I292" t="s">
        <v>9466</v>
      </c>
      <c r="J292" t="s">
        <v>1589</v>
      </c>
      <c r="K292" t="s">
        <v>9445</v>
      </c>
      <c r="L292" t="s">
        <v>9417</v>
      </c>
      <c r="M292" t="s">
        <v>9788</v>
      </c>
      <c r="N292" t="s">
        <v>9430</v>
      </c>
      <c r="O292" t="s">
        <v>9446</v>
      </c>
      <c r="P292" t="s">
        <v>9474</v>
      </c>
      <c r="Q292" t="s">
        <v>9421</v>
      </c>
      <c r="R292" t="s">
        <v>43</v>
      </c>
      <c r="S292" t="s">
        <v>1638</v>
      </c>
      <c r="T292" t="s">
        <v>1640</v>
      </c>
    </row>
    <row r="293" spans="1:20">
      <c r="A293" t="s">
        <v>6114</v>
      </c>
      <c r="B293" t="s">
        <v>9409</v>
      </c>
      <c r="C293" t="s">
        <v>6118</v>
      </c>
      <c r="D293" t="s">
        <v>9410</v>
      </c>
      <c r="E293" t="s">
        <v>10196</v>
      </c>
      <c r="F293" t="s">
        <v>9412</v>
      </c>
      <c r="G293" t="s">
        <v>9413</v>
      </c>
      <c r="H293" t="s">
        <v>9414</v>
      </c>
      <c r="I293" t="s">
        <v>9466</v>
      </c>
      <c r="J293" t="s">
        <v>1589</v>
      </c>
      <c r="K293" t="s">
        <v>9416</v>
      </c>
      <c r="L293" t="s">
        <v>9417</v>
      </c>
      <c r="M293" t="s">
        <v>9788</v>
      </c>
      <c r="N293" t="s">
        <v>9716</v>
      </c>
      <c r="O293" t="s">
        <v>6116</v>
      </c>
      <c r="P293" t="s">
        <v>9429</v>
      </c>
      <c r="Q293" t="s">
        <v>9421</v>
      </c>
      <c r="R293" t="s">
        <v>52</v>
      </c>
      <c r="S293" t="s">
        <v>6115</v>
      </c>
      <c r="T293" t="s">
        <v>10197</v>
      </c>
    </row>
    <row r="294" spans="1:20">
      <c r="A294" t="s">
        <v>1615</v>
      </c>
      <c r="B294" t="s">
        <v>20</v>
      </c>
      <c r="C294" t="s">
        <v>6124</v>
      </c>
      <c r="D294" t="s">
        <v>10052</v>
      </c>
      <c r="E294" t="s">
        <v>10198</v>
      </c>
      <c r="F294" t="s">
        <v>9412</v>
      </c>
      <c r="G294" t="s">
        <v>9413</v>
      </c>
      <c r="H294" t="s">
        <v>9414</v>
      </c>
      <c r="I294" t="s">
        <v>9466</v>
      </c>
      <c r="J294" t="s">
        <v>1589</v>
      </c>
      <c r="K294" t="s">
        <v>9416</v>
      </c>
      <c r="L294" t="s">
        <v>9417</v>
      </c>
      <c r="M294" t="s">
        <v>9715</v>
      </c>
      <c r="N294" t="s">
        <v>9716</v>
      </c>
      <c r="O294" t="s">
        <v>6122</v>
      </c>
      <c r="P294" t="s">
        <v>9420</v>
      </c>
      <c r="Q294" t="s">
        <v>9421</v>
      </c>
      <c r="R294" t="s">
        <v>17</v>
      </c>
      <c r="S294" t="s">
        <v>1615</v>
      </c>
      <c r="T294" t="s">
        <v>1617</v>
      </c>
    </row>
    <row r="295" spans="1:20">
      <c r="A295" t="s">
        <v>1615</v>
      </c>
      <c r="B295" t="s">
        <v>20</v>
      </c>
      <c r="C295" t="s">
        <v>6124</v>
      </c>
      <c r="D295" t="s">
        <v>10052</v>
      </c>
      <c r="E295" t="s">
        <v>10198</v>
      </c>
      <c r="F295" t="s">
        <v>9412</v>
      </c>
      <c r="G295" t="s">
        <v>9413</v>
      </c>
      <c r="H295" t="s">
        <v>9414</v>
      </c>
      <c r="I295" t="s">
        <v>9466</v>
      </c>
      <c r="J295" t="s">
        <v>1589</v>
      </c>
      <c r="K295" t="s">
        <v>9416</v>
      </c>
      <c r="L295" t="s">
        <v>9417</v>
      </c>
      <c r="M295" t="s">
        <v>9715</v>
      </c>
      <c r="N295" t="s">
        <v>9430</v>
      </c>
      <c r="O295" t="s">
        <v>6126</v>
      </c>
      <c r="P295" t="s">
        <v>9526</v>
      </c>
      <c r="Q295" t="s">
        <v>9421</v>
      </c>
      <c r="R295" t="s">
        <v>17</v>
      </c>
      <c r="S295" t="s">
        <v>1619</v>
      </c>
      <c r="T295" t="s">
        <v>1621</v>
      </c>
    </row>
    <row r="296" spans="1:20">
      <c r="A296" t="s">
        <v>2054</v>
      </c>
      <c r="B296" t="s">
        <v>20</v>
      </c>
      <c r="C296" t="s">
        <v>6676</v>
      </c>
      <c r="D296" t="s">
        <v>10052</v>
      </c>
      <c r="E296" t="s">
        <v>10199</v>
      </c>
      <c r="F296" t="s">
        <v>9412</v>
      </c>
      <c r="G296" t="s">
        <v>9413</v>
      </c>
      <c r="H296" t="s">
        <v>9414</v>
      </c>
      <c r="I296" t="s">
        <v>9645</v>
      </c>
      <c r="J296" t="s">
        <v>2026</v>
      </c>
      <c r="K296" t="s">
        <v>9416</v>
      </c>
      <c r="L296" t="s">
        <v>9417</v>
      </c>
      <c r="M296" t="s">
        <v>9971</v>
      </c>
      <c r="N296" t="s">
        <v>9480</v>
      </c>
      <c r="O296" t="s">
        <v>6674</v>
      </c>
      <c r="P296" t="s">
        <v>9429</v>
      </c>
      <c r="Q296" t="s">
        <v>9421</v>
      </c>
      <c r="R296" t="s">
        <v>52</v>
      </c>
      <c r="S296" t="s">
        <v>2054</v>
      </c>
      <c r="T296" t="s">
        <v>2056</v>
      </c>
    </row>
    <row r="297" spans="1:20">
      <c r="A297" t="s">
        <v>1622</v>
      </c>
      <c r="B297" t="s">
        <v>20</v>
      </c>
      <c r="C297" t="s">
        <v>6130</v>
      </c>
      <c r="D297" t="s">
        <v>9464</v>
      </c>
      <c r="E297" t="s">
        <v>10200</v>
      </c>
      <c r="F297" t="s">
        <v>9412</v>
      </c>
      <c r="G297" t="s">
        <v>9413</v>
      </c>
      <c r="H297" t="s">
        <v>9414</v>
      </c>
      <c r="I297" t="s">
        <v>9466</v>
      </c>
      <c r="J297" t="s">
        <v>1589</v>
      </c>
      <c r="K297" t="s">
        <v>9416</v>
      </c>
      <c r="L297" t="s">
        <v>9417</v>
      </c>
      <c r="M297" t="s">
        <v>9788</v>
      </c>
      <c r="N297" t="s">
        <v>9716</v>
      </c>
      <c r="O297" t="s">
        <v>6128</v>
      </c>
      <c r="P297" t="s">
        <v>9420</v>
      </c>
      <c r="Q297" t="s">
        <v>9421</v>
      </c>
      <c r="R297" t="s">
        <v>24</v>
      </c>
      <c r="S297" t="s">
        <v>1622</v>
      </c>
      <c r="T297" t="s">
        <v>1624</v>
      </c>
    </row>
    <row r="298" spans="1:20">
      <c r="A298" t="s">
        <v>6678</v>
      </c>
      <c r="B298" t="s">
        <v>9409</v>
      </c>
      <c r="C298" t="s">
        <v>6681</v>
      </c>
      <c r="D298" t="s">
        <v>9410</v>
      </c>
      <c r="E298" t="s">
        <v>10201</v>
      </c>
      <c r="F298" t="s">
        <v>9412</v>
      </c>
      <c r="G298" t="s">
        <v>9413</v>
      </c>
      <c r="H298" t="s">
        <v>9414</v>
      </c>
      <c r="I298" t="s">
        <v>10202</v>
      </c>
      <c r="J298" t="s">
        <v>2026</v>
      </c>
      <c r="K298" t="s">
        <v>9445</v>
      </c>
      <c r="L298" t="s">
        <v>9417</v>
      </c>
      <c r="M298" t="s">
        <v>9757</v>
      </c>
      <c r="N298" t="s">
        <v>9426</v>
      </c>
      <c r="O298" t="s">
        <v>9446</v>
      </c>
      <c r="P298" t="s">
        <v>9479</v>
      </c>
      <c r="Q298" t="s">
        <v>9421</v>
      </c>
      <c r="R298" t="s">
        <v>43</v>
      </c>
      <c r="S298" t="s">
        <v>1594</v>
      </c>
      <c r="T298" t="s">
        <v>1596</v>
      </c>
    </row>
    <row r="299" spans="1:20">
      <c r="A299" t="s">
        <v>6678</v>
      </c>
      <c r="B299" t="s">
        <v>9409</v>
      </c>
      <c r="C299" t="s">
        <v>6681</v>
      </c>
      <c r="D299" t="s">
        <v>9410</v>
      </c>
      <c r="E299" t="s">
        <v>10201</v>
      </c>
      <c r="F299" t="s">
        <v>9412</v>
      </c>
      <c r="G299" t="s">
        <v>9413</v>
      </c>
      <c r="H299" t="s">
        <v>9414</v>
      </c>
      <c r="I299" t="s">
        <v>10202</v>
      </c>
      <c r="J299" t="s">
        <v>2026</v>
      </c>
      <c r="K299" t="s">
        <v>9416</v>
      </c>
      <c r="L299" t="s">
        <v>9417</v>
      </c>
      <c r="M299" t="s">
        <v>9757</v>
      </c>
      <c r="N299" t="s">
        <v>9480</v>
      </c>
      <c r="O299" t="s">
        <v>6679</v>
      </c>
      <c r="P299" t="s">
        <v>9420</v>
      </c>
      <c r="Q299" t="s">
        <v>9421</v>
      </c>
      <c r="R299" t="s">
        <v>17</v>
      </c>
      <c r="S299" t="s">
        <v>6678</v>
      </c>
      <c r="T299" t="s">
        <v>10203</v>
      </c>
    </row>
    <row r="300" spans="1:20">
      <c r="A300" t="s">
        <v>1960</v>
      </c>
      <c r="B300" t="s">
        <v>62</v>
      </c>
      <c r="C300" t="s">
        <v>6549</v>
      </c>
      <c r="D300" t="s">
        <v>445</v>
      </c>
      <c r="E300" t="s">
        <v>10204</v>
      </c>
      <c r="F300" t="s">
        <v>9412</v>
      </c>
      <c r="G300" t="s">
        <v>9413</v>
      </c>
      <c r="H300" t="s">
        <v>9414</v>
      </c>
      <c r="I300" t="s">
        <v>10205</v>
      </c>
      <c r="J300" t="s">
        <v>1920</v>
      </c>
      <c r="K300" t="s">
        <v>9416</v>
      </c>
      <c r="L300" t="s">
        <v>9417</v>
      </c>
      <c r="M300" t="s">
        <v>9638</v>
      </c>
      <c r="N300" t="s">
        <v>9639</v>
      </c>
      <c r="O300" t="s">
        <v>6553</v>
      </c>
      <c r="P300" t="s">
        <v>9524</v>
      </c>
      <c r="Q300" t="s">
        <v>9421</v>
      </c>
      <c r="R300" t="s">
        <v>24</v>
      </c>
      <c r="S300" t="s">
        <v>1964</v>
      </c>
      <c r="T300" t="s">
        <v>1966</v>
      </c>
    </row>
    <row r="301" spans="1:20">
      <c r="A301" t="s">
        <v>1960</v>
      </c>
      <c r="B301" t="s">
        <v>62</v>
      </c>
      <c r="C301" t="s">
        <v>6549</v>
      </c>
      <c r="D301" t="s">
        <v>445</v>
      </c>
      <c r="E301" t="s">
        <v>10204</v>
      </c>
      <c r="F301" t="s">
        <v>9412</v>
      </c>
      <c r="G301" t="s">
        <v>9413</v>
      </c>
      <c r="H301" t="s">
        <v>9414</v>
      </c>
      <c r="I301" t="s">
        <v>10205</v>
      </c>
      <c r="J301" t="s">
        <v>1920</v>
      </c>
      <c r="K301" t="s">
        <v>9416</v>
      </c>
      <c r="L301" t="s">
        <v>9417</v>
      </c>
      <c r="M301" t="s">
        <v>9638</v>
      </c>
      <c r="N301" t="s">
        <v>9639</v>
      </c>
      <c r="O301" t="s">
        <v>6551</v>
      </c>
      <c r="P301" t="s">
        <v>9459</v>
      </c>
      <c r="Q301" t="s">
        <v>9421</v>
      </c>
      <c r="R301" t="s">
        <v>17</v>
      </c>
      <c r="S301" t="s">
        <v>1347</v>
      </c>
      <c r="T301" t="s">
        <v>1963</v>
      </c>
    </row>
    <row r="302" spans="1:20">
      <c r="A302" t="s">
        <v>1960</v>
      </c>
      <c r="B302" t="s">
        <v>62</v>
      </c>
      <c r="C302" t="s">
        <v>6549</v>
      </c>
      <c r="D302" t="s">
        <v>445</v>
      </c>
      <c r="E302" t="s">
        <v>10204</v>
      </c>
      <c r="F302" t="s">
        <v>9412</v>
      </c>
      <c r="G302" t="s">
        <v>9413</v>
      </c>
      <c r="H302" t="s">
        <v>9414</v>
      </c>
      <c r="I302" t="s">
        <v>10205</v>
      </c>
      <c r="J302" t="s">
        <v>1920</v>
      </c>
      <c r="K302" t="s">
        <v>9445</v>
      </c>
      <c r="L302" t="s">
        <v>9417</v>
      </c>
      <c r="M302" t="s">
        <v>9638</v>
      </c>
      <c r="N302" t="s">
        <v>9426</v>
      </c>
      <c r="O302" t="s">
        <v>9446</v>
      </c>
      <c r="P302" t="s">
        <v>9479</v>
      </c>
      <c r="Q302" t="s">
        <v>9421</v>
      </c>
      <c r="R302" t="s">
        <v>43</v>
      </c>
      <c r="S302" t="s">
        <v>1889</v>
      </c>
      <c r="T302" t="s">
        <v>1891</v>
      </c>
    </row>
    <row r="303" spans="1:20">
      <c r="A303" t="s">
        <v>1967</v>
      </c>
      <c r="B303" t="s">
        <v>20</v>
      </c>
      <c r="C303" t="s">
        <v>6555</v>
      </c>
      <c r="D303" t="s">
        <v>9464</v>
      </c>
      <c r="E303" t="s">
        <v>10206</v>
      </c>
      <c r="F303" t="s">
        <v>9412</v>
      </c>
      <c r="G303" t="s">
        <v>9413</v>
      </c>
      <c r="H303" t="s">
        <v>9414</v>
      </c>
      <c r="I303" t="s">
        <v>9709</v>
      </c>
      <c r="J303" t="s">
        <v>1920</v>
      </c>
      <c r="K303" t="s">
        <v>9445</v>
      </c>
      <c r="L303" t="s">
        <v>9417</v>
      </c>
      <c r="M303" t="s">
        <v>9810</v>
      </c>
      <c r="N303" t="s">
        <v>9426</v>
      </c>
      <c r="O303" t="s">
        <v>9446</v>
      </c>
      <c r="P303" t="s">
        <v>10069</v>
      </c>
      <c r="Q303" t="s">
        <v>9421</v>
      </c>
      <c r="R303" t="s">
        <v>24</v>
      </c>
      <c r="S303" t="s">
        <v>1865</v>
      </c>
      <c r="T303" t="s">
        <v>1867</v>
      </c>
    </row>
    <row r="304" spans="1:20">
      <c r="A304" t="s">
        <v>1967</v>
      </c>
      <c r="B304" t="s">
        <v>20</v>
      </c>
      <c r="C304" t="s">
        <v>6555</v>
      </c>
      <c r="D304" t="s">
        <v>9464</v>
      </c>
      <c r="E304" t="s">
        <v>10206</v>
      </c>
      <c r="F304" t="s">
        <v>9412</v>
      </c>
      <c r="G304" t="s">
        <v>9413</v>
      </c>
      <c r="H304" t="s">
        <v>9414</v>
      </c>
      <c r="I304" t="s">
        <v>9709</v>
      </c>
      <c r="J304" t="s">
        <v>1920</v>
      </c>
      <c r="K304" t="s">
        <v>9416</v>
      </c>
      <c r="L304" t="s">
        <v>9417</v>
      </c>
      <c r="M304" t="s">
        <v>9810</v>
      </c>
      <c r="N304" t="s">
        <v>9608</v>
      </c>
      <c r="O304" t="s">
        <v>6557</v>
      </c>
      <c r="P304" t="s">
        <v>9623</v>
      </c>
      <c r="Q304" t="s">
        <v>9421</v>
      </c>
      <c r="R304" t="s">
        <v>24</v>
      </c>
      <c r="S304" t="s">
        <v>1967</v>
      </c>
      <c r="T304" t="s">
        <v>1970</v>
      </c>
    </row>
    <row r="305" spans="1:20">
      <c r="A305" t="s">
        <v>10207</v>
      </c>
      <c r="B305" t="s">
        <v>9409</v>
      </c>
      <c r="C305" t="s">
        <v>10208</v>
      </c>
      <c r="D305" t="s">
        <v>9410</v>
      </c>
      <c r="E305" t="s">
        <v>10209</v>
      </c>
      <c r="F305" t="s">
        <v>9412</v>
      </c>
      <c r="G305" t="s">
        <v>9413</v>
      </c>
      <c r="H305" t="s">
        <v>9414</v>
      </c>
      <c r="I305" t="s">
        <v>9645</v>
      </c>
      <c r="J305" t="s">
        <v>1920</v>
      </c>
      <c r="K305" t="s">
        <v>9416</v>
      </c>
      <c r="L305" t="s">
        <v>9417</v>
      </c>
      <c r="M305" t="s">
        <v>9783</v>
      </c>
      <c r="N305" t="s">
        <v>9608</v>
      </c>
      <c r="O305" t="s">
        <v>10210</v>
      </c>
      <c r="P305" t="s">
        <v>9429</v>
      </c>
      <c r="Q305" t="s">
        <v>9421</v>
      </c>
      <c r="R305" t="s">
        <v>52</v>
      </c>
      <c r="S305" t="s">
        <v>10207</v>
      </c>
      <c r="T305" t="s">
        <v>10211</v>
      </c>
    </row>
    <row r="306" spans="1:20">
      <c r="A306" t="s">
        <v>10212</v>
      </c>
      <c r="B306" t="s">
        <v>9409</v>
      </c>
      <c r="C306" t="s">
        <v>10213</v>
      </c>
      <c r="D306" t="s">
        <v>9410</v>
      </c>
      <c r="E306" t="s">
        <v>10214</v>
      </c>
      <c r="F306" t="s">
        <v>9412</v>
      </c>
      <c r="G306" t="s">
        <v>9413</v>
      </c>
      <c r="H306" t="s">
        <v>9414</v>
      </c>
      <c r="I306" t="s">
        <v>9511</v>
      </c>
      <c r="J306" t="s">
        <v>2026</v>
      </c>
      <c r="K306" t="s">
        <v>9416</v>
      </c>
      <c r="L306" t="s">
        <v>9417</v>
      </c>
      <c r="M306" t="s">
        <v>9602</v>
      </c>
      <c r="N306" t="s">
        <v>9480</v>
      </c>
      <c r="O306" t="s">
        <v>10215</v>
      </c>
      <c r="P306" t="s">
        <v>9429</v>
      </c>
      <c r="Q306" t="s">
        <v>9421</v>
      </c>
      <c r="R306" t="s">
        <v>52</v>
      </c>
      <c r="S306" t="s">
        <v>10212</v>
      </c>
      <c r="T306" t="s">
        <v>10216</v>
      </c>
    </row>
    <row r="307" spans="1:20">
      <c r="A307" t="s">
        <v>10212</v>
      </c>
      <c r="B307" t="s">
        <v>9409</v>
      </c>
      <c r="C307" t="s">
        <v>10213</v>
      </c>
      <c r="D307" t="s">
        <v>9410</v>
      </c>
      <c r="E307" t="s">
        <v>10214</v>
      </c>
      <c r="F307" t="s">
        <v>9412</v>
      </c>
      <c r="G307" t="s">
        <v>9413</v>
      </c>
      <c r="H307" t="s">
        <v>9414</v>
      </c>
      <c r="I307" t="s">
        <v>9511</v>
      </c>
      <c r="J307" t="s">
        <v>2026</v>
      </c>
      <c r="K307" t="s">
        <v>9416</v>
      </c>
      <c r="L307" t="s">
        <v>9417</v>
      </c>
      <c r="M307" t="s">
        <v>9602</v>
      </c>
      <c r="N307" t="s">
        <v>9480</v>
      </c>
      <c r="O307" t="s">
        <v>10217</v>
      </c>
      <c r="P307" t="s">
        <v>9429</v>
      </c>
      <c r="Q307" t="s">
        <v>9421</v>
      </c>
      <c r="R307" t="s">
        <v>52</v>
      </c>
      <c r="S307" t="s">
        <v>10218</v>
      </c>
      <c r="T307" t="s">
        <v>10219</v>
      </c>
    </row>
    <row r="308" spans="1:20">
      <c r="A308" t="s">
        <v>10220</v>
      </c>
      <c r="B308" t="s">
        <v>9409</v>
      </c>
      <c r="C308" t="s">
        <v>10221</v>
      </c>
      <c r="D308" t="s">
        <v>9410</v>
      </c>
      <c r="E308" t="s">
        <v>10222</v>
      </c>
      <c r="F308" t="s">
        <v>9412</v>
      </c>
      <c r="G308" t="s">
        <v>9413</v>
      </c>
      <c r="H308" t="s">
        <v>9414</v>
      </c>
      <c r="I308" t="s">
        <v>9709</v>
      </c>
      <c r="J308" t="s">
        <v>1442</v>
      </c>
      <c r="K308" t="s">
        <v>9416</v>
      </c>
      <c r="L308" t="s">
        <v>9417</v>
      </c>
      <c r="M308" t="s">
        <v>9702</v>
      </c>
      <c r="N308" t="s">
        <v>9428</v>
      </c>
      <c r="O308" t="s">
        <v>10223</v>
      </c>
      <c r="P308" t="s">
        <v>9420</v>
      </c>
      <c r="Q308" t="s">
        <v>9421</v>
      </c>
      <c r="R308" t="s">
        <v>17</v>
      </c>
      <c r="S308" t="s">
        <v>10220</v>
      </c>
      <c r="T308" t="s">
        <v>10224</v>
      </c>
    </row>
    <row r="309" spans="1:20">
      <c r="A309" t="s">
        <v>10225</v>
      </c>
      <c r="B309" t="s">
        <v>9409</v>
      </c>
      <c r="C309" t="s">
        <v>10226</v>
      </c>
      <c r="D309" t="s">
        <v>9410</v>
      </c>
      <c r="E309" t="s">
        <v>10227</v>
      </c>
      <c r="F309" t="s">
        <v>9412</v>
      </c>
      <c r="G309" t="s">
        <v>9413</v>
      </c>
      <c r="H309" t="s">
        <v>1044</v>
      </c>
      <c r="I309" t="s">
        <v>10228</v>
      </c>
      <c r="J309" t="s">
        <v>1589</v>
      </c>
      <c r="K309" t="s">
        <v>9416</v>
      </c>
      <c r="L309" t="s">
        <v>9417</v>
      </c>
      <c r="M309" t="s">
        <v>9715</v>
      </c>
      <c r="N309" t="s">
        <v>9716</v>
      </c>
      <c r="O309" t="s">
        <v>10229</v>
      </c>
      <c r="P309" t="s">
        <v>9429</v>
      </c>
      <c r="Q309" t="s">
        <v>9421</v>
      </c>
      <c r="R309" t="s">
        <v>52</v>
      </c>
      <c r="S309" t="s">
        <v>10230</v>
      </c>
      <c r="T309" t="s">
        <v>10231</v>
      </c>
    </row>
    <row r="310" spans="1:20">
      <c r="A310" t="s">
        <v>10225</v>
      </c>
      <c r="B310" t="s">
        <v>9409</v>
      </c>
      <c r="C310" t="s">
        <v>10232</v>
      </c>
      <c r="D310" t="s">
        <v>9410</v>
      </c>
      <c r="E310" t="s">
        <v>10227</v>
      </c>
      <c r="F310" t="s">
        <v>9412</v>
      </c>
      <c r="G310" t="s">
        <v>9413</v>
      </c>
      <c r="H310" t="s">
        <v>1044</v>
      </c>
      <c r="I310" t="s">
        <v>10228</v>
      </c>
      <c r="J310" t="s">
        <v>1589</v>
      </c>
      <c r="K310" t="s">
        <v>9416</v>
      </c>
      <c r="L310" t="s">
        <v>9417</v>
      </c>
      <c r="M310" t="s">
        <v>9715</v>
      </c>
      <c r="N310" t="s">
        <v>9446</v>
      </c>
      <c r="O310" t="s">
        <v>10233</v>
      </c>
      <c r="P310" t="s">
        <v>9651</v>
      </c>
      <c r="Q310" t="s">
        <v>9421</v>
      </c>
      <c r="R310" t="s">
        <v>56</v>
      </c>
      <c r="S310" t="s">
        <v>10234</v>
      </c>
      <c r="T310" t="s">
        <v>10235</v>
      </c>
    </row>
    <row r="311" spans="1:20">
      <c r="A311" t="s">
        <v>10236</v>
      </c>
      <c r="B311" t="s">
        <v>9409</v>
      </c>
      <c r="C311" t="s">
        <v>10237</v>
      </c>
      <c r="D311" t="s">
        <v>9410</v>
      </c>
      <c r="E311" t="s">
        <v>10238</v>
      </c>
      <c r="F311" t="s">
        <v>9412</v>
      </c>
      <c r="G311" t="s">
        <v>9413</v>
      </c>
      <c r="H311" t="s">
        <v>9414</v>
      </c>
      <c r="I311" t="s">
        <v>9874</v>
      </c>
      <c r="J311" t="s">
        <v>1375</v>
      </c>
      <c r="K311" t="s">
        <v>9416</v>
      </c>
      <c r="L311" t="s">
        <v>9417</v>
      </c>
      <c r="M311" t="s">
        <v>10021</v>
      </c>
      <c r="N311" t="s">
        <v>9443</v>
      </c>
      <c r="O311" t="s">
        <v>10239</v>
      </c>
      <c r="P311" t="s">
        <v>9420</v>
      </c>
      <c r="Q311" t="s">
        <v>9421</v>
      </c>
      <c r="R311" t="s">
        <v>17</v>
      </c>
      <c r="S311" t="s">
        <v>10236</v>
      </c>
      <c r="T311" t="s">
        <v>10240</v>
      </c>
    </row>
    <row r="312" spans="1:20">
      <c r="A312" t="s">
        <v>10236</v>
      </c>
      <c r="B312" t="s">
        <v>9409</v>
      </c>
      <c r="C312" t="s">
        <v>10237</v>
      </c>
      <c r="D312" t="s">
        <v>9410</v>
      </c>
      <c r="E312" t="s">
        <v>10238</v>
      </c>
      <c r="F312" t="s">
        <v>9412</v>
      </c>
      <c r="G312" t="s">
        <v>9413</v>
      </c>
      <c r="H312" t="s">
        <v>9414</v>
      </c>
      <c r="I312" t="s">
        <v>9874</v>
      </c>
      <c r="J312" t="s">
        <v>1375</v>
      </c>
      <c r="K312" t="s">
        <v>9416</v>
      </c>
      <c r="L312" t="s">
        <v>9417</v>
      </c>
      <c r="M312" t="s">
        <v>10021</v>
      </c>
      <c r="N312" t="s">
        <v>9430</v>
      </c>
      <c r="O312" t="s">
        <v>10241</v>
      </c>
      <c r="P312" t="s">
        <v>9794</v>
      </c>
      <c r="Q312" t="s">
        <v>9421</v>
      </c>
      <c r="R312" t="s">
        <v>52</v>
      </c>
      <c r="S312" t="s">
        <v>10242</v>
      </c>
      <c r="T312" t="s">
        <v>10243</v>
      </c>
    </row>
    <row r="313" spans="1:20">
      <c r="A313" t="s">
        <v>1626</v>
      </c>
      <c r="B313" t="s">
        <v>62</v>
      </c>
      <c r="C313" t="s">
        <v>6134</v>
      </c>
      <c r="D313" t="s">
        <v>9448</v>
      </c>
      <c r="E313" t="s">
        <v>10244</v>
      </c>
      <c r="F313" t="s">
        <v>9412</v>
      </c>
      <c r="G313" t="s">
        <v>9413</v>
      </c>
      <c r="H313" t="s">
        <v>9414</v>
      </c>
      <c r="I313" t="s">
        <v>10150</v>
      </c>
      <c r="J313" t="s">
        <v>1589</v>
      </c>
      <c r="K313" t="s">
        <v>9416</v>
      </c>
      <c r="L313" t="s">
        <v>9417</v>
      </c>
      <c r="M313" t="s">
        <v>9788</v>
      </c>
      <c r="N313" t="s">
        <v>9716</v>
      </c>
      <c r="O313" t="s">
        <v>6136</v>
      </c>
      <c r="P313" t="s">
        <v>9429</v>
      </c>
      <c r="Q313" t="s">
        <v>9421</v>
      </c>
      <c r="R313" t="s">
        <v>52</v>
      </c>
      <c r="S313" t="s">
        <v>1630</v>
      </c>
      <c r="T313" t="s">
        <v>1632</v>
      </c>
    </row>
    <row r="314" spans="1:20">
      <c r="A314" t="s">
        <v>1626</v>
      </c>
      <c r="B314" t="s">
        <v>62</v>
      </c>
      <c r="C314" t="s">
        <v>6134</v>
      </c>
      <c r="D314" t="s">
        <v>9448</v>
      </c>
      <c r="E314" t="s">
        <v>10244</v>
      </c>
      <c r="F314" t="s">
        <v>9412</v>
      </c>
      <c r="G314" t="s">
        <v>9413</v>
      </c>
      <c r="H314" t="s">
        <v>9414</v>
      </c>
      <c r="I314" t="s">
        <v>10150</v>
      </c>
      <c r="J314" t="s">
        <v>1589</v>
      </c>
      <c r="K314" t="s">
        <v>9416</v>
      </c>
      <c r="L314" t="s">
        <v>9417</v>
      </c>
      <c r="M314" t="s">
        <v>9788</v>
      </c>
      <c r="N314" t="s">
        <v>9716</v>
      </c>
      <c r="O314" t="s">
        <v>6132</v>
      </c>
      <c r="P314" t="s">
        <v>9420</v>
      </c>
      <c r="Q314" t="s">
        <v>9421</v>
      </c>
      <c r="R314" t="s">
        <v>17</v>
      </c>
      <c r="S314" t="s">
        <v>1626</v>
      </c>
      <c r="T314" t="s">
        <v>1628</v>
      </c>
    </row>
    <row r="315" spans="1:20">
      <c r="A315" t="s">
        <v>1483</v>
      </c>
      <c r="B315" t="s">
        <v>20</v>
      </c>
      <c r="C315" t="s">
        <v>5965</v>
      </c>
      <c r="D315" t="s">
        <v>9455</v>
      </c>
      <c r="E315" t="s">
        <v>10245</v>
      </c>
      <c r="F315" t="s">
        <v>9412</v>
      </c>
      <c r="G315" t="s">
        <v>9413</v>
      </c>
      <c r="H315" t="s">
        <v>9414</v>
      </c>
      <c r="I315" t="s">
        <v>10150</v>
      </c>
      <c r="J315" t="s">
        <v>1442</v>
      </c>
      <c r="K315" t="s">
        <v>9445</v>
      </c>
      <c r="L315" t="s">
        <v>9417</v>
      </c>
      <c r="M315" t="s">
        <v>9425</v>
      </c>
      <c r="N315" t="s">
        <v>9430</v>
      </c>
      <c r="O315" t="s">
        <v>9446</v>
      </c>
      <c r="P315" t="s">
        <v>9524</v>
      </c>
      <c r="Q315" t="s">
        <v>9421</v>
      </c>
      <c r="R315" t="s">
        <v>24</v>
      </c>
      <c r="S315" t="s">
        <v>1487</v>
      </c>
      <c r="T315" t="s">
        <v>1489</v>
      </c>
    </row>
    <row r="316" spans="1:20">
      <c r="A316" t="s">
        <v>1483</v>
      </c>
      <c r="B316" t="s">
        <v>20</v>
      </c>
      <c r="C316" t="s">
        <v>5965</v>
      </c>
      <c r="D316" t="s">
        <v>9455</v>
      </c>
      <c r="E316" t="s">
        <v>10245</v>
      </c>
      <c r="F316" t="s">
        <v>9412</v>
      </c>
      <c r="G316" t="s">
        <v>9413</v>
      </c>
      <c r="H316" t="s">
        <v>9414</v>
      </c>
      <c r="I316" t="s">
        <v>10150</v>
      </c>
      <c r="J316" t="s">
        <v>1442</v>
      </c>
      <c r="K316" t="s">
        <v>9416</v>
      </c>
      <c r="L316" t="s">
        <v>9417</v>
      </c>
      <c r="M316" t="s">
        <v>9425</v>
      </c>
      <c r="N316" t="s">
        <v>9428</v>
      </c>
      <c r="O316" t="s">
        <v>5963</v>
      </c>
      <c r="P316" t="s">
        <v>9429</v>
      </c>
      <c r="Q316" t="s">
        <v>9421</v>
      </c>
      <c r="R316" t="s">
        <v>52</v>
      </c>
      <c r="S316" t="s">
        <v>1483</v>
      </c>
      <c r="T316" t="s">
        <v>1485</v>
      </c>
    </row>
    <row r="317" spans="1:20">
      <c r="A317" t="s">
        <v>6398</v>
      </c>
      <c r="B317" t="s">
        <v>9409</v>
      </c>
      <c r="C317" t="s">
        <v>6401</v>
      </c>
      <c r="D317" t="s">
        <v>9410</v>
      </c>
      <c r="E317" t="s">
        <v>10246</v>
      </c>
      <c r="F317" t="s">
        <v>9412</v>
      </c>
      <c r="G317" t="s">
        <v>9413</v>
      </c>
      <c r="H317" t="s">
        <v>9414</v>
      </c>
      <c r="I317" t="s">
        <v>9645</v>
      </c>
      <c r="J317" t="s">
        <v>1808</v>
      </c>
      <c r="K317" t="s">
        <v>9416</v>
      </c>
      <c r="L317" t="s">
        <v>9417</v>
      </c>
      <c r="M317" t="s">
        <v>9638</v>
      </c>
      <c r="N317" t="s">
        <v>9639</v>
      </c>
      <c r="O317" t="s">
        <v>6399</v>
      </c>
      <c r="P317" t="s">
        <v>9459</v>
      </c>
      <c r="Q317" t="s">
        <v>9421</v>
      </c>
      <c r="R317" t="s">
        <v>17</v>
      </c>
      <c r="S317" t="s">
        <v>6398</v>
      </c>
      <c r="T317" t="s">
        <v>10247</v>
      </c>
    </row>
    <row r="318" spans="1:20">
      <c r="A318" t="s">
        <v>1490</v>
      </c>
      <c r="B318" t="s">
        <v>20</v>
      </c>
      <c r="C318" t="s">
        <v>5971</v>
      </c>
      <c r="D318" t="s">
        <v>9460</v>
      </c>
      <c r="E318" t="s">
        <v>10248</v>
      </c>
      <c r="F318" t="s">
        <v>9412</v>
      </c>
      <c r="G318" t="s">
        <v>9413</v>
      </c>
      <c r="H318" t="s">
        <v>9414</v>
      </c>
      <c r="I318" t="s">
        <v>9511</v>
      </c>
      <c r="J318" t="s">
        <v>1442</v>
      </c>
      <c r="K318" t="s">
        <v>9416</v>
      </c>
      <c r="L318" t="s">
        <v>9417</v>
      </c>
      <c r="M318" t="s">
        <v>9425</v>
      </c>
      <c r="N318" t="s">
        <v>9428</v>
      </c>
      <c r="O318" t="s">
        <v>5969</v>
      </c>
      <c r="P318" t="s">
        <v>9420</v>
      </c>
      <c r="Q318" t="s">
        <v>9421</v>
      </c>
      <c r="R318" t="s">
        <v>17</v>
      </c>
      <c r="S318" t="s">
        <v>1490</v>
      </c>
      <c r="T318" t="s">
        <v>1492</v>
      </c>
    </row>
    <row r="319" spans="1:20">
      <c r="A319" t="s">
        <v>5632</v>
      </c>
      <c r="B319" t="s">
        <v>20</v>
      </c>
      <c r="C319" t="s">
        <v>5635</v>
      </c>
      <c r="D319" t="s">
        <v>9764</v>
      </c>
      <c r="E319" t="s">
        <v>10249</v>
      </c>
      <c r="F319" t="s">
        <v>9412</v>
      </c>
      <c r="G319" t="s">
        <v>9413</v>
      </c>
      <c r="H319" t="s">
        <v>9414</v>
      </c>
      <c r="I319" t="s">
        <v>9729</v>
      </c>
      <c r="J319" t="s">
        <v>1155</v>
      </c>
      <c r="K319" t="s">
        <v>9416</v>
      </c>
      <c r="L319" t="s">
        <v>9417</v>
      </c>
      <c r="M319" t="s">
        <v>9503</v>
      </c>
      <c r="N319" t="s">
        <v>9488</v>
      </c>
      <c r="O319" t="s">
        <v>5633</v>
      </c>
      <c r="P319" t="s">
        <v>9420</v>
      </c>
      <c r="Q319" t="s">
        <v>9421</v>
      </c>
      <c r="R319" t="s">
        <v>17</v>
      </c>
      <c r="S319" t="s">
        <v>5632</v>
      </c>
      <c r="T319" t="s">
        <v>10250</v>
      </c>
    </row>
    <row r="320" spans="1:20">
      <c r="A320" t="s">
        <v>6683</v>
      </c>
      <c r="B320" t="s">
        <v>9409</v>
      </c>
      <c r="C320" t="s">
        <v>6686</v>
      </c>
      <c r="D320" t="s">
        <v>9410</v>
      </c>
      <c r="E320" t="s">
        <v>10251</v>
      </c>
      <c r="F320" t="s">
        <v>9412</v>
      </c>
      <c r="G320" t="s">
        <v>9413</v>
      </c>
      <c r="H320" t="s">
        <v>9414</v>
      </c>
      <c r="I320" t="s">
        <v>9477</v>
      </c>
      <c r="J320" t="s">
        <v>2026</v>
      </c>
      <c r="K320" t="s">
        <v>9416</v>
      </c>
      <c r="L320" t="s">
        <v>9417</v>
      </c>
      <c r="M320" t="s">
        <v>9757</v>
      </c>
      <c r="N320" t="s">
        <v>9480</v>
      </c>
      <c r="O320" t="s">
        <v>6684</v>
      </c>
      <c r="P320" t="s">
        <v>9420</v>
      </c>
      <c r="Q320" t="s">
        <v>9421</v>
      </c>
      <c r="R320" t="s">
        <v>17</v>
      </c>
      <c r="S320" t="s">
        <v>6683</v>
      </c>
      <c r="T320" t="s">
        <v>10252</v>
      </c>
    </row>
    <row r="321" spans="1:20">
      <c r="A321" t="s">
        <v>1633</v>
      </c>
      <c r="B321" t="s">
        <v>20</v>
      </c>
      <c r="C321" t="s">
        <v>1637</v>
      </c>
      <c r="D321" t="s">
        <v>9898</v>
      </c>
      <c r="E321" t="s">
        <v>10253</v>
      </c>
      <c r="F321" t="s">
        <v>9412</v>
      </c>
      <c r="G321" t="s">
        <v>9413</v>
      </c>
      <c r="H321" t="s">
        <v>1044</v>
      </c>
      <c r="I321" t="s">
        <v>10150</v>
      </c>
      <c r="J321" t="s">
        <v>1589</v>
      </c>
      <c r="K321" t="s">
        <v>9416</v>
      </c>
      <c r="L321" t="s">
        <v>9417</v>
      </c>
      <c r="M321" t="s">
        <v>9596</v>
      </c>
      <c r="N321" t="s">
        <v>9716</v>
      </c>
      <c r="O321" t="s">
        <v>6138</v>
      </c>
      <c r="P321" t="s">
        <v>9429</v>
      </c>
      <c r="Q321" t="s">
        <v>9421</v>
      </c>
      <c r="R321" t="s">
        <v>52</v>
      </c>
      <c r="S321" t="s">
        <v>1634</v>
      </c>
      <c r="T321" t="s">
        <v>1636</v>
      </c>
    </row>
    <row r="322" spans="1:20">
      <c r="A322" t="s">
        <v>1633</v>
      </c>
      <c r="B322" t="s">
        <v>20</v>
      </c>
      <c r="C322" t="s">
        <v>1637</v>
      </c>
      <c r="D322" t="s">
        <v>9898</v>
      </c>
      <c r="E322" t="s">
        <v>10253</v>
      </c>
      <c r="F322" t="s">
        <v>9412</v>
      </c>
      <c r="G322" t="s">
        <v>9413</v>
      </c>
      <c r="H322" t="s">
        <v>1044</v>
      </c>
      <c r="I322" t="s">
        <v>10150</v>
      </c>
      <c r="J322" t="s">
        <v>1589</v>
      </c>
      <c r="K322" t="s">
        <v>9416</v>
      </c>
      <c r="L322" t="s">
        <v>9417</v>
      </c>
      <c r="M322" t="s">
        <v>9596</v>
      </c>
      <c r="N322" t="s">
        <v>9430</v>
      </c>
      <c r="O322" t="s">
        <v>10254</v>
      </c>
      <c r="P322" t="s">
        <v>147</v>
      </c>
      <c r="Q322" t="s">
        <v>9421</v>
      </c>
      <c r="R322" t="s">
        <v>52</v>
      </c>
      <c r="S322" t="s">
        <v>1641</v>
      </c>
      <c r="T322" t="s">
        <v>1643</v>
      </c>
    </row>
    <row r="323" spans="1:20">
      <c r="A323" t="s">
        <v>1633</v>
      </c>
      <c r="B323" t="s">
        <v>20</v>
      </c>
      <c r="C323" t="s">
        <v>1637</v>
      </c>
      <c r="D323" t="s">
        <v>9898</v>
      </c>
      <c r="E323" t="s">
        <v>10253</v>
      </c>
      <c r="F323" t="s">
        <v>9412</v>
      </c>
      <c r="G323" t="s">
        <v>9413</v>
      </c>
      <c r="H323" t="s">
        <v>1044</v>
      </c>
      <c r="I323" t="s">
        <v>10150</v>
      </c>
      <c r="J323" t="s">
        <v>1589</v>
      </c>
      <c r="K323" t="s">
        <v>9416</v>
      </c>
      <c r="L323" t="s">
        <v>9417</v>
      </c>
      <c r="M323" t="s">
        <v>9596</v>
      </c>
      <c r="N323" t="s">
        <v>9430</v>
      </c>
      <c r="O323" t="s">
        <v>6120</v>
      </c>
      <c r="P323" t="s">
        <v>9474</v>
      </c>
      <c r="Q323" t="s">
        <v>9421</v>
      </c>
      <c r="R323" t="s">
        <v>43</v>
      </c>
      <c r="S323" t="s">
        <v>1638</v>
      </c>
      <c r="T323" t="s">
        <v>1640</v>
      </c>
    </row>
    <row r="324" spans="1:20">
      <c r="A324" t="s">
        <v>6559</v>
      </c>
      <c r="B324" t="s">
        <v>9409</v>
      </c>
      <c r="C324" t="s">
        <v>10255</v>
      </c>
      <c r="D324" t="s">
        <v>9410</v>
      </c>
      <c r="E324" t="s">
        <v>10256</v>
      </c>
      <c r="F324" t="s">
        <v>9412</v>
      </c>
      <c r="G324" t="s">
        <v>9413</v>
      </c>
      <c r="H324" t="s">
        <v>1044</v>
      </c>
      <c r="I324" t="s">
        <v>10099</v>
      </c>
      <c r="J324" t="s">
        <v>1920</v>
      </c>
      <c r="K324" t="s">
        <v>9416</v>
      </c>
      <c r="L324" t="s">
        <v>9417</v>
      </c>
      <c r="M324" t="s">
        <v>9478</v>
      </c>
      <c r="N324" t="s">
        <v>9608</v>
      </c>
      <c r="O324" t="s">
        <v>6560</v>
      </c>
      <c r="P324" t="s">
        <v>9459</v>
      </c>
      <c r="Q324" t="s">
        <v>9421</v>
      </c>
      <c r="R324" t="s">
        <v>17</v>
      </c>
      <c r="S324" t="s">
        <v>6559</v>
      </c>
      <c r="T324" t="s">
        <v>6561</v>
      </c>
    </row>
    <row r="325" spans="1:20">
      <c r="A325" t="s">
        <v>2058</v>
      </c>
      <c r="B325" t="s">
        <v>62</v>
      </c>
      <c r="C325" t="s">
        <v>2061</v>
      </c>
      <c r="D325" t="s">
        <v>9448</v>
      </c>
      <c r="E325" t="s">
        <v>10257</v>
      </c>
      <c r="F325" t="s">
        <v>9412</v>
      </c>
      <c r="G325" t="s">
        <v>9413</v>
      </c>
      <c r="H325" t="s">
        <v>1044</v>
      </c>
      <c r="I325" t="s">
        <v>10099</v>
      </c>
      <c r="J325" t="s">
        <v>2026</v>
      </c>
      <c r="K325" t="s">
        <v>9416</v>
      </c>
      <c r="L325" t="s">
        <v>9417</v>
      </c>
      <c r="M325" t="s">
        <v>9478</v>
      </c>
      <c r="N325" t="s">
        <v>9480</v>
      </c>
      <c r="O325" t="s">
        <v>6688</v>
      </c>
      <c r="P325" t="s">
        <v>9420</v>
      </c>
      <c r="Q325" t="s">
        <v>9421</v>
      </c>
      <c r="R325" t="s">
        <v>17</v>
      </c>
      <c r="S325" t="s">
        <v>2058</v>
      </c>
      <c r="T325" t="s">
        <v>2060</v>
      </c>
    </row>
    <row r="326" spans="1:20">
      <c r="A326" t="s">
        <v>10258</v>
      </c>
      <c r="B326" t="s">
        <v>9409</v>
      </c>
      <c r="C326" t="s">
        <v>10259</v>
      </c>
      <c r="D326" t="s">
        <v>9410</v>
      </c>
      <c r="E326" t="s">
        <v>10260</v>
      </c>
      <c r="F326" t="s">
        <v>9412</v>
      </c>
      <c r="G326" t="s">
        <v>9413</v>
      </c>
      <c r="H326" t="s">
        <v>9414</v>
      </c>
      <c r="I326" t="s">
        <v>10261</v>
      </c>
      <c r="J326" t="s">
        <v>2026</v>
      </c>
      <c r="K326" t="s">
        <v>9416</v>
      </c>
      <c r="L326" t="s">
        <v>9417</v>
      </c>
      <c r="M326" t="s">
        <v>9971</v>
      </c>
      <c r="N326" t="s">
        <v>9480</v>
      </c>
      <c r="O326" t="s">
        <v>10262</v>
      </c>
      <c r="P326" t="s">
        <v>9459</v>
      </c>
      <c r="Q326" t="s">
        <v>9421</v>
      </c>
      <c r="R326" t="s">
        <v>17</v>
      </c>
      <c r="S326" t="s">
        <v>10258</v>
      </c>
      <c r="T326" t="s">
        <v>10263</v>
      </c>
    </row>
    <row r="327" spans="1:20">
      <c r="A327" t="s">
        <v>5465</v>
      </c>
      <c r="B327" t="s">
        <v>9409</v>
      </c>
      <c r="C327" t="s">
        <v>5468</v>
      </c>
      <c r="D327" t="s">
        <v>9410</v>
      </c>
      <c r="E327" t="s">
        <v>10264</v>
      </c>
      <c r="F327" t="s">
        <v>9412</v>
      </c>
      <c r="G327" t="s">
        <v>9413</v>
      </c>
      <c r="H327" t="s">
        <v>9414</v>
      </c>
      <c r="I327" t="s">
        <v>10265</v>
      </c>
      <c r="J327" t="s">
        <v>1043</v>
      </c>
      <c r="K327" t="s">
        <v>9416</v>
      </c>
      <c r="L327" t="s">
        <v>9417</v>
      </c>
      <c r="M327" t="s">
        <v>9436</v>
      </c>
      <c r="N327" t="s">
        <v>9437</v>
      </c>
      <c r="O327" t="s">
        <v>5466</v>
      </c>
      <c r="P327" t="s">
        <v>9420</v>
      </c>
      <c r="Q327" t="s">
        <v>9421</v>
      </c>
      <c r="R327" t="s">
        <v>17</v>
      </c>
      <c r="S327" t="s">
        <v>5465</v>
      </c>
      <c r="T327" t="s">
        <v>10266</v>
      </c>
    </row>
    <row r="328" spans="1:20">
      <c r="A328" t="s">
        <v>5465</v>
      </c>
      <c r="B328" t="s">
        <v>9409</v>
      </c>
      <c r="C328" t="s">
        <v>5468</v>
      </c>
      <c r="D328" t="s">
        <v>9410</v>
      </c>
      <c r="E328" t="s">
        <v>10264</v>
      </c>
      <c r="F328" t="s">
        <v>9412</v>
      </c>
      <c r="G328" t="s">
        <v>9413</v>
      </c>
      <c r="H328" t="s">
        <v>9414</v>
      </c>
      <c r="I328" t="s">
        <v>10265</v>
      </c>
      <c r="J328" t="s">
        <v>1043</v>
      </c>
      <c r="K328" t="s">
        <v>9445</v>
      </c>
      <c r="L328" t="s">
        <v>9417</v>
      </c>
      <c r="M328" t="s">
        <v>9436</v>
      </c>
      <c r="N328" t="s">
        <v>9430</v>
      </c>
      <c r="O328" t="s">
        <v>9446</v>
      </c>
      <c r="P328" t="s">
        <v>10267</v>
      </c>
      <c r="Q328" t="s">
        <v>9421</v>
      </c>
      <c r="R328" t="s">
        <v>24</v>
      </c>
      <c r="S328" t="s">
        <v>5470</v>
      </c>
      <c r="T328" t="s">
        <v>10268</v>
      </c>
    </row>
    <row r="329" spans="1:20">
      <c r="A329" t="s">
        <v>1204</v>
      </c>
      <c r="B329" t="s">
        <v>20</v>
      </c>
      <c r="C329" t="s">
        <v>5639</v>
      </c>
      <c r="D329" t="s">
        <v>9464</v>
      </c>
      <c r="E329" t="s">
        <v>10269</v>
      </c>
      <c r="F329" t="s">
        <v>9412</v>
      </c>
      <c r="G329" t="s">
        <v>9413</v>
      </c>
      <c r="H329" t="s">
        <v>9414</v>
      </c>
      <c r="I329" t="s">
        <v>9874</v>
      </c>
      <c r="J329" t="s">
        <v>1155</v>
      </c>
      <c r="K329" t="s">
        <v>9416</v>
      </c>
      <c r="L329" t="s">
        <v>9417</v>
      </c>
      <c r="M329" t="s">
        <v>9503</v>
      </c>
      <c r="N329" t="s">
        <v>9488</v>
      </c>
      <c r="O329" t="s">
        <v>5637</v>
      </c>
      <c r="P329" t="s">
        <v>9420</v>
      </c>
      <c r="Q329" t="s">
        <v>9421</v>
      </c>
      <c r="R329" t="s">
        <v>17</v>
      </c>
      <c r="S329" t="s">
        <v>1204</v>
      </c>
      <c r="T329" t="s">
        <v>1206</v>
      </c>
    </row>
    <row r="330" spans="1:20">
      <c r="A330" t="s">
        <v>1077</v>
      </c>
      <c r="B330" t="s">
        <v>62</v>
      </c>
      <c r="C330" t="s">
        <v>5474</v>
      </c>
      <c r="D330" t="s">
        <v>9448</v>
      </c>
      <c r="E330" t="s">
        <v>10270</v>
      </c>
      <c r="F330" t="s">
        <v>9412</v>
      </c>
      <c r="G330" t="s">
        <v>9413</v>
      </c>
      <c r="H330" t="s">
        <v>9414</v>
      </c>
      <c r="I330" t="s">
        <v>9886</v>
      </c>
      <c r="J330" t="s">
        <v>1043</v>
      </c>
      <c r="K330" t="s">
        <v>9416</v>
      </c>
      <c r="L330" t="s">
        <v>9417</v>
      </c>
      <c r="M330" t="s">
        <v>9436</v>
      </c>
      <c r="N330" t="s">
        <v>9426</v>
      </c>
      <c r="O330" t="s">
        <v>5473</v>
      </c>
      <c r="P330" t="s">
        <v>9447</v>
      </c>
      <c r="Q330" t="s">
        <v>9421</v>
      </c>
      <c r="R330" t="s">
        <v>24</v>
      </c>
      <c r="S330" t="s">
        <v>1078</v>
      </c>
      <c r="T330" t="s">
        <v>1080</v>
      </c>
    </row>
    <row r="331" spans="1:20">
      <c r="A331" t="s">
        <v>1077</v>
      </c>
      <c r="B331" t="s">
        <v>62</v>
      </c>
      <c r="C331" t="s">
        <v>5474</v>
      </c>
      <c r="D331" t="s">
        <v>9448</v>
      </c>
      <c r="E331" t="s">
        <v>10270</v>
      </c>
      <c r="F331" t="s">
        <v>9412</v>
      </c>
      <c r="G331" t="s">
        <v>9413</v>
      </c>
      <c r="H331" t="s">
        <v>9414</v>
      </c>
      <c r="I331" t="s">
        <v>9886</v>
      </c>
      <c r="J331" t="s">
        <v>1043</v>
      </c>
      <c r="K331" t="s">
        <v>9416</v>
      </c>
      <c r="L331" t="s">
        <v>9417</v>
      </c>
      <c r="M331" t="s">
        <v>9436</v>
      </c>
      <c r="N331" t="s">
        <v>9430</v>
      </c>
      <c r="O331" t="s">
        <v>5476</v>
      </c>
      <c r="P331" t="s">
        <v>9474</v>
      </c>
      <c r="Q331" t="s">
        <v>9421</v>
      </c>
      <c r="R331" t="s">
        <v>43</v>
      </c>
      <c r="S331" t="s">
        <v>1082</v>
      </c>
      <c r="T331" t="s">
        <v>1084</v>
      </c>
    </row>
    <row r="332" spans="1:20">
      <c r="A332" t="s">
        <v>1860</v>
      </c>
      <c r="B332" t="s">
        <v>62</v>
      </c>
      <c r="C332" t="s">
        <v>1863</v>
      </c>
      <c r="D332" t="s">
        <v>10271</v>
      </c>
      <c r="E332" t="s">
        <v>10272</v>
      </c>
      <c r="F332" t="s">
        <v>9412</v>
      </c>
      <c r="G332" t="s">
        <v>9413</v>
      </c>
      <c r="H332" t="s">
        <v>1044</v>
      </c>
      <c r="I332" t="s">
        <v>10150</v>
      </c>
      <c r="J332" t="s">
        <v>1808</v>
      </c>
      <c r="K332" t="s">
        <v>9416</v>
      </c>
      <c r="L332" t="s">
        <v>9417</v>
      </c>
      <c r="M332" t="s">
        <v>9870</v>
      </c>
      <c r="N332" t="s">
        <v>9639</v>
      </c>
      <c r="O332" t="s">
        <v>6403</v>
      </c>
      <c r="P332" t="s">
        <v>9429</v>
      </c>
      <c r="Q332" t="s">
        <v>9421</v>
      </c>
      <c r="R332" t="s">
        <v>52</v>
      </c>
      <c r="S332" t="s">
        <v>1860</v>
      </c>
      <c r="T332" t="s">
        <v>1862</v>
      </c>
    </row>
    <row r="333" spans="1:20">
      <c r="A333" t="s">
        <v>10273</v>
      </c>
      <c r="B333" t="s">
        <v>9409</v>
      </c>
      <c r="C333" t="s">
        <v>10274</v>
      </c>
      <c r="D333" t="s">
        <v>9410</v>
      </c>
      <c r="E333" t="s">
        <v>10275</v>
      </c>
      <c r="F333" t="s">
        <v>9412</v>
      </c>
      <c r="G333" t="s">
        <v>9413</v>
      </c>
      <c r="H333" t="s">
        <v>9414</v>
      </c>
      <c r="I333" t="s">
        <v>10261</v>
      </c>
      <c r="J333" t="s">
        <v>1683</v>
      </c>
      <c r="K333" t="s">
        <v>9416</v>
      </c>
      <c r="L333" t="s">
        <v>9417</v>
      </c>
      <c r="M333" t="s">
        <v>9473</v>
      </c>
      <c r="N333" t="s">
        <v>9454</v>
      </c>
      <c r="O333" t="s">
        <v>10276</v>
      </c>
      <c r="P333" t="s">
        <v>9420</v>
      </c>
      <c r="Q333" t="s">
        <v>9421</v>
      </c>
      <c r="R333" t="s">
        <v>17</v>
      </c>
      <c r="S333" t="s">
        <v>10277</v>
      </c>
      <c r="T333" t="s">
        <v>10278</v>
      </c>
    </row>
    <row r="334" spans="1:20">
      <c r="A334" t="s">
        <v>1278</v>
      </c>
      <c r="B334" t="s">
        <v>20</v>
      </c>
      <c r="C334" t="s">
        <v>5726</v>
      </c>
      <c r="D334" t="s">
        <v>9464</v>
      </c>
      <c r="E334" t="s">
        <v>10279</v>
      </c>
      <c r="F334" t="s">
        <v>9412</v>
      </c>
      <c r="G334" t="s">
        <v>9413</v>
      </c>
      <c r="H334" t="s">
        <v>9414</v>
      </c>
      <c r="I334" t="s">
        <v>9469</v>
      </c>
      <c r="J334" t="s">
        <v>1246</v>
      </c>
      <c r="K334" t="s">
        <v>9416</v>
      </c>
      <c r="L334" t="s">
        <v>9417</v>
      </c>
      <c r="M334" t="s">
        <v>9458</v>
      </c>
      <c r="N334" t="s">
        <v>9419</v>
      </c>
      <c r="O334" t="s">
        <v>5724</v>
      </c>
      <c r="P334" t="s">
        <v>9420</v>
      </c>
      <c r="Q334" t="s">
        <v>9421</v>
      </c>
      <c r="R334" t="s">
        <v>17</v>
      </c>
      <c r="S334" t="s">
        <v>1278</v>
      </c>
      <c r="T334" t="s">
        <v>1280</v>
      </c>
    </row>
    <row r="335" spans="1:20">
      <c r="A335" t="s">
        <v>1278</v>
      </c>
      <c r="B335" t="s">
        <v>20</v>
      </c>
      <c r="C335" t="s">
        <v>5726</v>
      </c>
      <c r="D335" t="s">
        <v>9464</v>
      </c>
      <c r="E335" t="s">
        <v>10279</v>
      </c>
      <c r="F335" t="s">
        <v>9412</v>
      </c>
      <c r="G335" t="s">
        <v>9413</v>
      </c>
      <c r="H335" t="s">
        <v>9414</v>
      </c>
      <c r="I335" t="s">
        <v>9469</v>
      </c>
      <c r="J335" t="s">
        <v>1246</v>
      </c>
      <c r="K335" t="s">
        <v>9445</v>
      </c>
      <c r="L335" t="s">
        <v>9417</v>
      </c>
      <c r="M335" t="s">
        <v>9458</v>
      </c>
      <c r="N335" t="s">
        <v>9426</v>
      </c>
      <c r="O335" t="s">
        <v>9446</v>
      </c>
      <c r="P335" t="s">
        <v>9479</v>
      </c>
      <c r="Q335" t="s">
        <v>9421</v>
      </c>
      <c r="R335" t="s">
        <v>43</v>
      </c>
      <c r="S335" t="s">
        <v>1064</v>
      </c>
      <c r="T335" t="s">
        <v>1066</v>
      </c>
    </row>
    <row r="336" spans="1:20">
      <c r="A336" t="s">
        <v>5861</v>
      </c>
      <c r="B336" t="s">
        <v>9409</v>
      </c>
      <c r="C336" t="s">
        <v>5864</v>
      </c>
      <c r="D336" t="s">
        <v>9410</v>
      </c>
      <c r="E336" t="s">
        <v>10280</v>
      </c>
      <c r="F336" t="s">
        <v>9412</v>
      </c>
      <c r="G336" t="s">
        <v>9413</v>
      </c>
      <c r="H336" t="s">
        <v>9414</v>
      </c>
      <c r="I336" t="s">
        <v>10281</v>
      </c>
      <c r="J336" t="s">
        <v>1375</v>
      </c>
      <c r="K336" t="s">
        <v>9416</v>
      </c>
      <c r="L336" t="s">
        <v>9417</v>
      </c>
      <c r="M336" t="s">
        <v>9442</v>
      </c>
      <c r="N336" t="s">
        <v>9430</v>
      </c>
      <c r="O336" t="s">
        <v>5866</v>
      </c>
      <c r="P336" t="s">
        <v>9474</v>
      </c>
      <c r="Q336" t="s">
        <v>9421</v>
      </c>
      <c r="R336" t="s">
        <v>24</v>
      </c>
      <c r="S336" t="s">
        <v>1401</v>
      </c>
      <c r="T336" t="s">
        <v>1403</v>
      </c>
    </row>
    <row r="337" spans="1:20">
      <c r="A337" t="s">
        <v>5861</v>
      </c>
      <c r="B337" t="s">
        <v>9409</v>
      </c>
      <c r="C337" t="s">
        <v>5864</v>
      </c>
      <c r="D337" t="s">
        <v>9410</v>
      </c>
      <c r="E337" t="s">
        <v>10280</v>
      </c>
      <c r="F337" t="s">
        <v>9412</v>
      </c>
      <c r="G337" t="s">
        <v>9413</v>
      </c>
      <c r="H337" t="s">
        <v>9414</v>
      </c>
      <c r="I337" t="s">
        <v>10281</v>
      </c>
      <c r="J337" t="s">
        <v>1375</v>
      </c>
      <c r="K337" t="s">
        <v>9416</v>
      </c>
      <c r="L337" t="s">
        <v>9417</v>
      </c>
      <c r="M337" t="s">
        <v>9442</v>
      </c>
      <c r="N337" t="s">
        <v>9443</v>
      </c>
      <c r="O337" t="s">
        <v>5862</v>
      </c>
      <c r="P337" t="s">
        <v>9420</v>
      </c>
      <c r="Q337" t="s">
        <v>9421</v>
      </c>
      <c r="R337" t="s">
        <v>17</v>
      </c>
      <c r="S337" t="s">
        <v>5861</v>
      </c>
      <c r="T337" t="s">
        <v>10282</v>
      </c>
    </row>
    <row r="338" spans="1:20">
      <c r="A338" t="s">
        <v>2129</v>
      </c>
      <c r="B338" t="s">
        <v>20</v>
      </c>
      <c r="C338" t="s">
        <v>6781</v>
      </c>
      <c r="D338" t="s">
        <v>9460</v>
      </c>
      <c r="E338" t="s">
        <v>10283</v>
      </c>
      <c r="F338" t="s">
        <v>9412</v>
      </c>
      <c r="G338" t="s">
        <v>9413</v>
      </c>
      <c r="H338" t="s">
        <v>9414</v>
      </c>
      <c r="I338" t="s">
        <v>9886</v>
      </c>
      <c r="J338" t="s">
        <v>2098</v>
      </c>
      <c r="K338" t="s">
        <v>9445</v>
      </c>
      <c r="L338" t="s">
        <v>9417</v>
      </c>
      <c r="M338" t="s">
        <v>9596</v>
      </c>
      <c r="N338" t="s">
        <v>9597</v>
      </c>
      <c r="O338" t="s">
        <v>9446</v>
      </c>
      <c r="P338" t="s">
        <v>9420</v>
      </c>
      <c r="Q338" t="s">
        <v>9421</v>
      </c>
      <c r="R338" t="s">
        <v>17</v>
      </c>
      <c r="S338" t="s">
        <v>2134</v>
      </c>
      <c r="T338" t="s">
        <v>2136</v>
      </c>
    </row>
    <row r="339" spans="1:20">
      <c r="A339" t="s">
        <v>2129</v>
      </c>
      <c r="B339" t="s">
        <v>20</v>
      </c>
      <c r="C339" t="s">
        <v>6781</v>
      </c>
      <c r="D339" t="s">
        <v>9460</v>
      </c>
      <c r="E339" t="s">
        <v>10283</v>
      </c>
      <c r="F339" t="s">
        <v>9412</v>
      </c>
      <c r="G339" t="s">
        <v>9413</v>
      </c>
      <c r="H339" t="s">
        <v>9414</v>
      </c>
      <c r="I339" t="s">
        <v>9886</v>
      </c>
      <c r="J339" t="s">
        <v>2098</v>
      </c>
      <c r="K339" t="s">
        <v>9445</v>
      </c>
      <c r="L339" t="s">
        <v>9417</v>
      </c>
      <c r="M339" t="s">
        <v>9596</v>
      </c>
      <c r="N339" t="s">
        <v>9426</v>
      </c>
      <c r="O339" t="s">
        <v>9446</v>
      </c>
      <c r="P339" t="s">
        <v>9524</v>
      </c>
      <c r="Q339" t="s">
        <v>9421</v>
      </c>
      <c r="R339" t="s">
        <v>24</v>
      </c>
      <c r="S339" t="s">
        <v>1480</v>
      </c>
      <c r="T339" t="s">
        <v>1482</v>
      </c>
    </row>
    <row r="340" spans="1:20">
      <c r="A340" t="s">
        <v>2129</v>
      </c>
      <c r="B340" t="s">
        <v>20</v>
      </c>
      <c r="C340" t="s">
        <v>6781</v>
      </c>
      <c r="D340" t="s">
        <v>9460</v>
      </c>
      <c r="E340" t="s">
        <v>10283</v>
      </c>
      <c r="F340" t="s">
        <v>9412</v>
      </c>
      <c r="G340" t="s">
        <v>9413</v>
      </c>
      <c r="H340" t="s">
        <v>9414</v>
      </c>
      <c r="I340" t="s">
        <v>9886</v>
      </c>
      <c r="J340" t="s">
        <v>2098</v>
      </c>
      <c r="K340" t="s">
        <v>9416</v>
      </c>
      <c r="L340" t="s">
        <v>9417</v>
      </c>
      <c r="M340" t="s">
        <v>9596</v>
      </c>
      <c r="N340" t="s">
        <v>9597</v>
      </c>
      <c r="O340" t="s">
        <v>6785</v>
      </c>
      <c r="P340" t="s">
        <v>9429</v>
      </c>
      <c r="Q340" t="s">
        <v>9421</v>
      </c>
      <c r="R340" t="s">
        <v>52</v>
      </c>
      <c r="S340" t="s">
        <v>1342</v>
      </c>
      <c r="T340" t="s">
        <v>2138</v>
      </c>
    </row>
    <row r="341" spans="1:20">
      <c r="A341" t="s">
        <v>2129</v>
      </c>
      <c r="B341" t="s">
        <v>20</v>
      </c>
      <c r="C341" t="s">
        <v>6781</v>
      </c>
      <c r="D341" t="s">
        <v>9460</v>
      </c>
      <c r="E341" t="s">
        <v>10283</v>
      </c>
      <c r="F341" t="s">
        <v>9412</v>
      </c>
      <c r="G341" t="s">
        <v>9413</v>
      </c>
      <c r="H341" t="s">
        <v>9414</v>
      </c>
      <c r="I341" t="s">
        <v>9886</v>
      </c>
      <c r="J341" t="s">
        <v>2098</v>
      </c>
      <c r="K341" t="s">
        <v>9416</v>
      </c>
      <c r="L341" t="s">
        <v>9417</v>
      </c>
      <c r="M341" t="s">
        <v>9596</v>
      </c>
      <c r="N341" t="s">
        <v>9597</v>
      </c>
      <c r="O341" t="s">
        <v>6780</v>
      </c>
      <c r="P341" t="s">
        <v>9623</v>
      </c>
      <c r="Q341" t="s">
        <v>9421</v>
      </c>
      <c r="R341" t="s">
        <v>24</v>
      </c>
      <c r="S341" t="s">
        <v>2130</v>
      </c>
      <c r="T341" t="s">
        <v>2132</v>
      </c>
    </row>
    <row r="342" spans="1:20">
      <c r="A342" t="s">
        <v>1864</v>
      </c>
      <c r="B342" t="s">
        <v>62</v>
      </c>
      <c r="C342" t="s">
        <v>10284</v>
      </c>
      <c r="D342" t="s">
        <v>445</v>
      </c>
      <c r="E342" t="s">
        <v>10285</v>
      </c>
      <c r="F342" t="s">
        <v>9412</v>
      </c>
      <c r="G342" t="s">
        <v>9413</v>
      </c>
      <c r="H342" t="s">
        <v>9414</v>
      </c>
      <c r="I342" t="s">
        <v>10286</v>
      </c>
      <c r="J342" t="s">
        <v>1808</v>
      </c>
      <c r="K342" t="s">
        <v>9445</v>
      </c>
      <c r="L342" t="s">
        <v>9417</v>
      </c>
      <c r="M342" t="s">
        <v>9833</v>
      </c>
      <c r="N342" t="s">
        <v>9426</v>
      </c>
      <c r="O342" t="s">
        <v>9446</v>
      </c>
      <c r="P342" t="s">
        <v>10069</v>
      </c>
      <c r="Q342" t="s">
        <v>9421</v>
      </c>
      <c r="R342" t="s">
        <v>24</v>
      </c>
      <c r="S342" t="s">
        <v>1865</v>
      </c>
      <c r="T342" t="s">
        <v>1867</v>
      </c>
    </row>
    <row r="343" spans="1:20">
      <c r="A343" t="s">
        <v>1864</v>
      </c>
      <c r="B343" t="s">
        <v>62</v>
      </c>
      <c r="C343" t="s">
        <v>10284</v>
      </c>
      <c r="D343" t="s">
        <v>445</v>
      </c>
      <c r="E343" t="s">
        <v>10285</v>
      </c>
      <c r="F343" t="s">
        <v>9412</v>
      </c>
      <c r="G343" t="s">
        <v>9413</v>
      </c>
      <c r="H343" t="s">
        <v>9414</v>
      </c>
      <c r="I343" t="s">
        <v>10286</v>
      </c>
      <c r="J343" t="s">
        <v>1808</v>
      </c>
      <c r="K343" t="s">
        <v>9416</v>
      </c>
      <c r="L343" t="s">
        <v>9417</v>
      </c>
      <c r="M343" t="s">
        <v>9833</v>
      </c>
      <c r="N343" t="s">
        <v>9639</v>
      </c>
      <c r="O343" t="s">
        <v>6410</v>
      </c>
      <c r="P343" t="s">
        <v>9459</v>
      </c>
      <c r="Q343" t="s">
        <v>9421</v>
      </c>
      <c r="R343" t="s">
        <v>17</v>
      </c>
      <c r="S343" t="s">
        <v>1864</v>
      </c>
      <c r="T343" t="s">
        <v>1870</v>
      </c>
    </row>
    <row r="344" spans="1:20">
      <c r="A344" t="s">
        <v>10287</v>
      </c>
      <c r="B344" t="s">
        <v>9409</v>
      </c>
      <c r="C344" t="s">
        <v>10288</v>
      </c>
      <c r="D344" t="s">
        <v>9410</v>
      </c>
      <c r="E344" t="s">
        <v>10289</v>
      </c>
      <c r="F344" t="s">
        <v>9412</v>
      </c>
      <c r="G344" t="s">
        <v>9413</v>
      </c>
      <c r="H344" t="s">
        <v>9414</v>
      </c>
      <c r="I344" t="s">
        <v>9469</v>
      </c>
      <c r="J344" t="s">
        <v>1043</v>
      </c>
      <c r="K344" t="s">
        <v>9445</v>
      </c>
      <c r="L344" t="s">
        <v>9417</v>
      </c>
      <c r="M344" t="s">
        <v>9512</v>
      </c>
      <c r="N344" t="s">
        <v>9426</v>
      </c>
      <c r="O344" t="s">
        <v>9446</v>
      </c>
      <c r="P344" t="s">
        <v>9479</v>
      </c>
      <c r="Q344" t="s">
        <v>9421</v>
      </c>
      <c r="R344" t="s">
        <v>43</v>
      </c>
      <c r="S344" t="s">
        <v>1064</v>
      </c>
      <c r="T344" t="s">
        <v>1066</v>
      </c>
    </row>
    <row r="345" spans="1:20">
      <c r="A345" t="s">
        <v>10287</v>
      </c>
      <c r="B345" t="s">
        <v>9409</v>
      </c>
      <c r="C345" t="s">
        <v>10288</v>
      </c>
      <c r="D345" t="s">
        <v>9410</v>
      </c>
      <c r="E345" t="s">
        <v>10289</v>
      </c>
      <c r="F345" t="s">
        <v>9412</v>
      </c>
      <c r="G345" t="s">
        <v>9413</v>
      </c>
      <c r="H345" t="s">
        <v>9414</v>
      </c>
      <c r="I345" t="s">
        <v>9469</v>
      </c>
      <c r="J345" t="s">
        <v>1043</v>
      </c>
      <c r="K345" t="s">
        <v>9416</v>
      </c>
      <c r="L345" t="s">
        <v>9417</v>
      </c>
      <c r="M345" t="s">
        <v>9512</v>
      </c>
      <c r="N345" t="s">
        <v>9437</v>
      </c>
      <c r="O345" t="s">
        <v>10290</v>
      </c>
      <c r="P345" t="s">
        <v>9647</v>
      </c>
      <c r="Q345" t="s">
        <v>9421</v>
      </c>
      <c r="R345" t="s">
        <v>84</v>
      </c>
      <c r="S345" t="s">
        <v>10287</v>
      </c>
      <c r="T345" t="s">
        <v>10291</v>
      </c>
    </row>
    <row r="346" spans="1:20">
      <c r="A346" t="s">
        <v>10287</v>
      </c>
      <c r="B346" t="s">
        <v>9409</v>
      </c>
      <c r="C346" t="s">
        <v>10288</v>
      </c>
      <c r="D346" t="s">
        <v>9410</v>
      </c>
      <c r="E346" t="s">
        <v>10289</v>
      </c>
      <c r="F346" t="s">
        <v>9412</v>
      </c>
      <c r="G346" t="s">
        <v>9413</v>
      </c>
      <c r="H346" t="s">
        <v>9414</v>
      </c>
      <c r="I346" t="s">
        <v>9469</v>
      </c>
      <c r="J346" t="s">
        <v>1043</v>
      </c>
      <c r="K346" t="s">
        <v>9445</v>
      </c>
      <c r="L346" t="s">
        <v>9417</v>
      </c>
      <c r="M346" t="s">
        <v>9512</v>
      </c>
      <c r="N346" t="s">
        <v>9426</v>
      </c>
      <c r="O346" t="s">
        <v>9446</v>
      </c>
      <c r="P346" t="s">
        <v>9655</v>
      </c>
      <c r="Q346" t="s">
        <v>9421</v>
      </c>
      <c r="R346" t="s">
        <v>56</v>
      </c>
      <c r="S346" t="s">
        <v>1353</v>
      </c>
      <c r="T346" t="s">
        <v>1355</v>
      </c>
    </row>
    <row r="347" spans="1:20">
      <c r="A347" t="s">
        <v>10292</v>
      </c>
      <c r="B347" t="s">
        <v>9409</v>
      </c>
      <c r="C347" t="s">
        <v>10293</v>
      </c>
      <c r="D347" t="s">
        <v>9410</v>
      </c>
      <c r="E347" t="s">
        <v>10294</v>
      </c>
      <c r="F347" t="s">
        <v>9412</v>
      </c>
      <c r="G347" t="s">
        <v>9413</v>
      </c>
      <c r="H347" t="s">
        <v>9414</v>
      </c>
      <c r="I347" t="s">
        <v>10261</v>
      </c>
      <c r="J347" t="s">
        <v>1589</v>
      </c>
      <c r="K347" t="s">
        <v>9416</v>
      </c>
      <c r="L347" t="s">
        <v>9417</v>
      </c>
      <c r="M347" t="s">
        <v>9788</v>
      </c>
      <c r="N347" t="s">
        <v>9716</v>
      </c>
      <c r="O347" t="s">
        <v>10295</v>
      </c>
      <c r="P347" t="s">
        <v>9420</v>
      </c>
      <c r="Q347" t="s">
        <v>9421</v>
      </c>
      <c r="R347" t="s">
        <v>17</v>
      </c>
      <c r="S347" t="s">
        <v>10292</v>
      </c>
      <c r="T347" t="s">
        <v>10296</v>
      </c>
    </row>
    <row r="348" spans="1:20">
      <c r="A348" t="s">
        <v>2062</v>
      </c>
      <c r="B348" t="s">
        <v>62</v>
      </c>
      <c r="C348" t="s">
        <v>6694</v>
      </c>
      <c r="D348" t="s">
        <v>9448</v>
      </c>
      <c r="E348" t="s">
        <v>10297</v>
      </c>
      <c r="F348" t="s">
        <v>9412</v>
      </c>
      <c r="G348" t="s">
        <v>9413</v>
      </c>
      <c r="H348" t="s">
        <v>9414</v>
      </c>
      <c r="I348" t="s">
        <v>9477</v>
      </c>
      <c r="J348" t="s">
        <v>2026</v>
      </c>
      <c r="K348" t="s">
        <v>9416</v>
      </c>
      <c r="L348" t="s">
        <v>9417</v>
      </c>
      <c r="M348" t="s">
        <v>9602</v>
      </c>
      <c r="N348" t="s">
        <v>9480</v>
      </c>
      <c r="O348" t="s">
        <v>6692</v>
      </c>
      <c r="P348" t="s">
        <v>9459</v>
      </c>
      <c r="Q348" t="s">
        <v>9421</v>
      </c>
      <c r="R348" t="s">
        <v>17</v>
      </c>
      <c r="S348" t="s">
        <v>2063</v>
      </c>
      <c r="T348" t="s">
        <v>2065</v>
      </c>
    </row>
    <row r="349" spans="1:20">
      <c r="A349" t="s">
        <v>5478</v>
      </c>
      <c r="B349" t="s">
        <v>9409</v>
      </c>
      <c r="C349" t="s">
        <v>10298</v>
      </c>
      <c r="D349" t="s">
        <v>9410</v>
      </c>
      <c r="E349" t="s">
        <v>10299</v>
      </c>
      <c r="F349" t="s">
        <v>9412</v>
      </c>
      <c r="G349" t="s">
        <v>9413</v>
      </c>
      <c r="H349" t="s">
        <v>1044</v>
      </c>
      <c r="I349" t="s">
        <v>10265</v>
      </c>
      <c r="J349" t="s">
        <v>1043</v>
      </c>
      <c r="K349" t="s">
        <v>9416</v>
      </c>
      <c r="L349" t="s">
        <v>9417</v>
      </c>
      <c r="M349" t="s">
        <v>9512</v>
      </c>
      <c r="N349" t="s">
        <v>9437</v>
      </c>
      <c r="O349" t="s">
        <v>5479</v>
      </c>
      <c r="P349" t="s">
        <v>9420</v>
      </c>
      <c r="Q349" t="s">
        <v>9421</v>
      </c>
      <c r="R349" t="s">
        <v>17</v>
      </c>
      <c r="S349" t="s">
        <v>5478</v>
      </c>
      <c r="T349" t="s">
        <v>10300</v>
      </c>
    </row>
    <row r="350" spans="1:20">
      <c r="A350" t="s">
        <v>5478</v>
      </c>
      <c r="B350" t="s">
        <v>9409</v>
      </c>
      <c r="C350" t="s">
        <v>10298</v>
      </c>
      <c r="D350" t="s">
        <v>9410</v>
      </c>
      <c r="E350" t="s">
        <v>10299</v>
      </c>
      <c r="F350" t="s">
        <v>9412</v>
      </c>
      <c r="G350" t="s">
        <v>9413</v>
      </c>
      <c r="H350" t="s">
        <v>1044</v>
      </c>
      <c r="I350" t="s">
        <v>10265</v>
      </c>
      <c r="J350" t="s">
        <v>1043</v>
      </c>
      <c r="K350" t="s">
        <v>9416</v>
      </c>
      <c r="L350" t="s">
        <v>9417</v>
      </c>
      <c r="M350" t="s">
        <v>9512</v>
      </c>
      <c r="N350" t="s">
        <v>9430</v>
      </c>
      <c r="O350" t="s">
        <v>5471</v>
      </c>
      <c r="P350" t="s">
        <v>10267</v>
      </c>
      <c r="Q350" t="s">
        <v>9421</v>
      </c>
      <c r="R350" t="s">
        <v>24</v>
      </c>
      <c r="S350" t="s">
        <v>5470</v>
      </c>
      <c r="T350" t="s">
        <v>10268</v>
      </c>
    </row>
    <row r="351" spans="1:20">
      <c r="A351" t="s">
        <v>6787</v>
      </c>
      <c r="B351" t="s">
        <v>9409</v>
      </c>
      <c r="C351" t="s">
        <v>6791</v>
      </c>
      <c r="D351" t="s">
        <v>9410</v>
      </c>
      <c r="E351" t="s">
        <v>10301</v>
      </c>
      <c r="F351" t="s">
        <v>9412</v>
      </c>
      <c r="G351" t="s">
        <v>9413</v>
      </c>
      <c r="H351" t="s">
        <v>9414</v>
      </c>
      <c r="I351" t="s">
        <v>10302</v>
      </c>
      <c r="J351" t="s">
        <v>2098</v>
      </c>
      <c r="K351" t="s">
        <v>9416</v>
      </c>
      <c r="L351" t="s">
        <v>9417</v>
      </c>
      <c r="M351" t="s">
        <v>9442</v>
      </c>
      <c r="N351" t="s">
        <v>9597</v>
      </c>
      <c r="O351" t="s">
        <v>6789</v>
      </c>
      <c r="P351" t="s">
        <v>9647</v>
      </c>
      <c r="Q351" t="s">
        <v>9421</v>
      </c>
      <c r="R351" t="s">
        <v>84</v>
      </c>
      <c r="S351" t="s">
        <v>6788</v>
      </c>
      <c r="T351" t="s">
        <v>10303</v>
      </c>
    </row>
    <row r="352" spans="1:20">
      <c r="A352" t="s">
        <v>6787</v>
      </c>
      <c r="B352" t="s">
        <v>9409</v>
      </c>
      <c r="C352" t="s">
        <v>6791</v>
      </c>
      <c r="D352" t="s">
        <v>9410</v>
      </c>
      <c r="E352" t="s">
        <v>10301</v>
      </c>
      <c r="F352" t="s">
        <v>9412</v>
      </c>
      <c r="G352" t="s">
        <v>9413</v>
      </c>
      <c r="H352" t="s">
        <v>9414</v>
      </c>
      <c r="I352" t="s">
        <v>10302</v>
      </c>
      <c r="J352" t="s">
        <v>2098</v>
      </c>
      <c r="K352" t="s">
        <v>9416</v>
      </c>
      <c r="L352" t="s">
        <v>9417</v>
      </c>
      <c r="M352" t="s">
        <v>9442</v>
      </c>
      <c r="N352" t="s">
        <v>9430</v>
      </c>
      <c r="O352" t="s">
        <v>6794</v>
      </c>
      <c r="P352" t="s">
        <v>10178</v>
      </c>
      <c r="Q352" t="s">
        <v>9421</v>
      </c>
      <c r="R352" t="s">
        <v>24</v>
      </c>
      <c r="S352" t="s">
        <v>6793</v>
      </c>
      <c r="T352" t="s">
        <v>10179</v>
      </c>
    </row>
    <row r="353" spans="1:20">
      <c r="A353" t="s">
        <v>6142</v>
      </c>
      <c r="B353" t="s">
        <v>9409</v>
      </c>
      <c r="C353" t="s">
        <v>6145</v>
      </c>
      <c r="D353" t="s">
        <v>9410</v>
      </c>
      <c r="E353" t="s">
        <v>10304</v>
      </c>
      <c r="F353" t="s">
        <v>9412</v>
      </c>
      <c r="G353" t="s">
        <v>9413</v>
      </c>
      <c r="H353" t="s">
        <v>9414</v>
      </c>
      <c r="I353" t="s">
        <v>9462</v>
      </c>
      <c r="J353" t="s">
        <v>1589</v>
      </c>
      <c r="K353" t="s">
        <v>9416</v>
      </c>
      <c r="L353" t="s">
        <v>9417</v>
      </c>
      <c r="M353" t="s">
        <v>9715</v>
      </c>
      <c r="N353" t="s">
        <v>9716</v>
      </c>
      <c r="O353" t="s">
        <v>6143</v>
      </c>
      <c r="P353" t="s">
        <v>9420</v>
      </c>
      <c r="Q353" t="s">
        <v>9421</v>
      </c>
      <c r="R353" t="s">
        <v>17</v>
      </c>
      <c r="S353" t="s">
        <v>6142</v>
      </c>
      <c r="T353" t="s">
        <v>10305</v>
      </c>
    </row>
    <row r="354" spans="1:20">
      <c r="A354" t="s">
        <v>10306</v>
      </c>
      <c r="B354" t="s">
        <v>9409</v>
      </c>
      <c r="C354" t="s">
        <v>10307</v>
      </c>
      <c r="D354" t="s">
        <v>9410</v>
      </c>
      <c r="E354" t="s">
        <v>10308</v>
      </c>
      <c r="F354" t="s">
        <v>9412</v>
      </c>
      <c r="G354" t="s">
        <v>9413</v>
      </c>
      <c r="H354" t="s">
        <v>9414</v>
      </c>
      <c r="I354" t="s">
        <v>9477</v>
      </c>
      <c r="J354" t="s">
        <v>1683</v>
      </c>
      <c r="K354" t="s">
        <v>9416</v>
      </c>
      <c r="L354" t="s">
        <v>9417</v>
      </c>
      <c r="M354" t="s">
        <v>9473</v>
      </c>
      <c r="N354" t="s">
        <v>9426</v>
      </c>
      <c r="O354" t="s">
        <v>5856</v>
      </c>
      <c r="P354" t="s">
        <v>9420</v>
      </c>
      <c r="Q354" t="s">
        <v>9421</v>
      </c>
      <c r="R354" t="s">
        <v>17</v>
      </c>
      <c r="S354" t="s">
        <v>1391</v>
      </c>
      <c r="T354" t="s">
        <v>1393</v>
      </c>
    </row>
    <row r="355" spans="1:20">
      <c r="A355" t="s">
        <v>10306</v>
      </c>
      <c r="B355" t="s">
        <v>9409</v>
      </c>
      <c r="C355" t="s">
        <v>10307</v>
      </c>
      <c r="D355" t="s">
        <v>9410</v>
      </c>
      <c r="E355" t="s">
        <v>10308</v>
      </c>
      <c r="F355" t="s">
        <v>9412</v>
      </c>
      <c r="G355" t="s">
        <v>9413</v>
      </c>
      <c r="H355" t="s">
        <v>9414</v>
      </c>
      <c r="I355" t="s">
        <v>9477</v>
      </c>
      <c r="J355" t="s">
        <v>1683</v>
      </c>
      <c r="K355" t="s">
        <v>9416</v>
      </c>
      <c r="L355" t="s">
        <v>9417</v>
      </c>
      <c r="M355" t="s">
        <v>9473</v>
      </c>
      <c r="N355" t="s">
        <v>9454</v>
      </c>
      <c r="O355" t="s">
        <v>10309</v>
      </c>
      <c r="P355" t="s">
        <v>9420</v>
      </c>
      <c r="Q355" t="s">
        <v>9421</v>
      </c>
      <c r="R355" t="s">
        <v>17</v>
      </c>
      <c r="S355" t="s">
        <v>10306</v>
      </c>
      <c r="T355" t="s">
        <v>10310</v>
      </c>
    </row>
    <row r="356" spans="1:20">
      <c r="A356" t="s">
        <v>6843</v>
      </c>
      <c r="B356" t="s">
        <v>9409</v>
      </c>
      <c r="C356" t="s">
        <v>6846</v>
      </c>
      <c r="D356" t="s">
        <v>9410</v>
      </c>
      <c r="E356" t="s">
        <v>10311</v>
      </c>
      <c r="F356" t="s">
        <v>9412</v>
      </c>
      <c r="G356" t="s">
        <v>9413</v>
      </c>
      <c r="H356" t="s">
        <v>9414</v>
      </c>
      <c r="I356" t="s">
        <v>10281</v>
      </c>
      <c r="J356" t="s">
        <v>2174</v>
      </c>
      <c r="K356" t="s">
        <v>9416</v>
      </c>
      <c r="L356" t="s">
        <v>9417</v>
      </c>
      <c r="M356" t="s">
        <v>9534</v>
      </c>
      <c r="N356" t="s">
        <v>9621</v>
      </c>
      <c r="O356" t="s">
        <v>6844</v>
      </c>
      <c r="P356" t="s">
        <v>9420</v>
      </c>
      <c r="Q356" t="s">
        <v>9421</v>
      </c>
      <c r="R356" t="s">
        <v>17</v>
      </c>
      <c r="S356" t="s">
        <v>6843</v>
      </c>
      <c r="T356" t="s">
        <v>10312</v>
      </c>
    </row>
    <row r="357" spans="1:20">
      <c r="A357" t="s">
        <v>2139</v>
      </c>
      <c r="B357" t="s">
        <v>62</v>
      </c>
      <c r="C357" t="s">
        <v>6798</v>
      </c>
      <c r="D357" t="s">
        <v>9448</v>
      </c>
      <c r="E357" t="s">
        <v>10313</v>
      </c>
      <c r="F357" t="s">
        <v>9412</v>
      </c>
      <c r="G357" t="s">
        <v>9413</v>
      </c>
      <c r="H357" t="s">
        <v>9414</v>
      </c>
      <c r="I357" t="s">
        <v>10302</v>
      </c>
      <c r="J357" t="s">
        <v>2098</v>
      </c>
      <c r="K357" t="s">
        <v>9416</v>
      </c>
      <c r="L357" t="s">
        <v>9417</v>
      </c>
      <c r="M357" t="s">
        <v>9596</v>
      </c>
      <c r="N357" t="s">
        <v>9446</v>
      </c>
      <c r="O357" t="s">
        <v>6800</v>
      </c>
      <c r="P357" t="s">
        <v>9655</v>
      </c>
      <c r="Q357" t="s">
        <v>9421</v>
      </c>
      <c r="R357" t="s">
        <v>56</v>
      </c>
      <c r="S357" t="s">
        <v>2144</v>
      </c>
      <c r="T357" t="s">
        <v>2146</v>
      </c>
    </row>
    <row r="358" spans="1:20">
      <c r="A358" t="s">
        <v>2139</v>
      </c>
      <c r="B358" t="s">
        <v>62</v>
      </c>
      <c r="C358" t="s">
        <v>6798</v>
      </c>
      <c r="D358" t="s">
        <v>9448</v>
      </c>
      <c r="E358" t="s">
        <v>10313</v>
      </c>
      <c r="F358" t="s">
        <v>9412</v>
      </c>
      <c r="G358" t="s">
        <v>9413</v>
      </c>
      <c r="H358" t="s">
        <v>9414</v>
      </c>
      <c r="I358" t="s">
        <v>10302</v>
      </c>
      <c r="J358" t="s">
        <v>2098</v>
      </c>
      <c r="K358" t="s">
        <v>9416</v>
      </c>
      <c r="L358" t="s">
        <v>9417</v>
      </c>
      <c r="M358" t="s">
        <v>9596</v>
      </c>
      <c r="N358" t="s">
        <v>9597</v>
      </c>
      <c r="O358" t="s">
        <v>6796</v>
      </c>
      <c r="P358" t="s">
        <v>9429</v>
      </c>
      <c r="Q358" t="s">
        <v>9421</v>
      </c>
      <c r="R358" t="s">
        <v>52</v>
      </c>
      <c r="S358" t="s">
        <v>2140</v>
      </c>
      <c r="T358" t="s">
        <v>2142</v>
      </c>
    </row>
    <row r="359" spans="1:20">
      <c r="A359" t="s">
        <v>2139</v>
      </c>
      <c r="B359" t="s">
        <v>62</v>
      </c>
      <c r="C359" t="s">
        <v>6798</v>
      </c>
      <c r="D359" t="s">
        <v>9448</v>
      </c>
      <c r="E359" t="s">
        <v>10313</v>
      </c>
      <c r="F359" t="s">
        <v>9412</v>
      </c>
      <c r="G359" t="s">
        <v>9413</v>
      </c>
      <c r="H359" t="s">
        <v>9414</v>
      </c>
      <c r="I359" t="s">
        <v>10302</v>
      </c>
      <c r="J359" t="s">
        <v>2098</v>
      </c>
      <c r="K359" t="s">
        <v>9416</v>
      </c>
      <c r="L359" t="s">
        <v>9417</v>
      </c>
      <c r="M359" t="s">
        <v>9596</v>
      </c>
      <c r="N359" t="s">
        <v>9430</v>
      </c>
      <c r="O359" t="s">
        <v>6804</v>
      </c>
      <c r="P359" t="s">
        <v>9431</v>
      </c>
      <c r="Q359" t="s">
        <v>9421</v>
      </c>
      <c r="R359" t="s">
        <v>24</v>
      </c>
      <c r="S359" t="s">
        <v>2150</v>
      </c>
      <c r="T359" t="s">
        <v>2152</v>
      </c>
    </row>
    <row r="360" spans="1:20">
      <c r="A360" t="s">
        <v>2139</v>
      </c>
      <c r="B360" t="s">
        <v>62</v>
      </c>
      <c r="C360" t="s">
        <v>6798</v>
      </c>
      <c r="D360" t="s">
        <v>9448</v>
      </c>
      <c r="E360" t="s">
        <v>10313</v>
      </c>
      <c r="F360" t="s">
        <v>9412</v>
      </c>
      <c r="G360" t="s">
        <v>9413</v>
      </c>
      <c r="H360" t="s">
        <v>9414</v>
      </c>
      <c r="I360" t="s">
        <v>10302</v>
      </c>
      <c r="J360" t="s">
        <v>2098</v>
      </c>
      <c r="K360" t="s">
        <v>9416</v>
      </c>
      <c r="L360" t="s">
        <v>9417</v>
      </c>
      <c r="M360" t="s">
        <v>9596</v>
      </c>
      <c r="N360" t="s">
        <v>9446</v>
      </c>
      <c r="O360" t="s">
        <v>6802</v>
      </c>
      <c r="P360" t="s">
        <v>9655</v>
      </c>
      <c r="Q360" t="s">
        <v>9421</v>
      </c>
      <c r="R360" t="s">
        <v>56</v>
      </c>
      <c r="S360" t="s">
        <v>2147</v>
      </c>
      <c r="T360" t="s">
        <v>2149</v>
      </c>
    </row>
    <row r="361" spans="1:20">
      <c r="A361" t="s">
        <v>6147</v>
      </c>
      <c r="B361" t="s">
        <v>9409</v>
      </c>
      <c r="C361" t="s">
        <v>6150</v>
      </c>
      <c r="D361" t="s">
        <v>9410</v>
      </c>
      <c r="E361" t="s">
        <v>10314</v>
      </c>
      <c r="F361" t="s">
        <v>9412</v>
      </c>
      <c r="G361" t="s">
        <v>9413</v>
      </c>
      <c r="H361" t="s">
        <v>9414</v>
      </c>
      <c r="I361" t="s">
        <v>9729</v>
      </c>
      <c r="J361" t="s">
        <v>1589</v>
      </c>
      <c r="K361" t="s">
        <v>9416</v>
      </c>
      <c r="L361" t="s">
        <v>9417</v>
      </c>
      <c r="M361" t="s">
        <v>9715</v>
      </c>
      <c r="N361" t="s">
        <v>9716</v>
      </c>
      <c r="O361" t="s">
        <v>6148</v>
      </c>
      <c r="P361" t="s">
        <v>9420</v>
      </c>
      <c r="Q361" t="s">
        <v>9421</v>
      </c>
      <c r="R361" t="s">
        <v>17</v>
      </c>
      <c r="S361" t="s">
        <v>6147</v>
      </c>
      <c r="T361" t="s">
        <v>10315</v>
      </c>
    </row>
    <row r="362" spans="1:20">
      <c r="A362" t="s">
        <v>6696</v>
      </c>
      <c r="B362" t="s">
        <v>9409</v>
      </c>
      <c r="C362" t="s">
        <v>6699</v>
      </c>
      <c r="D362" t="s">
        <v>9410</v>
      </c>
      <c r="E362" t="s">
        <v>10316</v>
      </c>
      <c r="F362" t="s">
        <v>9412</v>
      </c>
      <c r="G362" t="s">
        <v>9413</v>
      </c>
      <c r="H362" t="s">
        <v>9414</v>
      </c>
      <c r="I362" t="s">
        <v>10261</v>
      </c>
      <c r="J362" t="s">
        <v>2026</v>
      </c>
      <c r="K362" t="s">
        <v>9416</v>
      </c>
      <c r="L362" t="s">
        <v>9417</v>
      </c>
      <c r="M362" t="s">
        <v>9971</v>
      </c>
      <c r="N362" t="s">
        <v>9480</v>
      </c>
      <c r="O362" t="s">
        <v>6697</v>
      </c>
      <c r="P362" t="s">
        <v>9420</v>
      </c>
      <c r="Q362" t="s">
        <v>9421</v>
      </c>
      <c r="R362" t="s">
        <v>17</v>
      </c>
      <c r="S362" t="s">
        <v>6696</v>
      </c>
      <c r="T362" t="s">
        <v>10317</v>
      </c>
    </row>
    <row r="363" spans="1:20">
      <c r="A363" t="s">
        <v>10318</v>
      </c>
      <c r="B363" t="s">
        <v>9409</v>
      </c>
      <c r="C363" t="s">
        <v>10319</v>
      </c>
      <c r="D363" t="s">
        <v>9410</v>
      </c>
      <c r="E363" t="s">
        <v>10320</v>
      </c>
      <c r="F363" t="s">
        <v>9412</v>
      </c>
      <c r="G363" t="s">
        <v>9413</v>
      </c>
      <c r="H363" t="s">
        <v>9414</v>
      </c>
      <c r="I363" t="s">
        <v>9462</v>
      </c>
      <c r="J363" t="s">
        <v>2026</v>
      </c>
      <c r="K363" t="s">
        <v>9416</v>
      </c>
      <c r="L363" t="s">
        <v>9417</v>
      </c>
      <c r="M363" t="s">
        <v>9971</v>
      </c>
      <c r="N363" t="s">
        <v>9480</v>
      </c>
      <c r="O363" t="s">
        <v>10321</v>
      </c>
      <c r="P363" t="s">
        <v>9429</v>
      </c>
      <c r="Q363" t="s">
        <v>9421</v>
      </c>
      <c r="R363" t="s">
        <v>52</v>
      </c>
      <c r="S363" t="s">
        <v>10318</v>
      </c>
      <c r="T363" t="s">
        <v>10322</v>
      </c>
    </row>
    <row r="364" spans="1:20">
      <c r="A364" t="s">
        <v>1644</v>
      </c>
      <c r="B364" t="s">
        <v>62</v>
      </c>
      <c r="C364" t="s">
        <v>6154</v>
      </c>
      <c r="D364" t="s">
        <v>9448</v>
      </c>
      <c r="E364" t="s">
        <v>10323</v>
      </c>
      <c r="F364" t="s">
        <v>9412</v>
      </c>
      <c r="G364" t="s">
        <v>9413</v>
      </c>
      <c r="H364" t="s">
        <v>9414</v>
      </c>
      <c r="I364" t="s">
        <v>10265</v>
      </c>
      <c r="J364" t="s">
        <v>1589</v>
      </c>
      <c r="K364" t="s">
        <v>9416</v>
      </c>
      <c r="L364" t="s">
        <v>9417</v>
      </c>
      <c r="M364" t="s">
        <v>9715</v>
      </c>
      <c r="N364" t="s">
        <v>9430</v>
      </c>
      <c r="O364" t="s">
        <v>6104</v>
      </c>
      <c r="P364" t="s">
        <v>9431</v>
      </c>
      <c r="Q364" t="s">
        <v>9421</v>
      </c>
      <c r="R364" t="s">
        <v>24</v>
      </c>
      <c r="S364" t="s">
        <v>1612</v>
      </c>
      <c r="T364" t="s">
        <v>1614</v>
      </c>
    </row>
    <row r="365" spans="1:20">
      <c r="A365" t="s">
        <v>1644</v>
      </c>
      <c r="B365" t="s">
        <v>62</v>
      </c>
      <c r="C365" t="s">
        <v>6154</v>
      </c>
      <c r="D365" t="s">
        <v>9448</v>
      </c>
      <c r="E365" t="s">
        <v>10323</v>
      </c>
      <c r="F365" t="s">
        <v>9412</v>
      </c>
      <c r="G365" t="s">
        <v>9413</v>
      </c>
      <c r="H365" t="s">
        <v>9414</v>
      </c>
      <c r="I365" t="s">
        <v>10265</v>
      </c>
      <c r="J365" t="s">
        <v>1589</v>
      </c>
      <c r="K365" t="s">
        <v>9416</v>
      </c>
      <c r="L365" t="s">
        <v>9417</v>
      </c>
      <c r="M365" t="s">
        <v>9715</v>
      </c>
      <c r="N365" t="s">
        <v>9716</v>
      </c>
      <c r="O365" t="s">
        <v>6152</v>
      </c>
      <c r="P365" t="s">
        <v>9420</v>
      </c>
      <c r="Q365" t="s">
        <v>9421</v>
      </c>
      <c r="R365" t="s">
        <v>17</v>
      </c>
      <c r="S365" t="s">
        <v>1644</v>
      </c>
      <c r="T365" t="s">
        <v>1646</v>
      </c>
    </row>
    <row r="366" spans="1:20">
      <c r="A366" t="s">
        <v>1282</v>
      </c>
      <c r="B366" t="s">
        <v>20</v>
      </c>
      <c r="C366" t="s">
        <v>5730</v>
      </c>
      <c r="D366" t="s">
        <v>9475</v>
      </c>
      <c r="E366" t="s">
        <v>10324</v>
      </c>
      <c r="F366" t="s">
        <v>9601</v>
      </c>
      <c r="G366" t="s">
        <v>9413</v>
      </c>
      <c r="H366" t="s">
        <v>9414</v>
      </c>
      <c r="I366" t="s">
        <v>9874</v>
      </c>
      <c r="J366" t="s">
        <v>1246</v>
      </c>
      <c r="K366" t="s">
        <v>9416</v>
      </c>
      <c r="L366" t="s">
        <v>9417</v>
      </c>
      <c r="M366" t="s">
        <v>9467</v>
      </c>
      <c r="N366" t="s">
        <v>9419</v>
      </c>
      <c r="O366" t="s">
        <v>5728</v>
      </c>
      <c r="P366" t="s">
        <v>9429</v>
      </c>
      <c r="Q366" t="s">
        <v>9421</v>
      </c>
      <c r="R366" t="s">
        <v>52</v>
      </c>
      <c r="S366" t="s">
        <v>1283</v>
      </c>
      <c r="T366" t="s">
        <v>1285</v>
      </c>
    </row>
    <row r="367" spans="1:20">
      <c r="A367" t="s">
        <v>1282</v>
      </c>
      <c r="B367" t="s">
        <v>20</v>
      </c>
      <c r="C367" t="s">
        <v>5730</v>
      </c>
      <c r="D367" t="s">
        <v>9475</v>
      </c>
      <c r="E367" t="s">
        <v>10324</v>
      </c>
      <c r="F367" t="s">
        <v>9601</v>
      </c>
      <c r="G367" t="s">
        <v>9413</v>
      </c>
      <c r="H367" t="s">
        <v>9414</v>
      </c>
      <c r="I367" t="s">
        <v>9874</v>
      </c>
      <c r="J367" t="s">
        <v>1246</v>
      </c>
      <c r="K367" t="s">
        <v>9416</v>
      </c>
      <c r="L367" t="s">
        <v>9417</v>
      </c>
      <c r="M367" t="s">
        <v>9467</v>
      </c>
      <c r="N367" t="s">
        <v>9419</v>
      </c>
      <c r="O367" t="s">
        <v>10325</v>
      </c>
      <c r="P367" t="s">
        <v>9603</v>
      </c>
      <c r="Q367" t="s">
        <v>9421</v>
      </c>
      <c r="R367" t="s">
        <v>9604</v>
      </c>
      <c r="S367" t="s">
        <v>10326</v>
      </c>
      <c r="T367" t="s">
        <v>10327</v>
      </c>
    </row>
    <row r="368" spans="1:20">
      <c r="A368" t="s">
        <v>1971</v>
      </c>
      <c r="B368" t="s">
        <v>20</v>
      </c>
      <c r="C368" t="s">
        <v>6566</v>
      </c>
      <c r="D368" t="s">
        <v>9460</v>
      </c>
      <c r="E368" t="s">
        <v>10328</v>
      </c>
      <c r="F368" t="s">
        <v>9412</v>
      </c>
      <c r="G368" t="s">
        <v>9413</v>
      </c>
      <c r="H368" t="s">
        <v>9414</v>
      </c>
      <c r="I368" t="s">
        <v>9441</v>
      </c>
      <c r="J368" t="s">
        <v>1920</v>
      </c>
      <c r="K368" t="s">
        <v>9445</v>
      </c>
      <c r="L368" t="s">
        <v>9417</v>
      </c>
      <c r="M368" t="s">
        <v>9831</v>
      </c>
      <c r="N368" t="s">
        <v>9426</v>
      </c>
      <c r="O368" t="s">
        <v>9446</v>
      </c>
      <c r="P368" t="s">
        <v>9647</v>
      </c>
      <c r="Q368" t="s">
        <v>9421</v>
      </c>
      <c r="R368" t="s">
        <v>84</v>
      </c>
      <c r="S368" t="s">
        <v>1978</v>
      </c>
      <c r="T368" t="s">
        <v>1980</v>
      </c>
    </row>
    <row r="369" spans="1:20">
      <c r="A369" t="s">
        <v>1971</v>
      </c>
      <c r="B369" t="s">
        <v>20</v>
      </c>
      <c r="C369" t="s">
        <v>6566</v>
      </c>
      <c r="D369" t="s">
        <v>9460</v>
      </c>
      <c r="E369" t="s">
        <v>10328</v>
      </c>
      <c r="F369" t="s">
        <v>9412</v>
      </c>
      <c r="G369" t="s">
        <v>9413</v>
      </c>
      <c r="H369" t="s">
        <v>9414</v>
      </c>
      <c r="I369" t="s">
        <v>9441</v>
      </c>
      <c r="J369" t="s">
        <v>1920</v>
      </c>
      <c r="K369" t="s">
        <v>9416</v>
      </c>
      <c r="L369" t="s">
        <v>9417</v>
      </c>
      <c r="M369" t="s">
        <v>9831</v>
      </c>
      <c r="N369" t="s">
        <v>9608</v>
      </c>
      <c r="O369" t="s">
        <v>6564</v>
      </c>
      <c r="P369" t="s">
        <v>9429</v>
      </c>
      <c r="Q369" t="s">
        <v>9421</v>
      </c>
      <c r="R369" t="s">
        <v>52</v>
      </c>
      <c r="S369" t="s">
        <v>1971</v>
      </c>
      <c r="T369" t="s">
        <v>1973</v>
      </c>
    </row>
    <row r="370" spans="1:20">
      <c r="A370" t="s">
        <v>1971</v>
      </c>
      <c r="B370" t="s">
        <v>20</v>
      </c>
      <c r="C370" t="s">
        <v>6566</v>
      </c>
      <c r="D370" t="s">
        <v>9460</v>
      </c>
      <c r="E370" t="s">
        <v>10328</v>
      </c>
      <c r="F370" t="s">
        <v>9412</v>
      </c>
      <c r="G370" t="s">
        <v>9413</v>
      </c>
      <c r="H370" t="s">
        <v>9414</v>
      </c>
      <c r="I370" t="s">
        <v>9441</v>
      </c>
      <c r="J370" t="s">
        <v>1920</v>
      </c>
      <c r="K370" t="s">
        <v>9445</v>
      </c>
      <c r="L370" t="s">
        <v>9417</v>
      </c>
      <c r="M370" t="s">
        <v>9831</v>
      </c>
      <c r="N370" t="s">
        <v>9430</v>
      </c>
      <c r="O370" t="s">
        <v>9446</v>
      </c>
      <c r="P370" t="s">
        <v>9479</v>
      </c>
      <c r="Q370" t="s">
        <v>9421</v>
      </c>
      <c r="R370" t="s">
        <v>43</v>
      </c>
      <c r="S370" t="s">
        <v>1975</v>
      </c>
      <c r="T370" t="s">
        <v>1977</v>
      </c>
    </row>
    <row r="371" spans="1:20">
      <c r="A371" t="s">
        <v>1085</v>
      </c>
      <c r="B371" t="s">
        <v>20</v>
      </c>
      <c r="C371" t="s">
        <v>1088</v>
      </c>
      <c r="D371" t="s">
        <v>10329</v>
      </c>
      <c r="E371" t="s">
        <v>10330</v>
      </c>
      <c r="F371" t="s">
        <v>9412</v>
      </c>
      <c r="G371" t="s">
        <v>9413</v>
      </c>
      <c r="H371" t="s">
        <v>1044</v>
      </c>
      <c r="I371" t="s">
        <v>9874</v>
      </c>
      <c r="J371" t="s">
        <v>1043</v>
      </c>
      <c r="K371" t="s">
        <v>9416</v>
      </c>
      <c r="L371" t="s">
        <v>9417</v>
      </c>
      <c r="M371" t="s">
        <v>9580</v>
      </c>
      <c r="N371" t="s">
        <v>9437</v>
      </c>
      <c r="O371" t="s">
        <v>5483</v>
      </c>
      <c r="P371" t="s">
        <v>9420</v>
      </c>
      <c r="Q371" t="s">
        <v>9421</v>
      </c>
      <c r="R371" t="s">
        <v>24</v>
      </c>
      <c r="S371" t="s">
        <v>1085</v>
      </c>
      <c r="T371" t="s">
        <v>1087</v>
      </c>
    </row>
    <row r="372" spans="1:20">
      <c r="A372" t="s">
        <v>6806</v>
      </c>
      <c r="B372" t="s">
        <v>9409</v>
      </c>
      <c r="C372" t="s">
        <v>6809</v>
      </c>
      <c r="D372" t="s">
        <v>9410</v>
      </c>
      <c r="E372" t="s">
        <v>10331</v>
      </c>
      <c r="F372" t="s">
        <v>9412</v>
      </c>
      <c r="G372" t="s">
        <v>9413</v>
      </c>
      <c r="H372" t="s">
        <v>9414</v>
      </c>
      <c r="I372" t="s">
        <v>9792</v>
      </c>
      <c r="J372" t="s">
        <v>2098</v>
      </c>
      <c r="K372" t="s">
        <v>9416</v>
      </c>
      <c r="L372" t="s">
        <v>9417</v>
      </c>
      <c r="M372" t="s">
        <v>9596</v>
      </c>
      <c r="N372" t="s">
        <v>9597</v>
      </c>
      <c r="O372" t="s">
        <v>6807</v>
      </c>
      <c r="P372" t="s">
        <v>9420</v>
      </c>
      <c r="Q372" t="s">
        <v>9421</v>
      </c>
      <c r="R372" t="s">
        <v>17</v>
      </c>
      <c r="S372" t="s">
        <v>6806</v>
      </c>
      <c r="T372" t="s">
        <v>10332</v>
      </c>
    </row>
    <row r="373" spans="1:20">
      <c r="A373" t="s">
        <v>6806</v>
      </c>
      <c r="B373" t="s">
        <v>9409</v>
      </c>
      <c r="C373" t="s">
        <v>6809</v>
      </c>
      <c r="D373" t="s">
        <v>9410</v>
      </c>
      <c r="E373" t="s">
        <v>10331</v>
      </c>
      <c r="F373" t="s">
        <v>9412</v>
      </c>
      <c r="G373" t="s">
        <v>9413</v>
      </c>
      <c r="H373" t="s">
        <v>9414</v>
      </c>
      <c r="I373" t="s">
        <v>9792</v>
      </c>
      <c r="J373" t="s">
        <v>2098</v>
      </c>
      <c r="K373" t="s">
        <v>9445</v>
      </c>
      <c r="L373" t="s">
        <v>9417</v>
      </c>
      <c r="M373" t="s">
        <v>9596</v>
      </c>
      <c r="N373" t="s">
        <v>9430</v>
      </c>
      <c r="O373" t="s">
        <v>9446</v>
      </c>
      <c r="P373" t="s">
        <v>9431</v>
      </c>
      <c r="Q373" t="s">
        <v>9421</v>
      </c>
      <c r="R373" t="s">
        <v>24</v>
      </c>
      <c r="S373" t="s">
        <v>2150</v>
      </c>
      <c r="T373" t="s">
        <v>2152</v>
      </c>
    </row>
    <row r="374" spans="1:20">
      <c r="A374" t="s">
        <v>10333</v>
      </c>
      <c r="B374" t="s">
        <v>9409</v>
      </c>
      <c r="C374" t="s">
        <v>10334</v>
      </c>
      <c r="D374" t="s">
        <v>9410</v>
      </c>
      <c r="E374" t="s">
        <v>10335</v>
      </c>
      <c r="F374" t="s">
        <v>9412</v>
      </c>
      <c r="G374" t="s">
        <v>9413</v>
      </c>
      <c r="H374" t="s">
        <v>9414</v>
      </c>
      <c r="I374" t="s">
        <v>9682</v>
      </c>
      <c r="J374" t="s">
        <v>1589</v>
      </c>
      <c r="K374" t="s">
        <v>9416</v>
      </c>
      <c r="L374" t="s">
        <v>9417</v>
      </c>
      <c r="M374" t="s">
        <v>9788</v>
      </c>
      <c r="N374" t="s">
        <v>9716</v>
      </c>
      <c r="O374" t="s">
        <v>10336</v>
      </c>
      <c r="P374" t="s">
        <v>9429</v>
      </c>
      <c r="Q374" t="s">
        <v>9421</v>
      </c>
      <c r="R374" t="s">
        <v>52</v>
      </c>
      <c r="S374" t="s">
        <v>10333</v>
      </c>
      <c r="T374" t="s">
        <v>10337</v>
      </c>
    </row>
    <row r="375" spans="1:20">
      <c r="A375" t="s">
        <v>2067</v>
      </c>
      <c r="B375" t="s">
        <v>20</v>
      </c>
      <c r="C375" t="s">
        <v>6701</v>
      </c>
      <c r="D375" t="s">
        <v>9666</v>
      </c>
      <c r="E375" t="s">
        <v>10338</v>
      </c>
      <c r="F375" t="s">
        <v>9412</v>
      </c>
      <c r="G375" t="s">
        <v>9413</v>
      </c>
      <c r="H375" t="s">
        <v>9414</v>
      </c>
      <c r="I375" t="s">
        <v>10265</v>
      </c>
      <c r="J375" t="s">
        <v>2026</v>
      </c>
      <c r="K375" t="s">
        <v>9416</v>
      </c>
      <c r="L375" t="s">
        <v>9417</v>
      </c>
      <c r="M375" t="s">
        <v>9478</v>
      </c>
      <c r="N375" t="s">
        <v>9426</v>
      </c>
      <c r="O375" t="s">
        <v>6608</v>
      </c>
      <c r="P375" t="s">
        <v>9647</v>
      </c>
      <c r="Q375" t="s">
        <v>9421</v>
      </c>
      <c r="R375" t="s">
        <v>84</v>
      </c>
      <c r="S375" t="s">
        <v>1978</v>
      </c>
      <c r="T375" t="s">
        <v>1980</v>
      </c>
    </row>
    <row r="376" spans="1:20">
      <c r="A376" t="s">
        <v>10339</v>
      </c>
      <c r="B376" t="s">
        <v>9409</v>
      </c>
      <c r="C376" t="s">
        <v>10340</v>
      </c>
      <c r="D376" t="s">
        <v>9410</v>
      </c>
      <c r="E376" t="s">
        <v>10341</v>
      </c>
      <c r="F376" t="s">
        <v>9412</v>
      </c>
      <c r="G376" t="s">
        <v>9413</v>
      </c>
      <c r="H376" t="s">
        <v>9414</v>
      </c>
      <c r="I376" t="s">
        <v>10261</v>
      </c>
      <c r="J376" t="s">
        <v>1043</v>
      </c>
      <c r="K376" t="s">
        <v>9416</v>
      </c>
      <c r="L376" t="s">
        <v>9417</v>
      </c>
      <c r="M376" t="s">
        <v>9458</v>
      </c>
      <c r="N376" t="s">
        <v>9437</v>
      </c>
      <c r="O376" t="s">
        <v>10342</v>
      </c>
      <c r="P376" t="s">
        <v>9420</v>
      </c>
      <c r="Q376" t="s">
        <v>9421</v>
      </c>
      <c r="R376" t="s">
        <v>17</v>
      </c>
      <c r="S376" t="s">
        <v>10339</v>
      </c>
      <c r="T376" t="s">
        <v>10343</v>
      </c>
    </row>
    <row r="377" spans="1:20">
      <c r="A377" t="s">
        <v>10339</v>
      </c>
      <c r="B377" t="s">
        <v>9409</v>
      </c>
      <c r="C377" t="s">
        <v>10340</v>
      </c>
      <c r="D377" t="s">
        <v>9410</v>
      </c>
      <c r="E377" t="s">
        <v>10341</v>
      </c>
      <c r="F377" t="s">
        <v>9412</v>
      </c>
      <c r="G377" t="s">
        <v>9413</v>
      </c>
      <c r="H377" t="s">
        <v>9414</v>
      </c>
      <c r="I377" t="s">
        <v>10261</v>
      </c>
      <c r="J377" t="s">
        <v>1043</v>
      </c>
      <c r="K377" t="s">
        <v>9445</v>
      </c>
      <c r="L377" t="s">
        <v>9417</v>
      </c>
      <c r="M377" t="s">
        <v>9458</v>
      </c>
      <c r="N377" t="s">
        <v>9430</v>
      </c>
      <c r="O377" t="s">
        <v>9446</v>
      </c>
      <c r="P377" t="s">
        <v>9524</v>
      </c>
      <c r="Q377" t="s">
        <v>9421</v>
      </c>
      <c r="R377" t="s">
        <v>24</v>
      </c>
      <c r="S377" t="s">
        <v>9722</v>
      </c>
      <c r="T377" t="s">
        <v>9723</v>
      </c>
    </row>
    <row r="378" spans="1:20">
      <c r="A378" t="s">
        <v>6570</v>
      </c>
      <c r="B378" t="s">
        <v>9409</v>
      </c>
      <c r="C378" t="s">
        <v>6573</v>
      </c>
      <c r="D378" t="s">
        <v>9410</v>
      </c>
      <c r="E378" t="s">
        <v>10344</v>
      </c>
      <c r="F378" t="s">
        <v>9412</v>
      </c>
      <c r="G378" t="s">
        <v>9413</v>
      </c>
      <c r="H378" t="s">
        <v>9414</v>
      </c>
      <c r="I378" t="s">
        <v>9874</v>
      </c>
      <c r="J378" t="s">
        <v>1920</v>
      </c>
      <c r="K378" t="s">
        <v>9416</v>
      </c>
      <c r="L378" t="s">
        <v>9417</v>
      </c>
      <c r="M378" t="s">
        <v>9783</v>
      </c>
      <c r="N378" t="s">
        <v>9608</v>
      </c>
      <c r="O378" t="s">
        <v>6571</v>
      </c>
      <c r="P378" t="s">
        <v>9623</v>
      </c>
      <c r="Q378" t="s">
        <v>9421</v>
      </c>
      <c r="R378" t="s">
        <v>24</v>
      </c>
      <c r="S378" t="s">
        <v>6570</v>
      </c>
      <c r="T378" t="s">
        <v>10345</v>
      </c>
    </row>
    <row r="379" spans="1:20">
      <c r="A379" t="s">
        <v>1494</v>
      </c>
      <c r="B379" t="s">
        <v>20</v>
      </c>
      <c r="C379" t="s">
        <v>5975</v>
      </c>
      <c r="D379" t="s">
        <v>9455</v>
      </c>
      <c r="E379" t="s">
        <v>10346</v>
      </c>
      <c r="F379" t="s">
        <v>9412</v>
      </c>
      <c r="G379" t="s">
        <v>9413</v>
      </c>
      <c r="H379" t="s">
        <v>9414</v>
      </c>
      <c r="I379" t="s">
        <v>10265</v>
      </c>
      <c r="J379" t="s">
        <v>1442</v>
      </c>
      <c r="K379" t="s">
        <v>9416</v>
      </c>
      <c r="L379" t="s">
        <v>9417</v>
      </c>
      <c r="M379" t="s">
        <v>10021</v>
      </c>
      <c r="N379" t="s">
        <v>9428</v>
      </c>
      <c r="O379" t="s">
        <v>5973</v>
      </c>
      <c r="P379" t="s">
        <v>9420</v>
      </c>
      <c r="Q379" t="s">
        <v>9421</v>
      </c>
      <c r="R379" t="s">
        <v>17</v>
      </c>
      <c r="S379" t="s">
        <v>1494</v>
      </c>
      <c r="T379" t="s">
        <v>1496</v>
      </c>
    </row>
    <row r="380" spans="1:20">
      <c r="A380" t="s">
        <v>1494</v>
      </c>
      <c r="B380" t="s">
        <v>20</v>
      </c>
      <c r="C380" t="s">
        <v>5975</v>
      </c>
      <c r="D380" t="s">
        <v>9455</v>
      </c>
      <c r="E380" t="s">
        <v>10346</v>
      </c>
      <c r="F380" t="s">
        <v>9412</v>
      </c>
      <c r="G380" t="s">
        <v>9413</v>
      </c>
      <c r="H380" t="s">
        <v>9414</v>
      </c>
      <c r="I380" t="s">
        <v>10265</v>
      </c>
      <c r="J380" t="s">
        <v>1442</v>
      </c>
      <c r="K380" t="s">
        <v>9445</v>
      </c>
      <c r="L380" t="s">
        <v>9417</v>
      </c>
      <c r="M380" t="s">
        <v>10021</v>
      </c>
      <c r="N380" t="s">
        <v>9426</v>
      </c>
      <c r="O380" t="s">
        <v>9446</v>
      </c>
      <c r="P380" t="s">
        <v>9524</v>
      </c>
      <c r="Q380" t="s">
        <v>9421</v>
      </c>
      <c r="R380" t="s">
        <v>24</v>
      </c>
      <c r="S380" t="s">
        <v>1480</v>
      </c>
      <c r="T380" t="s">
        <v>1482</v>
      </c>
    </row>
    <row r="381" spans="1:20">
      <c r="A381" t="s">
        <v>1727</v>
      </c>
      <c r="B381" t="s">
        <v>20</v>
      </c>
      <c r="C381" t="s">
        <v>1730</v>
      </c>
      <c r="D381" t="s">
        <v>10347</v>
      </c>
      <c r="E381" t="s">
        <v>10348</v>
      </c>
      <c r="F381" t="s">
        <v>9412</v>
      </c>
      <c r="G381" t="s">
        <v>9413</v>
      </c>
      <c r="H381" t="s">
        <v>1044</v>
      </c>
      <c r="I381" t="s">
        <v>10349</v>
      </c>
      <c r="J381" t="s">
        <v>1683</v>
      </c>
      <c r="K381" t="s">
        <v>9416</v>
      </c>
      <c r="L381" t="s">
        <v>9417</v>
      </c>
      <c r="M381" t="s">
        <v>9473</v>
      </c>
      <c r="N381" t="s">
        <v>9454</v>
      </c>
      <c r="O381" t="s">
        <v>6252</v>
      </c>
      <c r="P381" t="s">
        <v>9420</v>
      </c>
      <c r="Q381" t="s">
        <v>9421</v>
      </c>
      <c r="R381" t="s">
        <v>17</v>
      </c>
      <c r="S381" t="s">
        <v>1727</v>
      </c>
      <c r="T381" t="s">
        <v>1729</v>
      </c>
    </row>
    <row r="382" spans="1:20">
      <c r="A382" t="s">
        <v>2183</v>
      </c>
      <c r="B382" t="s">
        <v>20</v>
      </c>
      <c r="C382" t="s">
        <v>6850</v>
      </c>
      <c r="D382" t="s">
        <v>9464</v>
      </c>
      <c r="E382" t="s">
        <v>10350</v>
      </c>
      <c r="F382" t="s">
        <v>9412</v>
      </c>
      <c r="G382" t="s">
        <v>9413</v>
      </c>
      <c r="H382" t="s">
        <v>9414</v>
      </c>
      <c r="I382" t="s">
        <v>9472</v>
      </c>
      <c r="J382" t="s">
        <v>2174</v>
      </c>
      <c r="K382" t="s">
        <v>9416</v>
      </c>
      <c r="L382" t="s">
        <v>9417</v>
      </c>
      <c r="M382" t="s">
        <v>9534</v>
      </c>
      <c r="N382" t="s">
        <v>9430</v>
      </c>
      <c r="O382" t="s">
        <v>6854</v>
      </c>
      <c r="P382" t="s">
        <v>9651</v>
      </c>
      <c r="Q382" t="s">
        <v>9421</v>
      </c>
      <c r="R382" t="s">
        <v>56</v>
      </c>
      <c r="S382" t="s">
        <v>2189</v>
      </c>
      <c r="T382" t="s">
        <v>2191</v>
      </c>
    </row>
    <row r="383" spans="1:20">
      <c r="A383" t="s">
        <v>2183</v>
      </c>
      <c r="B383" t="s">
        <v>20</v>
      </c>
      <c r="C383" t="s">
        <v>6850</v>
      </c>
      <c r="D383" t="s">
        <v>9464</v>
      </c>
      <c r="E383" t="s">
        <v>10350</v>
      </c>
      <c r="F383" t="s">
        <v>9412</v>
      </c>
      <c r="G383" t="s">
        <v>9413</v>
      </c>
      <c r="H383" t="s">
        <v>9414</v>
      </c>
      <c r="I383" t="s">
        <v>9472</v>
      </c>
      <c r="J383" t="s">
        <v>2174</v>
      </c>
      <c r="K383" t="s">
        <v>9416</v>
      </c>
      <c r="L383" t="s">
        <v>9417</v>
      </c>
      <c r="M383" t="s">
        <v>9534</v>
      </c>
      <c r="N383" t="s">
        <v>9446</v>
      </c>
      <c r="O383" t="s">
        <v>6852</v>
      </c>
      <c r="P383" t="s">
        <v>9651</v>
      </c>
      <c r="Q383" t="s">
        <v>9421</v>
      </c>
      <c r="R383" t="s">
        <v>56</v>
      </c>
      <c r="S383" t="s">
        <v>1329</v>
      </c>
      <c r="T383" t="s">
        <v>2188</v>
      </c>
    </row>
    <row r="384" spans="1:20">
      <c r="A384" t="s">
        <v>2183</v>
      </c>
      <c r="B384" t="s">
        <v>20</v>
      </c>
      <c r="C384" t="s">
        <v>6850</v>
      </c>
      <c r="D384" t="s">
        <v>9464</v>
      </c>
      <c r="E384" t="s">
        <v>10350</v>
      </c>
      <c r="F384" t="s">
        <v>9412</v>
      </c>
      <c r="G384" t="s">
        <v>9413</v>
      </c>
      <c r="H384" t="s">
        <v>9414</v>
      </c>
      <c r="I384" t="s">
        <v>9472</v>
      </c>
      <c r="J384" t="s">
        <v>2174</v>
      </c>
      <c r="K384" t="s">
        <v>9416</v>
      </c>
      <c r="L384" t="s">
        <v>9417</v>
      </c>
      <c r="M384" t="s">
        <v>9534</v>
      </c>
      <c r="N384" t="s">
        <v>9621</v>
      </c>
      <c r="O384" t="s">
        <v>6848</v>
      </c>
      <c r="P384" t="s">
        <v>9429</v>
      </c>
      <c r="Q384" t="s">
        <v>9421</v>
      </c>
      <c r="R384" t="s">
        <v>52</v>
      </c>
      <c r="S384" t="s">
        <v>2183</v>
      </c>
      <c r="T384" t="s">
        <v>2185</v>
      </c>
    </row>
    <row r="385" spans="1:20">
      <c r="A385" t="s">
        <v>10351</v>
      </c>
      <c r="B385" t="s">
        <v>9409</v>
      </c>
      <c r="C385" t="s">
        <v>10352</v>
      </c>
      <c r="D385" t="s">
        <v>9410</v>
      </c>
      <c r="E385" t="s">
        <v>10353</v>
      </c>
      <c r="F385" t="s">
        <v>9412</v>
      </c>
      <c r="G385" t="s">
        <v>9413</v>
      </c>
      <c r="H385" t="s">
        <v>9414</v>
      </c>
      <c r="I385" t="s">
        <v>9781</v>
      </c>
      <c r="J385" t="s">
        <v>1683</v>
      </c>
      <c r="K385" t="s">
        <v>9445</v>
      </c>
      <c r="L385" t="s">
        <v>9417</v>
      </c>
      <c r="M385" t="s">
        <v>9473</v>
      </c>
      <c r="N385" t="s">
        <v>9430</v>
      </c>
      <c r="O385" t="s">
        <v>9446</v>
      </c>
      <c r="P385" t="s">
        <v>9431</v>
      </c>
      <c r="Q385" t="s">
        <v>9421</v>
      </c>
      <c r="R385" t="s">
        <v>24</v>
      </c>
      <c r="S385" t="s">
        <v>1739</v>
      </c>
      <c r="T385" t="s">
        <v>1741</v>
      </c>
    </row>
    <row r="386" spans="1:20">
      <c r="A386" t="s">
        <v>10351</v>
      </c>
      <c r="B386" t="s">
        <v>9409</v>
      </c>
      <c r="C386" t="s">
        <v>10352</v>
      </c>
      <c r="D386" t="s">
        <v>9410</v>
      </c>
      <c r="E386" t="s">
        <v>10353</v>
      </c>
      <c r="F386" t="s">
        <v>9412</v>
      </c>
      <c r="G386" t="s">
        <v>9413</v>
      </c>
      <c r="H386" t="s">
        <v>9414</v>
      </c>
      <c r="I386" t="s">
        <v>9781</v>
      </c>
      <c r="J386" t="s">
        <v>1683</v>
      </c>
      <c r="K386" t="s">
        <v>9445</v>
      </c>
      <c r="L386" t="s">
        <v>9417</v>
      </c>
      <c r="M386" t="s">
        <v>9473</v>
      </c>
      <c r="N386" t="s">
        <v>9430</v>
      </c>
      <c r="O386" t="s">
        <v>9446</v>
      </c>
      <c r="P386" t="s">
        <v>9474</v>
      </c>
      <c r="Q386" t="s">
        <v>9421</v>
      </c>
      <c r="R386" t="s">
        <v>43</v>
      </c>
      <c r="S386" t="s">
        <v>2118</v>
      </c>
      <c r="T386" t="s">
        <v>2120</v>
      </c>
    </row>
    <row r="387" spans="1:20">
      <c r="A387" t="s">
        <v>10351</v>
      </c>
      <c r="B387" t="s">
        <v>9409</v>
      </c>
      <c r="C387" t="s">
        <v>10352</v>
      </c>
      <c r="D387" t="s">
        <v>9410</v>
      </c>
      <c r="E387" t="s">
        <v>10353</v>
      </c>
      <c r="F387" t="s">
        <v>9412</v>
      </c>
      <c r="G387" t="s">
        <v>9413</v>
      </c>
      <c r="H387" t="s">
        <v>9414</v>
      </c>
      <c r="I387" t="s">
        <v>9781</v>
      </c>
      <c r="J387" t="s">
        <v>1683</v>
      </c>
      <c r="K387" t="s">
        <v>9416</v>
      </c>
      <c r="L387" t="s">
        <v>9417</v>
      </c>
      <c r="M387" t="s">
        <v>9473</v>
      </c>
      <c r="N387" t="s">
        <v>9454</v>
      </c>
      <c r="O387" t="s">
        <v>10354</v>
      </c>
      <c r="P387" t="s">
        <v>9429</v>
      </c>
      <c r="Q387" t="s">
        <v>9421</v>
      </c>
      <c r="R387" t="s">
        <v>52</v>
      </c>
      <c r="S387" t="s">
        <v>10351</v>
      </c>
      <c r="T387" t="s">
        <v>10355</v>
      </c>
    </row>
    <row r="388" spans="1:20">
      <c r="A388" t="s">
        <v>1287</v>
      </c>
      <c r="B388" t="s">
        <v>20</v>
      </c>
      <c r="C388" t="s">
        <v>1291</v>
      </c>
      <c r="D388" t="s">
        <v>10356</v>
      </c>
      <c r="E388" t="s">
        <v>10357</v>
      </c>
      <c r="F388" t="s">
        <v>9412</v>
      </c>
      <c r="G388" t="s">
        <v>9413</v>
      </c>
      <c r="H388" t="s">
        <v>1044</v>
      </c>
      <c r="I388" t="s">
        <v>9482</v>
      </c>
      <c r="J388" t="s">
        <v>1246</v>
      </c>
      <c r="K388" t="s">
        <v>9445</v>
      </c>
      <c r="L388" t="s">
        <v>9417</v>
      </c>
      <c r="M388" t="s">
        <v>9458</v>
      </c>
      <c r="N388" t="s">
        <v>9426</v>
      </c>
      <c r="O388" t="s">
        <v>9446</v>
      </c>
      <c r="P388" t="s">
        <v>9567</v>
      </c>
      <c r="Q388" t="s">
        <v>9421</v>
      </c>
      <c r="R388" t="s">
        <v>43</v>
      </c>
      <c r="S388" t="s">
        <v>1168</v>
      </c>
      <c r="T388" t="s">
        <v>1170</v>
      </c>
    </row>
    <row r="389" spans="1:20">
      <c r="A389" t="s">
        <v>1287</v>
      </c>
      <c r="B389" t="s">
        <v>20</v>
      </c>
      <c r="C389" t="s">
        <v>1291</v>
      </c>
      <c r="D389" t="s">
        <v>10356</v>
      </c>
      <c r="E389" t="s">
        <v>10357</v>
      </c>
      <c r="F389" t="s">
        <v>9412</v>
      </c>
      <c r="G389" t="s">
        <v>9413</v>
      </c>
      <c r="H389" t="s">
        <v>1044</v>
      </c>
      <c r="I389" t="s">
        <v>9482</v>
      </c>
      <c r="J389" t="s">
        <v>1246</v>
      </c>
      <c r="K389" t="s">
        <v>9416</v>
      </c>
      <c r="L389" t="s">
        <v>9417</v>
      </c>
      <c r="M389" t="s">
        <v>9458</v>
      </c>
      <c r="N389" t="s">
        <v>9430</v>
      </c>
      <c r="O389" t="s">
        <v>5732</v>
      </c>
      <c r="P389" t="s">
        <v>9459</v>
      </c>
      <c r="Q389" t="s">
        <v>9421</v>
      </c>
      <c r="R389" t="s">
        <v>17</v>
      </c>
      <c r="S389" t="s">
        <v>1288</v>
      </c>
      <c r="T389" t="s">
        <v>1290</v>
      </c>
    </row>
    <row r="390" spans="1:20">
      <c r="A390" t="s">
        <v>1287</v>
      </c>
      <c r="B390" t="s">
        <v>20</v>
      </c>
      <c r="C390" t="s">
        <v>1291</v>
      </c>
      <c r="D390" t="s">
        <v>10356</v>
      </c>
      <c r="E390" t="s">
        <v>10357</v>
      </c>
      <c r="F390" t="s">
        <v>9412</v>
      </c>
      <c r="G390" t="s">
        <v>9413</v>
      </c>
      <c r="H390" t="s">
        <v>1044</v>
      </c>
      <c r="I390" t="s">
        <v>9482</v>
      </c>
      <c r="J390" t="s">
        <v>1246</v>
      </c>
      <c r="K390" t="s">
        <v>9416</v>
      </c>
      <c r="L390" t="s">
        <v>9417</v>
      </c>
      <c r="M390" t="s">
        <v>9458</v>
      </c>
      <c r="N390" t="s">
        <v>9446</v>
      </c>
      <c r="O390" t="s">
        <v>5736</v>
      </c>
      <c r="P390" t="s">
        <v>9655</v>
      </c>
      <c r="Q390" t="s">
        <v>9421</v>
      </c>
      <c r="R390" t="s">
        <v>56</v>
      </c>
      <c r="S390" t="s">
        <v>1292</v>
      </c>
      <c r="T390" t="s">
        <v>1294</v>
      </c>
    </row>
    <row r="391" spans="1:20">
      <c r="A391" t="s">
        <v>1287</v>
      </c>
      <c r="B391" t="s">
        <v>20</v>
      </c>
      <c r="C391" t="s">
        <v>1291</v>
      </c>
      <c r="D391" t="s">
        <v>10356</v>
      </c>
      <c r="E391" t="s">
        <v>10357</v>
      </c>
      <c r="F391" t="s">
        <v>9412</v>
      </c>
      <c r="G391" t="s">
        <v>9413</v>
      </c>
      <c r="H391" t="s">
        <v>1044</v>
      </c>
      <c r="I391" t="s">
        <v>9482</v>
      </c>
      <c r="J391" t="s">
        <v>1246</v>
      </c>
      <c r="K391" t="s">
        <v>9416</v>
      </c>
      <c r="L391" t="s">
        <v>9417</v>
      </c>
      <c r="M391" t="s">
        <v>9458</v>
      </c>
      <c r="N391" t="s">
        <v>9419</v>
      </c>
      <c r="O391" t="s">
        <v>5738</v>
      </c>
      <c r="P391" t="s">
        <v>9647</v>
      </c>
      <c r="Q391" t="s">
        <v>9421</v>
      </c>
      <c r="R391" t="s">
        <v>84</v>
      </c>
      <c r="S391" t="s">
        <v>1295</v>
      </c>
      <c r="T391" t="s">
        <v>1297</v>
      </c>
    </row>
    <row r="392" spans="1:20">
      <c r="A392" t="s">
        <v>6856</v>
      </c>
      <c r="B392" t="s">
        <v>9409</v>
      </c>
      <c r="C392" t="s">
        <v>6857</v>
      </c>
      <c r="D392" t="s">
        <v>9410</v>
      </c>
      <c r="E392" t="s">
        <v>10358</v>
      </c>
      <c r="F392" t="s">
        <v>9412</v>
      </c>
      <c r="G392" t="s">
        <v>9413</v>
      </c>
      <c r="H392" t="s">
        <v>9414</v>
      </c>
      <c r="I392" t="s">
        <v>10281</v>
      </c>
      <c r="J392" t="s">
        <v>2174</v>
      </c>
      <c r="K392" t="s">
        <v>9416</v>
      </c>
      <c r="L392" t="s">
        <v>9417</v>
      </c>
      <c r="M392" t="s">
        <v>9473</v>
      </c>
      <c r="N392" t="s">
        <v>9621</v>
      </c>
      <c r="O392" t="s">
        <v>6862</v>
      </c>
      <c r="P392" t="s">
        <v>9429</v>
      </c>
      <c r="Q392" t="s">
        <v>9421</v>
      </c>
      <c r="R392" t="s">
        <v>52</v>
      </c>
      <c r="S392" t="s">
        <v>6861</v>
      </c>
      <c r="T392" t="s">
        <v>10359</v>
      </c>
    </row>
    <row r="393" spans="1:20">
      <c r="A393" t="s">
        <v>6856</v>
      </c>
      <c r="B393" t="s">
        <v>9409</v>
      </c>
      <c r="C393" t="s">
        <v>6857</v>
      </c>
      <c r="D393" t="s">
        <v>9410</v>
      </c>
      <c r="E393" t="s">
        <v>10358</v>
      </c>
      <c r="F393" t="s">
        <v>9412</v>
      </c>
      <c r="G393" t="s">
        <v>9413</v>
      </c>
      <c r="H393" t="s">
        <v>9414</v>
      </c>
      <c r="I393" t="s">
        <v>10281</v>
      </c>
      <c r="J393" t="s">
        <v>2174</v>
      </c>
      <c r="K393" t="s">
        <v>9445</v>
      </c>
      <c r="L393" t="s">
        <v>9417</v>
      </c>
      <c r="M393" t="s">
        <v>9473</v>
      </c>
      <c r="N393" t="s">
        <v>9426</v>
      </c>
      <c r="O393" t="s">
        <v>9446</v>
      </c>
      <c r="P393" t="s">
        <v>9479</v>
      </c>
      <c r="Q393" t="s">
        <v>9421</v>
      </c>
      <c r="R393" t="s">
        <v>43</v>
      </c>
      <c r="S393" t="s">
        <v>1264</v>
      </c>
      <c r="T393" t="s">
        <v>1266</v>
      </c>
    </row>
    <row r="394" spans="1:20">
      <c r="A394" t="s">
        <v>6856</v>
      </c>
      <c r="B394" t="s">
        <v>9409</v>
      </c>
      <c r="C394" t="s">
        <v>6857</v>
      </c>
      <c r="D394" t="s">
        <v>9410</v>
      </c>
      <c r="E394" t="s">
        <v>10358</v>
      </c>
      <c r="F394" t="s">
        <v>9412</v>
      </c>
      <c r="G394" t="s">
        <v>9413</v>
      </c>
      <c r="H394" t="s">
        <v>9414</v>
      </c>
      <c r="I394" t="s">
        <v>10281</v>
      </c>
      <c r="J394" t="s">
        <v>2174</v>
      </c>
      <c r="K394" t="s">
        <v>9445</v>
      </c>
      <c r="L394" t="s">
        <v>9417</v>
      </c>
      <c r="M394" t="s">
        <v>9473</v>
      </c>
      <c r="N394" t="s">
        <v>9430</v>
      </c>
      <c r="O394" t="s">
        <v>9446</v>
      </c>
      <c r="P394" t="s">
        <v>9524</v>
      </c>
      <c r="Q394" t="s">
        <v>9421</v>
      </c>
      <c r="R394" t="s">
        <v>24</v>
      </c>
      <c r="S394" t="s">
        <v>2202</v>
      </c>
      <c r="T394" t="s">
        <v>2204</v>
      </c>
    </row>
    <row r="395" spans="1:20">
      <c r="A395" t="s">
        <v>10360</v>
      </c>
      <c r="B395" t="s">
        <v>9409</v>
      </c>
      <c r="C395" t="s">
        <v>10361</v>
      </c>
      <c r="D395" t="s">
        <v>9410</v>
      </c>
      <c r="E395" t="s">
        <v>10362</v>
      </c>
      <c r="F395" t="s">
        <v>9412</v>
      </c>
      <c r="G395" t="s">
        <v>9413</v>
      </c>
      <c r="H395" t="s">
        <v>9414</v>
      </c>
      <c r="I395" t="s">
        <v>10265</v>
      </c>
      <c r="J395" t="s">
        <v>1155</v>
      </c>
      <c r="K395" t="s">
        <v>9416</v>
      </c>
      <c r="L395" t="s">
        <v>9417</v>
      </c>
      <c r="M395" t="s">
        <v>9503</v>
      </c>
      <c r="N395" t="s">
        <v>9488</v>
      </c>
      <c r="O395" t="s">
        <v>10363</v>
      </c>
      <c r="P395" t="s">
        <v>9420</v>
      </c>
      <c r="Q395" t="s">
        <v>9421</v>
      </c>
      <c r="R395" t="s">
        <v>17</v>
      </c>
      <c r="S395" t="s">
        <v>10360</v>
      </c>
      <c r="T395" t="s">
        <v>10364</v>
      </c>
    </row>
    <row r="396" spans="1:20">
      <c r="A396" t="s">
        <v>2153</v>
      </c>
      <c r="B396" t="s">
        <v>20</v>
      </c>
      <c r="C396" t="s">
        <v>6813</v>
      </c>
      <c r="D396" t="s">
        <v>9460</v>
      </c>
      <c r="E396" t="s">
        <v>10365</v>
      </c>
      <c r="F396" t="s">
        <v>9412</v>
      </c>
      <c r="G396" t="s">
        <v>9413</v>
      </c>
      <c r="H396" t="s">
        <v>9414</v>
      </c>
      <c r="I396" t="s">
        <v>9628</v>
      </c>
      <c r="J396" t="s">
        <v>2098</v>
      </c>
      <c r="K396" t="s">
        <v>9416</v>
      </c>
      <c r="L396" t="s">
        <v>9417</v>
      </c>
      <c r="M396" t="s">
        <v>9596</v>
      </c>
      <c r="N396" t="s">
        <v>9597</v>
      </c>
      <c r="O396" t="s">
        <v>6811</v>
      </c>
      <c r="P396" t="s">
        <v>9420</v>
      </c>
      <c r="Q396" t="s">
        <v>9421</v>
      </c>
      <c r="R396" t="s">
        <v>17</v>
      </c>
      <c r="S396" t="s">
        <v>2153</v>
      </c>
      <c r="T396" t="s">
        <v>2155</v>
      </c>
    </row>
    <row r="397" spans="1:20">
      <c r="A397" t="s">
        <v>2153</v>
      </c>
      <c r="B397" t="s">
        <v>20</v>
      </c>
      <c r="C397" t="s">
        <v>6813</v>
      </c>
      <c r="D397" t="s">
        <v>9460</v>
      </c>
      <c r="E397" t="s">
        <v>10365</v>
      </c>
      <c r="F397" t="s">
        <v>9412</v>
      </c>
      <c r="G397" t="s">
        <v>9413</v>
      </c>
      <c r="H397" t="s">
        <v>9414</v>
      </c>
      <c r="I397" t="s">
        <v>9628</v>
      </c>
      <c r="J397" t="s">
        <v>2098</v>
      </c>
      <c r="K397" t="s">
        <v>9416</v>
      </c>
      <c r="L397" t="s">
        <v>9417</v>
      </c>
      <c r="M397" t="s">
        <v>9596</v>
      </c>
      <c r="N397" t="s">
        <v>9597</v>
      </c>
      <c r="O397" t="s">
        <v>6815</v>
      </c>
      <c r="P397" t="s">
        <v>9429</v>
      </c>
      <c r="Q397" t="s">
        <v>9421</v>
      </c>
      <c r="R397" t="s">
        <v>52</v>
      </c>
      <c r="S397" t="s">
        <v>2157</v>
      </c>
      <c r="T397" t="s">
        <v>2159</v>
      </c>
    </row>
    <row r="398" spans="1:20">
      <c r="A398" t="s">
        <v>10366</v>
      </c>
      <c r="B398" t="s">
        <v>9409</v>
      </c>
      <c r="C398" t="s">
        <v>10367</v>
      </c>
      <c r="D398" t="s">
        <v>9410</v>
      </c>
      <c r="E398" t="s">
        <v>10368</v>
      </c>
      <c r="F398" t="s">
        <v>9412</v>
      </c>
      <c r="G398" t="s">
        <v>9413</v>
      </c>
      <c r="H398" t="s">
        <v>9414</v>
      </c>
      <c r="I398" t="s">
        <v>9628</v>
      </c>
      <c r="J398" t="s">
        <v>2174</v>
      </c>
      <c r="K398" t="s">
        <v>9416</v>
      </c>
      <c r="L398" t="s">
        <v>9417</v>
      </c>
      <c r="M398" t="s">
        <v>9534</v>
      </c>
      <c r="N398" t="s">
        <v>9621</v>
      </c>
      <c r="O398" t="s">
        <v>10369</v>
      </c>
      <c r="P398" t="s">
        <v>9420</v>
      </c>
      <c r="Q398" t="s">
        <v>9421</v>
      </c>
      <c r="R398" t="s">
        <v>17</v>
      </c>
      <c r="S398" t="s">
        <v>10366</v>
      </c>
      <c r="T398" t="s">
        <v>10370</v>
      </c>
    </row>
    <row r="399" spans="1:20">
      <c r="A399" t="s">
        <v>1731</v>
      </c>
      <c r="B399" t="s">
        <v>20</v>
      </c>
      <c r="C399" t="s">
        <v>6258</v>
      </c>
      <c r="D399" t="s">
        <v>9677</v>
      </c>
      <c r="E399" t="s">
        <v>10371</v>
      </c>
      <c r="F399" t="s">
        <v>9412</v>
      </c>
      <c r="G399" t="s">
        <v>9413</v>
      </c>
      <c r="H399" t="s">
        <v>9414</v>
      </c>
      <c r="I399" t="s">
        <v>9736</v>
      </c>
      <c r="J399" t="s">
        <v>1683</v>
      </c>
      <c r="K399" t="s">
        <v>9416</v>
      </c>
      <c r="L399" t="s">
        <v>9417</v>
      </c>
      <c r="M399" t="s">
        <v>9453</v>
      </c>
      <c r="N399" t="s">
        <v>9430</v>
      </c>
      <c r="O399" t="s">
        <v>6262</v>
      </c>
      <c r="P399" t="s">
        <v>9431</v>
      </c>
      <c r="Q399" t="s">
        <v>9421</v>
      </c>
      <c r="R399" t="s">
        <v>24</v>
      </c>
      <c r="S399" t="s">
        <v>1739</v>
      </c>
      <c r="T399" t="s">
        <v>1741</v>
      </c>
    </row>
    <row r="400" spans="1:20">
      <c r="A400" t="s">
        <v>1731</v>
      </c>
      <c r="B400" t="s">
        <v>20</v>
      </c>
      <c r="C400" t="s">
        <v>6258</v>
      </c>
      <c r="D400" t="s">
        <v>9677</v>
      </c>
      <c r="E400" t="s">
        <v>10371</v>
      </c>
      <c r="F400" t="s">
        <v>9412</v>
      </c>
      <c r="G400" t="s">
        <v>9413</v>
      </c>
      <c r="H400" t="s">
        <v>9414</v>
      </c>
      <c r="I400" t="s">
        <v>9736</v>
      </c>
      <c r="J400" t="s">
        <v>1683</v>
      </c>
      <c r="K400" t="s">
        <v>9416</v>
      </c>
      <c r="L400" t="s">
        <v>9417</v>
      </c>
      <c r="M400" t="s">
        <v>9453</v>
      </c>
      <c r="N400" t="s">
        <v>9454</v>
      </c>
      <c r="O400" t="s">
        <v>6256</v>
      </c>
      <c r="P400" t="s">
        <v>9429</v>
      </c>
      <c r="Q400" t="s">
        <v>9421</v>
      </c>
      <c r="R400" t="s">
        <v>52</v>
      </c>
      <c r="S400" t="s">
        <v>1732</v>
      </c>
      <c r="T400" t="s">
        <v>1734</v>
      </c>
    </row>
    <row r="401" spans="1:20">
      <c r="A401" t="s">
        <v>1731</v>
      </c>
      <c r="B401" t="s">
        <v>20</v>
      </c>
      <c r="C401" t="s">
        <v>6258</v>
      </c>
      <c r="D401" t="s">
        <v>9677</v>
      </c>
      <c r="E401" t="s">
        <v>10371</v>
      </c>
      <c r="F401" t="s">
        <v>9412</v>
      </c>
      <c r="G401" t="s">
        <v>9413</v>
      </c>
      <c r="H401" t="s">
        <v>9414</v>
      </c>
      <c r="I401" t="s">
        <v>9736</v>
      </c>
      <c r="J401" t="s">
        <v>1683</v>
      </c>
      <c r="K401" t="s">
        <v>9416</v>
      </c>
      <c r="L401" t="s">
        <v>9417</v>
      </c>
      <c r="M401" t="s">
        <v>9453</v>
      </c>
      <c r="N401" t="s">
        <v>9454</v>
      </c>
      <c r="O401" t="s">
        <v>6260</v>
      </c>
      <c r="P401" t="s">
        <v>9429</v>
      </c>
      <c r="Q401" t="s">
        <v>9421</v>
      </c>
      <c r="R401" t="s">
        <v>52</v>
      </c>
      <c r="S401" t="s">
        <v>1736</v>
      </c>
      <c r="T401" t="s">
        <v>1738</v>
      </c>
    </row>
    <row r="402" spans="1:20">
      <c r="A402" t="s">
        <v>1981</v>
      </c>
      <c r="B402" t="s">
        <v>62</v>
      </c>
      <c r="C402" t="s">
        <v>6577</v>
      </c>
      <c r="D402" t="s">
        <v>9448</v>
      </c>
      <c r="E402" t="s">
        <v>10372</v>
      </c>
      <c r="F402" t="s">
        <v>9412</v>
      </c>
      <c r="G402" t="s">
        <v>9413</v>
      </c>
      <c r="H402" t="s">
        <v>9414</v>
      </c>
      <c r="I402" t="s">
        <v>9415</v>
      </c>
      <c r="J402" t="s">
        <v>1920</v>
      </c>
      <c r="K402" t="s">
        <v>9416</v>
      </c>
      <c r="L402" t="s">
        <v>9417</v>
      </c>
      <c r="M402" t="s">
        <v>9783</v>
      </c>
      <c r="N402" t="s">
        <v>9608</v>
      </c>
      <c r="O402" t="s">
        <v>6575</v>
      </c>
      <c r="P402" t="s">
        <v>9429</v>
      </c>
      <c r="Q402" t="s">
        <v>9421</v>
      </c>
      <c r="R402" t="s">
        <v>52</v>
      </c>
      <c r="S402" t="s">
        <v>1981</v>
      </c>
      <c r="T402" t="s">
        <v>1983</v>
      </c>
    </row>
    <row r="403" spans="1:20">
      <c r="A403" t="s">
        <v>1981</v>
      </c>
      <c r="B403" t="s">
        <v>62</v>
      </c>
      <c r="C403" t="s">
        <v>6577</v>
      </c>
      <c r="D403" t="s">
        <v>9448</v>
      </c>
      <c r="E403" t="s">
        <v>10372</v>
      </c>
      <c r="F403" t="s">
        <v>9412</v>
      </c>
      <c r="G403" t="s">
        <v>9413</v>
      </c>
      <c r="H403" t="s">
        <v>9414</v>
      </c>
      <c r="I403" t="s">
        <v>9415</v>
      </c>
      <c r="J403" t="s">
        <v>1920</v>
      </c>
      <c r="K403" t="s">
        <v>9416</v>
      </c>
      <c r="L403" t="s">
        <v>9417</v>
      </c>
      <c r="M403" t="s">
        <v>9783</v>
      </c>
      <c r="N403" t="s">
        <v>9430</v>
      </c>
      <c r="O403" t="s">
        <v>6568</v>
      </c>
      <c r="P403" t="s">
        <v>9479</v>
      </c>
      <c r="Q403" t="s">
        <v>9421</v>
      </c>
      <c r="R403" t="s">
        <v>43</v>
      </c>
      <c r="S403" t="s">
        <v>1975</v>
      </c>
      <c r="T403" t="s">
        <v>1977</v>
      </c>
    </row>
    <row r="404" spans="1:20">
      <c r="A404" t="s">
        <v>1981</v>
      </c>
      <c r="B404" t="s">
        <v>62</v>
      </c>
      <c r="C404" t="s">
        <v>6581</v>
      </c>
      <c r="D404" t="s">
        <v>9448</v>
      </c>
      <c r="E404" t="s">
        <v>10372</v>
      </c>
      <c r="F404" t="s">
        <v>9412</v>
      </c>
      <c r="G404" t="s">
        <v>9413</v>
      </c>
      <c r="H404" t="s">
        <v>9414</v>
      </c>
      <c r="I404" t="s">
        <v>9415</v>
      </c>
      <c r="J404" t="s">
        <v>1920</v>
      </c>
      <c r="K404" t="s">
        <v>9445</v>
      </c>
      <c r="L404" t="s">
        <v>9417</v>
      </c>
      <c r="M404" t="s">
        <v>9783</v>
      </c>
      <c r="N404" t="s">
        <v>9426</v>
      </c>
      <c r="O404" t="s">
        <v>9446</v>
      </c>
      <c r="P404" t="s">
        <v>9479</v>
      </c>
      <c r="Q404" t="s">
        <v>9421</v>
      </c>
      <c r="R404" t="s">
        <v>43</v>
      </c>
      <c r="S404" t="s">
        <v>1594</v>
      </c>
      <c r="T404" t="s">
        <v>1596</v>
      </c>
    </row>
    <row r="405" spans="1:20">
      <c r="A405" t="s">
        <v>1981</v>
      </c>
      <c r="B405" t="s">
        <v>62</v>
      </c>
      <c r="C405" t="s">
        <v>6581</v>
      </c>
      <c r="D405" t="s">
        <v>9448</v>
      </c>
      <c r="E405" t="s">
        <v>10372</v>
      </c>
      <c r="F405" t="s">
        <v>9412</v>
      </c>
      <c r="G405" t="s">
        <v>9413</v>
      </c>
      <c r="H405" t="s">
        <v>9414</v>
      </c>
      <c r="I405" t="s">
        <v>9415</v>
      </c>
      <c r="J405" t="s">
        <v>1920</v>
      </c>
      <c r="K405" t="s">
        <v>9416</v>
      </c>
      <c r="L405" t="s">
        <v>9417</v>
      </c>
      <c r="M405" t="s">
        <v>9783</v>
      </c>
      <c r="N405" t="s">
        <v>9446</v>
      </c>
      <c r="O405" t="s">
        <v>6579</v>
      </c>
      <c r="P405" t="s">
        <v>9655</v>
      </c>
      <c r="Q405" t="s">
        <v>9421</v>
      </c>
      <c r="R405" t="s">
        <v>56</v>
      </c>
      <c r="S405" t="s">
        <v>1985</v>
      </c>
      <c r="T405" t="s">
        <v>1987</v>
      </c>
    </row>
    <row r="406" spans="1:20">
      <c r="A406" t="s">
        <v>10373</v>
      </c>
      <c r="B406" t="s">
        <v>9409</v>
      </c>
      <c r="C406" t="s">
        <v>10374</v>
      </c>
      <c r="D406" t="s">
        <v>9410</v>
      </c>
      <c r="E406" t="s">
        <v>10375</v>
      </c>
      <c r="F406" t="s">
        <v>9412</v>
      </c>
      <c r="G406" t="s">
        <v>9413</v>
      </c>
      <c r="H406" t="s">
        <v>9414</v>
      </c>
      <c r="I406" t="s">
        <v>9874</v>
      </c>
      <c r="J406" t="s">
        <v>1375</v>
      </c>
      <c r="K406" t="s">
        <v>9445</v>
      </c>
      <c r="L406" t="s">
        <v>9417</v>
      </c>
      <c r="M406" t="s">
        <v>9503</v>
      </c>
      <c r="N406" t="s">
        <v>9426</v>
      </c>
      <c r="O406" t="s">
        <v>9446</v>
      </c>
      <c r="P406" t="s">
        <v>9447</v>
      </c>
      <c r="Q406" t="s">
        <v>9421</v>
      </c>
      <c r="R406" t="s">
        <v>24</v>
      </c>
      <c r="S406" t="s">
        <v>1078</v>
      </c>
      <c r="T406" t="s">
        <v>1080</v>
      </c>
    </row>
    <row r="407" spans="1:20">
      <c r="A407" t="s">
        <v>10373</v>
      </c>
      <c r="B407" t="s">
        <v>9409</v>
      </c>
      <c r="C407" t="s">
        <v>10374</v>
      </c>
      <c r="D407" t="s">
        <v>9410</v>
      </c>
      <c r="E407" t="s">
        <v>10375</v>
      </c>
      <c r="F407" t="s">
        <v>9412</v>
      </c>
      <c r="G407" t="s">
        <v>9413</v>
      </c>
      <c r="H407" t="s">
        <v>9414</v>
      </c>
      <c r="I407" t="s">
        <v>9874</v>
      </c>
      <c r="J407" t="s">
        <v>1375</v>
      </c>
      <c r="K407" t="s">
        <v>9416</v>
      </c>
      <c r="L407" t="s">
        <v>9417</v>
      </c>
      <c r="M407" t="s">
        <v>9503</v>
      </c>
      <c r="N407" t="s">
        <v>9443</v>
      </c>
      <c r="O407" t="s">
        <v>10376</v>
      </c>
      <c r="P407" t="s">
        <v>9420</v>
      </c>
      <c r="Q407" t="s">
        <v>9421</v>
      </c>
      <c r="R407" t="s">
        <v>17</v>
      </c>
      <c r="S407" t="s">
        <v>10377</v>
      </c>
      <c r="T407" t="s">
        <v>10378</v>
      </c>
    </row>
    <row r="408" spans="1:20">
      <c r="A408" t="s">
        <v>5487</v>
      </c>
      <c r="B408" t="s">
        <v>9409</v>
      </c>
      <c r="C408" t="s">
        <v>5491</v>
      </c>
      <c r="D408" t="s">
        <v>9410</v>
      </c>
      <c r="E408" t="s">
        <v>10379</v>
      </c>
      <c r="F408" t="s">
        <v>9412</v>
      </c>
      <c r="G408" t="s">
        <v>9413</v>
      </c>
      <c r="H408" t="s">
        <v>9414</v>
      </c>
      <c r="I408" t="s">
        <v>9874</v>
      </c>
      <c r="J408" t="s">
        <v>1043</v>
      </c>
      <c r="K408" t="s">
        <v>9416</v>
      </c>
      <c r="L408" t="s">
        <v>9417</v>
      </c>
      <c r="M408" t="s">
        <v>9436</v>
      </c>
      <c r="N408" t="s">
        <v>9437</v>
      </c>
      <c r="O408" t="s">
        <v>5489</v>
      </c>
      <c r="P408" t="s">
        <v>9623</v>
      </c>
      <c r="Q408" t="s">
        <v>9421</v>
      </c>
      <c r="R408" t="s">
        <v>24</v>
      </c>
      <c r="S408" t="s">
        <v>5488</v>
      </c>
      <c r="T408" t="s">
        <v>10380</v>
      </c>
    </row>
    <row r="409" spans="1:20">
      <c r="A409" t="s">
        <v>10381</v>
      </c>
      <c r="B409" t="s">
        <v>9409</v>
      </c>
      <c r="C409" t="s">
        <v>10382</v>
      </c>
      <c r="D409" t="s">
        <v>9410</v>
      </c>
      <c r="E409" t="s">
        <v>10383</v>
      </c>
      <c r="F409" t="s">
        <v>9412</v>
      </c>
      <c r="G409" t="s">
        <v>9413</v>
      </c>
      <c r="H409" t="s">
        <v>9414</v>
      </c>
      <c r="I409" t="s">
        <v>9415</v>
      </c>
      <c r="J409" t="s">
        <v>1683</v>
      </c>
      <c r="K409" t="s">
        <v>9416</v>
      </c>
      <c r="L409" t="s">
        <v>9417</v>
      </c>
      <c r="M409" t="s">
        <v>9473</v>
      </c>
      <c r="N409" t="s">
        <v>9454</v>
      </c>
      <c r="O409" t="s">
        <v>10384</v>
      </c>
      <c r="P409" t="s">
        <v>9420</v>
      </c>
      <c r="Q409" t="s">
        <v>9421</v>
      </c>
      <c r="R409" t="s">
        <v>17</v>
      </c>
      <c r="S409" t="s">
        <v>10381</v>
      </c>
      <c r="T409" t="s">
        <v>10385</v>
      </c>
    </row>
    <row r="410" spans="1:20">
      <c r="A410" t="s">
        <v>10381</v>
      </c>
      <c r="B410" t="s">
        <v>9409</v>
      </c>
      <c r="C410" t="s">
        <v>10382</v>
      </c>
      <c r="D410" t="s">
        <v>9410</v>
      </c>
      <c r="E410" t="s">
        <v>10383</v>
      </c>
      <c r="F410" t="s">
        <v>9412</v>
      </c>
      <c r="G410" t="s">
        <v>9413</v>
      </c>
      <c r="H410" t="s">
        <v>9414</v>
      </c>
      <c r="I410" t="s">
        <v>9415</v>
      </c>
      <c r="J410" t="s">
        <v>1683</v>
      </c>
      <c r="K410" t="s">
        <v>9445</v>
      </c>
      <c r="L410" t="s">
        <v>9417</v>
      </c>
      <c r="M410" t="s">
        <v>9473</v>
      </c>
      <c r="N410" t="s">
        <v>9430</v>
      </c>
      <c r="O410" t="s">
        <v>9446</v>
      </c>
      <c r="P410" t="s">
        <v>9737</v>
      </c>
      <c r="Q410" t="s">
        <v>9421</v>
      </c>
      <c r="R410" t="s">
        <v>24</v>
      </c>
      <c r="S410" t="s">
        <v>6237</v>
      </c>
      <c r="T410" t="s">
        <v>10128</v>
      </c>
    </row>
    <row r="411" spans="1:20">
      <c r="A411" t="s">
        <v>10386</v>
      </c>
      <c r="B411" t="s">
        <v>9409</v>
      </c>
      <c r="C411" t="s">
        <v>10387</v>
      </c>
      <c r="D411" t="s">
        <v>9410</v>
      </c>
      <c r="E411" t="s">
        <v>10388</v>
      </c>
      <c r="F411" t="s">
        <v>9412</v>
      </c>
      <c r="G411" t="s">
        <v>9413</v>
      </c>
      <c r="H411" t="s">
        <v>9414</v>
      </c>
      <c r="I411" t="s">
        <v>9415</v>
      </c>
      <c r="J411" t="s">
        <v>1043</v>
      </c>
      <c r="K411" t="s">
        <v>9416</v>
      </c>
      <c r="L411" t="s">
        <v>9417</v>
      </c>
      <c r="M411" t="s">
        <v>9458</v>
      </c>
      <c r="N411" t="s">
        <v>9437</v>
      </c>
      <c r="O411" t="s">
        <v>10389</v>
      </c>
      <c r="P411" t="s">
        <v>9420</v>
      </c>
      <c r="Q411" t="s">
        <v>9421</v>
      </c>
      <c r="R411" t="s">
        <v>17</v>
      </c>
      <c r="S411" t="s">
        <v>10386</v>
      </c>
      <c r="T411" t="s">
        <v>10390</v>
      </c>
    </row>
    <row r="412" spans="1:20">
      <c r="A412" t="s">
        <v>1397</v>
      </c>
      <c r="B412" t="s">
        <v>20</v>
      </c>
      <c r="C412" t="s">
        <v>5870</v>
      </c>
      <c r="D412" t="s">
        <v>9666</v>
      </c>
      <c r="E412" t="s">
        <v>10391</v>
      </c>
      <c r="F412" t="s">
        <v>9412</v>
      </c>
      <c r="G412" t="s">
        <v>9413</v>
      </c>
      <c r="H412" t="s">
        <v>9414</v>
      </c>
      <c r="I412" t="s">
        <v>9472</v>
      </c>
      <c r="J412" t="s">
        <v>1375</v>
      </c>
      <c r="K412" t="s">
        <v>9416</v>
      </c>
      <c r="L412" t="s">
        <v>9417</v>
      </c>
      <c r="M412" t="s">
        <v>9534</v>
      </c>
      <c r="N412" t="s">
        <v>9443</v>
      </c>
      <c r="O412" t="s">
        <v>5868</v>
      </c>
      <c r="P412" t="s">
        <v>9623</v>
      </c>
      <c r="Q412" t="s">
        <v>9421</v>
      </c>
      <c r="R412" t="s">
        <v>24</v>
      </c>
      <c r="S412" t="s">
        <v>1397</v>
      </c>
      <c r="T412" t="s">
        <v>1399</v>
      </c>
    </row>
    <row r="413" spans="1:20">
      <c r="A413" t="s">
        <v>1397</v>
      </c>
      <c r="B413" t="s">
        <v>20</v>
      </c>
      <c r="C413" t="s">
        <v>5870</v>
      </c>
      <c r="D413" t="s">
        <v>9666</v>
      </c>
      <c r="E413" t="s">
        <v>10391</v>
      </c>
      <c r="F413" t="s">
        <v>9412</v>
      </c>
      <c r="G413" t="s">
        <v>9413</v>
      </c>
      <c r="H413" t="s">
        <v>9414</v>
      </c>
      <c r="I413" t="s">
        <v>9472</v>
      </c>
      <c r="J413" t="s">
        <v>1375</v>
      </c>
      <c r="K413" t="s">
        <v>9445</v>
      </c>
      <c r="L413" t="s">
        <v>9417</v>
      </c>
      <c r="M413" t="s">
        <v>9534</v>
      </c>
      <c r="N413" t="s">
        <v>9430</v>
      </c>
      <c r="O413" t="s">
        <v>9446</v>
      </c>
      <c r="P413" t="s">
        <v>9474</v>
      </c>
      <c r="Q413" t="s">
        <v>9421</v>
      </c>
      <c r="R413" t="s">
        <v>24</v>
      </c>
      <c r="S413" t="s">
        <v>1401</v>
      </c>
      <c r="T413" t="s">
        <v>1403</v>
      </c>
    </row>
    <row r="414" spans="1:20">
      <c r="A414" t="s">
        <v>10392</v>
      </c>
      <c r="B414" t="s">
        <v>9409</v>
      </c>
      <c r="C414" t="s">
        <v>10393</v>
      </c>
      <c r="D414" t="s">
        <v>9410</v>
      </c>
      <c r="E414" t="s">
        <v>10394</v>
      </c>
      <c r="F414" t="s">
        <v>9412</v>
      </c>
      <c r="G414" t="s">
        <v>9413</v>
      </c>
      <c r="H414" t="s">
        <v>9414</v>
      </c>
      <c r="I414" t="s">
        <v>10302</v>
      </c>
      <c r="J414" t="s">
        <v>1375</v>
      </c>
      <c r="K414" t="s">
        <v>9416</v>
      </c>
      <c r="L414" t="s">
        <v>9417</v>
      </c>
      <c r="M414" t="s">
        <v>9534</v>
      </c>
      <c r="N414" t="s">
        <v>9430</v>
      </c>
      <c r="O414" t="s">
        <v>6015</v>
      </c>
      <c r="P414" t="s">
        <v>9474</v>
      </c>
      <c r="Q414" t="s">
        <v>9421</v>
      </c>
      <c r="R414" t="s">
        <v>43</v>
      </c>
      <c r="S414" t="s">
        <v>6014</v>
      </c>
      <c r="T414" t="s">
        <v>10100</v>
      </c>
    </row>
    <row r="415" spans="1:20">
      <c r="A415" t="s">
        <v>10392</v>
      </c>
      <c r="B415" t="s">
        <v>9409</v>
      </c>
      <c r="C415" t="s">
        <v>10393</v>
      </c>
      <c r="D415" t="s">
        <v>9410</v>
      </c>
      <c r="E415" t="s">
        <v>10394</v>
      </c>
      <c r="F415" t="s">
        <v>9412</v>
      </c>
      <c r="G415" t="s">
        <v>9413</v>
      </c>
      <c r="H415" t="s">
        <v>9414</v>
      </c>
      <c r="I415" t="s">
        <v>10302</v>
      </c>
      <c r="J415" t="s">
        <v>1375</v>
      </c>
      <c r="K415" t="s">
        <v>9416</v>
      </c>
      <c r="L415" t="s">
        <v>9417</v>
      </c>
      <c r="M415" t="s">
        <v>9534</v>
      </c>
      <c r="N415" t="s">
        <v>9443</v>
      </c>
      <c r="O415" t="s">
        <v>10395</v>
      </c>
      <c r="P415" t="s">
        <v>9420</v>
      </c>
      <c r="Q415" t="s">
        <v>9421</v>
      </c>
      <c r="R415" t="s">
        <v>17</v>
      </c>
      <c r="S415" t="s">
        <v>10392</v>
      </c>
      <c r="T415" t="s">
        <v>10396</v>
      </c>
    </row>
    <row r="416" spans="1:20">
      <c r="A416" t="s">
        <v>1871</v>
      </c>
      <c r="B416" t="s">
        <v>62</v>
      </c>
      <c r="C416" t="s">
        <v>1874</v>
      </c>
      <c r="D416" t="s">
        <v>445</v>
      </c>
      <c r="E416" t="s">
        <v>10397</v>
      </c>
      <c r="F416" t="s">
        <v>9412</v>
      </c>
      <c r="G416" t="s">
        <v>9413</v>
      </c>
      <c r="H416" t="s">
        <v>1044</v>
      </c>
      <c r="I416" t="s">
        <v>10286</v>
      </c>
      <c r="J416" t="s">
        <v>1808</v>
      </c>
      <c r="K416" t="s">
        <v>9416</v>
      </c>
      <c r="L416" t="s">
        <v>9417</v>
      </c>
      <c r="M416" t="s">
        <v>9840</v>
      </c>
      <c r="N416" t="s">
        <v>9639</v>
      </c>
      <c r="O416" t="s">
        <v>6412</v>
      </c>
      <c r="P416" t="s">
        <v>9459</v>
      </c>
      <c r="Q416" t="s">
        <v>9421</v>
      </c>
      <c r="R416" t="s">
        <v>17</v>
      </c>
      <c r="S416" t="s">
        <v>1871</v>
      </c>
      <c r="T416" t="s">
        <v>1873</v>
      </c>
    </row>
    <row r="417" spans="1:20">
      <c r="A417" t="s">
        <v>2069</v>
      </c>
      <c r="B417" t="s">
        <v>20</v>
      </c>
      <c r="C417" t="s">
        <v>2072</v>
      </c>
      <c r="D417" t="s">
        <v>9460</v>
      </c>
      <c r="E417" t="s">
        <v>10398</v>
      </c>
      <c r="F417" t="s">
        <v>9412</v>
      </c>
      <c r="G417" t="s">
        <v>9413</v>
      </c>
      <c r="H417" t="s">
        <v>1044</v>
      </c>
      <c r="I417" t="s">
        <v>9441</v>
      </c>
      <c r="J417" t="s">
        <v>2026</v>
      </c>
      <c r="K417" t="s">
        <v>9416</v>
      </c>
      <c r="L417" t="s">
        <v>9417</v>
      </c>
      <c r="M417" t="s">
        <v>9757</v>
      </c>
      <c r="N417" t="s">
        <v>9480</v>
      </c>
      <c r="O417" t="s">
        <v>6703</v>
      </c>
      <c r="P417" t="s">
        <v>9420</v>
      </c>
      <c r="Q417" t="s">
        <v>9421</v>
      </c>
      <c r="R417" t="s">
        <v>17</v>
      </c>
      <c r="S417" t="s">
        <v>2069</v>
      </c>
      <c r="T417" t="s">
        <v>2071</v>
      </c>
    </row>
    <row r="418" spans="1:20">
      <c r="A418" t="s">
        <v>1089</v>
      </c>
      <c r="B418" t="s">
        <v>62</v>
      </c>
      <c r="C418" t="s">
        <v>5493</v>
      </c>
      <c r="D418" t="s">
        <v>445</v>
      </c>
      <c r="E418" t="s">
        <v>10399</v>
      </c>
      <c r="F418" t="s">
        <v>9412</v>
      </c>
      <c r="G418" t="s">
        <v>9413</v>
      </c>
      <c r="H418" t="s">
        <v>9414</v>
      </c>
      <c r="I418" t="s">
        <v>10400</v>
      </c>
      <c r="J418" t="s">
        <v>1043</v>
      </c>
      <c r="K418" t="s">
        <v>9416</v>
      </c>
      <c r="L418" t="s">
        <v>9417</v>
      </c>
      <c r="M418" t="s">
        <v>9458</v>
      </c>
      <c r="N418" t="s">
        <v>9446</v>
      </c>
      <c r="O418" t="s">
        <v>5495</v>
      </c>
      <c r="P418" t="s">
        <v>9655</v>
      </c>
      <c r="Q418" t="s">
        <v>9421</v>
      </c>
      <c r="R418" t="s">
        <v>56</v>
      </c>
      <c r="S418" t="s">
        <v>1091</v>
      </c>
      <c r="T418" t="s">
        <v>1093</v>
      </c>
    </row>
    <row r="419" spans="1:20">
      <c r="A419" t="s">
        <v>1089</v>
      </c>
      <c r="B419" t="s">
        <v>62</v>
      </c>
      <c r="C419" t="s">
        <v>5493</v>
      </c>
      <c r="D419" t="s">
        <v>445</v>
      </c>
      <c r="E419" t="s">
        <v>10399</v>
      </c>
      <c r="F419" t="s">
        <v>9412</v>
      </c>
      <c r="G419" t="s">
        <v>9413</v>
      </c>
      <c r="H419" t="s">
        <v>9414</v>
      </c>
      <c r="I419" t="s">
        <v>10400</v>
      </c>
      <c r="J419" t="s">
        <v>1043</v>
      </c>
      <c r="K419" t="s">
        <v>9445</v>
      </c>
      <c r="L419" t="s">
        <v>9417</v>
      </c>
      <c r="M419" t="s">
        <v>9458</v>
      </c>
      <c r="N419" t="s">
        <v>9426</v>
      </c>
      <c r="O419" t="s">
        <v>9446</v>
      </c>
      <c r="P419" t="s">
        <v>9479</v>
      </c>
      <c r="Q419" t="s">
        <v>9421</v>
      </c>
      <c r="R419" t="s">
        <v>43</v>
      </c>
      <c r="S419" t="s">
        <v>1064</v>
      </c>
      <c r="T419" t="s">
        <v>1066</v>
      </c>
    </row>
    <row r="420" spans="1:20">
      <c r="A420" t="s">
        <v>1089</v>
      </c>
      <c r="B420" t="s">
        <v>62</v>
      </c>
      <c r="C420" t="s">
        <v>5493</v>
      </c>
      <c r="D420" t="s">
        <v>445</v>
      </c>
      <c r="E420" t="s">
        <v>10399</v>
      </c>
      <c r="F420" t="s">
        <v>9412</v>
      </c>
      <c r="G420" t="s">
        <v>9413</v>
      </c>
      <c r="H420" t="s">
        <v>9414</v>
      </c>
      <c r="I420" t="s">
        <v>10400</v>
      </c>
      <c r="J420" t="s">
        <v>1043</v>
      </c>
      <c r="K420" t="s">
        <v>9416</v>
      </c>
      <c r="L420" t="s">
        <v>9417</v>
      </c>
      <c r="M420" t="s">
        <v>9458</v>
      </c>
      <c r="N420" t="s">
        <v>9446</v>
      </c>
      <c r="O420" t="s">
        <v>5497</v>
      </c>
      <c r="P420" t="s">
        <v>9647</v>
      </c>
      <c r="Q420" t="s">
        <v>9421</v>
      </c>
      <c r="R420" t="s">
        <v>84</v>
      </c>
      <c r="S420" t="s">
        <v>1094</v>
      </c>
      <c r="T420" t="s">
        <v>1096</v>
      </c>
    </row>
    <row r="421" spans="1:20">
      <c r="A421" t="s">
        <v>1875</v>
      </c>
      <c r="B421" t="s">
        <v>62</v>
      </c>
      <c r="C421" t="s">
        <v>1879</v>
      </c>
      <c r="D421" t="s">
        <v>10271</v>
      </c>
      <c r="E421" t="s">
        <v>10401</v>
      </c>
      <c r="F421" t="s">
        <v>9412</v>
      </c>
      <c r="G421" t="s">
        <v>9413</v>
      </c>
      <c r="H421" t="s">
        <v>1044</v>
      </c>
      <c r="I421" t="s">
        <v>10402</v>
      </c>
      <c r="J421" t="s">
        <v>1808</v>
      </c>
      <c r="K421" t="s">
        <v>9416</v>
      </c>
      <c r="L421" t="s">
        <v>9417</v>
      </c>
      <c r="M421" t="s">
        <v>9418</v>
      </c>
      <c r="N421" t="s">
        <v>9639</v>
      </c>
      <c r="O421" t="s">
        <v>6416</v>
      </c>
      <c r="P421" t="s">
        <v>9459</v>
      </c>
      <c r="Q421" t="s">
        <v>9421</v>
      </c>
      <c r="R421" t="s">
        <v>17</v>
      </c>
      <c r="S421" t="s">
        <v>1876</v>
      </c>
      <c r="T421" t="s">
        <v>1878</v>
      </c>
    </row>
    <row r="422" spans="1:20">
      <c r="A422" t="s">
        <v>1875</v>
      </c>
      <c r="B422" t="s">
        <v>62</v>
      </c>
      <c r="C422" t="s">
        <v>1879</v>
      </c>
      <c r="D422" t="s">
        <v>10271</v>
      </c>
      <c r="E422" t="s">
        <v>10401</v>
      </c>
      <c r="F422" t="s">
        <v>9412</v>
      </c>
      <c r="G422" t="s">
        <v>9413</v>
      </c>
      <c r="H422" t="s">
        <v>1044</v>
      </c>
      <c r="I422" t="s">
        <v>10402</v>
      </c>
      <c r="J422" t="s">
        <v>1808</v>
      </c>
      <c r="K422" t="s">
        <v>9416</v>
      </c>
      <c r="L422" t="s">
        <v>9417</v>
      </c>
      <c r="M422" t="s">
        <v>9418</v>
      </c>
      <c r="N422" t="s">
        <v>9639</v>
      </c>
      <c r="O422" t="s">
        <v>6420</v>
      </c>
      <c r="P422" t="s">
        <v>9459</v>
      </c>
      <c r="Q422" t="s">
        <v>9421</v>
      </c>
      <c r="R422" t="s">
        <v>17</v>
      </c>
      <c r="S422" t="s">
        <v>1880</v>
      </c>
      <c r="T422" t="s">
        <v>1882</v>
      </c>
    </row>
    <row r="423" spans="1:20">
      <c r="A423" t="s">
        <v>5977</v>
      </c>
      <c r="B423" t="s">
        <v>20</v>
      </c>
      <c r="C423" t="s">
        <v>5980</v>
      </c>
      <c r="D423" t="s">
        <v>9475</v>
      </c>
      <c r="E423" t="s">
        <v>10403</v>
      </c>
      <c r="F423" t="s">
        <v>9412</v>
      </c>
      <c r="G423" t="s">
        <v>9413</v>
      </c>
      <c r="H423" t="s">
        <v>9414</v>
      </c>
      <c r="I423" t="s">
        <v>9441</v>
      </c>
      <c r="J423" t="s">
        <v>1442</v>
      </c>
      <c r="K423" t="s">
        <v>9416</v>
      </c>
      <c r="L423" t="s">
        <v>9417</v>
      </c>
      <c r="M423" t="s">
        <v>9463</v>
      </c>
      <c r="N423" t="s">
        <v>9428</v>
      </c>
      <c r="O423" t="s">
        <v>5913</v>
      </c>
      <c r="P423" t="s">
        <v>9429</v>
      </c>
      <c r="Q423" t="s">
        <v>9421</v>
      </c>
      <c r="R423" t="s">
        <v>52</v>
      </c>
      <c r="S423" t="s">
        <v>5912</v>
      </c>
      <c r="T423" t="s">
        <v>10404</v>
      </c>
    </row>
    <row r="424" spans="1:20">
      <c r="A424" t="s">
        <v>5977</v>
      </c>
      <c r="B424" t="s">
        <v>20</v>
      </c>
      <c r="C424" t="s">
        <v>5980</v>
      </c>
      <c r="D424" t="s">
        <v>9475</v>
      </c>
      <c r="E424" t="s">
        <v>10403</v>
      </c>
      <c r="F424" t="s">
        <v>9412</v>
      </c>
      <c r="G424" t="s">
        <v>9413</v>
      </c>
      <c r="H424" t="s">
        <v>9414</v>
      </c>
      <c r="I424" t="s">
        <v>9441</v>
      </c>
      <c r="J424" t="s">
        <v>1442</v>
      </c>
      <c r="K424" t="s">
        <v>9416</v>
      </c>
      <c r="L424" t="s">
        <v>9417</v>
      </c>
      <c r="M424" t="s">
        <v>9463</v>
      </c>
      <c r="N424" t="s">
        <v>9428</v>
      </c>
      <c r="O424" t="s">
        <v>5978</v>
      </c>
      <c r="P424" t="s">
        <v>9420</v>
      </c>
      <c r="Q424" t="s">
        <v>9421</v>
      </c>
      <c r="R424" t="s">
        <v>17</v>
      </c>
      <c r="S424" t="s">
        <v>5977</v>
      </c>
      <c r="T424" t="s">
        <v>10405</v>
      </c>
    </row>
    <row r="425" spans="1:20">
      <c r="A425" t="s">
        <v>1097</v>
      </c>
      <c r="B425" t="s">
        <v>62</v>
      </c>
      <c r="C425" t="s">
        <v>1101</v>
      </c>
      <c r="D425" t="s">
        <v>445</v>
      </c>
      <c r="E425" t="s">
        <v>10406</v>
      </c>
      <c r="F425" t="s">
        <v>9412</v>
      </c>
      <c r="G425" t="s">
        <v>9413</v>
      </c>
      <c r="H425" t="s">
        <v>1044</v>
      </c>
      <c r="I425" t="s">
        <v>10407</v>
      </c>
      <c r="J425" t="s">
        <v>1043</v>
      </c>
      <c r="K425" t="s">
        <v>9445</v>
      </c>
      <c r="L425" t="s">
        <v>9417</v>
      </c>
      <c r="M425" t="s">
        <v>9580</v>
      </c>
      <c r="N425" t="s">
        <v>9426</v>
      </c>
      <c r="O425" t="s">
        <v>9446</v>
      </c>
      <c r="P425" t="s">
        <v>9479</v>
      </c>
      <c r="Q425" t="s">
        <v>9421</v>
      </c>
      <c r="R425" t="s">
        <v>43</v>
      </c>
      <c r="S425" t="s">
        <v>1064</v>
      </c>
      <c r="T425" t="s">
        <v>1066</v>
      </c>
    </row>
    <row r="426" spans="1:20">
      <c r="A426" t="s">
        <v>1097</v>
      </c>
      <c r="B426" t="s">
        <v>62</v>
      </c>
      <c r="C426" t="s">
        <v>1101</v>
      </c>
      <c r="D426" t="s">
        <v>445</v>
      </c>
      <c r="E426" t="s">
        <v>10406</v>
      </c>
      <c r="F426" t="s">
        <v>9412</v>
      </c>
      <c r="G426" t="s">
        <v>9413</v>
      </c>
      <c r="H426" t="s">
        <v>1044</v>
      </c>
      <c r="I426" t="s">
        <v>10407</v>
      </c>
      <c r="J426" t="s">
        <v>1043</v>
      </c>
      <c r="K426" t="s">
        <v>9416</v>
      </c>
      <c r="L426" t="s">
        <v>9417</v>
      </c>
      <c r="M426" t="s">
        <v>9580</v>
      </c>
      <c r="N426" t="s">
        <v>9437</v>
      </c>
      <c r="O426" t="s">
        <v>5499</v>
      </c>
      <c r="P426" t="s">
        <v>9420</v>
      </c>
      <c r="Q426" t="s">
        <v>9421</v>
      </c>
      <c r="R426" t="s">
        <v>17</v>
      </c>
      <c r="S426" t="s">
        <v>1098</v>
      </c>
      <c r="T426" t="s">
        <v>1100</v>
      </c>
    </row>
    <row r="427" spans="1:20">
      <c r="A427" t="s">
        <v>1208</v>
      </c>
      <c r="B427" t="s">
        <v>20</v>
      </c>
      <c r="C427" t="s">
        <v>5643</v>
      </c>
      <c r="D427" t="s">
        <v>9464</v>
      </c>
      <c r="E427" t="s">
        <v>10408</v>
      </c>
      <c r="F427" t="s">
        <v>9412</v>
      </c>
      <c r="G427" t="s">
        <v>9413</v>
      </c>
      <c r="H427" t="s">
        <v>9414</v>
      </c>
      <c r="I427" t="s">
        <v>9482</v>
      </c>
      <c r="J427" t="s">
        <v>1155</v>
      </c>
      <c r="K427" t="s">
        <v>9416</v>
      </c>
      <c r="L427" t="s">
        <v>9417</v>
      </c>
      <c r="M427" t="s">
        <v>9503</v>
      </c>
      <c r="N427" t="s">
        <v>9488</v>
      </c>
      <c r="O427" t="s">
        <v>5641</v>
      </c>
      <c r="P427" t="s">
        <v>9429</v>
      </c>
      <c r="Q427" t="s">
        <v>9421</v>
      </c>
      <c r="R427" t="s">
        <v>52</v>
      </c>
      <c r="S427" t="s">
        <v>1208</v>
      </c>
      <c r="T427" t="s">
        <v>1210</v>
      </c>
    </row>
    <row r="428" spans="1:20">
      <c r="A428" t="s">
        <v>1212</v>
      </c>
      <c r="B428" t="s">
        <v>20</v>
      </c>
      <c r="C428" t="s">
        <v>5646</v>
      </c>
      <c r="D428" t="s">
        <v>9460</v>
      </c>
      <c r="E428" t="s">
        <v>10409</v>
      </c>
      <c r="F428" t="s">
        <v>9412</v>
      </c>
      <c r="G428" t="s">
        <v>9413</v>
      </c>
      <c r="H428" t="s">
        <v>9414</v>
      </c>
      <c r="I428" t="s">
        <v>9472</v>
      </c>
      <c r="J428" t="s">
        <v>1155</v>
      </c>
      <c r="K428" t="s">
        <v>9416</v>
      </c>
      <c r="L428" t="s">
        <v>9417</v>
      </c>
      <c r="M428" t="s">
        <v>9487</v>
      </c>
      <c r="N428" t="s">
        <v>9488</v>
      </c>
      <c r="O428" t="s">
        <v>5645</v>
      </c>
      <c r="P428" t="s">
        <v>10410</v>
      </c>
      <c r="Q428" t="s">
        <v>9421</v>
      </c>
      <c r="R428" t="s">
        <v>553</v>
      </c>
      <c r="S428" t="s">
        <v>1212</v>
      </c>
      <c r="T428" t="s">
        <v>1214</v>
      </c>
    </row>
    <row r="429" spans="1:20">
      <c r="A429" t="s">
        <v>10411</v>
      </c>
      <c r="B429" t="s">
        <v>9409</v>
      </c>
      <c r="C429" t="s">
        <v>10412</v>
      </c>
      <c r="D429" t="s">
        <v>9410</v>
      </c>
      <c r="E429" t="s">
        <v>10413</v>
      </c>
      <c r="F429" t="s">
        <v>9412</v>
      </c>
      <c r="G429" t="s">
        <v>9413</v>
      </c>
      <c r="H429" t="s">
        <v>9414</v>
      </c>
      <c r="I429" t="s">
        <v>9482</v>
      </c>
      <c r="J429" t="s">
        <v>1442</v>
      </c>
      <c r="K429" t="s">
        <v>9416</v>
      </c>
      <c r="L429" t="s">
        <v>9417</v>
      </c>
      <c r="M429" t="s">
        <v>9702</v>
      </c>
      <c r="N429" t="s">
        <v>9428</v>
      </c>
      <c r="O429" t="s">
        <v>10414</v>
      </c>
      <c r="P429" t="s">
        <v>9429</v>
      </c>
      <c r="Q429" t="s">
        <v>9421</v>
      </c>
      <c r="R429" t="s">
        <v>52</v>
      </c>
      <c r="S429" t="s">
        <v>10415</v>
      </c>
      <c r="T429" t="s">
        <v>10416</v>
      </c>
    </row>
    <row r="430" spans="1:20">
      <c r="A430" t="s">
        <v>10411</v>
      </c>
      <c r="B430" t="s">
        <v>9409</v>
      </c>
      <c r="C430" t="s">
        <v>10412</v>
      </c>
      <c r="D430" t="s">
        <v>9410</v>
      </c>
      <c r="E430" t="s">
        <v>10413</v>
      </c>
      <c r="F430" t="s">
        <v>9412</v>
      </c>
      <c r="G430" t="s">
        <v>9413</v>
      </c>
      <c r="H430" t="s">
        <v>9414</v>
      </c>
      <c r="I430" t="s">
        <v>9482</v>
      </c>
      <c r="J430" t="s">
        <v>1442</v>
      </c>
      <c r="K430" t="s">
        <v>9416</v>
      </c>
      <c r="L430" t="s">
        <v>9417</v>
      </c>
      <c r="M430" t="s">
        <v>9702</v>
      </c>
      <c r="N430" t="s">
        <v>9428</v>
      </c>
      <c r="O430" t="s">
        <v>10417</v>
      </c>
      <c r="P430" t="s">
        <v>9420</v>
      </c>
      <c r="Q430" t="s">
        <v>9421</v>
      </c>
      <c r="R430" t="s">
        <v>17</v>
      </c>
      <c r="S430" t="s">
        <v>10418</v>
      </c>
      <c r="T430" t="s">
        <v>10419</v>
      </c>
    </row>
    <row r="431" spans="1:20">
      <c r="A431" t="s">
        <v>10411</v>
      </c>
      <c r="B431" t="s">
        <v>9409</v>
      </c>
      <c r="C431" t="s">
        <v>10412</v>
      </c>
      <c r="D431" t="s">
        <v>9410</v>
      </c>
      <c r="E431" t="s">
        <v>10413</v>
      </c>
      <c r="F431" t="s">
        <v>9412</v>
      </c>
      <c r="G431" t="s">
        <v>9413</v>
      </c>
      <c r="H431" t="s">
        <v>9414</v>
      </c>
      <c r="I431" t="s">
        <v>9482</v>
      </c>
      <c r="J431" t="s">
        <v>1442</v>
      </c>
      <c r="K431" t="s">
        <v>9445</v>
      </c>
      <c r="L431" t="s">
        <v>9417</v>
      </c>
      <c r="M431" t="s">
        <v>9702</v>
      </c>
      <c r="N431" t="s">
        <v>9430</v>
      </c>
      <c r="O431" t="s">
        <v>9446</v>
      </c>
      <c r="P431" t="s">
        <v>9524</v>
      </c>
      <c r="Q431" t="s">
        <v>9421</v>
      </c>
      <c r="R431" t="s">
        <v>24</v>
      </c>
      <c r="S431" t="s">
        <v>1455</v>
      </c>
      <c r="T431" t="s">
        <v>1457</v>
      </c>
    </row>
    <row r="432" spans="1:20">
      <c r="A432" t="s">
        <v>1298</v>
      </c>
      <c r="B432" t="s">
        <v>62</v>
      </c>
      <c r="C432" t="s">
        <v>5742</v>
      </c>
      <c r="D432" t="s">
        <v>9448</v>
      </c>
      <c r="E432" t="s">
        <v>10420</v>
      </c>
      <c r="F432" t="s">
        <v>9412</v>
      </c>
      <c r="G432" t="s">
        <v>9413</v>
      </c>
      <c r="H432" t="s">
        <v>9414</v>
      </c>
      <c r="I432" t="s">
        <v>9441</v>
      </c>
      <c r="J432" t="s">
        <v>1246</v>
      </c>
      <c r="K432" t="s">
        <v>9416</v>
      </c>
      <c r="L432" t="s">
        <v>9417</v>
      </c>
      <c r="M432" t="s">
        <v>9467</v>
      </c>
      <c r="N432" t="s">
        <v>9419</v>
      </c>
      <c r="O432" t="s">
        <v>5740</v>
      </c>
      <c r="P432" t="s">
        <v>9459</v>
      </c>
      <c r="Q432" t="s">
        <v>9421</v>
      </c>
      <c r="R432" t="s">
        <v>17</v>
      </c>
      <c r="S432" t="s">
        <v>1298</v>
      </c>
      <c r="T432" t="s">
        <v>1300</v>
      </c>
    </row>
    <row r="433" spans="1:20">
      <c r="A433" t="s">
        <v>1404</v>
      </c>
      <c r="B433" t="s">
        <v>20</v>
      </c>
      <c r="C433" t="s">
        <v>5874</v>
      </c>
      <c r="D433" t="s">
        <v>9666</v>
      </c>
      <c r="E433" t="s">
        <v>10421</v>
      </c>
      <c r="F433" t="s">
        <v>9412</v>
      </c>
      <c r="G433" t="s">
        <v>9413</v>
      </c>
      <c r="H433" t="s">
        <v>9414</v>
      </c>
      <c r="I433" t="s">
        <v>10422</v>
      </c>
      <c r="J433" t="s">
        <v>1375</v>
      </c>
      <c r="K433" t="s">
        <v>9416</v>
      </c>
      <c r="L433" t="s">
        <v>9417</v>
      </c>
      <c r="M433" t="s">
        <v>9534</v>
      </c>
      <c r="N433" t="s">
        <v>9430</v>
      </c>
      <c r="O433" t="s">
        <v>5876</v>
      </c>
      <c r="P433" t="s">
        <v>10423</v>
      </c>
      <c r="Q433" t="s">
        <v>9421</v>
      </c>
      <c r="R433" t="s">
        <v>52</v>
      </c>
      <c r="S433" t="s">
        <v>1409</v>
      </c>
      <c r="T433" t="s">
        <v>1411</v>
      </c>
    </row>
    <row r="434" spans="1:20">
      <c r="A434" t="s">
        <v>1404</v>
      </c>
      <c r="B434" t="s">
        <v>20</v>
      </c>
      <c r="C434" t="s">
        <v>5874</v>
      </c>
      <c r="D434" t="s">
        <v>9666</v>
      </c>
      <c r="E434" t="s">
        <v>10421</v>
      </c>
      <c r="F434" t="s">
        <v>9412</v>
      </c>
      <c r="G434" t="s">
        <v>9413</v>
      </c>
      <c r="H434" t="s">
        <v>9414</v>
      </c>
      <c r="I434" t="s">
        <v>10422</v>
      </c>
      <c r="J434" t="s">
        <v>1375</v>
      </c>
      <c r="K434" t="s">
        <v>9416</v>
      </c>
      <c r="L434" t="s">
        <v>9417</v>
      </c>
      <c r="M434" t="s">
        <v>9534</v>
      </c>
      <c r="N434" t="s">
        <v>9443</v>
      </c>
      <c r="O434" t="s">
        <v>5872</v>
      </c>
      <c r="P434" t="s">
        <v>9429</v>
      </c>
      <c r="Q434" t="s">
        <v>9421</v>
      </c>
      <c r="R434" t="s">
        <v>52</v>
      </c>
      <c r="S434" t="s">
        <v>1405</v>
      </c>
      <c r="T434" t="s">
        <v>1407</v>
      </c>
    </row>
    <row r="435" spans="1:20">
      <c r="A435" t="s">
        <v>1404</v>
      </c>
      <c r="B435" t="s">
        <v>20</v>
      </c>
      <c r="C435" t="s">
        <v>5874</v>
      </c>
      <c r="D435" t="s">
        <v>9666</v>
      </c>
      <c r="E435" t="s">
        <v>10421</v>
      </c>
      <c r="F435" t="s">
        <v>9412</v>
      </c>
      <c r="G435" t="s">
        <v>9413</v>
      </c>
      <c r="H435" t="s">
        <v>9414</v>
      </c>
      <c r="I435" t="s">
        <v>10422</v>
      </c>
      <c r="J435" t="s">
        <v>1375</v>
      </c>
      <c r="K435" t="s">
        <v>9416</v>
      </c>
      <c r="L435" t="s">
        <v>9417</v>
      </c>
      <c r="M435" t="s">
        <v>9534</v>
      </c>
      <c r="N435" t="s">
        <v>9430</v>
      </c>
      <c r="O435" t="s">
        <v>5878</v>
      </c>
      <c r="P435" t="s">
        <v>9459</v>
      </c>
      <c r="Q435" t="s">
        <v>9421</v>
      </c>
      <c r="R435" t="s">
        <v>17</v>
      </c>
      <c r="S435" t="s">
        <v>1412</v>
      </c>
      <c r="T435" t="s">
        <v>1414</v>
      </c>
    </row>
    <row r="436" spans="1:20">
      <c r="A436" t="s">
        <v>2134</v>
      </c>
      <c r="B436" t="s">
        <v>20</v>
      </c>
      <c r="C436" t="s">
        <v>6817</v>
      </c>
      <c r="D436" t="s">
        <v>9460</v>
      </c>
      <c r="E436" t="s">
        <v>10424</v>
      </c>
      <c r="F436" t="s">
        <v>9412</v>
      </c>
      <c r="G436" t="s">
        <v>9413</v>
      </c>
      <c r="H436" t="s">
        <v>9414</v>
      </c>
      <c r="I436" t="s">
        <v>9781</v>
      </c>
      <c r="J436" t="s">
        <v>2098</v>
      </c>
      <c r="K436" t="s">
        <v>9445</v>
      </c>
      <c r="L436" t="s">
        <v>9417</v>
      </c>
      <c r="M436" t="s">
        <v>9596</v>
      </c>
      <c r="N436" t="s">
        <v>9426</v>
      </c>
      <c r="O436" t="s">
        <v>9446</v>
      </c>
      <c r="P436" t="s">
        <v>9524</v>
      </c>
      <c r="Q436" t="s">
        <v>9421</v>
      </c>
      <c r="R436" t="s">
        <v>24</v>
      </c>
      <c r="S436" t="s">
        <v>1480</v>
      </c>
      <c r="T436" t="s">
        <v>1482</v>
      </c>
    </row>
    <row r="437" spans="1:20">
      <c r="A437" t="s">
        <v>2134</v>
      </c>
      <c r="B437" t="s">
        <v>20</v>
      </c>
      <c r="C437" t="s">
        <v>6817</v>
      </c>
      <c r="D437" t="s">
        <v>9460</v>
      </c>
      <c r="E437" t="s">
        <v>10424</v>
      </c>
      <c r="F437" t="s">
        <v>9412</v>
      </c>
      <c r="G437" t="s">
        <v>9413</v>
      </c>
      <c r="H437" t="s">
        <v>9414</v>
      </c>
      <c r="I437" t="s">
        <v>9781</v>
      </c>
      <c r="J437" t="s">
        <v>2098</v>
      </c>
      <c r="K437" t="s">
        <v>9416</v>
      </c>
      <c r="L437" t="s">
        <v>9417</v>
      </c>
      <c r="M437" t="s">
        <v>9596</v>
      </c>
      <c r="N437" t="s">
        <v>9597</v>
      </c>
      <c r="O437" t="s">
        <v>6783</v>
      </c>
      <c r="P437" t="s">
        <v>9420</v>
      </c>
      <c r="Q437" t="s">
        <v>9421</v>
      </c>
      <c r="R437" t="s">
        <v>17</v>
      </c>
      <c r="S437" t="s">
        <v>2134</v>
      </c>
      <c r="T437" t="s">
        <v>2136</v>
      </c>
    </row>
    <row r="438" spans="1:20">
      <c r="A438" t="s">
        <v>10425</v>
      </c>
      <c r="B438" t="s">
        <v>9409</v>
      </c>
      <c r="C438" t="s">
        <v>10426</v>
      </c>
      <c r="D438" t="s">
        <v>9410</v>
      </c>
      <c r="E438" t="s">
        <v>10427</v>
      </c>
      <c r="F438" t="s">
        <v>9412</v>
      </c>
      <c r="G438" t="s">
        <v>9413</v>
      </c>
      <c r="H438" t="s">
        <v>9414</v>
      </c>
      <c r="I438" t="s">
        <v>9781</v>
      </c>
      <c r="J438" t="s">
        <v>1683</v>
      </c>
      <c r="K438" t="s">
        <v>9416</v>
      </c>
      <c r="L438" t="s">
        <v>9417</v>
      </c>
      <c r="M438" t="s">
        <v>9473</v>
      </c>
      <c r="N438" t="s">
        <v>9454</v>
      </c>
      <c r="O438" t="s">
        <v>10428</v>
      </c>
      <c r="P438" t="s">
        <v>9420</v>
      </c>
      <c r="Q438" t="s">
        <v>9421</v>
      </c>
      <c r="R438" t="s">
        <v>17</v>
      </c>
      <c r="S438" t="s">
        <v>10425</v>
      </c>
      <c r="T438" t="s">
        <v>10429</v>
      </c>
    </row>
    <row r="439" spans="1:20">
      <c r="A439" t="s">
        <v>10425</v>
      </c>
      <c r="B439" t="s">
        <v>9409</v>
      </c>
      <c r="C439" t="s">
        <v>10426</v>
      </c>
      <c r="D439" t="s">
        <v>9410</v>
      </c>
      <c r="E439" t="s">
        <v>10427</v>
      </c>
      <c r="F439" t="s">
        <v>9412</v>
      </c>
      <c r="G439" t="s">
        <v>9413</v>
      </c>
      <c r="H439" t="s">
        <v>9414</v>
      </c>
      <c r="I439" t="s">
        <v>9781</v>
      </c>
      <c r="J439" t="s">
        <v>1683</v>
      </c>
      <c r="K439" t="s">
        <v>9416</v>
      </c>
      <c r="L439" t="s">
        <v>9417</v>
      </c>
      <c r="M439" t="s">
        <v>9473</v>
      </c>
      <c r="N439" t="s">
        <v>9430</v>
      </c>
      <c r="O439" t="s">
        <v>10430</v>
      </c>
      <c r="P439" t="s">
        <v>9431</v>
      </c>
      <c r="Q439" t="s">
        <v>9421</v>
      </c>
      <c r="R439" t="s">
        <v>24</v>
      </c>
      <c r="S439" t="s">
        <v>10431</v>
      </c>
      <c r="T439" t="s">
        <v>10432</v>
      </c>
    </row>
    <row r="440" spans="1:20">
      <c r="A440" t="s">
        <v>1988</v>
      </c>
      <c r="B440" t="s">
        <v>62</v>
      </c>
      <c r="C440" t="s">
        <v>6584</v>
      </c>
      <c r="D440" t="s">
        <v>9448</v>
      </c>
      <c r="E440" t="s">
        <v>10433</v>
      </c>
      <c r="F440" t="s">
        <v>9412</v>
      </c>
      <c r="G440" t="s">
        <v>9413</v>
      </c>
      <c r="H440" t="s">
        <v>9414</v>
      </c>
      <c r="I440" t="s">
        <v>10434</v>
      </c>
      <c r="J440" t="s">
        <v>1920</v>
      </c>
      <c r="K440" t="s">
        <v>9445</v>
      </c>
      <c r="L440" t="s">
        <v>9417</v>
      </c>
      <c r="M440" t="s">
        <v>9783</v>
      </c>
      <c r="N440" t="s">
        <v>9426</v>
      </c>
      <c r="O440" t="s">
        <v>9446</v>
      </c>
      <c r="P440" t="s">
        <v>9479</v>
      </c>
      <c r="Q440" t="s">
        <v>9421</v>
      </c>
      <c r="R440" t="s">
        <v>43</v>
      </c>
      <c r="S440" t="s">
        <v>1594</v>
      </c>
      <c r="T440" t="s">
        <v>1596</v>
      </c>
    </row>
    <row r="441" spans="1:20">
      <c r="A441" t="s">
        <v>1988</v>
      </c>
      <c r="B441" t="s">
        <v>62</v>
      </c>
      <c r="C441" t="s">
        <v>6584</v>
      </c>
      <c r="D441" t="s">
        <v>9448</v>
      </c>
      <c r="E441" t="s">
        <v>10433</v>
      </c>
      <c r="F441" t="s">
        <v>9412</v>
      </c>
      <c r="G441" t="s">
        <v>9413</v>
      </c>
      <c r="H441" t="s">
        <v>9414</v>
      </c>
      <c r="I441" t="s">
        <v>10434</v>
      </c>
      <c r="J441" t="s">
        <v>1920</v>
      </c>
      <c r="K441" t="s">
        <v>9416</v>
      </c>
      <c r="L441" t="s">
        <v>9417</v>
      </c>
      <c r="M441" t="s">
        <v>9783</v>
      </c>
      <c r="N441" t="s">
        <v>9608</v>
      </c>
      <c r="O441" t="s">
        <v>6582</v>
      </c>
      <c r="P441" t="s">
        <v>9420</v>
      </c>
      <c r="Q441" t="s">
        <v>9421</v>
      </c>
      <c r="R441" t="s">
        <v>17</v>
      </c>
      <c r="S441" t="s">
        <v>1988</v>
      </c>
      <c r="T441" t="s">
        <v>1990</v>
      </c>
    </row>
    <row r="442" spans="1:20">
      <c r="A442" t="s">
        <v>1883</v>
      </c>
      <c r="B442" t="s">
        <v>62</v>
      </c>
      <c r="C442" t="s">
        <v>10435</v>
      </c>
      <c r="D442" t="s">
        <v>445</v>
      </c>
      <c r="E442" t="s">
        <v>10436</v>
      </c>
      <c r="F442" t="s">
        <v>9412</v>
      </c>
      <c r="G442" t="s">
        <v>9413</v>
      </c>
      <c r="H442" t="s">
        <v>9414</v>
      </c>
      <c r="I442" t="s">
        <v>10407</v>
      </c>
      <c r="J442" t="s">
        <v>1808</v>
      </c>
      <c r="K442" t="s">
        <v>9445</v>
      </c>
      <c r="L442" t="s">
        <v>9417</v>
      </c>
      <c r="M442" t="s">
        <v>9833</v>
      </c>
      <c r="N442" t="s">
        <v>9426</v>
      </c>
      <c r="O442" t="s">
        <v>9446</v>
      </c>
      <c r="P442" t="s">
        <v>10069</v>
      </c>
      <c r="Q442" t="s">
        <v>9421</v>
      </c>
      <c r="R442" t="s">
        <v>24</v>
      </c>
      <c r="S442" t="s">
        <v>1865</v>
      </c>
      <c r="T442" t="s">
        <v>1867</v>
      </c>
    </row>
    <row r="443" spans="1:20">
      <c r="A443" t="s">
        <v>1883</v>
      </c>
      <c r="B443" t="s">
        <v>62</v>
      </c>
      <c r="C443" t="s">
        <v>10435</v>
      </c>
      <c r="D443" t="s">
        <v>445</v>
      </c>
      <c r="E443" t="s">
        <v>10436</v>
      </c>
      <c r="F443" t="s">
        <v>9412</v>
      </c>
      <c r="G443" t="s">
        <v>9413</v>
      </c>
      <c r="H443" t="s">
        <v>9414</v>
      </c>
      <c r="I443" t="s">
        <v>10407</v>
      </c>
      <c r="J443" t="s">
        <v>1808</v>
      </c>
      <c r="K443" t="s">
        <v>9416</v>
      </c>
      <c r="L443" t="s">
        <v>9417</v>
      </c>
      <c r="M443" t="s">
        <v>9833</v>
      </c>
      <c r="N443" t="s">
        <v>9639</v>
      </c>
      <c r="O443" t="s">
        <v>6428</v>
      </c>
      <c r="P443" t="s">
        <v>9524</v>
      </c>
      <c r="Q443" t="s">
        <v>9421</v>
      </c>
      <c r="R443" t="s">
        <v>24</v>
      </c>
      <c r="S443" t="s">
        <v>1884</v>
      </c>
      <c r="T443" t="s">
        <v>1886</v>
      </c>
    </row>
    <row r="444" spans="1:20">
      <c r="A444" t="s">
        <v>2161</v>
      </c>
      <c r="B444" t="s">
        <v>62</v>
      </c>
      <c r="C444" t="s">
        <v>6821</v>
      </c>
      <c r="D444" t="s">
        <v>9448</v>
      </c>
      <c r="E444" t="s">
        <v>10437</v>
      </c>
      <c r="F444" t="s">
        <v>9412</v>
      </c>
      <c r="G444" t="s">
        <v>9413</v>
      </c>
      <c r="H444" t="s">
        <v>9414</v>
      </c>
      <c r="I444" t="s">
        <v>9781</v>
      </c>
      <c r="J444" t="s">
        <v>2098</v>
      </c>
      <c r="K444" t="s">
        <v>9416</v>
      </c>
      <c r="L444" t="s">
        <v>9417</v>
      </c>
      <c r="M444" t="s">
        <v>9596</v>
      </c>
      <c r="N444" t="s">
        <v>9597</v>
      </c>
      <c r="O444" t="s">
        <v>6819</v>
      </c>
      <c r="P444" t="s">
        <v>9420</v>
      </c>
      <c r="Q444" t="s">
        <v>9421</v>
      </c>
      <c r="R444" t="s">
        <v>17</v>
      </c>
      <c r="S444" t="s">
        <v>2162</v>
      </c>
      <c r="T444" t="s">
        <v>2164</v>
      </c>
    </row>
    <row r="445" spans="1:20">
      <c r="A445" t="s">
        <v>2161</v>
      </c>
      <c r="B445" t="s">
        <v>62</v>
      </c>
      <c r="C445" t="s">
        <v>6821</v>
      </c>
      <c r="D445" t="s">
        <v>9448</v>
      </c>
      <c r="E445" t="s">
        <v>10437</v>
      </c>
      <c r="F445" t="s">
        <v>9412</v>
      </c>
      <c r="G445" t="s">
        <v>9413</v>
      </c>
      <c r="H445" t="s">
        <v>9414</v>
      </c>
      <c r="I445" t="s">
        <v>9781</v>
      </c>
      <c r="J445" t="s">
        <v>2098</v>
      </c>
      <c r="K445" t="s">
        <v>9416</v>
      </c>
      <c r="L445" t="s">
        <v>9417</v>
      </c>
      <c r="M445" t="s">
        <v>9596</v>
      </c>
      <c r="N445" t="s">
        <v>9430</v>
      </c>
      <c r="O445" t="s">
        <v>6192</v>
      </c>
      <c r="P445" t="s">
        <v>9474</v>
      </c>
      <c r="Q445" t="s">
        <v>9421</v>
      </c>
      <c r="R445" t="s">
        <v>43</v>
      </c>
      <c r="S445" t="s">
        <v>1680</v>
      </c>
      <c r="T445" t="s">
        <v>1682</v>
      </c>
    </row>
    <row r="446" spans="1:20">
      <c r="A446" t="s">
        <v>1455</v>
      </c>
      <c r="B446" t="s">
        <v>9409</v>
      </c>
      <c r="C446" t="s">
        <v>10438</v>
      </c>
      <c r="D446" t="s">
        <v>9410</v>
      </c>
      <c r="E446" t="s">
        <v>10439</v>
      </c>
      <c r="F446" t="s">
        <v>9601</v>
      </c>
      <c r="G446" t="s">
        <v>9413</v>
      </c>
      <c r="H446" t="s">
        <v>1044</v>
      </c>
      <c r="I446" t="s">
        <v>9466</v>
      </c>
      <c r="J446" t="s">
        <v>1246</v>
      </c>
      <c r="K446" t="s">
        <v>9416</v>
      </c>
      <c r="L446" t="s">
        <v>9417</v>
      </c>
      <c r="M446" t="s">
        <v>9529</v>
      </c>
      <c r="N446" t="s">
        <v>9419</v>
      </c>
      <c r="O446" t="s">
        <v>5766</v>
      </c>
      <c r="P446" t="s">
        <v>9420</v>
      </c>
      <c r="Q446" t="s">
        <v>9421</v>
      </c>
      <c r="R446" t="s">
        <v>17</v>
      </c>
      <c r="S446" t="s">
        <v>5765</v>
      </c>
      <c r="T446" t="s">
        <v>10440</v>
      </c>
    </row>
    <row r="447" spans="1:20">
      <c r="A447" t="s">
        <v>1415</v>
      </c>
      <c r="B447" t="s">
        <v>20</v>
      </c>
      <c r="C447" t="s">
        <v>1418</v>
      </c>
      <c r="D447" t="s">
        <v>9475</v>
      </c>
      <c r="E447" t="s">
        <v>10441</v>
      </c>
      <c r="F447" t="s">
        <v>9412</v>
      </c>
      <c r="G447" t="s">
        <v>9413</v>
      </c>
      <c r="H447" t="s">
        <v>1044</v>
      </c>
      <c r="I447" t="s">
        <v>9482</v>
      </c>
      <c r="J447" t="s">
        <v>1375</v>
      </c>
      <c r="K447" t="s">
        <v>9416</v>
      </c>
      <c r="L447" t="s">
        <v>9417</v>
      </c>
      <c r="M447" t="s">
        <v>10021</v>
      </c>
      <c r="N447" t="s">
        <v>9443</v>
      </c>
      <c r="O447" t="s">
        <v>5884</v>
      </c>
      <c r="P447" t="s">
        <v>9429</v>
      </c>
      <c r="Q447" t="s">
        <v>9421</v>
      </c>
      <c r="R447" t="s">
        <v>52</v>
      </c>
      <c r="S447" t="s">
        <v>1419</v>
      </c>
      <c r="T447" t="s">
        <v>1421</v>
      </c>
    </row>
    <row r="448" spans="1:20">
      <c r="A448" t="s">
        <v>1415</v>
      </c>
      <c r="B448" t="s">
        <v>20</v>
      </c>
      <c r="C448" t="s">
        <v>1418</v>
      </c>
      <c r="D448" t="s">
        <v>9475</v>
      </c>
      <c r="E448" t="s">
        <v>10441</v>
      </c>
      <c r="F448" t="s">
        <v>9412</v>
      </c>
      <c r="G448" t="s">
        <v>9413</v>
      </c>
      <c r="H448" t="s">
        <v>1044</v>
      </c>
      <c r="I448" t="s">
        <v>9482</v>
      </c>
      <c r="J448" t="s">
        <v>1375</v>
      </c>
      <c r="K448" t="s">
        <v>9416</v>
      </c>
      <c r="L448" t="s">
        <v>9417</v>
      </c>
      <c r="M448" t="s">
        <v>10021</v>
      </c>
      <c r="N448" t="s">
        <v>9443</v>
      </c>
      <c r="O448" t="s">
        <v>5880</v>
      </c>
      <c r="P448" t="s">
        <v>9420</v>
      </c>
      <c r="Q448" t="s">
        <v>9421</v>
      </c>
      <c r="R448" t="s">
        <v>17</v>
      </c>
      <c r="S448" t="s">
        <v>1415</v>
      </c>
      <c r="T448" t="s">
        <v>1417</v>
      </c>
    </row>
    <row r="449" spans="1:20">
      <c r="A449" t="s">
        <v>1302</v>
      </c>
      <c r="B449" t="s">
        <v>62</v>
      </c>
      <c r="C449" t="s">
        <v>5745</v>
      </c>
      <c r="D449" t="s">
        <v>445</v>
      </c>
      <c r="E449" t="s">
        <v>10442</v>
      </c>
      <c r="F449" t="s">
        <v>9412</v>
      </c>
      <c r="G449" t="s">
        <v>9413</v>
      </c>
      <c r="H449" t="s">
        <v>9414</v>
      </c>
      <c r="I449" t="s">
        <v>10443</v>
      </c>
      <c r="J449" t="s">
        <v>1246</v>
      </c>
      <c r="K449" t="s">
        <v>9416</v>
      </c>
      <c r="L449" t="s">
        <v>9417</v>
      </c>
      <c r="M449" t="s">
        <v>9705</v>
      </c>
      <c r="N449" t="s">
        <v>9480</v>
      </c>
      <c r="O449" t="s">
        <v>5744</v>
      </c>
      <c r="P449" t="s">
        <v>9420</v>
      </c>
      <c r="Q449" t="s">
        <v>9421</v>
      </c>
      <c r="R449" t="s">
        <v>17</v>
      </c>
      <c r="S449" t="s">
        <v>1303</v>
      </c>
      <c r="T449" t="s">
        <v>1305</v>
      </c>
    </row>
    <row r="450" spans="1:20">
      <c r="A450" t="s">
        <v>1302</v>
      </c>
      <c r="B450" t="s">
        <v>62</v>
      </c>
      <c r="C450" t="s">
        <v>5745</v>
      </c>
      <c r="D450" t="s">
        <v>445</v>
      </c>
      <c r="E450" t="s">
        <v>10442</v>
      </c>
      <c r="F450" t="s">
        <v>9412</v>
      </c>
      <c r="G450" t="s">
        <v>9413</v>
      </c>
      <c r="H450" t="s">
        <v>9414</v>
      </c>
      <c r="I450" t="s">
        <v>10443</v>
      </c>
      <c r="J450" t="s">
        <v>1246</v>
      </c>
      <c r="K450" t="s">
        <v>9416</v>
      </c>
      <c r="L450" t="s">
        <v>9417</v>
      </c>
      <c r="M450" t="s">
        <v>9705</v>
      </c>
      <c r="N450" t="s">
        <v>9480</v>
      </c>
      <c r="O450" t="s">
        <v>5747</v>
      </c>
      <c r="P450" t="s">
        <v>9429</v>
      </c>
      <c r="Q450" t="s">
        <v>9421</v>
      </c>
      <c r="R450" t="s">
        <v>52</v>
      </c>
      <c r="S450" t="s">
        <v>1307</v>
      </c>
      <c r="T450" t="s">
        <v>1309</v>
      </c>
    </row>
    <row r="451" spans="1:20">
      <c r="A451" t="s">
        <v>6264</v>
      </c>
      <c r="B451" t="s">
        <v>9409</v>
      </c>
      <c r="C451" t="s">
        <v>6265</v>
      </c>
      <c r="D451" t="s">
        <v>9410</v>
      </c>
      <c r="E451" t="s">
        <v>10444</v>
      </c>
      <c r="F451" t="s">
        <v>9412</v>
      </c>
      <c r="G451" t="s">
        <v>9413</v>
      </c>
      <c r="H451" t="s">
        <v>9414</v>
      </c>
      <c r="I451" t="s">
        <v>9781</v>
      </c>
      <c r="J451" t="s">
        <v>1683</v>
      </c>
      <c r="K451" t="s">
        <v>9416</v>
      </c>
      <c r="L451" t="s">
        <v>9417</v>
      </c>
      <c r="M451" t="s">
        <v>9453</v>
      </c>
      <c r="N451" t="s">
        <v>9454</v>
      </c>
      <c r="O451" t="s">
        <v>6267</v>
      </c>
      <c r="P451" t="s">
        <v>9420</v>
      </c>
      <c r="Q451" t="s">
        <v>9421</v>
      </c>
      <c r="R451" t="s">
        <v>17</v>
      </c>
      <c r="S451" t="s">
        <v>6264</v>
      </c>
      <c r="T451" t="s">
        <v>10445</v>
      </c>
    </row>
    <row r="452" spans="1:20">
      <c r="A452" t="s">
        <v>1742</v>
      </c>
      <c r="B452" t="s">
        <v>62</v>
      </c>
      <c r="C452" t="s">
        <v>6271</v>
      </c>
      <c r="D452" t="s">
        <v>9448</v>
      </c>
      <c r="E452" t="s">
        <v>10446</v>
      </c>
      <c r="F452" t="s">
        <v>9412</v>
      </c>
      <c r="G452" t="s">
        <v>9413</v>
      </c>
      <c r="H452" t="s">
        <v>9414</v>
      </c>
      <c r="I452" t="s">
        <v>10422</v>
      </c>
      <c r="J452" t="s">
        <v>1683</v>
      </c>
      <c r="K452" t="s">
        <v>9416</v>
      </c>
      <c r="L452" t="s">
        <v>9417</v>
      </c>
      <c r="M452" t="s">
        <v>10447</v>
      </c>
      <c r="N452" t="s">
        <v>9454</v>
      </c>
      <c r="O452" t="s">
        <v>6269</v>
      </c>
      <c r="P452" t="s">
        <v>9420</v>
      </c>
      <c r="Q452" t="s">
        <v>9421</v>
      </c>
      <c r="R452" t="s">
        <v>17</v>
      </c>
      <c r="S452" t="s">
        <v>1742</v>
      </c>
      <c r="T452" t="s">
        <v>1744</v>
      </c>
    </row>
    <row r="453" spans="1:20">
      <c r="A453" t="s">
        <v>1742</v>
      </c>
      <c r="B453" t="s">
        <v>62</v>
      </c>
      <c r="C453" t="s">
        <v>6271</v>
      </c>
      <c r="D453" t="s">
        <v>9448</v>
      </c>
      <c r="E453" t="s">
        <v>10446</v>
      </c>
      <c r="F453" t="s">
        <v>9412</v>
      </c>
      <c r="G453" t="s">
        <v>9413</v>
      </c>
      <c r="H453" t="s">
        <v>9414</v>
      </c>
      <c r="I453" t="s">
        <v>10422</v>
      </c>
      <c r="J453" t="s">
        <v>1683</v>
      </c>
      <c r="K453" t="s">
        <v>9416</v>
      </c>
      <c r="L453" t="s">
        <v>9417</v>
      </c>
      <c r="M453" t="s">
        <v>10447</v>
      </c>
      <c r="N453" t="s">
        <v>9454</v>
      </c>
      <c r="O453" t="s">
        <v>6273</v>
      </c>
      <c r="P453" t="s">
        <v>9429</v>
      </c>
      <c r="Q453" t="s">
        <v>9421</v>
      </c>
      <c r="R453" t="s">
        <v>52</v>
      </c>
      <c r="S453" t="s">
        <v>1746</v>
      </c>
      <c r="T453" t="s">
        <v>1748</v>
      </c>
    </row>
    <row r="454" spans="1:20">
      <c r="A454" t="s">
        <v>1499</v>
      </c>
      <c r="B454" t="s">
        <v>62</v>
      </c>
      <c r="C454" t="s">
        <v>6825</v>
      </c>
      <c r="D454" t="s">
        <v>445</v>
      </c>
      <c r="E454" t="s">
        <v>10448</v>
      </c>
      <c r="F454" t="s">
        <v>9412</v>
      </c>
      <c r="G454" t="s">
        <v>9413</v>
      </c>
      <c r="H454" t="s">
        <v>9414</v>
      </c>
      <c r="I454" t="s">
        <v>9734</v>
      </c>
      <c r="J454" t="s">
        <v>2098</v>
      </c>
      <c r="K454" t="s">
        <v>9416</v>
      </c>
      <c r="L454" t="s">
        <v>9417</v>
      </c>
      <c r="M454" t="s">
        <v>9596</v>
      </c>
      <c r="N454" t="s">
        <v>9597</v>
      </c>
      <c r="O454" t="s">
        <v>6823</v>
      </c>
      <c r="P454" t="s">
        <v>9420</v>
      </c>
      <c r="Q454" t="s">
        <v>9421</v>
      </c>
      <c r="R454" t="s">
        <v>17</v>
      </c>
      <c r="S454" t="s">
        <v>2166</v>
      </c>
      <c r="T454" t="s">
        <v>2168</v>
      </c>
    </row>
    <row r="455" spans="1:20">
      <c r="A455" t="s">
        <v>1499</v>
      </c>
      <c r="B455" t="s">
        <v>62</v>
      </c>
      <c r="C455" t="s">
        <v>6825</v>
      </c>
      <c r="D455" t="s">
        <v>445</v>
      </c>
      <c r="E455" t="s">
        <v>10448</v>
      </c>
      <c r="F455" t="s">
        <v>9412</v>
      </c>
      <c r="G455" t="s">
        <v>9413</v>
      </c>
      <c r="H455" t="s">
        <v>9414</v>
      </c>
      <c r="I455" t="s">
        <v>9734</v>
      </c>
      <c r="J455" t="s">
        <v>2098</v>
      </c>
      <c r="K455" t="s">
        <v>9416</v>
      </c>
      <c r="L455" t="s">
        <v>9417</v>
      </c>
      <c r="M455" t="s">
        <v>9596</v>
      </c>
      <c r="N455" t="s">
        <v>9597</v>
      </c>
      <c r="O455" t="s">
        <v>6827</v>
      </c>
      <c r="P455" t="s">
        <v>9429</v>
      </c>
      <c r="Q455" t="s">
        <v>9421</v>
      </c>
      <c r="R455" t="s">
        <v>52</v>
      </c>
      <c r="S455" t="s">
        <v>2170</v>
      </c>
      <c r="T455" t="s">
        <v>2172</v>
      </c>
    </row>
    <row r="456" spans="1:20">
      <c r="A456" t="s">
        <v>10449</v>
      </c>
      <c r="B456" t="s">
        <v>9409</v>
      </c>
      <c r="C456" t="s">
        <v>10450</v>
      </c>
      <c r="D456" t="s">
        <v>9410</v>
      </c>
      <c r="E456" t="s">
        <v>10451</v>
      </c>
      <c r="F456" t="s">
        <v>9601</v>
      </c>
      <c r="G456" t="s">
        <v>9413</v>
      </c>
      <c r="H456" t="s">
        <v>9414</v>
      </c>
      <c r="I456" t="s">
        <v>10452</v>
      </c>
      <c r="J456" t="s">
        <v>1683</v>
      </c>
      <c r="K456" t="s">
        <v>9416</v>
      </c>
      <c r="L456" t="s">
        <v>9417</v>
      </c>
      <c r="M456" t="s">
        <v>10447</v>
      </c>
      <c r="N456" t="s">
        <v>9454</v>
      </c>
      <c r="O456" t="s">
        <v>10453</v>
      </c>
      <c r="P456" t="s">
        <v>9429</v>
      </c>
      <c r="Q456" t="s">
        <v>9421</v>
      </c>
      <c r="R456" t="s">
        <v>52</v>
      </c>
      <c r="S456" t="s">
        <v>10449</v>
      </c>
      <c r="T456" t="s">
        <v>10454</v>
      </c>
    </row>
    <row r="457" spans="1:20">
      <c r="A457" t="s">
        <v>1648</v>
      </c>
      <c r="B457" t="s">
        <v>62</v>
      </c>
      <c r="C457" t="s">
        <v>10455</v>
      </c>
      <c r="D457" t="s">
        <v>445</v>
      </c>
      <c r="E457" t="s">
        <v>10456</v>
      </c>
      <c r="F457" t="s">
        <v>9412</v>
      </c>
      <c r="G457" t="s">
        <v>9413</v>
      </c>
      <c r="H457" t="s">
        <v>9414</v>
      </c>
      <c r="I457" t="s">
        <v>10205</v>
      </c>
      <c r="J457" t="s">
        <v>1589</v>
      </c>
      <c r="K457" t="s">
        <v>9416</v>
      </c>
      <c r="L457" t="s">
        <v>9417</v>
      </c>
      <c r="M457" t="s">
        <v>9715</v>
      </c>
      <c r="N457" t="s">
        <v>9716</v>
      </c>
      <c r="O457" t="s">
        <v>6156</v>
      </c>
      <c r="P457" t="s">
        <v>9429</v>
      </c>
      <c r="Q457" t="s">
        <v>9421</v>
      </c>
      <c r="R457" t="s">
        <v>52</v>
      </c>
      <c r="S457" t="s">
        <v>1648</v>
      </c>
      <c r="T457" t="s">
        <v>1650</v>
      </c>
    </row>
    <row r="458" spans="1:20">
      <c r="A458" t="s">
        <v>1064</v>
      </c>
      <c r="B458" t="s">
        <v>9409</v>
      </c>
      <c r="C458" t="s">
        <v>10457</v>
      </c>
      <c r="D458" t="s">
        <v>9410</v>
      </c>
      <c r="E458" t="s">
        <v>10458</v>
      </c>
      <c r="F458" t="s">
        <v>9412</v>
      </c>
      <c r="G458" t="s">
        <v>9413</v>
      </c>
      <c r="H458" t="s">
        <v>9414</v>
      </c>
      <c r="I458" t="s">
        <v>9674</v>
      </c>
      <c r="J458" t="s">
        <v>1246</v>
      </c>
      <c r="K458" t="s">
        <v>9416</v>
      </c>
      <c r="L458" t="s">
        <v>9417</v>
      </c>
      <c r="M458" t="s">
        <v>9580</v>
      </c>
      <c r="N458" t="s">
        <v>9426</v>
      </c>
      <c r="O458" t="s">
        <v>5455</v>
      </c>
      <c r="P458" t="s">
        <v>9479</v>
      </c>
      <c r="Q458" t="s">
        <v>9421</v>
      </c>
      <c r="R458" t="s">
        <v>43</v>
      </c>
      <c r="S458" t="s">
        <v>1064</v>
      </c>
      <c r="T458" t="s">
        <v>1066</v>
      </c>
    </row>
    <row r="459" spans="1:20">
      <c r="A459" t="s">
        <v>1889</v>
      </c>
      <c r="B459" t="s">
        <v>20</v>
      </c>
      <c r="C459" t="s">
        <v>6586</v>
      </c>
      <c r="D459" t="s">
        <v>9455</v>
      </c>
      <c r="E459" t="s">
        <v>10459</v>
      </c>
      <c r="F459" t="s">
        <v>9412</v>
      </c>
      <c r="G459" t="s">
        <v>9413</v>
      </c>
      <c r="H459" t="s">
        <v>9414</v>
      </c>
      <c r="I459" t="s">
        <v>9495</v>
      </c>
      <c r="J459" t="s">
        <v>1920</v>
      </c>
      <c r="K459" t="s">
        <v>9416</v>
      </c>
      <c r="L459" t="s">
        <v>9417</v>
      </c>
      <c r="M459" t="s">
        <v>9783</v>
      </c>
      <c r="N459" t="s">
        <v>9426</v>
      </c>
      <c r="O459" t="s">
        <v>6331</v>
      </c>
      <c r="P459" t="s">
        <v>9479</v>
      </c>
      <c r="Q459" t="s">
        <v>9421</v>
      </c>
      <c r="R459" t="s">
        <v>43</v>
      </c>
      <c r="S459" t="s">
        <v>1889</v>
      </c>
      <c r="T459" t="s">
        <v>1891</v>
      </c>
    </row>
    <row r="460" spans="1:20">
      <c r="A460" t="s">
        <v>1107</v>
      </c>
      <c r="B460" t="s">
        <v>9409</v>
      </c>
      <c r="C460" t="s">
        <v>10460</v>
      </c>
      <c r="D460" t="s">
        <v>9410</v>
      </c>
      <c r="E460" t="s">
        <v>10461</v>
      </c>
      <c r="F460" t="s">
        <v>9412</v>
      </c>
      <c r="G460" t="s">
        <v>9413</v>
      </c>
      <c r="H460" t="s">
        <v>9414</v>
      </c>
      <c r="I460" t="s">
        <v>9441</v>
      </c>
      <c r="J460" t="s">
        <v>1246</v>
      </c>
      <c r="K460" t="s">
        <v>9416</v>
      </c>
      <c r="L460" t="s">
        <v>9417</v>
      </c>
      <c r="M460" t="s">
        <v>9529</v>
      </c>
      <c r="N460" t="s">
        <v>9426</v>
      </c>
      <c r="O460" t="s">
        <v>5507</v>
      </c>
      <c r="P460" t="s">
        <v>9655</v>
      </c>
      <c r="Q460" t="s">
        <v>9421</v>
      </c>
      <c r="R460" t="s">
        <v>56</v>
      </c>
      <c r="S460" t="s">
        <v>1107</v>
      </c>
      <c r="T460" t="s">
        <v>1109</v>
      </c>
    </row>
    <row r="461" spans="1:20">
      <c r="A461" t="s">
        <v>6864</v>
      </c>
      <c r="B461" t="s">
        <v>62</v>
      </c>
      <c r="C461" t="s">
        <v>6866</v>
      </c>
      <c r="D461" t="s">
        <v>445</v>
      </c>
      <c r="E461" t="s">
        <v>10462</v>
      </c>
      <c r="F461" t="s">
        <v>9412</v>
      </c>
      <c r="G461" t="s">
        <v>9413</v>
      </c>
      <c r="H461" t="s">
        <v>9414</v>
      </c>
      <c r="I461" t="s">
        <v>9522</v>
      </c>
      <c r="J461" t="s">
        <v>2174</v>
      </c>
      <c r="K461" t="s">
        <v>9416</v>
      </c>
      <c r="L461" t="s">
        <v>9417</v>
      </c>
      <c r="M461" t="s">
        <v>9776</v>
      </c>
      <c r="N461" t="s">
        <v>9621</v>
      </c>
      <c r="O461" t="s">
        <v>6865</v>
      </c>
      <c r="P461" t="s">
        <v>9459</v>
      </c>
      <c r="Q461" t="s">
        <v>9421</v>
      </c>
      <c r="R461" t="s">
        <v>17</v>
      </c>
      <c r="S461" t="s">
        <v>6864</v>
      </c>
      <c r="T461" t="s">
        <v>3582</v>
      </c>
    </row>
    <row r="462" spans="1:20">
      <c r="A462" t="s">
        <v>2192</v>
      </c>
      <c r="B462" t="s">
        <v>20</v>
      </c>
      <c r="C462" t="s">
        <v>6870</v>
      </c>
      <c r="D462" t="s">
        <v>9460</v>
      </c>
      <c r="E462" t="s">
        <v>10463</v>
      </c>
      <c r="F462" t="s">
        <v>9412</v>
      </c>
      <c r="G462" t="s">
        <v>9413</v>
      </c>
      <c r="H462" t="s">
        <v>9414</v>
      </c>
      <c r="I462" t="s">
        <v>10434</v>
      </c>
      <c r="J462" t="s">
        <v>2174</v>
      </c>
      <c r="K462" t="s">
        <v>9416</v>
      </c>
      <c r="L462" t="s">
        <v>9417</v>
      </c>
      <c r="M462" t="s">
        <v>9534</v>
      </c>
      <c r="N462" t="s">
        <v>9430</v>
      </c>
      <c r="O462" t="s">
        <v>6872</v>
      </c>
      <c r="P462" t="s">
        <v>9431</v>
      </c>
      <c r="Q462" t="s">
        <v>9421</v>
      </c>
      <c r="R462" t="s">
        <v>24</v>
      </c>
      <c r="S462" t="s">
        <v>1129</v>
      </c>
      <c r="T462" t="s">
        <v>2197</v>
      </c>
    </row>
    <row r="463" spans="1:20">
      <c r="A463" t="s">
        <v>2192</v>
      </c>
      <c r="B463" t="s">
        <v>20</v>
      </c>
      <c r="C463" t="s">
        <v>6870</v>
      </c>
      <c r="D463" t="s">
        <v>9460</v>
      </c>
      <c r="E463" t="s">
        <v>10463</v>
      </c>
      <c r="F463" t="s">
        <v>9412</v>
      </c>
      <c r="G463" t="s">
        <v>9413</v>
      </c>
      <c r="H463" t="s">
        <v>9414</v>
      </c>
      <c r="I463" t="s">
        <v>10434</v>
      </c>
      <c r="J463" t="s">
        <v>2174</v>
      </c>
      <c r="K463" t="s">
        <v>9416</v>
      </c>
      <c r="L463" t="s">
        <v>9417</v>
      </c>
      <c r="M463" t="s">
        <v>9534</v>
      </c>
      <c r="N463" t="s">
        <v>9621</v>
      </c>
      <c r="O463" t="s">
        <v>6868</v>
      </c>
      <c r="P463" t="s">
        <v>9420</v>
      </c>
      <c r="Q463" t="s">
        <v>9421</v>
      </c>
      <c r="R463" t="s">
        <v>17</v>
      </c>
      <c r="S463" t="s">
        <v>2192</v>
      </c>
      <c r="T463" t="s">
        <v>2194</v>
      </c>
    </row>
    <row r="464" spans="1:20">
      <c r="A464" t="s">
        <v>1216</v>
      </c>
      <c r="B464" t="s">
        <v>20</v>
      </c>
      <c r="C464" t="s">
        <v>5648</v>
      </c>
      <c r="D464" t="s">
        <v>9464</v>
      </c>
      <c r="E464" t="s">
        <v>10464</v>
      </c>
      <c r="F464" t="s">
        <v>9412</v>
      </c>
      <c r="G464" t="s">
        <v>9413</v>
      </c>
      <c r="H464" t="s">
        <v>9414</v>
      </c>
      <c r="I464" t="s">
        <v>10465</v>
      </c>
      <c r="J464" t="s">
        <v>1155</v>
      </c>
      <c r="K464" t="s">
        <v>9445</v>
      </c>
      <c r="L464" t="s">
        <v>9417</v>
      </c>
      <c r="M464" t="s">
        <v>9503</v>
      </c>
      <c r="N464" t="s">
        <v>9426</v>
      </c>
      <c r="O464" t="s">
        <v>9446</v>
      </c>
      <c r="P464" t="s">
        <v>9427</v>
      </c>
      <c r="Q464" t="s">
        <v>9421</v>
      </c>
      <c r="R464" t="s">
        <v>43</v>
      </c>
      <c r="S464" t="s">
        <v>1178</v>
      </c>
      <c r="T464" t="s">
        <v>1180</v>
      </c>
    </row>
    <row r="465" spans="1:20">
      <c r="A465" t="s">
        <v>1216</v>
      </c>
      <c r="B465" t="s">
        <v>20</v>
      </c>
      <c r="C465" t="s">
        <v>5648</v>
      </c>
      <c r="D465" t="s">
        <v>9464</v>
      </c>
      <c r="E465" t="s">
        <v>10464</v>
      </c>
      <c r="F465" t="s">
        <v>9412</v>
      </c>
      <c r="G465" t="s">
        <v>9413</v>
      </c>
      <c r="H465" t="s">
        <v>9414</v>
      </c>
      <c r="I465" t="s">
        <v>10465</v>
      </c>
      <c r="J465" t="s">
        <v>1155</v>
      </c>
      <c r="K465" t="s">
        <v>9416</v>
      </c>
      <c r="L465" t="s">
        <v>9417</v>
      </c>
      <c r="M465" t="s">
        <v>9503</v>
      </c>
      <c r="N465" t="s">
        <v>9488</v>
      </c>
      <c r="O465" t="s">
        <v>5650</v>
      </c>
      <c r="P465" t="s">
        <v>9420</v>
      </c>
      <c r="Q465" t="s">
        <v>9421</v>
      </c>
      <c r="R465" t="s">
        <v>17</v>
      </c>
      <c r="S465" t="s">
        <v>1216</v>
      </c>
      <c r="T465" t="s">
        <v>1219</v>
      </c>
    </row>
    <row r="466" spans="1:20">
      <c r="A466" t="s">
        <v>2198</v>
      </c>
      <c r="B466" t="s">
        <v>20</v>
      </c>
      <c r="C466" t="s">
        <v>6876</v>
      </c>
      <c r="D466" t="s">
        <v>10052</v>
      </c>
      <c r="E466" t="s">
        <v>10466</v>
      </c>
      <c r="F466" t="s">
        <v>9412</v>
      </c>
      <c r="G466" t="s">
        <v>9413</v>
      </c>
      <c r="H466" t="s">
        <v>9414</v>
      </c>
      <c r="I466" t="s">
        <v>10422</v>
      </c>
      <c r="J466" t="s">
        <v>2174</v>
      </c>
      <c r="K466" t="s">
        <v>9416</v>
      </c>
      <c r="L466" t="s">
        <v>9417</v>
      </c>
      <c r="M466" t="s">
        <v>9776</v>
      </c>
      <c r="N466" t="s">
        <v>9621</v>
      </c>
      <c r="O466" t="s">
        <v>6874</v>
      </c>
      <c r="P466" t="s">
        <v>10467</v>
      </c>
      <c r="Q466" t="s">
        <v>9421</v>
      </c>
      <c r="R466" t="s">
        <v>52</v>
      </c>
      <c r="S466" t="s">
        <v>2198</v>
      </c>
      <c r="T466" t="s">
        <v>2200</v>
      </c>
    </row>
    <row r="467" spans="1:20">
      <c r="A467" t="s">
        <v>2198</v>
      </c>
      <c r="B467" t="s">
        <v>20</v>
      </c>
      <c r="C467" t="s">
        <v>6876</v>
      </c>
      <c r="D467" t="s">
        <v>10052</v>
      </c>
      <c r="E467" t="s">
        <v>10466</v>
      </c>
      <c r="F467" t="s">
        <v>9412</v>
      </c>
      <c r="G467" t="s">
        <v>9413</v>
      </c>
      <c r="H467" t="s">
        <v>9414</v>
      </c>
      <c r="I467" t="s">
        <v>10422</v>
      </c>
      <c r="J467" t="s">
        <v>2174</v>
      </c>
      <c r="K467" t="s">
        <v>9416</v>
      </c>
      <c r="L467" t="s">
        <v>9417</v>
      </c>
      <c r="M467" t="s">
        <v>9776</v>
      </c>
      <c r="N467" t="s">
        <v>9430</v>
      </c>
      <c r="O467" t="s">
        <v>6859</v>
      </c>
      <c r="P467" t="s">
        <v>9524</v>
      </c>
      <c r="Q467" t="s">
        <v>9421</v>
      </c>
      <c r="R467" t="s">
        <v>24</v>
      </c>
      <c r="S467" t="s">
        <v>2202</v>
      </c>
      <c r="T467" t="s">
        <v>2204</v>
      </c>
    </row>
    <row r="468" spans="1:20">
      <c r="A468" t="s">
        <v>2205</v>
      </c>
      <c r="B468" t="s">
        <v>20</v>
      </c>
      <c r="C468" t="s">
        <v>6878</v>
      </c>
      <c r="D468" t="s">
        <v>9460</v>
      </c>
      <c r="E468" t="s">
        <v>10468</v>
      </c>
      <c r="F468" t="s">
        <v>9412</v>
      </c>
      <c r="G468" t="s">
        <v>9413</v>
      </c>
      <c r="H468" t="s">
        <v>9414</v>
      </c>
      <c r="I468" t="s">
        <v>9472</v>
      </c>
      <c r="J468" t="s">
        <v>2174</v>
      </c>
      <c r="K468" t="s">
        <v>9445</v>
      </c>
      <c r="L468" t="s">
        <v>9417</v>
      </c>
      <c r="M468" t="s">
        <v>9473</v>
      </c>
      <c r="N468" t="s">
        <v>9426</v>
      </c>
      <c r="O468" t="s">
        <v>9446</v>
      </c>
      <c r="P468" t="s">
        <v>9479</v>
      </c>
      <c r="Q468" t="s">
        <v>9421</v>
      </c>
      <c r="R468" t="s">
        <v>43</v>
      </c>
      <c r="S468" t="s">
        <v>1264</v>
      </c>
      <c r="T468" t="s">
        <v>1266</v>
      </c>
    </row>
    <row r="469" spans="1:20">
      <c r="A469" t="s">
        <v>2205</v>
      </c>
      <c r="B469" t="s">
        <v>20</v>
      </c>
      <c r="C469" t="s">
        <v>6878</v>
      </c>
      <c r="D469" t="s">
        <v>9460</v>
      </c>
      <c r="E469" t="s">
        <v>10468</v>
      </c>
      <c r="F469" t="s">
        <v>9412</v>
      </c>
      <c r="G469" t="s">
        <v>9413</v>
      </c>
      <c r="H469" t="s">
        <v>9414</v>
      </c>
      <c r="I469" t="s">
        <v>9472</v>
      </c>
      <c r="J469" t="s">
        <v>2174</v>
      </c>
      <c r="K469" t="s">
        <v>9416</v>
      </c>
      <c r="L469" t="s">
        <v>9417</v>
      </c>
      <c r="M469" t="s">
        <v>9473</v>
      </c>
      <c r="N469" t="s">
        <v>9621</v>
      </c>
      <c r="O469" t="s">
        <v>6880</v>
      </c>
      <c r="P469" t="s">
        <v>9623</v>
      </c>
      <c r="Q469" t="s">
        <v>9421</v>
      </c>
      <c r="R469" t="s">
        <v>24</v>
      </c>
      <c r="S469" t="s">
        <v>2205</v>
      </c>
      <c r="T469" t="s">
        <v>2208</v>
      </c>
    </row>
    <row r="470" spans="1:20">
      <c r="A470" t="s">
        <v>5982</v>
      </c>
      <c r="B470" t="s">
        <v>9409</v>
      </c>
      <c r="C470" t="s">
        <v>5986</v>
      </c>
      <c r="D470" t="s">
        <v>9410</v>
      </c>
      <c r="E470" t="s">
        <v>10469</v>
      </c>
      <c r="F470" t="s">
        <v>9412</v>
      </c>
      <c r="G470" t="s">
        <v>9413</v>
      </c>
      <c r="H470" t="s">
        <v>9414</v>
      </c>
      <c r="I470" t="s">
        <v>10470</v>
      </c>
      <c r="J470" t="s">
        <v>1442</v>
      </c>
      <c r="K470" t="s">
        <v>9416</v>
      </c>
      <c r="L470" t="s">
        <v>9417</v>
      </c>
      <c r="M470" t="s">
        <v>10021</v>
      </c>
      <c r="N470" t="s">
        <v>9428</v>
      </c>
      <c r="O470" t="s">
        <v>5984</v>
      </c>
      <c r="P470" t="s">
        <v>9429</v>
      </c>
      <c r="Q470" t="s">
        <v>9421</v>
      </c>
      <c r="R470" t="s">
        <v>52</v>
      </c>
      <c r="S470" t="s">
        <v>5983</v>
      </c>
      <c r="T470" t="s">
        <v>10471</v>
      </c>
    </row>
    <row r="471" spans="1:20">
      <c r="A471" t="s">
        <v>5982</v>
      </c>
      <c r="B471" t="s">
        <v>9409</v>
      </c>
      <c r="C471" t="s">
        <v>5986</v>
      </c>
      <c r="D471" t="s">
        <v>9410</v>
      </c>
      <c r="E471" t="s">
        <v>10469</v>
      </c>
      <c r="F471" t="s">
        <v>9412</v>
      </c>
      <c r="G471" t="s">
        <v>9413</v>
      </c>
      <c r="H471" t="s">
        <v>9414</v>
      </c>
      <c r="I471" t="s">
        <v>10470</v>
      </c>
      <c r="J471" t="s">
        <v>1442</v>
      </c>
      <c r="K471" t="s">
        <v>9416</v>
      </c>
      <c r="L471" t="s">
        <v>9417</v>
      </c>
      <c r="M471" t="s">
        <v>10021</v>
      </c>
      <c r="N471" t="s">
        <v>9430</v>
      </c>
      <c r="O471" t="s">
        <v>5989</v>
      </c>
      <c r="P471" t="s">
        <v>10178</v>
      </c>
      <c r="Q471" t="s">
        <v>9421</v>
      </c>
      <c r="R471" t="s">
        <v>43</v>
      </c>
      <c r="S471" t="s">
        <v>5988</v>
      </c>
      <c r="T471" t="s">
        <v>10472</v>
      </c>
    </row>
    <row r="472" spans="1:20">
      <c r="A472" t="s">
        <v>1498</v>
      </c>
      <c r="B472" t="s">
        <v>20</v>
      </c>
      <c r="C472" t="s">
        <v>5993</v>
      </c>
      <c r="D472" t="s">
        <v>9464</v>
      </c>
      <c r="E472" t="s">
        <v>10473</v>
      </c>
      <c r="F472" t="s">
        <v>9412</v>
      </c>
      <c r="G472" t="s">
        <v>9413</v>
      </c>
      <c r="H472" t="s">
        <v>9414</v>
      </c>
      <c r="I472" t="s">
        <v>10474</v>
      </c>
      <c r="J472" t="s">
        <v>1442</v>
      </c>
      <c r="K472" t="s">
        <v>9416</v>
      </c>
      <c r="L472" t="s">
        <v>9417</v>
      </c>
      <c r="M472" t="s">
        <v>9788</v>
      </c>
      <c r="N472" t="s">
        <v>9428</v>
      </c>
      <c r="O472" t="s">
        <v>5995</v>
      </c>
      <c r="P472" t="s">
        <v>9429</v>
      </c>
      <c r="Q472" t="s">
        <v>9421</v>
      </c>
      <c r="R472" t="s">
        <v>52</v>
      </c>
      <c r="S472" t="s">
        <v>1503</v>
      </c>
      <c r="T472" t="s">
        <v>1505</v>
      </c>
    </row>
    <row r="473" spans="1:20">
      <c r="A473" t="s">
        <v>1498</v>
      </c>
      <c r="B473" t="s">
        <v>20</v>
      </c>
      <c r="C473" t="s">
        <v>5993</v>
      </c>
      <c r="D473" t="s">
        <v>9464</v>
      </c>
      <c r="E473" t="s">
        <v>10473</v>
      </c>
      <c r="F473" t="s">
        <v>9412</v>
      </c>
      <c r="G473" t="s">
        <v>9413</v>
      </c>
      <c r="H473" t="s">
        <v>9414</v>
      </c>
      <c r="I473" t="s">
        <v>10474</v>
      </c>
      <c r="J473" t="s">
        <v>1442</v>
      </c>
      <c r="K473" t="s">
        <v>9416</v>
      </c>
      <c r="L473" t="s">
        <v>9417</v>
      </c>
      <c r="M473" t="s">
        <v>9788</v>
      </c>
      <c r="N473" t="s">
        <v>9430</v>
      </c>
      <c r="O473" t="s">
        <v>5991</v>
      </c>
      <c r="P473" t="s">
        <v>9474</v>
      </c>
      <c r="Q473" t="s">
        <v>9421</v>
      </c>
      <c r="R473" t="s">
        <v>43</v>
      </c>
      <c r="S473" t="s">
        <v>1499</v>
      </c>
      <c r="T473" t="s">
        <v>1501</v>
      </c>
    </row>
    <row r="474" spans="1:20">
      <c r="A474" t="s">
        <v>1577</v>
      </c>
      <c r="B474" t="s">
        <v>62</v>
      </c>
      <c r="C474" t="s">
        <v>6707</v>
      </c>
      <c r="D474" t="s">
        <v>445</v>
      </c>
      <c r="E474" t="s">
        <v>10475</v>
      </c>
      <c r="F474" t="s">
        <v>9412</v>
      </c>
      <c r="G474" t="s">
        <v>9413</v>
      </c>
      <c r="H474" t="s">
        <v>9414</v>
      </c>
      <c r="I474" t="s">
        <v>10476</v>
      </c>
      <c r="J474" t="s">
        <v>2026</v>
      </c>
      <c r="K474" t="s">
        <v>9445</v>
      </c>
      <c r="L474" t="s">
        <v>9417</v>
      </c>
      <c r="M474" t="s">
        <v>9788</v>
      </c>
      <c r="N474" t="s">
        <v>9426</v>
      </c>
      <c r="O474" t="s">
        <v>9446</v>
      </c>
      <c r="P474" t="s">
        <v>9420</v>
      </c>
      <c r="Q474" t="s">
        <v>9421</v>
      </c>
      <c r="R474" t="s">
        <v>17</v>
      </c>
      <c r="S474" t="s">
        <v>1391</v>
      </c>
      <c r="T474" t="s">
        <v>1393</v>
      </c>
    </row>
    <row r="475" spans="1:20">
      <c r="A475" t="s">
        <v>1577</v>
      </c>
      <c r="B475" t="s">
        <v>62</v>
      </c>
      <c r="C475" t="s">
        <v>6707</v>
      </c>
      <c r="D475" t="s">
        <v>445</v>
      </c>
      <c r="E475" t="s">
        <v>10475</v>
      </c>
      <c r="F475" t="s">
        <v>9412</v>
      </c>
      <c r="G475" t="s">
        <v>9413</v>
      </c>
      <c r="H475" t="s">
        <v>9414</v>
      </c>
      <c r="I475" t="s">
        <v>10476</v>
      </c>
      <c r="J475" t="s">
        <v>2026</v>
      </c>
      <c r="K475" t="s">
        <v>9416</v>
      </c>
      <c r="L475" t="s">
        <v>9417</v>
      </c>
      <c r="M475" t="s">
        <v>9788</v>
      </c>
      <c r="N475" t="s">
        <v>9480</v>
      </c>
      <c r="O475" t="s">
        <v>6709</v>
      </c>
      <c r="P475" t="s">
        <v>9623</v>
      </c>
      <c r="Q475" t="s">
        <v>9421</v>
      </c>
      <c r="R475" t="s">
        <v>24</v>
      </c>
      <c r="S475" t="s">
        <v>2074</v>
      </c>
      <c r="T475" t="s">
        <v>2076</v>
      </c>
    </row>
    <row r="476" spans="1:20">
      <c r="A476" t="s">
        <v>1480</v>
      </c>
      <c r="B476" t="s">
        <v>20</v>
      </c>
      <c r="C476" t="s">
        <v>6828</v>
      </c>
      <c r="D476" t="s">
        <v>10052</v>
      </c>
      <c r="E476" t="s">
        <v>10477</v>
      </c>
      <c r="F476" t="s">
        <v>9412</v>
      </c>
      <c r="G476" t="s">
        <v>9413</v>
      </c>
      <c r="H476" t="s">
        <v>9414</v>
      </c>
      <c r="I476" t="s">
        <v>9781</v>
      </c>
      <c r="J476" t="s">
        <v>2098</v>
      </c>
      <c r="K476" t="s">
        <v>9445</v>
      </c>
      <c r="L476" t="s">
        <v>9417</v>
      </c>
      <c r="M476" t="s">
        <v>9596</v>
      </c>
      <c r="N476" t="s">
        <v>9597</v>
      </c>
      <c r="O476" t="s">
        <v>9446</v>
      </c>
      <c r="P476" t="s">
        <v>9420</v>
      </c>
      <c r="Q476" t="s">
        <v>9421</v>
      </c>
      <c r="R476" t="s">
        <v>17</v>
      </c>
      <c r="S476" t="s">
        <v>2134</v>
      </c>
      <c r="T476" t="s">
        <v>2136</v>
      </c>
    </row>
    <row r="477" spans="1:20">
      <c r="A477" t="s">
        <v>1480</v>
      </c>
      <c r="B477" t="s">
        <v>20</v>
      </c>
      <c r="C477" t="s">
        <v>6828</v>
      </c>
      <c r="D477" t="s">
        <v>10052</v>
      </c>
      <c r="E477" t="s">
        <v>10477</v>
      </c>
      <c r="F477" t="s">
        <v>9412</v>
      </c>
      <c r="G477" t="s">
        <v>9413</v>
      </c>
      <c r="H477" t="s">
        <v>9414</v>
      </c>
      <c r="I477" t="s">
        <v>9781</v>
      </c>
      <c r="J477" t="s">
        <v>2098</v>
      </c>
      <c r="K477" t="s">
        <v>9416</v>
      </c>
      <c r="L477" t="s">
        <v>9417</v>
      </c>
      <c r="M477" t="s">
        <v>9596</v>
      </c>
      <c r="N477" t="s">
        <v>9426</v>
      </c>
      <c r="O477" t="s">
        <v>5935</v>
      </c>
      <c r="P477" t="s">
        <v>9524</v>
      </c>
      <c r="Q477" t="s">
        <v>9421</v>
      </c>
      <c r="R477" t="s">
        <v>24</v>
      </c>
      <c r="S477" t="s">
        <v>1480</v>
      </c>
      <c r="T477" t="s">
        <v>1482</v>
      </c>
    </row>
    <row r="478" spans="1:20">
      <c r="A478" t="s">
        <v>1506</v>
      </c>
      <c r="B478" t="s">
        <v>20</v>
      </c>
      <c r="C478" t="s">
        <v>5999</v>
      </c>
      <c r="D478" t="s">
        <v>9475</v>
      </c>
      <c r="E478" t="s">
        <v>10478</v>
      </c>
      <c r="F478" t="s">
        <v>9412</v>
      </c>
      <c r="G478" t="s">
        <v>9413</v>
      </c>
      <c r="H478" t="s">
        <v>9414</v>
      </c>
      <c r="I478" t="s">
        <v>9472</v>
      </c>
      <c r="J478" t="s">
        <v>1442</v>
      </c>
      <c r="K478" t="s">
        <v>9416</v>
      </c>
      <c r="L478" t="s">
        <v>9417</v>
      </c>
      <c r="M478" t="s">
        <v>9788</v>
      </c>
      <c r="N478" t="s">
        <v>9428</v>
      </c>
      <c r="O478" t="s">
        <v>5997</v>
      </c>
      <c r="P478" t="s">
        <v>9420</v>
      </c>
      <c r="Q478" t="s">
        <v>9421</v>
      </c>
      <c r="R478" t="s">
        <v>17</v>
      </c>
      <c r="S478" t="s">
        <v>1506</v>
      </c>
      <c r="T478" t="s">
        <v>1508</v>
      </c>
    </row>
    <row r="479" spans="1:20">
      <c r="A479" t="s">
        <v>1510</v>
      </c>
      <c r="B479" t="s">
        <v>20</v>
      </c>
      <c r="C479" t="s">
        <v>6003</v>
      </c>
      <c r="D479" t="s">
        <v>9666</v>
      </c>
      <c r="E479" t="s">
        <v>10479</v>
      </c>
      <c r="F479" t="s">
        <v>9412</v>
      </c>
      <c r="G479" t="s">
        <v>9413</v>
      </c>
      <c r="H479" t="s">
        <v>9414</v>
      </c>
      <c r="I479" t="s">
        <v>10422</v>
      </c>
      <c r="J479" t="s">
        <v>1442</v>
      </c>
      <c r="K479" t="s">
        <v>9416</v>
      </c>
      <c r="L479" t="s">
        <v>9417</v>
      </c>
      <c r="M479" t="s">
        <v>9596</v>
      </c>
      <c r="N479" t="s">
        <v>9428</v>
      </c>
      <c r="O479" t="s">
        <v>6001</v>
      </c>
      <c r="P479" t="s">
        <v>9420</v>
      </c>
      <c r="Q479" t="s">
        <v>9421</v>
      </c>
      <c r="R479" t="s">
        <v>17</v>
      </c>
      <c r="S479" t="s">
        <v>1510</v>
      </c>
      <c r="T479" t="s">
        <v>1512</v>
      </c>
    </row>
    <row r="480" spans="1:20">
      <c r="A480" t="s">
        <v>1510</v>
      </c>
      <c r="B480" t="s">
        <v>20</v>
      </c>
      <c r="C480" t="s">
        <v>6003</v>
      </c>
      <c r="D480" t="s">
        <v>9666</v>
      </c>
      <c r="E480" t="s">
        <v>10479</v>
      </c>
      <c r="F480" t="s">
        <v>9412</v>
      </c>
      <c r="G480" t="s">
        <v>9413</v>
      </c>
      <c r="H480" t="s">
        <v>9414</v>
      </c>
      <c r="I480" t="s">
        <v>10422</v>
      </c>
      <c r="J480" t="s">
        <v>1442</v>
      </c>
      <c r="K480" t="s">
        <v>9416</v>
      </c>
      <c r="L480" t="s">
        <v>9417</v>
      </c>
      <c r="M480" t="s">
        <v>9596</v>
      </c>
      <c r="N480" t="s">
        <v>9428</v>
      </c>
      <c r="O480" t="s">
        <v>6005</v>
      </c>
      <c r="P480" t="s">
        <v>9420</v>
      </c>
      <c r="Q480" t="s">
        <v>9421</v>
      </c>
      <c r="R480" t="s">
        <v>17</v>
      </c>
      <c r="S480" t="s">
        <v>1514</v>
      </c>
      <c r="T480" t="s">
        <v>1516</v>
      </c>
    </row>
    <row r="481" spans="1:20">
      <c r="A481" t="s">
        <v>1517</v>
      </c>
      <c r="B481" t="s">
        <v>20</v>
      </c>
      <c r="C481" t="s">
        <v>6009</v>
      </c>
      <c r="D481" t="s">
        <v>9460</v>
      </c>
      <c r="E481" t="s">
        <v>10480</v>
      </c>
      <c r="F481" t="s">
        <v>9412</v>
      </c>
      <c r="G481" t="s">
        <v>9413</v>
      </c>
      <c r="H481" t="s">
        <v>9414</v>
      </c>
      <c r="I481" t="s">
        <v>10465</v>
      </c>
      <c r="J481" t="s">
        <v>1442</v>
      </c>
      <c r="K481" t="s">
        <v>9416</v>
      </c>
      <c r="L481" t="s">
        <v>9417</v>
      </c>
      <c r="M481" t="s">
        <v>9425</v>
      </c>
      <c r="N481" t="s">
        <v>9428</v>
      </c>
      <c r="O481" t="s">
        <v>6007</v>
      </c>
      <c r="P481" t="s">
        <v>9459</v>
      </c>
      <c r="Q481" t="s">
        <v>9421</v>
      </c>
      <c r="R481" t="s">
        <v>17</v>
      </c>
      <c r="S481" t="s">
        <v>1517</v>
      </c>
      <c r="T481" t="s">
        <v>1519</v>
      </c>
    </row>
    <row r="482" spans="1:20">
      <c r="A482" t="s">
        <v>1993</v>
      </c>
      <c r="B482" t="s">
        <v>20</v>
      </c>
      <c r="C482" t="s">
        <v>6590</v>
      </c>
      <c r="D482" t="s">
        <v>9666</v>
      </c>
      <c r="E482" t="s">
        <v>10481</v>
      </c>
      <c r="F482" t="s">
        <v>9412</v>
      </c>
      <c r="G482" t="s">
        <v>9413</v>
      </c>
      <c r="H482" t="s">
        <v>9414</v>
      </c>
      <c r="I482" t="s">
        <v>10150</v>
      </c>
      <c r="J482" t="s">
        <v>1920</v>
      </c>
      <c r="K482" t="s">
        <v>9416</v>
      </c>
      <c r="L482" t="s">
        <v>9417</v>
      </c>
      <c r="M482" t="s">
        <v>9831</v>
      </c>
      <c r="N482" t="s">
        <v>9446</v>
      </c>
      <c r="O482" t="s">
        <v>6592</v>
      </c>
      <c r="P482" t="s">
        <v>9655</v>
      </c>
      <c r="Q482" t="s">
        <v>9421</v>
      </c>
      <c r="R482" t="s">
        <v>56</v>
      </c>
      <c r="S482" t="s">
        <v>1998</v>
      </c>
      <c r="T482" t="s">
        <v>2000</v>
      </c>
    </row>
    <row r="483" spans="1:20">
      <c r="A483" t="s">
        <v>1993</v>
      </c>
      <c r="B483" t="s">
        <v>20</v>
      </c>
      <c r="C483" t="s">
        <v>6590</v>
      </c>
      <c r="D483" t="s">
        <v>9666</v>
      </c>
      <c r="E483" t="s">
        <v>10481</v>
      </c>
      <c r="F483" t="s">
        <v>9412</v>
      </c>
      <c r="G483" t="s">
        <v>9413</v>
      </c>
      <c r="H483" t="s">
        <v>9414</v>
      </c>
      <c r="I483" t="s">
        <v>10150</v>
      </c>
      <c r="J483" t="s">
        <v>1920</v>
      </c>
      <c r="K483" t="s">
        <v>9416</v>
      </c>
      <c r="L483" t="s">
        <v>9417</v>
      </c>
      <c r="M483" t="s">
        <v>9831</v>
      </c>
      <c r="N483" t="s">
        <v>9446</v>
      </c>
      <c r="O483" t="s">
        <v>6594</v>
      </c>
      <c r="P483" t="s">
        <v>9647</v>
      </c>
      <c r="Q483" t="s">
        <v>9421</v>
      </c>
      <c r="R483" t="s">
        <v>84</v>
      </c>
      <c r="S483" t="s">
        <v>2001</v>
      </c>
      <c r="T483" t="s">
        <v>2003</v>
      </c>
    </row>
    <row r="484" spans="1:20">
      <c r="A484" t="s">
        <v>1993</v>
      </c>
      <c r="B484" t="s">
        <v>20</v>
      </c>
      <c r="C484" t="s">
        <v>6590</v>
      </c>
      <c r="D484" t="s">
        <v>9666</v>
      </c>
      <c r="E484" t="s">
        <v>10481</v>
      </c>
      <c r="F484" t="s">
        <v>9412</v>
      </c>
      <c r="G484" t="s">
        <v>9413</v>
      </c>
      <c r="H484" t="s">
        <v>9414</v>
      </c>
      <c r="I484" t="s">
        <v>10150</v>
      </c>
      <c r="J484" t="s">
        <v>1920</v>
      </c>
      <c r="K484" t="s">
        <v>9416</v>
      </c>
      <c r="L484" t="s">
        <v>9417</v>
      </c>
      <c r="M484" t="s">
        <v>9831</v>
      </c>
      <c r="N484" t="s">
        <v>9446</v>
      </c>
      <c r="O484" t="s">
        <v>6588</v>
      </c>
      <c r="P484" t="s">
        <v>9651</v>
      </c>
      <c r="Q484" t="s">
        <v>9421</v>
      </c>
      <c r="R484" t="s">
        <v>56</v>
      </c>
      <c r="S484" t="s">
        <v>1994</v>
      </c>
      <c r="T484" t="s">
        <v>1996</v>
      </c>
    </row>
    <row r="485" spans="1:20">
      <c r="A485" t="s">
        <v>1993</v>
      </c>
      <c r="B485" t="s">
        <v>20</v>
      </c>
      <c r="C485" t="s">
        <v>6590</v>
      </c>
      <c r="D485" t="s">
        <v>9666</v>
      </c>
      <c r="E485" t="s">
        <v>10481</v>
      </c>
      <c r="F485" t="s">
        <v>9412</v>
      </c>
      <c r="G485" t="s">
        <v>9413</v>
      </c>
      <c r="H485" t="s">
        <v>9414</v>
      </c>
      <c r="I485" t="s">
        <v>10150</v>
      </c>
      <c r="J485" t="s">
        <v>1920</v>
      </c>
      <c r="K485" t="s">
        <v>9416</v>
      </c>
      <c r="L485" t="s">
        <v>9417</v>
      </c>
      <c r="M485" t="s">
        <v>9831</v>
      </c>
      <c r="N485" t="s">
        <v>9446</v>
      </c>
      <c r="O485" t="s">
        <v>6598</v>
      </c>
      <c r="P485" t="s">
        <v>9655</v>
      </c>
      <c r="Q485" t="s">
        <v>9421</v>
      </c>
      <c r="R485" t="s">
        <v>56</v>
      </c>
      <c r="S485" t="s">
        <v>2007</v>
      </c>
      <c r="T485" t="s">
        <v>2009</v>
      </c>
    </row>
    <row r="486" spans="1:20">
      <c r="A486" t="s">
        <v>1993</v>
      </c>
      <c r="B486" t="s">
        <v>20</v>
      </c>
      <c r="C486" t="s">
        <v>6590</v>
      </c>
      <c r="D486" t="s">
        <v>9666</v>
      </c>
      <c r="E486" t="s">
        <v>10481</v>
      </c>
      <c r="F486" t="s">
        <v>9412</v>
      </c>
      <c r="G486" t="s">
        <v>9413</v>
      </c>
      <c r="H486" t="s">
        <v>9414</v>
      </c>
      <c r="I486" t="s">
        <v>10150</v>
      </c>
      <c r="J486" t="s">
        <v>1920</v>
      </c>
      <c r="K486" t="s">
        <v>9416</v>
      </c>
      <c r="L486" t="s">
        <v>9417</v>
      </c>
      <c r="M486" t="s">
        <v>9831</v>
      </c>
      <c r="N486" t="s">
        <v>9446</v>
      </c>
      <c r="O486" t="s">
        <v>6596</v>
      </c>
      <c r="P486" t="s">
        <v>9655</v>
      </c>
      <c r="Q486" t="s">
        <v>9421</v>
      </c>
      <c r="R486" t="s">
        <v>56</v>
      </c>
      <c r="S486" t="s">
        <v>2004</v>
      </c>
      <c r="T486" t="s">
        <v>2006</v>
      </c>
    </row>
    <row r="487" spans="1:20">
      <c r="A487" t="s">
        <v>6731</v>
      </c>
      <c r="B487" t="s">
        <v>9409</v>
      </c>
      <c r="C487" t="s">
        <v>10482</v>
      </c>
      <c r="D487" t="s">
        <v>9410</v>
      </c>
      <c r="E487" t="s">
        <v>10483</v>
      </c>
      <c r="F487" t="s">
        <v>9412</v>
      </c>
      <c r="G487" t="s">
        <v>9413</v>
      </c>
      <c r="H487" t="s">
        <v>9414</v>
      </c>
      <c r="I487" t="s">
        <v>10177</v>
      </c>
      <c r="J487" t="s">
        <v>2026</v>
      </c>
      <c r="K487" t="s">
        <v>9416</v>
      </c>
      <c r="L487" t="s">
        <v>9417</v>
      </c>
      <c r="M487" t="s">
        <v>9602</v>
      </c>
      <c r="N487" t="s">
        <v>9446</v>
      </c>
      <c r="O487" t="s">
        <v>6732</v>
      </c>
      <c r="P487" t="s">
        <v>9655</v>
      </c>
      <c r="Q487" t="s">
        <v>9421</v>
      </c>
      <c r="R487" t="s">
        <v>56</v>
      </c>
      <c r="S487" t="s">
        <v>6731</v>
      </c>
      <c r="T487" t="s">
        <v>10484</v>
      </c>
    </row>
    <row r="488" spans="1:20">
      <c r="A488" t="s">
        <v>2010</v>
      </c>
      <c r="B488" t="s">
        <v>62</v>
      </c>
      <c r="C488" t="s">
        <v>6600</v>
      </c>
      <c r="D488" t="s">
        <v>9448</v>
      </c>
      <c r="E488" t="s">
        <v>10485</v>
      </c>
      <c r="F488" t="s">
        <v>9412</v>
      </c>
      <c r="G488" t="s">
        <v>9413</v>
      </c>
      <c r="H488" t="s">
        <v>9414</v>
      </c>
      <c r="I488" t="s">
        <v>9466</v>
      </c>
      <c r="J488" t="s">
        <v>1920</v>
      </c>
      <c r="K488" t="s">
        <v>9445</v>
      </c>
      <c r="L488" t="s">
        <v>9417</v>
      </c>
      <c r="M488" t="s">
        <v>9478</v>
      </c>
      <c r="N488" t="s">
        <v>9426</v>
      </c>
      <c r="O488" t="s">
        <v>9446</v>
      </c>
      <c r="P488" t="s">
        <v>9479</v>
      </c>
      <c r="Q488" t="s">
        <v>9421</v>
      </c>
      <c r="R488" t="s">
        <v>43</v>
      </c>
      <c r="S488" t="s">
        <v>1264</v>
      </c>
      <c r="T488" t="s">
        <v>1266</v>
      </c>
    </row>
    <row r="489" spans="1:20">
      <c r="A489" t="s">
        <v>2010</v>
      </c>
      <c r="B489" t="s">
        <v>62</v>
      </c>
      <c r="C489" t="s">
        <v>6600</v>
      </c>
      <c r="D489" t="s">
        <v>9448</v>
      </c>
      <c r="E489" t="s">
        <v>10485</v>
      </c>
      <c r="F489" t="s">
        <v>9412</v>
      </c>
      <c r="G489" t="s">
        <v>9413</v>
      </c>
      <c r="H489" t="s">
        <v>9414</v>
      </c>
      <c r="I489" t="s">
        <v>9466</v>
      </c>
      <c r="J489" t="s">
        <v>1920</v>
      </c>
      <c r="K489" t="s">
        <v>9416</v>
      </c>
      <c r="L489" t="s">
        <v>9417</v>
      </c>
      <c r="M489" t="s">
        <v>9478</v>
      </c>
      <c r="N489" t="s">
        <v>9446</v>
      </c>
      <c r="O489" t="s">
        <v>6602</v>
      </c>
      <c r="P489" t="s">
        <v>9655</v>
      </c>
      <c r="Q489" t="s">
        <v>9421</v>
      </c>
      <c r="R489" t="s">
        <v>56</v>
      </c>
      <c r="S489" t="s">
        <v>2010</v>
      </c>
      <c r="T489" t="s">
        <v>2013</v>
      </c>
    </row>
    <row r="490" spans="1:20">
      <c r="A490" t="s">
        <v>1652</v>
      </c>
      <c r="B490" t="s">
        <v>20</v>
      </c>
      <c r="C490" t="s">
        <v>6162</v>
      </c>
      <c r="D490" t="s">
        <v>9666</v>
      </c>
      <c r="E490" t="s">
        <v>10486</v>
      </c>
      <c r="F490" t="s">
        <v>9412</v>
      </c>
      <c r="G490" t="s">
        <v>9413</v>
      </c>
      <c r="H490" t="s">
        <v>9414</v>
      </c>
      <c r="I490" t="s">
        <v>9466</v>
      </c>
      <c r="J490" t="s">
        <v>1589</v>
      </c>
      <c r="K490" t="s">
        <v>9445</v>
      </c>
      <c r="L490" t="s">
        <v>9417</v>
      </c>
      <c r="M490" t="s">
        <v>9788</v>
      </c>
      <c r="N490" t="s">
        <v>9426</v>
      </c>
      <c r="O490" t="s">
        <v>9446</v>
      </c>
      <c r="P490" t="s">
        <v>9647</v>
      </c>
      <c r="Q490" t="s">
        <v>9421</v>
      </c>
      <c r="R490" t="s">
        <v>56</v>
      </c>
      <c r="S490" t="s">
        <v>1560</v>
      </c>
      <c r="T490" t="s">
        <v>1562</v>
      </c>
    </row>
    <row r="491" spans="1:20">
      <c r="A491" t="s">
        <v>1652</v>
      </c>
      <c r="B491" t="s">
        <v>20</v>
      </c>
      <c r="C491" t="s">
        <v>6162</v>
      </c>
      <c r="D491" t="s">
        <v>9666</v>
      </c>
      <c r="E491" t="s">
        <v>10486</v>
      </c>
      <c r="F491" t="s">
        <v>9412</v>
      </c>
      <c r="G491" t="s">
        <v>9413</v>
      </c>
      <c r="H491" t="s">
        <v>9414</v>
      </c>
      <c r="I491" t="s">
        <v>9466</v>
      </c>
      <c r="J491" t="s">
        <v>1589</v>
      </c>
      <c r="K491" t="s">
        <v>9416</v>
      </c>
      <c r="L491" t="s">
        <v>9417</v>
      </c>
      <c r="M491" t="s">
        <v>9788</v>
      </c>
      <c r="N491" t="s">
        <v>9446</v>
      </c>
      <c r="O491" t="s">
        <v>6164</v>
      </c>
      <c r="P491" t="s">
        <v>9655</v>
      </c>
      <c r="Q491" t="s">
        <v>9421</v>
      </c>
      <c r="R491" t="s">
        <v>56</v>
      </c>
      <c r="S491" t="s">
        <v>1657</v>
      </c>
      <c r="T491" t="s">
        <v>1659</v>
      </c>
    </row>
    <row r="492" spans="1:20">
      <c r="A492" t="s">
        <v>1652</v>
      </c>
      <c r="B492" t="s">
        <v>20</v>
      </c>
      <c r="C492" t="s">
        <v>6162</v>
      </c>
      <c r="D492" t="s">
        <v>9666</v>
      </c>
      <c r="E492" t="s">
        <v>10486</v>
      </c>
      <c r="F492" t="s">
        <v>9412</v>
      </c>
      <c r="G492" t="s">
        <v>9413</v>
      </c>
      <c r="H492" t="s">
        <v>9414</v>
      </c>
      <c r="I492" t="s">
        <v>9466</v>
      </c>
      <c r="J492" t="s">
        <v>1589</v>
      </c>
      <c r="K492" t="s">
        <v>9416</v>
      </c>
      <c r="L492" t="s">
        <v>9417</v>
      </c>
      <c r="M492" t="s">
        <v>9788</v>
      </c>
      <c r="N492" t="s">
        <v>9446</v>
      </c>
      <c r="O492" t="s">
        <v>6160</v>
      </c>
      <c r="P492" t="s">
        <v>9655</v>
      </c>
      <c r="Q492" t="s">
        <v>9421</v>
      </c>
      <c r="R492" t="s">
        <v>56</v>
      </c>
      <c r="S492" t="s">
        <v>1653</v>
      </c>
      <c r="T492" t="s">
        <v>1655</v>
      </c>
    </row>
    <row r="493" spans="1:20">
      <c r="A493" t="s">
        <v>1652</v>
      </c>
      <c r="B493" t="s">
        <v>20</v>
      </c>
      <c r="C493" t="s">
        <v>6162</v>
      </c>
      <c r="D493" t="s">
        <v>9666</v>
      </c>
      <c r="E493" t="s">
        <v>10486</v>
      </c>
      <c r="F493" t="s">
        <v>9412</v>
      </c>
      <c r="G493" t="s">
        <v>9413</v>
      </c>
      <c r="H493" t="s">
        <v>9414</v>
      </c>
      <c r="I493" t="s">
        <v>9466</v>
      </c>
      <c r="J493" t="s">
        <v>1589</v>
      </c>
      <c r="K493" t="s">
        <v>9416</v>
      </c>
      <c r="L493" t="s">
        <v>9417</v>
      </c>
      <c r="M493" t="s">
        <v>9788</v>
      </c>
      <c r="N493" t="s">
        <v>9446</v>
      </c>
      <c r="O493" t="s">
        <v>6166</v>
      </c>
      <c r="P493" t="s">
        <v>9655</v>
      </c>
      <c r="Q493" t="s">
        <v>9421</v>
      </c>
      <c r="R493" t="s">
        <v>56</v>
      </c>
      <c r="S493" t="s">
        <v>1660</v>
      </c>
      <c r="T493" t="s">
        <v>1662</v>
      </c>
    </row>
    <row r="494" spans="1:20">
      <c r="A494" t="s">
        <v>1749</v>
      </c>
      <c r="B494" t="s">
        <v>20</v>
      </c>
      <c r="C494" t="s">
        <v>6277</v>
      </c>
      <c r="D494" t="s">
        <v>9455</v>
      </c>
      <c r="E494" t="s">
        <v>10487</v>
      </c>
      <c r="F494" t="s">
        <v>9412</v>
      </c>
      <c r="G494" t="s">
        <v>9413</v>
      </c>
      <c r="H494" t="s">
        <v>9414</v>
      </c>
      <c r="I494" t="s">
        <v>9645</v>
      </c>
      <c r="J494" t="s">
        <v>1683</v>
      </c>
      <c r="K494" t="s">
        <v>9416</v>
      </c>
      <c r="L494" t="s">
        <v>9417</v>
      </c>
      <c r="M494" t="s">
        <v>9453</v>
      </c>
      <c r="N494" t="s">
        <v>9446</v>
      </c>
      <c r="O494" t="s">
        <v>6285</v>
      </c>
      <c r="P494" t="s">
        <v>9655</v>
      </c>
      <c r="Q494" t="s">
        <v>9421</v>
      </c>
      <c r="R494" t="s">
        <v>56</v>
      </c>
      <c r="S494" t="s">
        <v>1763</v>
      </c>
      <c r="T494" t="s">
        <v>1765</v>
      </c>
    </row>
    <row r="495" spans="1:20">
      <c r="A495" t="s">
        <v>1749</v>
      </c>
      <c r="B495" t="s">
        <v>20</v>
      </c>
      <c r="C495" t="s">
        <v>6277</v>
      </c>
      <c r="D495" t="s">
        <v>9455</v>
      </c>
      <c r="E495" t="s">
        <v>10487</v>
      </c>
      <c r="F495" t="s">
        <v>9412</v>
      </c>
      <c r="G495" t="s">
        <v>9413</v>
      </c>
      <c r="H495" t="s">
        <v>9414</v>
      </c>
      <c r="I495" t="s">
        <v>9645</v>
      </c>
      <c r="J495" t="s">
        <v>1683</v>
      </c>
      <c r="K495" t="s">
        <v>9416</v>
      </c>
      <c r="L495" t="s">
        <v>9417</v>
      </c>
      <c r="M495" t="s">
        <v>9453</v>
      </c>
      <c r="N495" t="s">
        <v>9446</v>
      </c>
      <c r="O495" t="s">
        <v>6283</v>
      </c>
      <c r="P495" t="s">
        <v>9655</v>
      </c>
      <c r="Q495" t="s">
        <v>9421</v>
      </c>
      <c r="R495" t="s">
        <v>56</v>
      </c>
      <c r="S495" t="s">
        <v>1760</v>
      </c>
      <c r="T495" t="s">
        <v>1762</v>
      </c>
    </row>
    <row r="496" spans="1:20">
      <c r="A496" t="s">
        <v>1749</v>
      </c>
      <c r="B496" t="s">
        <v>20</v>
      </c>
      <c r="C496" t="s">
        <v>6277</v>
      </c>
      <c r="D496" t="s">
        <v>9455</v>
      </c>
      <c r="E496" t="s">
        <v>10487</v>
      </c>
      <c r="F496" t="s">
        <v>9412</v>
      </c>
      <c r="G496" t="s">
        <v>9413</v>
      </c>
      <c r="H496" t="s">
        <v>9414</v>
      </c>
      <c r="I496" t="s">
        <v>9645</v>
      </c>
      <c r="J496" t="s">
        <v>1683</v>
      </c>
      <c r="K496" t="s">
        <v>9445</v>
      </c>
      <c r="L496" t="s">
        <v>9417</v>
      </c>
      <c r="M496" t="s">
        <v>9453</v>
      </c>
      <c r="N496" t="s">
        <v>9430</v>
      </c>
      <c r="O496" t="s">
        <v>9446</v>
      </c>
      <c r="P496" t="s">
        <v>9474</v>
      </c>
      <c r="Q496" t="s">
        <v>9421</v>
      </c>
      <c r="R496" t="s">
        <v>43</v>
      </c>
      <c r="S496" t="s">
        <v>1638</v>
      </c>
      <c r="T496" t="s">
        <v>1640</v>
      </c>
    </row>
    <row r="497" spans="1:20">
      <c r="A497" t="s">
        <v>1749</v>
      </c>
      <c r="B497" t="s">
        <v>20</v>
      </c>
      <c r="C497" t="s">
        <v>6277</v>
      </c>
      <c r="D497" t="s">
        <v>9455</v>
      </c>
      <c r="E497" t="s">
        <v>10487</v>
      </c>
      <c r="F497" t="s">
        <v>9412</v>
      </c>
      <c r="G497" t="s">
        <v>9413</v>
      </c>
      <c r="H497" t="s">
        <v>9414</v>
      </c>
      <c r="I497" t="s">
        <v>9645</v>
      </c>
      <c r="J497" t="s">
        <v>1683</v>
      </c>
      <c r="K497" t="s">
        <v>9416</v>
      </c>
      <c r="L497" t="s">
        <v>9417</v>
      </c>
      <c r="M497" t="s">
        <v>9453</v>
      </c>
      <c r="N497" t="s">
        <v>9446</v>
      </c>
      <c r="O497" t="s">
        <v>6275</v>
      </c>
      <c r="P497" t="s">
        <v>9651</v>
      </c>
      <c r="Q497" t="s">
        <v>9421</v>
      </c>
      <c r="R497" t="s">
        <v>56</v>
      </c>
      <c r="S497" t="s">
        <v>1750</v>
      </c>
      <c r="T497" t="s">
        <v>1752</v>
      </c>
    </row>
    <row r="498" spans="1:20">
      <c r="A498" t="s">
        <v>1749</v>
      </c>
      <c r="B498" t="s">
        <v>20</v>
      </c>
      <c r="C498" t="s">
        <v>6277</v>
      </c>
      <c r="D498" t="s">
        <v>9455</v>
      </c>
      <c r="E498" t="s">
        <v>10487</v>
      </c>
      <c r="F498" t="s">
        <v>9412</v>
      </c>
      <c r="G498" t="s">
        <v>9413</v>
      </c>
      <c r="H498" t="s">
        <v>9414</v>
      </c>
      <c r="I498" t="s">
        <v>9645</v>
      </c>
      <c r="J498" t="s">
        <v>1683</v>
      </c>
      <c r="K498" t="s">
        <v>9416</v>
      </c>
      <c r="L498" t="s">
        <v>9417</v>
      </c>
      <c r="M498" t="s">
        <v>9453</v>
      </c>
      <c r="N498" t="s">
        <v>9446</v>
      </c>
      <c r="O498" t="s">
        <v>6279</v>
      </c>
      <c r="P498" t="s">
        <v>9655</v>
      </c>
      <c r="Q498" t="s">
        <v>9421</v>
      </c>
      <c r="R498" t="s">
        <v>56</v>
      </c>
      <c r="S498" t="s">
        <v>1754</v>
      </c>
      <c r="T498" t="s">
        <v>1756</v>
      </c>
    </row>
    <row r="499" spans="1:20">
      <c r="A499" t="s">
        <v>1749</v>
      </c>
      <c r="B499" t="s">
        <v>20</v>
      </c>
      <c r="C499" t="s">
        <v>6277</v>
      </c>
      <c r="D499" t="s">
        <v>9455</v>
      </c>
      <c r="E499" t="s">
        <v>10487</v>
      </c>
      <c r="F499" t="s">
        <v>9412</v>
      </c>
      <c r="G499" t="s">
        <v>9413</v>
      </c>
      <c r="H499" t="s">
        <v>9414</v>
      </c>
      <c r="I499" t="s">
        <v>9645</v>
      </c>
      <c r="J499" t="s">
        <v>1683</v>
      </c>
      <c r="K499" t="s">
        <v>9416</v>
      </c>
      <c r="L499" t="s">
        <v>9417</v>
      </c>
      <c r="M499" t="s">
        <v>9453</v>
      </c>
      <c r="N499" t="s">
        <v>9446</v>
      </c>
      <c r="O499" t="s">
        <v>6281</v>
      </c>
      <c r="P499" t="s">
        <v>9655</v>
      </c>
      <c r="Q499" t="s">
        <v>9421</v>
      </c>
      <c r="R499" t="s">
        <v>56</v>
      </c>
      <c r="S499" t="s">
        <v>1757</v>
      </c>
      <c r="T499" t="s">
        <v>1759</v>
      </c>
    </row>
    <row r="500" spans="1:20">
      <c r="A500" t="s">
        <v>1766</v>
      </c>
      <c r="B500" t="s">
        <v>62</v>
      </c>
      <c r="C500" t="s">
        <v>1767</v>
      </c>
      <c r="D500" t="s">
        <v>445</v>
      </c>
      <c r="E500" t="s">
        <v>10488</v>
      </c>
      <c r="F500" t="s">
        <v>9412</v>
      </c>
      <c r="G500" t="s">
        <v>9413</v>
      </c>
      <c r="H500" t="s">
        <v>1044</v>
      </c>
      <c r="I500" t="s">
        <v>10286</v>
      </c>
      <c r="J500" t="s">
        <v>1683</v>
      </c>
      <c r="K500" t="s">
        <v>9445</v>
      </c>
      <c r="L500" t="s">
        <v>9417</v>
      </c>
      <c r="M500" t="s">
        <v>10447</v>
      </c>
      <c r="N500" t="s">
        <v>9426</v>
      </c>
      <c r="O500" t="s">
        <v>9446</v>
      </c>
      <c r="P500" t="s">
        <v>9479</v>
      </c>
      <c r="Q500" t="s">
        <v>9421</v>
      </c>
      <c r="R500" t="s">
        <v>43</v>
      </c>
      <c r="S500" t="s">
        <v>1264</v>
      </c>
      <c r="T500" t="s">
        <v>1266</v>
      </c>
    </row>
    <row r="501" spans="1:20">
      <c r="A501" t="s">
        <v>1766</v>
      </c>
      <c r="B501" t="s">
        <v>62</v>
      </c>
      <c r="C501" t="s">
        <v>1767</v>
      </c>
      <c r="D501" t="s">
        <v>445</v>
      </c>
      <c r="E501" t="s">
        <v>10488</v>
      </c>
      <c r="F501" t="s">
        <v>9412</v>
      </c>
      <c r="G501" t="s">
        <v>9413</v>
      </c>
      <c r="H501" t="s">
        <v>1044</v>
      </c>
      <c r="I501" t="s">
        <v>10286</v>
      </c>
      <c r="J501" t="s">
        <v>1683</v>
      </c>
      <c r="K501" t="s">
        <v>9416</v>
      </c>
      <c r="L501" t="s">
        <v>9417</v>
      </c>
      <c r="M501" t="s">
        <v>10447</v>
      </c>
      <c r="N501" t="s">
        <v>9446</v>
      </c>
      <c r="O501" t="s">
        <v>6289</v>
      </c>
      <c r="P501" t="s">
        <v>9647</v>
      </c>
      <c r="Q501" t="s">
        <v>9421</v>
      </c>
      <c r="R501" t="s">
        <v>84</v>
      </c>
      <c r="S501" t="s">
        <v>1768</v>
      </c>
      <c r="T501" t="s">
        <v>1770</v>
      </c>
    </row>
    <row r="502" spans="1:20">
      <c r="A502" t="s">
        <v>1766</v>
      </c>
      <c r="B502" t="s">
        <v>62</v>
      </c>
      <c r="C502" t="s">
        <v>1767</v>
      </c>
      <c r="D502" t="s">
        <v>445</v>
      </c>
      <c r="E502" t="s">
        <v>10488</v>
      </c>
      <c r="F502" t="s">
        <v>9412</v>
      </c>
      <c r="G502" t="s">
        <v>9413</v>
      </c>
      <c r="H502" t="s">
        <v>1044</v>
      </c>
      <c r="I502" t="s">
        <v>10286</v>
      </c>
      <c r="J502" t="s">
        <v>1683</v>
      </c>
      <c r="K502" t="s">
        <v>9416</v>
      </c>
      <c r="L502" t="s">
        <v>9417</v>
      </c>
      <c r="M502" t="s">
        <v>10447</v>
      </c>
      <c r="N502" t="s">
        <v>9446</v>
      </c>
      <c r="O502" t="s">
        <v>6291</v>
      </c>
      <c r="P502" t="s">
        <v>9647</v>
      </c>
      <c r="Q502" t="s">
        <v>9421</v>
      </c>
      <c r="R502" t="s">
        <v>84</v>
      </c>
      <c r="S502" t="s">
        <v>1766</v>
      </c>
      <c r="T502" t="s">
        <v>1772</v>
      </c>
    </row>
    <row r="503" spans="1:20">
      <c r="A503" t="s">
        <v>2077</v>
      </c>
      <c r="B503" t="s">
        <v>20</v>
      </c>
      <c r="C503" t="s">
        <v>6712</v>
      </c>
      <c r="D503" t="s">
        <v>9464</v>
      </c>
      <c r="E503" t="s">
        <v>10489</v>
      </c>
      <c r="F503" t="s">
        <v>9412</v>
      </c>
      <c r="G503" t="s">
        <v>9413</v>
      </c>
      <c r="H503" t="s">
        <v>9414</v>
      </c>
      <c r="I503" t="s">
        <v>10066</v>
      </c>
      <c r="J503" t="s">
        <v>2026</v>
      </c>
      <c r="K503" t="s">
        <v>9416</v>
      </c>
      <c r="L503" t="s">
        <v>9417</v>
      </c>
      <c r="M503" t="s">
        <v>9971</v>
      </c>
      <c r="N503" t="s">
        <v>9446</v>
      </c>
      <c r="O503" t="s">
        <v>6710</v>
      </c>
      <c r="P503" t="s">
        <v>9655</v>
      </c>
      <c r="Q503" t="s">
        <v>9421</v>
      </c>
      <c r="R503" t="s">
        <v>56</v>
      </c>
      <c r="S503" t="s">
        <v>2077</v>
      </c>
      <c r="T503" t="s">
        <v>2079</v>
      </c>
    </row>
    <row r="504" spans="1:20">
      <c r="A504" t="s">
        <v>1102</v>
      </c>
      <c r="B504" t="s">
        <v>20</v>
      </c>
      <c r="C504" t="s">
        <v>5505</v>
      </c>
      <c r="D504" t="s">
        <v>9455</v>
      </c>
      <c r="E504" t="s">
        <v>10490</v>
      </c>
      <c r="F504" t="s">
        <v>9412</v>
      </c>
      <c r="G504" t="s">
        <v>9413</v>
      </c>
      <c r="H504" t="s">
        <v>9414</v>
      </c>
      <c r="I504" t="s">
        <v>10202</v>
      </c>
      <c r="J504" t="s">
        <v>1043</v>
      </c>
      <c r="K504" t="s">
        <v>9416</v>
      </c>
      <c r="L504" t="s">
        <v>9417</v>
      </c>
      <c r="M504" t="s">
        <v>9580</v>
      </c>
      <c r="N504" t="s">
        <v>9446</v>
      </c>
      <c r="O504" t="s">
        <v>5503</v>
      </c>
      <c r="P504" t="s">
        <v>9651</v>
      </c>
      <c r="Q504" t="s">
        <v>9421</v>
      </c>
      <c r="R504" t="s">
        <v>56</v>
      </c>
      <c r="S504" t="s">
        <v>1102</v>
      </c>
      <c r="T504" t="s">
        <v>1104</v>
      </c>
    </row>
    <row r="505" spans="1:20">
      <c r="A505" t="s">
        <v>6011</v>
      </c>
      <c r="B505" t="s">
        <v>62</v>
      </c>
      <c r="C505" t="s">
        <v>6012</v>
      </c>
      <c r="D505" t="s">
        <v>445</v>
      </c>
      <c r="E505" t="s">
        <v>10491</v>
      </c>
      <c r="F505" t="s">
        <v>9412</v>
      </c>
      <c r="G505" t="s">
        <v>9413</v>
      </c>
      <c r="H505" t="s">
        <v>9414</v>
      </c>
      <c r="I505" t="s">
        <v>10492</v>
      </c>
      <c r="J505" t="s">
        <v>1442</v>
      </c>
      <c r="K505" t="s">
        <v>9445</v>
      </c>
      <c r="L505" t="s">
        <v>9417</v>
      </c>
      <c r="M505" t="s">
        <v>9436</v>
      </c>
      <c r="N505" t="s">
        <v>9430</v>
      </c>
      <c r="O505" t="s">
        <v>9446</v>
      </c>
      <c r="P505" t="s">
        <v>9474</v>
      </c>
      <c r="Q505" t="s">
        <v>9421</v>
      </c>
      <c r="R505" t="s">
        <v>43</v>
      </c>
      <c r="S505" t="s">
        <v>1499</v>
      </c>
      <c r="T505" t="s">
        <v>1501</v>
      </c>
    </row>
    <row r="506" spans="1:20">
      <c r="A506" t="s">
        <v>6011</v>
      </c>
      <c r="B506" t="s">
        <v>62</v>
      </c>
      <c r="C506" t="s">
        <v>6012</v>
      </c>
      <c r="D506" t="s">
        <v>445</v>
      </c>
      <c r="E506" t="s">
        <v>10491</v>
      </c>
      <c r="F506" t="s">
        <v>9412</v>
      </c>
      <c r="G506" t="s">
        <v>9413</v>
      </c>
      <c r="H506" t="s">
        <v>9414</v>
      </c>
      <c r="I506" t="s">
        <v>10492</v>
      </c>
      <c r="J506" t="s">
        <v>1442</v>
      </c>
      <c r="K506" t="s">
        <v>9445</v>
      </c>
      <c r="L506" t="s">
        <v>9417</v>
      </c>
      <c r="M506" t="s">
        <v>9436</v>
      </c>
      <c r="N506" t="s">
        <v>9430</v>
      </c>
      <c r="O506" t="s">
        <v>9446</v>
      </c>
      <c r="P506" t="s">
        <v>9474</v>
      </c>
      <c r="Q506" t="s">
        <v>9421</v>
      </c>
      <c r="R506" t="s">
        <v>43</v>
      </c>
      <c r="S506" t="s">
        <v>6014</v>
      </c>
      <c r="T506" t="s">
        <v>10100</v>
      </c>
    </row>
    <row r="507" spans="1:20">
      <c r="A507" t="s">
        <v>10493</v>
      </c>
      <c r="B507" t="s">
        <v>9409</v>
      </c>
      <c r="C507" t="s">
        <v>10494</v>
      </c>
      <c r="D507" t="s">
        <v>9410</v>
      </c>
      <c r="E507" t="s">
        <v>10495</v>
      </c>
      <c r="F507" t="s">
        <v>9412</v>
      </c>
      <c r="G507" t="s">
        <v>9413</v>
      </c>
      <c r="H507" t="s">
        <v>9414</v>
      </c>
      <c r="I507" t="s">
        <v>9826</v>
      </c>
      <c r="J507" t="s">
        <v>1683</v>
      </c>
      <c r="K507" t="s">
        <v>9416</v>
      </c>
      <c r="L507" t="s">
        <v>9417</v>
      </c>
      <c r="M507" t="s">
        <v>9473</v>
      </c>
      <c r="N507" t="s">
        <v>9446</v>
      </c>
      <c r="O507" t="s">
        <v>10496</v>
      </c>
      <c r="P507" t="s">
        <v>9655</v>
      </c>
      <c r="Q507" t="s">
        <v>9421</v>
      </c>
      <c r="R507" t="s">
        <v>56</v>
      </c>
      <c r="S507" t="s">
        <v>10497</v>
      </c>
      <c r="T507" t="s">
        <v>10498</v>
      </c>
    </row>
    <row r="508" spans="1:20">
      <c r="A508" t="s">
        <v>10493</v>
      </c>
      <c r="B508" t="s">
        <v>9409</v>
      </c>
      <c r="C508" t="s">
        <v>10494</v>
      </c>
      <c r="D508" t="s">
        <v>9410</v>
      </c>
      <c r="E508" t="s">
        <v>10495</v>
      </c>
      <c r="F508" t="s">
        <v>9412</v>
      </c>
      <c r="G508" t="s">
        <v>9413</v>
      </c>
      <c r="H508" t="s">
        <v>9414</v>
      </c>
      <c r="I508" t="s">
        <v>9826</v>
      </c>
      <c r="J508" t="s">
        <v>1683</v>
      </c>
      <c r="K508" t="s">
        <v>9416</v>
      </c>
      <c r="L508" t="s">
        <v>9417</v>
      </c>
      <c r="M508" t="s">
        <v>9473</v>
      </c>
      <c r="N508" t="s">
        <v>9446</v>
      </c>
      <c r="O508" t="s">
        <v>10499</v>
      </c>
      <c r="P508" t="s">
        <v>9655</v>
      </c>
      <c r="Q508" t="s">
        <v>9421</v>
      </c>
      <c r="R508" t="s">
        <v>56</v>
      </c>
      <c r="S508" t="s">
        <v>10500</v>
      </c>
      <c r="T508" t="s">
        <v>10501</v>
      </c>
    </row>
    <row r="509" spans="1:20">
      <c r="A509" t="s">
        <v>10493</v>
      </c>
      <c r="B509" t="s">
        <v>9409</v>
      </c>
      <c r="C509" t="s">
        <v>10494</v>
      </c>
      <c r="D509" t="s">
        <v>9410</v>
      </c>
      <c r="E509" t="s">
        <v>10495</v>
      </c>
      <c r="F509" t="s">
        <v>9412</v>
      </c>
      <c r="G509" t="s">
        <v>9413</v>
      </c>
      <c r="H509" t="s">
        <v>9414</v>
      </c>
      <c r="I509" t="s">
        <v>9826</v>
      </c>
      <c r="J509" t="s">
        <v>1683</v>
      </c>
      <c r="K509" t="s">
        <v>9416</v>
      </c>
      <c r="L509" t="s">
        <v>9417</v>
      </c>
      <c r="M509" t="s">
        <v>9473</v>
      </c>
      <c r="N509" t="s">
        <v>9446</v>
      </c>
      <c r="O509" t="s">
        <v>10502</v>
      </c>
      <c r="P509" t="s">
        <v>9655</v>
      </c>
      <c r="Q509" t="s">
        <v>9421</v>
      </c>
      <c r="R509" t="s">
        <v>56</v>
      </c>
      <c r="S509" t="s">
        <v>10503</v>
      </c>
      <c r="T509" t="s">
        <v>10504</v>
      </c>
    </row>
    <row r="510" spans="1:20">
      <c r="A510" t="s">
        <v>10493</v>
      </c>
      <c r="B510" t="s">
        <v>9409</v>
      </c>
      <c r="C510" t="s">
        <v>10494</v>
      </c>
      <c r="D510" t="s">
        <v>9410</v>
      </c>
      <c r="E510" t="s">
        <v>10495</v>
      </c>
      <c r="F510" t="s">
        <v>9412</v>
      </c>
      <c r="G510" t="s">
        <v>9413</v>
      </c>
      <c r="H510" t="s">
        <v>9414</v>
      </c>
      <c r="I510" t="s">
        <v>9826</v>
      </c>
      <c r="J510" t="s">
        <v>1683</v>
      </c>
      <c r="K510" t="s">
        <v>9416</v>
      </c>
      <c r="L510" t="s">
        <v>9417</v>
      </c>
      <c r="M510" t="s">
        <v>9473</v>
      </c>
      <c r="N510" t="s">
        <v>9446</v>
      </c>
      <c r="O510" t="s">
        <v>10505</v>
      </c>
      <c r="P510" t="s">
        <v>9655</v>
      </c>
      <c r="Q510" t="s">
        <v>9421</v>
      </c>
      <c r="R510" t="s">
        <v>56</v>
      </c>
      <c r="S510" t="s">
        <v>10506</v>
      </c>
      <c r="T510" t="s">
        <v>10507</v>
      </c>
    </row>
    <row r="511" spans="1:20">
      <c r="A511" t="s">
        <v>1310</v>
      </c>
      <c r="B511" t="s">
        <v>62</v>
      </c>
      <c r="C511" t="s">
        <v>5751</v>
      </c>
      <c r="D511" t="s">
        <v>445</v>
      </c>
      <c r="E511" t="s">
        <v>10508</v>
      </c>
      <c r="F511" t="s">
        <v>9412</v>
      </c>
      <c r="G511" t="s">
        <v>9413</v>
      </c>
      <c r="H511" t="s">
        <v>9414</v>
      </c>
      <c r="I511" t="s">
        <v>10509</v>
      </c>
      <c r="J511" t="s">
        <v>1246</v>
      </c>
      <c r="K511" t="s">
        <v>9445</v>
      </c>
      <c r="L511" t="s">
        <v>9417</v>
      </c>
      <c r="M511" t="s">
        <v>9705</v>
      </c>
      <c r="N511" t="s">
        <v>9426</v>
      </c>
      <c r="O511" t="s">
        <v>9446</v>
      </c>
      <c r="P511" t="s">
        <v>9479</v>
      </c>
      <c r="Q511" t="s">
        <v>9421</v>
      </c>
      <c r="R511" t="s">
        <v>43</v>
      </c>
      <c r="S511" t="s">
        <v>1264</v>
      </c>
      <c r="T511" t="s">
        <v>1266</v>
      </c>
    </row>
    <row r="512" spans="1:20">
      <c r="A512" t="s">
        <v>1310</v>
      </c>
      <c r="B512" t="s">
        <v>62</v>
      </c>
      <c r="C512" t="s">
        <v>5751</v>
      </c>
      <c r="D512" t="s">
        <v>445</v>
      </c>
      <c r="E512" t="s">
        <v>10508</v>
      </c>
      <c r="F512" t="s">
        <v>9412</v>
      </c>
      <c r="G512" t="s">
        <v>9413</v>
      </c>
      <c r="H512" t="s">
        <v>9414</v>
      </c>
      <c r="I512" t="s">
        <v>10509</v>
      </c>
      <c r="J512" t="s">
        <v>1246</v>
      </c>
      <c r="K512" t="s">
        <v>9416</v>
      </c>
      <c r="L512" t="s">
        <v>9417</v>
      </c>
      <c r="M512" t="s">
        <v>9705</v>
      </c>
      <c r="N512" t="s">
        <v>9419</v>
      </c>
      <c r="O512" t="s">
        <v>5753</v>
      </c>
      <c r="P512" t="s">
        <v>9429</v>
      </c>
      <c r="Q512" t="s">
        <v>9421</v>
      </c>
      <c r="R512" t="s">
        <v>52</v>
      </c>
      <c r="S512" t="s">
        <v>1312</v>
      </c>
      <c r="T512" t="s">
        <v>1314</v>
      </c>
    </row>
    <row r="513" spans="1:20">
      <c r="A513" t="s">
        <v>1310</v>
      </c>
      <c r="B513" t="s">
        <v>62</v>
      </c>
      <c r="C513" t="s">
        <v>5751</v>
      </c>
      <c r="D513" t="s">
        <v>445</v>
      </c>
      <c r="E513" t="s">
        <v>10508</v>
      </c>
      <c r="F513" t="s">
        <v>9412</v>
      </c>
      <c r="G513" t="s">
        <v>9413</v>
      </c>
      <c r="H513" t="s">
        <v>9414</v>
      </c>
      <c r="I513" t="s">
        <v>10509</v>
      </c>
      <c r="J513" t="s">
        <v>1246</v>
      </c>
      <c r="K513" t="s">
        <v>9445</v>
      </c>
      <c r="L513" t="s">
        <v>9417</v>
      </c>
      <c r="M513" t="s">
        <v>9705</v>
      </c>
      <c r="N513" t="s">
        <v>9419</v>
      </c>
      <c r="O513" t="s">
        <v>9446</v>
      </c>
      <c r="P513" t="s">
        <v>9420</v>
      </c>
      <c r="Q513" t="s">
        <v>9421</v>
      </c>
      <c r="R513" t="s">
        <v>17</v>
      </c>
      <c r="S513" t="s">
        <v>1270</v>
      </c>
      <c r="T513" t="s">
        <v>1272</v>
      </c>
    </row>
    <row r="514" spans="1:20">
      <c r="A514" t="s">
        <v>1521</v>
      </c>
      <c r="B514" t="s">
        <v>62</v>
      </c>
      <c r="C514" t="s">
        <v>6019</v>
      </c>
      <c r="D514" t="s">
        <v>9448</v>
      </c>
      <c r="E514" t="s">
        <v>10510</v>
      </c>
      <c r="F514" t="s">
        <v>9412</v>
      </c>
      <c r="G514" t="s">
        <v>9413</v>
      </c>
      <c r="H514" t="s">
        <v>9414</v>
      </c>
      <c r="I514" t="s">
        <v>9826</v>
      </c>
      <c r="J514" t="s">
        <v>1442</v>
      </c>
      <c r="K514" t="s">
        <v>9416</v>
      </c>
      <c r="L514" t="s">
        <v>9417</v>
      </c>
      <c r="M514" t="s">
        <v>9702</v>
      </c>
      <c r="N514" t="s">
        <v>9428</v>
      </c>
      <c r="O514" t="s">
        <v>6021</v>
      </c>
      <c r="P514" t="s">
        <v>9655</v>
      </c>
      <c r="Q514" t="s">
        <v>9421</v>
      </c>
      <c r="R514" t="s">
        <v>56</v>
      </c>
      <c r="S514" t="s">
        <v>1526</v>
      </c>
      <c r="T514" t="s">
        <v>1528</v>
      </c>
    </row>
    <row r="515" spans="1:20">
      <c r="A515" t="s">
        <v>1521</v>
      </c>
      <c r="B515" t="s">
        <v>62</v>
      </c>
      <c r="C515" t="s">
        <v>6019</v>
      </c>
      <c r="D515" t="s">
        <v>9448</v>
      </c>
      <c r="E515" t="s">
        <v>10510</v>
      </c>
      <c r="F515" t="s">
        <v>9412</v>
      </c>
      <c r="G515" t="s">
        <v>9413</v>
      </c>
      <c r="H515" t="s">
        <v>9414</v>
      </c>
      <c r="I515" t="s">
        <v>9826</v>
      </c>
      <c r="J515" t="s">
        <v>1442</v>
      </c>
      <c r="K515" t="s">
        <v>9416</v>
      </c>
      <c r="L515" t="s">
        <v>9417</v>
      </c>
      <c r="M515" t="s">
        <v>9702</v>
      </c>
      <c r="N515" t="s">
        <v>9446</v>
      </c>
      <c r="O515" t="s">
        <v>6023</v>
      </c>
      <c r="P515" t="s">
        <v>9655</v>
      </c>
      <c r="Q515" t="s">
        <v>9421</v>
      </c>
      <c r="R515" t="s">
        <v>56</v>
      </c>
      <c r="S515" t="s">
        <v>1529</v>
      </c>
      <c r="T515" t="s">
        <v>1531</v>
      </c>
    </row>
    <row r="516" spans="1:20">
      <c r="A516" t="s">
        <v>1521</v>
      </c>
      <c r="B516" t="s">
        <v>62</v>
      </c>
      <c r="C516" t="s">
        <v>6019</v>
      </c>
      <c r="D516" t="s">
        <v>9448</v>
      </c>
      <c r="E516" t="s">
        <v>10510</v>
      </c>
      <c r="F516" t="s">
        <v>9412</v>
      </c>
      <c r="G516" t="s">
        <v>9413</v>
      </c>
      <c r="H516" t="s">
        <v>9414</v>
      </c>
      <c r="I516" t="s">
        <v>9826</v>
      </c>
      <c r="J516" t="s">
        <v>1442</v>
      </c>
      <c r="K516" t="s">
        <v>9416</v>
      </c>
      <c r="L516" t="s">
        <v>9417</v>
      </c>
      <c r="M516" t="s">
        <v>9702</v>
      </c>
      <c r="N516" t="s">
        <v>9446</v>
      </c>
      <c r="O516" t="s">
        <v>6025</v>
      </c>
      <c r="P516" t="s">
        <v>9655</v>
      </c>
      <c r="Q516" t="s">
        <v>9421</v>
      </c>
      <c r="R516" t="s">
        <v>56</v>
      </c>
      <c r="S516" t="s">
        <v>1532</v>
      </c>
      <c r="T516" t="s">
        <v>1534</v>
      </c>
    </row>
    <row r="517" spans="1:20">
      <c r="A517" t="s">
        <v>1521</v>
      </c>
      <c r="B517" t="s">
        <v>62</v>
      </c>
      <c r="C517" t="s">
        <v>6019</v>
      </c>
      <c r="D517" t="s">
        <v>9448</v>
      </c>
      <c r="E517" t="s">
        <v>10510</v>
      </c>
      <c r="F517" t="s">
        <v>9412</v>
      </c>
      <c r="G517" t="s">
        <v>9413</v>
      </c>
      <c r="H517" t="s">
        <v>9414</v>
      </c>
      <c r="I517" t="s">
        <v>9826</v>
      </c>
      <c r="J517" t="s">
        <v>1442</v>
      </c>
      <c r="K517" t="s">
        <v>9416</v>
      </c>
      <c r="L517" t="s">
        <v>9417</v>
      </c>
      <c r="M517" t="s">
        <v>9702</v>
      </c>
      <c r="N517" t="s">
        <v>9446</v>
      </c>
      <c r="O517" t="s">
        <v>6017</v>
      </c>
      <c r="P517" t="s">
        <v>9651</v>
      </c>
      <c r="Q517" t="s">
        <v>9421</v>
      </c>
      <c r="R517" t="s">
        <v>56</v>
      </c>
      <c r="S517" t="s">
        <v>1522</v>
      </c>
      <c r="T517" t="s">
        <v>1524</v>
      </c>
    </row>
    <row r="518" spans="1:20">
      <c r="A518" t="s">
        <v>1888</v>
      </c>
      <c r="B518" t="s">
        <v>20</v>
      </c>
      <c r="C518" t="s">
        <v>6434</v>
      </c>
      <c r="D518" t="s">
        <v>9455</v>
      </c>
      <c r="E518" t="s">
        <v>10511</v>
      </c>
      <c r="F518" t="s">
        <v>9412</v>
      </c>
      <c r="G518" t="s">
        <v>9413</v>
      </c>
      <c r="H518" t="s">
        <v>9414</v>
      </c>
      <c r="I518" t="s">
        <v>9826</v>
      </c>
      <c r="J518" t="s">
        <v>1808</v>
      </c>
      <c r="K518" t="s">
        <v>9416</v>
      </c>
      <c r="L518" t="s">
        <v>9417</v>
      </c>
      <c r="M518" t="s">
        <v>9831</v>
      </c>
      <c r="N518" t="s">
        <v>9446</v>
      </c>
      <c r="O518" t="s">
        <v>6436</v>
      </c>
      <c r="P518" t="s">
        <v>9655</v>
      </c>
      <c r="Q518" t="s">
        <v>9421</v>
      </c>
      <c r="R518" t="s">
        <v>56</v>
      </c>
      <c r="S518" t="s">
        <v>1888</v>
      </c>
      <c r="T518" t="s">
        <v>1894</v>
      </c>
    </row>
    <row r="519" spans="1:20">
      <c r="A519" t="s">
        <v>1888</v>
      </c>
      <c r="B519" t="s">
        <v>20</v>
      </c>
      <c r="C519" t="s">
        <v>6434</v>
      </c>
      <c r="D519" t="s">
        <v>9455</v>
      </c>
      <c r="E519" t="s">
        <v>10511</v>
      </c>
      <c r="F519" t="s">
        <v>9412</v>
      </c>
      <c r="G519" t="s">
        <v>9413</v>
      </c>
      <c r="H519" t="s">
        <v>9414</v>
      </c>
      <c r="I519" t="s">
        <v>9826</v>
      </c>
      <c r="J519" t="s">
        <v>1808</v>
      </c>
      <c r="K519" t="s">
        <v>9445</v>
      </c>
      <c r="L519" t="s">
        <v>9417</v>
      </c>
      <c r="M519" t="s">
        <v>9831</v>
      </c>
      <c r="N519" t="s">
        <v>9426</v>
      </c>
      <c r="O519" t="s">
        <v>9446</v>
      </c>
      <c r="P519" t="s">
        <v>9479</v>
      </c>
      <c r="Q519" t="s">
        <v>9421</v>
      </c>
      <c r="R519" t="s">
        <v>43</v>
      </c>
      <c r="S519" t="s">
        <v>1889</v>
      </c>
      <c r="T519" t="s">
        <v>1891</v>
      </c>
    </row>
    <row r="520" spans="1:20">
      <c r="A520" t="s">
        <v>1220</v>
      </c>
      <c r="B520" t="s">
        <v>20</v>
      </c>
      <c r="C520" t="s">
        <v>5654</v>
      </c>
      <c r="D520" t="s">
        <v>9455</v>
      </c>
      <c r="E520" t="s">
        <v>10512</v>
      </c>
      <c r="F520" t="s">
        <v>9412</v>
      </c>
      <c r="G520" t="s">
        <v>9413</v>
      </c>
      <c r="H520" t="s">
        <v>9414</v>
      </c>
      <c r="I520" t="s">
        <v>10465</v>
      </c>
      <c r="J520" t="s">
        <v>1155</v>
      </c>
      <c r="K520" t="s">
        <v>9416</v>
      </c>
      <c r="L520" t="s">
        <v>9417</v>
      </c>
      <c r="M520" t="s">
        <v>9487</v>
      </c>
      <c r="N520" t="s">
        <v>9446</v>
      </c>
      <c r="O520" t="s">
        <v>5658</v>
      </c>
      <c r="P520" t="s">
        <v>9655</v>
      </c>
      <c r="Q520" t="s">
        <v>9421</v>
      </c>
      <c r="R520" t="s">
        <v>56</v>
      </c>
      <c r="S520" t="s">
        <v>1228</v>
      </c>
      <c r="T520" t="s">
        <v>1230</v>
      </c>
    </row>
    <row r="521" spans="1:20">
      <c r="A521" t="s">
        <v>1220</v>
      </c>
      <c r="B521" t="s">
        <v>20</v>
      </c>
      <c r="C521" t="s">
        <v>5654</v>
      </c>
      <c r="D521" t="s">
        <v>9455</v>
      </c>
      <c r="E521" t="s">
        <v>10512</v>
      </c>
      <c r="F521" t="s">
        <v>9412</v>
      </c>
      <c r="G521" t="s">
        <v>9413</v>
      </c>
      <c r="H521" t="s">
        <v>9414</v>
      </c>
      <c r="I521" t="s">
        <v>10465</v>
      </c>
      <c r="J521" t="s">
        <v>1155</v>
      </c>
      <c r="K521" t="s">
        <v>9416</v>
      </c>
      <c r="L521" t="s">
        <v>9417</v>
      </c>
      <c r="M521" t="s">
        <v>9487</v>
      </c>
      <c r="N521" t="s">
        <v>9446</v>
      </c>
      <c r="O521" t="s">
        <v>5652</v>
      </c>
      <c r="P521" t="s">
        <v>9655</v>
      </c>
      <c r="Q521" t="s">
        <v>9421</v>
      </c>
      <c r="R521" t="s">
        <v>56</v>
      </c>
      <c r="S521" t="s">
        <v>1221</v>
      </c>
      <c r="T521" t="s">
        <v>1223</v>
      </c>
    </row>
    <row r="522" spans="1:20">
      <c r="A522" t="s">
        <v>1220</v>
      </c>
      <c r="B522" t="s">
        <v>20</v>
      </c>
      <c r="C522" t="s">
        <v>5654</v>
      </c>
      <c r="D522" t="s">
        <v>9455</v>
      </c>
      <c r="E522" t="s">
        <v>10512</v>
      </c>
      <c r="F522" t="s">
        <v>9412</v>
      </c>
      <c r="G522" t="s">
        <v>9413</v>
      </c>
      <c r="H522" t="s">
        <v>9414</v>
      </c>
      <c r="I522" t="s">
        <v>10465</v>
      </c>
      <c r="J522" t="s">
        <v>1155</v>
      </c>
      <c r="K522" t="s">
        <v>9416</v>
      </c>
      <c r="L522" t="s">
        <v>9417</v>
      </c>
      <c r="M522" t="s">
        <v>9487</v>
      </c>
      <c r="N522" t="s">
        <v>9446</v>
      </c>
      <c r="O522" t="s">
        <v>5656</v>
      </c>
      <c r="P522" t="s">
        <v>9655</v>
      </c>
      <c r="Q522" t="s">
        <v>9421</v>
      </c>
      <c r="R522" t="s">
        <v>56</v>
      </c>
      <c r="S522" t="s">
        <v>1225</v>
      </c>
      <c r="T522" t="s">
        <v>1227</v>
      </c>
    </row>
    <row r="523" spans="1:20">
      <c r="A523" t="s">
        <v>10513</v>
      </c>
      <c r="B523" t="s">
        <v>62</v>
      </c>
      <c r="C523" t="s">
        <v>10514</v>
      </c>
      <c r="D523" t="s">
        <v>9410</v>
      </c>
      <c r="E523" t="s">
        <v>10515</v>
      </c>
      <c r="F523" t="s">
        <v>9601</v>
      </c>
      <c r="G523" t="s">
        <v>9413</v>
      </c>
      <c r="H523" t="s">
        <v>9414</v>
      </c>
      <c r="I523" t="s">
        <v>10509</v>
      </c>
      <c r="J523" t="s">
        <v>1808</v>
      </c>
      <c r="K523" t="s">
        <v>9416</v>
      </c>
      <c r="L523" t="s">
        <v>9417</v>
      </c>
      <c r="M523" t="s">
        <v>9833</v>
      </c>
      <c r="N523" t="s">
        <v>9639</v>
      </c>
      <c r="O523" t="s">
        <v>10516</v>
      </c>
      <c r="P523" t="s">
        <v>9603</v>
      </c>
      <c r="Q523" t="s">
        <v>9421</v>
      </c>
      <c r="R523" t="s">
        <v>9604</v>
      </c>
      <c r="S523" t="s">
        <v>10517</v>
      </c>
      <c r="T523" t="s">
        <v>10518</v>
      </c>
    </row>
    <row r="524" spans="1:20">
      <c r="A524" t="s">
        <v>1422</v>
      </c>
      <c r="B524" t="s">
        <v>20</v>
      </c>
      <c r="C524" t="s">
        <v>5888</v>
      </c>
      <c r="D524" t="s">
        <v>9464</v>
      </c>
      <c r="E524" t="s">
        <v>10519</v>
      </c>
      <c r="F524" t="s">
        <v>9412</v>
      </c>
      <c r="G524" t="s">
        <v>9413</v>
      </c>
      <c r="H524" t="s">
        <v>9414</v>
      </c>
      <c r="I524" t="s">
        <v>10474</v>
      </c>
      <c r="J524" t="s">
        <v>1375</v>
      </c>
      <c r="K524" t="s">
        <v>9416</v>
      </c>
      <c r="L524" t="s">
        <v>9417</v>
      </c>
      <c r="M524" t="s">
        <v>10021</v>
      </c>
      <c r="N524" t="s">
        <v>9446</v>
      </c>
      <c r="O524" t="s">
        <v>5892</v>
      </c>
      <c r="P524" t="s">
        <v>9655</v>
      </c>
      <c r="Q524" t="s">
        <v>9421</v>
      </c>
      <c r="R524" t="s">
        <v>56</v>
      </c>
      <c r="S524" t="s">
        <v>1429</v>
      </c>
      <c r="T524" t="s">
        <v>1431</v>
      </c>
    </row>
    <row r="525" spans="1:20">
      <c r="A525" t="s">
        <v>1422</v>
      </c>
      <c r="B525" t="s">
        <v>20</v>
      </c>
      <c r="C525" t="s">
        <v>5888</v>
      </c>
      <c r="D525" t="s">
        <v>9464</v>
      </c>
      <c r="E525" t="s">
        <v>10519</v>
      </c>
      <c r="F525" t="s">
        <v>9412</v>
      </c>
      <c r="G525" t="s">
        <v>9413</v>
      </c>
      <c r="H525" t="s">
        <v>9414</v>
      </c>
      <c r="I525" t="s">
        <v>10474</v>
      </c>
      <c r="J525" t="s">
        <v>1375</v>
      </c>
      <c r="K525" t="s">
        <v>9416</v>
      </c>
      <c r="L525" t="s">
        <v>9417</v>
      </c>
      <c r="M525" t="s">
        <v>10021</v>
      </c>
      <c r="N525" t="s">
        <v>9446</v>
      </c>
      <c r="O525" t="s">
        <v>5890</v>
      </c>
      <c r="P525" t="s">
        <v>9651</v>
      </c>
      <c r="Q525" t="s">
        <v>9421</v>
      </c>
      <c r="R525" t="s">
        <v>56</v>
      </c>
      <c r="S525" t="s">
        <v>1426</v>
      </c>
      <c r="T525" t="s">
        <v>1428</v>
      </c>
    </row>
    <row r="526" spans="1:20">
      <c r="A526" t="s">
        <v>1422</v>
      </c>
      <c r="B526" t="s">
        <v>20</v>
      </c>
      <c r="C526" t="s">
        <v>5888</v>
      </c>
      <c r="D526" t="s">
        <v>9464</v>
      </c>
      <c r="E526" t="s">
        <v>10519</v>
      </c>
      <c r="F526" t="s">
        <v>9412</v>
      </c>
      <c r="G526" t="s">
        <v>9413</v>
      </c>
      <c r="H526" t="s">
        <v>9414</v>
      </c>
      <c r="I526" t="s">
        <v>10474</v>
      </c>
      <c r="J526" t="s">
        <v>1375</v>
      </c>
      <c r="K526" t="s">
        <v>9416</v>
      </c>
      <c r="L526" t="s">
        <v>9417</v>
      </c>
      <c r="M526" t="s">
        <v>10021</v>
      </c>
      <c r="N526" t="s">
        <v>9446</v>
      </c>
      <c r="O526" t="s">
        <v>5886</v>
      </c>
      <c r="P526" t="s">
        <v>9655</v>
      </c>
      <c r="Q526" t="s">
        <v>9421</v>
      </c>
      <c r="R526" t="s">
        <v>56</v>
      </c>
      <c r="S526" t="s">
        <v>1422</v>
      </c>
      <c r="T526" t="s">
        <v>1424</v>
      </c>
    </row>
    <row r="527" spans="1:20">
      <c r="A527" t="s">
        <v>1106</v>
      </c>
      <c r="B527" t="s">
        <v>62</v>
      </c>
      <c r="C527" t="s">
        <v>5509</v>
      </c>
      <c r="D527" t="s">
        <v>9448</v>
      </c>
      <c r="E527" t="s">
        <v>10520</v>
      </c>
      <c r="F527" t="s">
        <v>9412</v>
      </c>
      <c r="G527" t="s">
        <v>9413</v>
      </c>
      <c r="H527" t="s">
        <v>9414</v>
      </c>
      <c r="I527" t="s">
        <v>10521</v>
      </c>
      <c r="J527" t="s">
        <v>1043</v>
      </c>
      <c r="K527" t="s">
        <v>9445</v>
      </c>
      <c r="L527" t="s">
        <v>9417</v>
      </c>
      <c r="M527" t="s">
        <v>9436</v>
      </c>
      <c r="N527" t="s">
        <v>9426</v>
      </c>
      <c r="O527" t="s">
        <v>9446</v>
      </c>
      <c r="P527" t="s">
        <v>9655</v>
      </c>
      <c r="Q527" t="s">
        <v>9421</v>
      </c>
      <c r="R527" t="s">
        <v>56</v>
      </c>
      <c r="S527" t="s">
        <v>1107</v>
      </c>
      <c r="T527" t="s">
        <v>1109</v>
      </c>
    </row>
    <row r="528" spans="1:20">
      <c r="A528" t="s">
        <v>1106</v>
      </c>
      <c r="B528" t="s">
        <v>62</v>
      </c>
      <c r="C528" t="s">
        <v>5509</v>
      </c>
      <c r="D528" t="s">
        <v>9448</v>
      </c>
      <c r="E528" t="s">
        <v>10520</v>
      </c>
      <c r="F528" t="s">
        <v>9412</v>
      </c>
      <c r="G528" t="s">
        <v>9413</v>
      </c>
      <c r="H528" t="s">
        <v>9414</v>
      </c>
      <c r="I528" t="s">
        <v>10521</v>
      </c>
      <c r="J528" t="s">
        <v>1043</v>
      </c>
      <c r="K528" t="s">
        <v>9445</v>
      </c>
      <c r="L528" t="s">
        <v>9417</v>
      </c>
      <c r="M528" t="s">
        <v>9436</v>
      </c>
      <c r="N528" t="s">
        <v>9430</v>
      </c>
      <c r="O528" t="s">
        <v>9446</v>
      </c>
      <c r="P528" t="s">
        <v>9474</v>
      </c>
      <c r="Q528" t="s">
        <v>9421</v>
      </c>
      <c r="R528" t="s">
        <v>43</v>
      </c>
      <c r="S528" t="s">
        <v>1082</v>
      </c>
      <c r="T528" t="s">
        <v>1084</v>
      </c>
    </row>
    <row r="529" spans="1:20">
      <c r="A529" t="s">
        <v>1106</v>
      </c>
      <c r="B529" t="s">
        <v>62</v>
      </c>
      <c r="C529" t="s">
        <v>5509</v>
      </c>
      <c r="D529" t="s">
        <v>9448</v>
      </c>
      <c r="E529" t="s">
        <v>10520</v>
      </c>
      <c r="F529" t="s">
        <v>9412</v>
      </c>
      <c r="G529" t="s">
        <v>9413</v>
      </c>
      <c r="H529" t="s">
        <v>9414</v>
      </c>
      <c r="I529" t="s">
        <v>10521</v>
      </c>
      <c r="J529" t="s">
        <v>1043</v>
      </c>
      <c r="K529" t="s">
        <v>9416</v>
      </c>
      <c r="L529" t="s">
        <v>9417</v>
      </c>
      <c r="M529" t="s">
        <v>9436</v>
      </c>
      <c r="N529" t="s">
        <v>9446</v>
      </c>
      <c r="O529" t="s">
        <v>5511</v>
      </c>
      <c r="P529" t="s">
        <v>10522</v>
      </c>
      <c r="Q529" t="s">
        <v>9421</v>
      </c>
      <c r="R529" t="s">
        <v>56</v>
      </c>
      <c r="S529" t="s">
        <v>1111</v>
      </c>
      <c r="T529" t="s">
        <v>1113</v>
      </c>
    </row>
    <row r="530" spans="1:20">
      <c r="A530" t="s">
        <v>1315</v>
      </c>
      <c r="B530" t="s">
        <v>62</v>
      </c>
      <c r="C530" t="s">
        <v>5756</v>
      </c>
      <c r="D530" t="s">
        <v>9448</v>
      </c>
      <c r="E530" t="s">
        <v>10523</v>
      </c>
      <c r="F530" t="s">
        <v>9412</v>
      </c>
      <c r="G530" t="s">
        <v>9413</v>
      </c>
      <c r="H530" t="s">
        <v>9414</v>
      </c>
      <c r="I530" t="s">
        <v>9922</v>
      </c>
      <c r="J530" t="s">
        <v>1246</v>
      </c>
      <c r="K530" t="s">
        <v>9416</v>
      </c>
      <c r="L530" t="s">
        <v>9417</v>
      </c>
      <c r="M530" t="s">
        <v>9467</v>
      </c>
      <c r="N530" t="s">
        <v>9446</v>
      </c>
      <c r="O530" t="s">
        <v>5758</v>
      </c>
      <c r="P530" t="s">
        <v>9655</v>
      </c>
      <c r="Q530" t="s">
        <v>9421</v>
      </c>
      <c r="R530" t="s">
        <v>56</v>
      </c>
      <c r="S530" t="s">
        <v>1320</v>
      </c>
      <c r="T530" t="s">
        <v>1322</v>
      </c>
    </row>
    <row r="531" spans="1:20">
      <c r="A531" t="s">
        <v>1315</v>
      </c>
      <c r="B531" t="s">
        <v>62</v>
      </c>
      <c r="C531" t="s">
        <v>5756</v>
      </c>
      <c r="D531" t="s">
        <v>9448</v>
      </c>
      <c r="E531" t="s">
        <v>10523</v>
      </c>
      <c r="F531" t="s">
        <v>9412</v>
      </c>
      <c r="G531" t="s">
        <v>9413</v>
      </c>
      <c r="H531" t="s">
        <v>9414</v>
      </c>
      <c r="I531" t="s">
        <v>9922</v>
      </c>
      <c r="J531" t="s">
        <v>1246</v>
      </c>
      <c r="K531" t="s">
        <v>9416</v>
      </c>
      <c r="L531" t="s">
        <v>9417</v>
      </c>
      <c r="M531" t="s">
        <v>9467</v>
      </c>
      <c r="N531" t="s">
        <v>9446</v>
      </c>
      <c r="O531" t="s">
        <v>5760</v>
      </c>
      <c r="P531" t="s">
        <v>9647</v>
      </c>
      <c r="Q531" t="s">
        <v>9421</v>
      </c>
      <c r="R531" t="s">
        <v>84</v>
      </c>
      <c r="S531" t="s">
        <v>1323</v>
      </c>
      <c r="T531" t="s">
        <v>1325</v>
      </c>
    </row>
    <row r="532" spans="1:20">
      <c r="A532" t="s">
        <v>1315</v>
      </c>
      <c r="B532" t="s">
        <v>62</v>
      </c>
      <c r="C532" t="s">
        <v>5756</v>
      </c>
      <c r="D532" t="s">
        <v>9448</v>
      </c>
      <c r="E532" t="s">
        <v>10523</v>
      </c>
      <c r="F532" t="s">
        <v>9412</v>
      </c>
      <c r="G532" t="s">
        <v>9413</v>
      </c>
      <c r="H532" t="s">
        <v>9414</v>
      </c>
      <c r="I532" t="s">
        <v>9922</v>
      </c>
      <c r="J532" t="s">
        <v>1246</v>
      </c>
      <c r="K532" t="s">
        <v>9416</v>
      </c>
      <c r="L532" t="s">
        <v>9417</v>
      </c>
      <c r="M532" t="s">
        <v>9467</v>
      </c>
      <c r="N532" t="s">
        <v>9446</v>
      </c>
      <c r="O532" t="s">
        <v>5754</v>
      </c>
      <c r="P532" t="s">
        <v>9655</v>
      </c>
      <c r="Q532" t="s">
        <v>9421</v>
      </c>
      <c r="R532" t="s">
        <v>56</v>
      </c>
      <c r="S532" t="s">
        <v>1316</v>
      </c>
      <c r="T532" t="s">
        <v>1318</v>
      </c>
    </row>
    <row r="533" spans="1:20">
      <c r="A533" t="s">
        <v>1315</v>
      </c>
      <c r="B533" t="s">
        <v>62</v>
      </c>
      <c r="C533" t="s">
        <v>5756</v>
      </c>
      <c r="D533" t="s">
        <v>9448</v>
      </c>
      <c r="E533" t="s">
        <v>10523</v>
      </c>
      <c r="F533" t="s">
        <v>9412</v>
      </c>
      <c r="G533" t="s">
        <v>9413</v>
      </c>
      <c r="H533" t="s">
        <v>9414</v>
      </c>
      <c r="I533" t="s">
        <v>9922</v>
      </c>
      <c r="J533" t="s">
        <v>1246</v>
      </c>
      <c r="K533" t="s">
        <v>9416</v>
      </c>
      <c r="L533" t="s">
        <v>9417</v>
      </c>
      <c r="M533" t="s">
        <v>9467</v>
      </c>
      <c r="N533" t="s">
        <v>9446</v>
      </c>
      <c r="O533" t="s">
        <v>5762</v>
      </c>
      <c r="P533" t="s">
        <v>9655</v>
      </c>
      <c r="Q533" t="s">
        <v>9421</v>
      </c>
      <c r="R533" t="s">
        <v>56</v>
      </c>
      <c r="S533" t="s">
        <v>1326</v>
      </c>
      <c r="T533" t="s">
        <v>1328</v>
      </c>
    </row>
    <row r="534" spans="1:20">
      <c r="A534" t="s">
        <v>1535</v>
      </c>
      <c r="B534" t="s">
        <v>20</v>
      </c>
      <c r="C534" t="s">
        <v>6029</v>
      </c>
      <c r="D534" t="s">
        <v>9455</v>
      </c>
      <c r="E534" t="s">
        <v>10524</v>
      </c>
      <c r="F534" t="s">
        <v>9412</v>
      </c>
      <c r="G534" t="s">
        <v>9413</v>
      </c>
      <c r="H534" t="s">
        <v>9414</v>
      </c>
      <c r="I534" t="s">
        <v>9869</v>
      </c>
      <c r="J534" t="s">
        <v>1442</v>
      </c>
      <c r="K534" t="s">
        <v>9416</v>
      </c>
      <c r="L534" t="s">
        <v>9417</v>
      </c>
      <c r="M534" t="s">
        <v>9425</v>
      </c>
      <c r="N534" t="s">
        <v>9446</v>
      </c>
      <c r="O534" t="s">
        <v>6033</v>
      </c>
      <c r="P534" t="s">
        <v>9655</v>
      </c>
      <c r="Q534" t="s">
        <v>9421</v>
      </c>
      <c r="R534" t="s">
        <v>56</v>
      </c>
      <c r="S534" t="s">
        <v>1543</v>
      </c>
      <c r="T534" t="s">
        <v>1545</v>
      </c>
    </row>
    <row r="535" spans="1:20">
      <c r="A535" t="s">
        <v>1535</v>
      </c>
      <c r="B535" t="s">
        <v>20</v>
      </c>
      <c r="C535" t="s">
        <v>6029</v>
      </c>
      <c r="D535" t="s">
        <v>9455</v>
      </c>
      <c r="E535" t="s">
        <v>10524</v>
      </c>
      <c r="F535" t="s">
        <v>9412</v>
      </c>
      <c r="G535" t="s">
        <v>9413</v>
      </c>
      <c r="H535" t="s">
        <v>9414</v>
      </c>
      <c r="I535" t="s">
        <v>9869</v>
      </c>
      <c r="J535" t="s">
        <v>1442</v>
      </c>
      <c r="K535" t="s">
        <v>9416</v>
      </c>
      <c r="L535" t="s">
        <v>9417</v>
      </c>
      <c r="M535" t="s">
        <v>9425</v>
      </c>
      <c r="N535" t="s">
        <v>9446</v>
      </c>
      <c r="O535" t="s">
        <v>6027</v>
      </c>
      <c r="P535" t="s">
        <v>9647</v>
      </c>
      <c r="Q535" t="s">
        <v>9421</v>
      </c>
      <c r="R535" t="s">
        <v>84</v>
      </c>
      <c r="S535" t="s">
        <v>1536</v>
      </c>
      <c r="T535" t="s">
        <v>1538</v>
      </c>
    </row>
    <row r="536" spans="1:20">
      <c r="A536" t="s">
        <v>1535</v>
      </c>
      <c r="B536" t="s">
        <v>20</v>
      </c>
      <c r="C536" t="s">
        <v>6029</v>
      </c>
      <c r="D536" t="s">
        <v>9455</v>
      </c>
      <c r="E536" t="s">
        <v>10524</v>
      </c>
      <c r="F536" t="s">
        <v>9412</v>
      </c>
      <c r="G536" t="s">
        <v>9413</v>
      </c>
      <c r="H536" t="s">
        <v>9414</v>
      </c>
      <c r="I536" t="s">
        <v>9869</v>
      </c>
      <c r="J536" t="s">
        <v>1442</v>
      </c>
      <c r="K536" t="s">
        <v>9416</v>
      </c>
      <c r="L536" t="s">
        <v>9417</v>
      </c>
      <c r="M536" t="s">
        <v>9425</v>
      </c>
      <c r="N536" t="s">
        <v>9446</v>
      </c>
      <c r="O536" t="s">
        <v>6031</v>
      </c>
      <c r="P536" t="s">
        <v>9655</v>
      </c>
      <c r="Q536" t="s">
        <v>9421</v>
      </c>
      <c r="R536" t="s">
        <v>56</v>
      </c>
      <c r="S536" t="s">
        <v>1540</v>
      </c>
      <c r="T536" t="s">
        <v>1542</v>
      </c>
    </row>
    <row r="537" spans="1:20">
      <c r="A537" t="s">
        <v>1535</v>
      </c>
      <c r="B537" t="s">
        <v>20</v>
      </c>
      <c r="C537" t="s">
        <v>6029</v>
      </c>
      <c r="D537" t="s">
        <v>9455</v>
      </c>
      <c r="E537" t="s">
        <v>10524</v>
      </c>
      <c r="F537" t="s">
        <v>9412</v>
      </c>
      <c r="G537" t="s">
        <v>9413</v>
      </c>
      <c r="H537" t="s">
        <v>9414</v>
      </c>
      <c r="I537" t="s">
        <v>9869</v>
      </c>
      <c r="J537" t="s">
        <v>1442</v>
      </c>
      <c r="K537" t="s">
        <v>9416</v>
      </c>
      <c r="L537" t="s">
        <v>9417</v>
      </c>
      <c r="M537" t="s">
        <v>9425</v>
      </c>
      <c r="N537" t="s">
        <v>9446</v>
      </c>
      <c r="O537" t="s">
        <v>6035</v>
      </c>
      <c r="P537" t="s">
        <v>9655</v>
      </c>
      <c r="Q537" t="s">
        <v>9421</v>
      </c>
      <c r="R537" t="s">
        <v>56</v>
      </c>
      <c r="S537" t="s">
        <v>1546</v>
      </c>
      <c r="T537" t="s">
        <v>1548</v>
      </c>
    </row>
    <row r="538" spans="1:20">
      <c r="A538" t="s">
        <v>1535</v>
      </c>
      <c r="B538" t="s">
        <v>20</v>
      </c>
      <c r="C538" t="s">
        <v>6029</v>
      </c>
      <c r="D538" t="s">
        <v>9455</v>
      </c>
      <c r="E538" t="s">
        <v>10524</v>
      </c>
      <c r="F538" t="s">
        <v>9412</v>
      </c>
      <c r="G538" t="s">
        <v>9413</v>
      </c>
      <c r="H538" t="s">
        <v>9414</v>
      </c>
      <c r="I538" t="s">
        <v>9869</v>
      </c>
      <c r="J538" t="s">
        <v>1442</v>
      </c>
      <c r="K538" t="s">
        <v>9416</v>
      </c>
      <c r="L538" t="s">
        <v>9417</v>
      </c>
      <c r="M538" t="s">
        <v>9425</v>
      </c>
      <c r="N538" t="s">
        <v>9446</v>
      </c>
      <c r="O538" t="s">
        <v>6037</v>
      </c>
      <c r="P538" t="s">
        <v>9550</v>
      </c>
      <c r="Q538" t="s">
        <v>9421</v>
      </c>
      <c r="R538" t="s">
        <v>84</v>
      </c>
      <c r="S538" t="s">
        <v>1549</v>
      </c>
      <c r="T538" t="s">
        <v>1551</v>
      </c>
    </row>
    <row r="539" spans="1:20">
      <c r="A539" t="s">
        <v>6039</v>
      </c>
      <c r="B539" t="s">
        <v>9409</v>
      </c>
      <c r="C539" t="s">
        <v>6041</v>
      </c>
      <c r="D539" t="s">
        <v>9410</v>
      </c>
      <c r="E539" t="s">
        <v>10525</v>
      </c>
      <c r="F539" t="s">
        <v>9412</v>
      </c>
      <c r="G539" t="s">
        <v>9413</v>
      </c>
      <c r="H539" t="s">
        <v>9414</v>
      </c>
      <c r="I539" t="s">
        <v>9886</v>
      </c>
      <c r="J539" t="s">
        <v>1442</v>
      </c>
      <c r="K539" t="s">
        <v>9416</v>
      </c>
      <c r="L539" t="s">
        <v>9417</v>
      </c>
      <c r="M539" t="s">
        <v>9788</v>
      </c>
      <c r="N539" t="s">
        <v>9446</v>
      </c>
      <c r="O539" t="s">
        <v>10526</v>
      </c>
      <c r="P539" t="s">
        <v>9655</v>
      </c>
      <c r="Q539" t="s">
        <v>9421</v>
      </c>
      <c r="R539" t="s">
        <v>56</v>
      </c>
      <c r="S539" t="s">
        <v>10527</v>
      </c>
      <c r="T539" t="s">
        <v>10528</v>
      </c>
    </row>
    <row r="540" spans="1:20">
      <c r="A540" t="s">
        <v>6039</v>
      </c>
      <c r="B540" t="s">
        <v>9409</v>
      </c>
      <c r="C540" t="s">
        <v>6041</v>
      </c>
      <c r="D540" t="s">
        <v>9410</v>
      </c>
      <c r="E540" t="s">
        <v>10525</v>
      </c>
      <c r="F540" t="s">
        <v>9412</v>
      </c>
      <c r="G540" t="s">
        <v>9413</v>
      </c>
      <c r="H540" t="s">
        <v>9414</v>
      </c>
      <c r="I540" t="s">
        <v>9886</v>
      </c>
      <c r="J540" t="s">
        <v>1442</v>
      </c>
      <c r="K540" t="s">
        <v>9416</v>
      </c>
      <c r="L540" t="s">
        <v>9417</v>
      </c>
      <c r="M540" t="s">
        <v>9788</v>
      </c>
      <c r="N540" t="s">
        <v>9446</v>
      </c>
      <c r="O540" t="s">
        <v>6044</v>
      </c>
      <c r="P540" t="s">
        <v>9655</v>
      </c>
      <c r="Q540" t="s">
        <v>9421</v>
      </c>
      <c r="R540" t="s">
        <v>56</v>
      </c>
      <c r="S540" t="s">
        <v>6043</v>
      </c>
      <c r="T540" t="s">
        <v>10529</v>
      </c>
    </row>
    <row r="541" spans="1:20">
      <c r="A541" t="s">
        <v>6039</v>
      </c>
      <c r="B541" t="s">
        <v>9409</v>
      </c>
      <c r="C541" t="s">
        <v>6041</v>
      </c>
      <c r="D541" t="s">
        <v>9410</v>
      </c>
      <c r="E541" t="s">
        <v>10525</v>
      </c>
      <c r="F541" t="s">
        <v>9412</v>
      </c>
      <c r="G541" t="s">
        <v>9413</v>
      </c>
      <c r="H541" t="s">
        <v>9414</v>
      </c>
      <c r="I541" t="s">
        <v>9886</v>
      </c>
      <c r="J541" t="s">
        <v>1442</v>
      </c>
      <c r="K541" t="s">
        <v>9416</v>
      </c>
      <c r="L541" t="s">
        <v>9417</v>
      </c>
      <c r="M541" t="s">
        <v>9788</v>
      </c>
      <c r="N541" t="s">
        <v>9446</v>
      </c>
      <c r="O541" t="s">
        <v>6047</v>
      </c>
      <c r="P541" t="s">
        <v>9655</v>
      </c>
      <c r="Q541" t="s">
        <v>9421</v>
      </c>
      <c r="R541" t="s">
        <v>56</v>
      </c>
      <c r="S541" t="s">
        <v>6046</v>
      </c>
      <c r="T541" t="s">
        <v>10530</v>
      </c>
    </row>
    <row r="542" spans="1:20">
      <c r="A542" t="s">
        <v>6039</v>
      </c>
      <c r="B542" t="s">
        <v>9409</v>
      </c>
      <c r="C542" t="s">
        <v>6041</v>
      </c>
      <c r="D542" t="s">
        <v>9410</v>
      </c>
      <c r="E542" t="s">
        <v>10525</v>
      </c>
      <c r="F542" t="s">
        <v>9412</v>
      </c>
      <c r="G542" t="s">
        <v>9413</v>
      </c>
      <c r="H542" t="s">
        <v>9414</v>
      </c>
      <c r="I542" t="s">
        <v>9886</v>
      </c>
      <c r="J542" t="s">
        <v>1442</v>
      </c>
      <c r="K542" t="s">
        <v>9445</v>
      </c>
      <c r="L542" t="s">
        <v>9417</v>
      </c>
      <c r="M542" t="s">
        <v>9788</v>
      </c>
      <c r="N542" t="s">
        <v>9426</v>
      </c>
      <c r="O542" t="s">
        <v>9446</v>
      </c>
      <c r="P542" t="s">
        <v>9567</v>
      </c>
      <c r="Q542" t="s">
        <v>9421</v>
      </c>
      <c r="R542" t="s">
        <v>43</v>
      </c>
      <c r="S542" t="s">
        <v>1721</v>
      </c>
      <c r="T542" t="s">
        <v>1723</v>
      </c>
    </row>
    <row r="543" spans="1:20">
      <c r="A543" t="s">
        <v>2209</v>
      </c>
      <c r="B543" t="s">
        <v>20</v>
      </c>
      <c r="C543" t="s">
        <v>6884</v>
      </c>
      <c r="D543" t="s">
        <v>9677</v>
      </c>
      <c r="E543" t="s">
        <v>10531</v>
      </c>
      <c r="F543" t="s">
        <v>9412</v>
      </c>
      <c r="G543" t="s">
        <v>9413</v>
      </c>
      <c r="H543" t="s">
        <v>9414</v>
      </c>
      <c r="I543" t="s">
        <v>10045</v>
      </c>
      <c r="J543" t="s">
        <v>2174</v>
      </c>
      <c r="K543" t="s">
        <v>9416</v>
      </c>
      <c r="L543" t="s">
        <v>9417</v>
      </c>
      <c r="M543" t="s">
        <v>9776</v>
      </c>
      <c r="N543" t="s">
        <v>9446</v>
      </c>
      <c r="O543" t="s">
        <v>6890</v>
      </c>
      <c r="P543" t="s">
        <v>9655</v>
      </c>
      <c r="Q543" t="s">
        <v>9421</v>
      </c>
      <c r="R543" t="s">
        <v>56</v>
      </c>
      <c r="S543" t="s">
        <v>2220</v>
      </c>
      <c r="T543" t="s">
        <v>2222</v>
      </c>
    </row>
    <row r="544" spans="1:20">
      <c r="A544" t="s">
        <v>2209</v>
      </c>
      <c r="B544" t="s">
        <v>20</v>
      </c>
      <c r="C544" t="s">
        <v>6884</v>
      </c>
      <c r="D544" t="s">
        <v>9677</v>
      </c>
      <c r="E544" t="s">
        <v>10531</v>
      </c>
      <c r="F544" t="s">
        <v>9412</v>
      </c>
      <c r="G544" t="s">
        <v>9413</v>
      </c>
      <c r="H544" t="s">
        <v>9414</v>
      </c>
      <c r="I544" t="s">
        <v>10045</v>
      </c>
      <c r="J544" t="s">
        <v>2174</v>
      </c>
      <c r="K544" t="s">
        <v>9416</v>
      </c>
      <c r="L544" t="s">
        <v>9417</v>
      </c>
      <c r="M544" t="s">
        <v>9776</v>
      </c>
      <c r="N544" t="s">
        <v>9446</v>
      </c>
      <c r="O544" t="s">
        <v>6882</v>
      </c>
      <c r="P544" t="s">
        <v>9655</v>
      </c>
      <c r="Q544" t="s">
        <v>9421</v>
      </c>
      <c r="R544" t="s">
        <v>56</v>
      </c>
      <c r="S544" t="s">
        <v>2210</v>
      </c>
      <c r="T544" t="s">
        <v>2212</v>
      </c>
    </row>
    <row r="545" spans="1:20">
      <c r="A545" t="s">
        <v>2209</v>
      </c>
      <c r="B545" t="s">
        <v>20</v>
      </c>
      <c r="C545" t="s">
        <v>6884</v>
      </c>
      <c r="D545" t="s">
        <v>9677</v>
      </c>
      <c r="E545" t="s">
        <v>10531</v>
      </c>
      <c r="F545" t="s">
        <v>9412</v>
      </c>
      <c r="G545" t="s">
        <v>9413</v>
      </c>
      <c r="H545" t="s">
        <v>9414</v>
      </c>
      <c r="I545" t="s">
        <v>10045</v>
      </c>
      <c r="J545" t="s">
        <v>2174</v>
      </c>
      <c r="K545" t="s">
        <v>9416</v>
      </c>
      <c r="L545" t="s">
        <v>9417</v>
      </c>
      <c r="M545" t="s">
        <v>9776</v>
      </c>
      <c r="N545" t="s">
        <v>9446</v>
      </c>
      <c r="O545" t="s">
        <v>6886</v>
      </c>
      <c r="P545" t="s">
        <v>9655</v>
      </c>
      <c r="Q545" t="s">
        <v>9421</v>
      </c>
      <c r="R545" t="s">
        <v>56</v>
      </c>
      <c r="S545" t="s">
        <v>2214</v>
      </c>
      <c r="T545" t="s">
        <v>2216</v>
      </c>
    </row>
    <row r="546" spans="1:20">
      <c r="A546" t="s">
        <v>2209</v>
      </c>
      <c r="B546" t="s">
        <v>20</v>
      </c>
      <c r="C546" t="s">
        <v>6884</v>
      </c>
      <c r="D546" t="s">
        <v>9677</v>
      </c>
      <c r="E546" t="s">
        <v>10531</v>
      </c>
      <c r="F546" t="s">
        <v>9412</v>
      </c>
      <c r="G546" t="s">
        <v>9413</v>
      </c>
      <c r="H546" t="s">
        <v>9414</v>
      </c>
      <c r="I546" t="s">
        <v>10045</v>
      </c>
      <c r="J546" t="s">
        <v>2174</v>
      </c>
      <c r="K546" t="s">
        <v>9416</v>
      </c>
      <c r="L546" t="s">
        <v>9417</v>
      </c>
      <c r="M546" t="s">
        <v>9776</v>
      </c>
      <c r="N546" t="s">
        <v>9446</v>
      </c>
      <c r="O546" t="s">
        <v>6888</v>
      </c>
      <c r="P546" t="s">
        <v>9655</v>
      </c>
      <c r="Q546" t="s">
        <v>9421</v>
      </c>
      <c r="R546" t="s">
        <v>56</v>
      </c>
      <c r="S546" t="s">
        <v>2217</v>
      </c>
      <c r="T546" t="s">
        <v>2219</v>
      </c>
    </row>
    <row r="547" spans="1:20">
      <c r="A547" t="s">
        <v>1895</v>
      </c>
      <c r="B547" t="s">
        <v>62</v>
      </c>
      <c r="C547" t="s">
        <v>6440</v>
      </c>
      <c r="D547" t="s">
        <v>9448</v>
      </c>
      <c r="E547" t="s">
        <v>10532</v>
      </c>
      <c r="F547" t="s">
        <v>9412</v>
      </c>
      <c r="G547" t="s">
        <v>9413</v>
      </c>
      <c r="H547" t="s">
        <v>9414</v>
      </c>
      <c r="I547" t="s">
        <v>9637</v>
      </c>
      <c r="J547" t="s">
        <v>1808</v>
      </c>
      <c r="K547" t="s">
        <v>9416</v>
      </c>
      <c r="L547" t="s">
        <v>9417</v>
      </c>
      <c r="M547" t="s">
        <v>9418</v>
      </c>
      <c r="N547" t="s">
        <v>9446</v>
      </c>
      <c r="O547" t="s">
        <v>6442</v>
      </c>
      <c r="P547" t="s">
        <v>9655</v>
      </c>
      <c r="Q547" t="s">
        <v>9421</v>
      </c>
      <c r="R547" t="s">
        <v>56</v>
      </c>
      <c r="S547" t="s">
        <v>1895</v>
      </c>
      <c r="T547" t="s">
        <v>1898</v>
      </c>
    </row>
    <row r="548" spans="1:20">
      <c r="A548" t="s">
        <v>1895</v>
      </c>
      <c r="B548" t="s">
        <v>62</v>
      </c>
      <c r="C548" t="s">
        <v>6440</v>
      </c>
      <c r="D548" t="s">
        <v>9448</v>
      </c>
      <c r="E548" t="s">
        <v>10532</v>
      </c>
      <c r="F548" t="s">
        <v>9412</v>
      </c>
      <c r="G548" t="s">
        <v>9413</v>
      </c>
      <c r="H548" t="s">
        <v>9414</v>
      </c>
      <c r="I548" t="s">
        <v>9637</v>
      </c>
      <c r="J548" t="s">
        <v>1808</v>
      </c>
      <c r="K548" t="s">
        <v>9445</v>
      </c>
      <c r="L548" t="s">
        <v>9417</v>
      </c>
      <c r="M548" t="s">
        <v>9418</v>
      </c>
      <c r="N548" t="s">
        <v>9426</v>
      </c>
      <c r="O548" t="s">
        <v>9446</v>
      </c>
      <c r="P548" t="s">
        <v>9655</v>
      </c>
      <c r="Q548" t="s">
        <v>9421</v>
      </c>
      <c r="R548" t="s">
        <v>56</v>
      </c>
      <c r="S548" t="s">
        <v>1107</v>
      </c>
      <c r="T548" t="s">
        <v>1109</v>
      </c>
    </row>
    <row r="549" spans="1:20">
      <c r="A549" t="s">
        <v>10533</v>
      </c>
      <c r="B549" t="s">
        <v>9409</v>
      </c>
      <c r="C549" t="s">
        <v>10534</v>
      </c>
      <c r="D549" t="s">
        <v>9410</v>
      </c>
      <c r="E549" t="s">
        <v>10535</v>
      </c>
      <c r="F549" t="s">
        <v>9412</v>
      </c>
      <c r="G549" t="s">
        <v>9413</v>
      </c>
      <c r="H549" t="s">
        <v>9414</v>
      </c>
      <c r="I549" t="s">
        <v>9720</v>
      </c>
      <c r="J549" t="s">
        <v>1808</v>
      </c>
      <c r="K549" t="s">
        <v>9416</v>
      </c>
      <c r="L549" t="s">
        <v>9417</v>
      </c>
      <c r="M549" t="s">
        <v>9840</v>
      </c>
      <c r="N549" t="s">
        <v>9639</v>
      </c>
      <c r="O549" t="s">
        <v>10536</v>
      </c>
      <c r="P549" t="s">
        <v>9429</v>
      </c>
      <c r="Q549" t="s">
        <v>9421</v>
      </c>
      <c r="R549" t="s">
        <v>52</v>
      </c>
      <c r="S549" t="s">
        <v>10537</v>
      </c>
      <c r="T549" t="s">
        <v>10538</v>
      </c>
    </row>
    <row r="550" spans="1:20">
      <c r="A550" t="s">
        <v>1899</v>
      </c>
      <c r="B550" t="s">
        <v>20</v>
      </c>
      <c r="C550" t="s">
        <v>6446</v>
      </c>
      <c r="D550" t="s">
        <v>10052</v>
      </c>
      <c r="E550" t="s">
        <v>10539</v>
      </c>
      <c r="F550" t="s">
        <v>9412</v>
      </c>
      <c r="G550" t="s">
        <v>9413</v>
      </c>
      <c r="H550" t="s">
        <v>9414</v>
      </c>
      <c r="I550" t="s">
        <v>10540</v>
      </c>
      <c r="J550" t="s">
        <v>1808</v>
      </c>
      <c r="K550" t="s">
        <v>9416</v>
      </c>
      <c r="L550" t="s">
        <v>9417</v>
      </c>
      <c r="M550" t="s">
        <v>9833</v>
      </c>
      <c r="N550" t="s">
        <v>9446</v>
      </c>
      <c r="O550" t="s">
        <v>6444</v>
      </c>
      <c r="P550" t="s">
        <v>9655</v>
      </c>
      <c r="Q550" t="s">
        <v>9421</v>
      </c>
      <c r="R550" t="s">
        <v>56</v>
      </c>
      <c r="S550" t="s">
        <v>1899</v>
      </c>
      <c r="T550" t="s">
        <v>1901</v>
      </c>
    </row>
    <row r="551" spans="1:20">
      <c r="A551" t="s">
        <v>10541</v>
      </c>
      <c r="B551" t="s">
        <v>9409</v>
      </c>
      <c r="C551" t="s">
        <v>10542</v>
      </c>
      <c r="D551" t="s">
        <v>9410</v>
      </c>
      <c r="E551" t="s">
        <v>10543</v>
      </c>
      <c r="F551" t="s">
        <v>9601</v>
      </c>
      <c r="G551" t="s">
        <v>9413</v>
      </c>
      <c r="H551" t="s">
        <v>1044</v>
      </c>
      <c r="I551" t="s">
        <v>9874</v>
      </c>
      <c r="J551" t="s">
        <v>1808</v>
      </c>
      <c r="K551" t="s">
        <v>9445</v>
      </c>
      <c r="L551" t="s">
        <v>9417</v>
      </c>
      <c r="M551" t="s">
        <v>9638</v>
      </c>
      <c r="N551" t="s">
        <v>9639</v>
      </c>
      <c r="O551" t="s">
        <v>9446</v>
      </c>
      <c r="P551" t="s">
        <v>9603</v>
      </c>
      <c r="Q551" t="s">
        <v>9421</v>
      </c>
      <c r="R551" t="s">
        <v>9604</v>
      </c>
      <c r="S551" t="s">
        <v>10517</v>
      </c>
      <c r="T551" t="s">
        <v>10518</v>
      </c>
    </row>
    <row r="552" spans="1:20">
      <c r="A552" t="s">
        <v>2081</v>
      </c>
      <c r="B552" t="s">
        <v>62</v>
      </c>
      <c r="C552" t="s">
        <v>6716</v>
      </c>
      <c r="D552" t="s">
        <v>9448</v>
      </c>
      <c r="E552" t="s">
        <v>10544</v>
      </c>
      <c r="F552" t="s">
        <v>9412</v>
      </c>
      <c r="G552" t="s">
        <v>9413</v>
      </c>
      <c r="H552" t="s">
        <v>9414</v>
      </c>
      <c r="I552" t="s">
        <v>10265</v>
      </c>
      <c r="J552" t="s">
        <v>2026</v>
      </c>
      <c r="K552" t="s">
        <v>9416</v>
      </c>
      <c r="L552" t="s">
        <v>9417</v>
      </c>
      <c r="M552" t="s">
        <v>9478</v>
      </c>
      <c r="N552" t="s">
        <v>9430</v>
      </c>
      <c r="O552" t="s">
        <v>6720</v>
      </c>
      <c r="P552" t="s">
        <v>9651</v>
      </c>
      <c r="Q552" t="s">
        <v>9421</v>
      </c>
      <c r="R552" t="s">
        <v>56</v>
      </c>
      <c r="S552" t="s">
        <v>2088</v>
      </c>
      <c r="T552" t="s">
        <v>2090</v>
      </c>
    </row>
    <row r="553" spans="1:20">
      <c r="A553" t="s">
        <v>2081</v>
      </c>
      <c r="B553" t="s">
        <v>62</v>
      </c>
      <c r="C553" t="s">
        <v>6716</v>
      </c>
      <c r="D553" t="s">
        <v>9448</v>
      </c>
      <c r="E553" t="s">
        <v>10544</v>
      </c>
      <c r="F553" t="s">
        <v>9412</v>
      </c>
      <c r="G553" t="s">
        <v>9413</v>
      </c>
      <c r="H553" t="s">
        <v>9414</v>
      </c>
      <c r="I553" t="s">
        <v>10265</v>
      </c>
      <c r="J553" t="s">
        <v>2026</v>
      </c>
      <c r="K553" t="s">
        <v>9416</v>
      </c>
      <c r="L553" t="s">
        <v>9417</v>
      </c>
      <c r="M553" t="s">
        <v>9478</v>
      </c>
      <c r="N553" t="s">
        <v>9430</v>
      </c>
      <c r="O553" t="s">
        <v>6723</v>
      </c>
      <c r="P553" t="s">
        <v>10545</v>
      </c>
      <c r="Q553" t="s">
        <v>9421</v>
      </c>
      <c r="R553" t="s">
        <v>17</v>
      </c>
      <c r="S553" t="s">
        <v>6722</v>
      </c>
      <c r="T553" t="s">
        <v>10546</v>
      </c>
    </row>
    <row r="554" spans="1:20">
      <c r="A554" t="s">
        <v>2081</v>
      </c>
      <c r="B554" t="s">
        <v>62</v>
      </c>
      <c r="C554" t="s">
        <v>6716</v>
      </c>
      <c r="D554" t="s">
        <v>9448</v>
      </c>
      <c r="E554" t="s">
        <v>10544</v>
      </c>
      <c r="F554" t="s">
        <v>9412</v>
      </c>
      <c r="G554" t="s">
        <v>9413</v>
      </c>
      <c r="H554" t="s">
        <v>9414</v>
      </c>
      <c r="I554" t="s">
        <v>10265</v>
      </c>
      <c r="J554" t="s">
        <v>2026</v>
      </c>
      <c r="K554" t="s">
        <v>9416</v>
      </c>
      <c r="L554" t="s">
        <v>9417</v>
      </c>
      <c r="M554" t="s">
        <v>9478</v>
      </c>
      <c r="N554" t="s">
        <v>9446</v>
      </c>
      <c r="O554" t="s">
        <v>6714</v>
      </c>
      <c r="P554" t="s">
        <v>9655</v>
      </c>
      <c r="Q554" t="s">
        <v>9421</v>
      </c>
      <c r="R554" t="s">
        <v>56</v>
      </c>
      <c r="S554" t="s">
        <v>1125</v>
      </c>
      <c r="T554" t="s">
        <v>2083</v>
      </c>
    </row>
    <row r="555" spans="1:20">
      <c r="A555" t="s">
        <v>2081</v>
      </c>
      <c r="B555" t="s">
        <v>62</v>
      </c>
      <c r="C555" t="s">
        <v>6716</v>
      </c>
      <c r="D555" t="s">
        <v>9448</v>
      </c>
      <c r="E555" t="s">
        <v>10544</v>
      </c>
      <c r="F555" t="s">
        <v>9412</v>
      </c>
      <c r="G555" t="s">
        <v>9413</v>
      </c>
      <c r="H555" t="s">
        <v>9414</v>
      </c>
      <c r="I555" t="s">
        <v>10265</v>
      </c>
      <c r="J555" t="s">
        <v>2026</v>
      </c>
      <c r="K555" t="s">
        <v>9416</v>
      </c>
      <c r="L555" t="s">
        <v>9417</v>
      </c>
      <c r="M555" t="s">
        <v>9478</v>
      </c>
      <c r="N555" t="s">
        <v>9446</v>
      </c>
      <c r="O555" t="s">
        <v>6718</v>
      </c>
      <c r="P555" t="s">
        <v>9651</v>
      </c>
      <c r="Q555" t="s">
        <v>9421</v>
      </c>
      <c r="R555" t="s">
        <v>56</v>
      </c>
      <c r="S555" t="s">
        <v>2085</v>
      </c>
      <c r="T555" t="s">
        <v>2087</v>
      </c>
    </row>
    <row r="556" spans="1:20">
      <c r="A556" t="s">
        <v>2081</v>
      </c>
      <c r="B556" t="s">
        <v>62</v>
      </c>
      <c r="C556" t="s">
        <v>6716</v>
      </c>
      <c r="D556" t="s">
        <v>9448</v>
      </c>
      <c r="E556" t="s">
        <v>10544</v>
      </c>
      <c r="F556" t="s">
        <v>9412</v>
      </c>
      <c r="G556" t="s">
        <v>9413</v>
      </c>
      <c r="H556" t="s">
        <v>9414</v>
      </c>
      <c r="I556" t="s">
        <v>10265</v>
      </c>
      <c r="J556" t="s">
        <v>2026</v>
      </c>
      <c r="K556" t="s">
        <v>9416</v>
      </c>
      <c r="L556" t="s">
        <v>9417</v>
      </c>
      <c r="M556" t="s">
        <v>9478</v>
      </c>
      <c r="N556" t="s">
        <v>9430</v>
      </c>
      <c r="O556" t="s">
        <v>10547</v>
      </c>
      <c r="P556" t="s">
        <v>10548</v>
      </c>
      <c r="Q556" t="s">
        <v>9421</v>
      </c>
      <c r="R556" t="s">
        <v>56</v>
      </c>
      <c r="S556" t="s">
        <v>2091</v>
      </c>
      <c r="T556" t="s">
        <v>2093</v>
      </c>
    </row>
    <row r="557" spans="1:20">
      <c r="A557" t="s">
        <v>6168</v>
      </c>
      <c r="B557" t="s">
        <v>9409</v>
      </c>
      <c r="C557" t="s">
        <v>6172</v>
      </c>
      <c r="D557" t="s">
        <v>9410</v>
      </c>
      <c r="E557" t="s">
        <v>10549</v>
      </c>
      <c r="F557" t="s">
        <v>9412</v>
      </c>
      <c r="G557" t="s">
        <v>9413</v>
      </c>
      <c r="H557" t="s">
        <v>9414</v>
      </c>
      <c r="I557" t="s">
        <v>9729</v>
      </c>
      <c r="J557" t="s">
        <v>1589</v>
      </c>
      <c r="K557" t="s">
        <v>9416</v>
      </c>
      <c r="L557" t="s">
        <v>9417</v>
      </c>
      <c r="M557" t="s">
        <v>9715</v>
      </c>
      <c r="N557" t="s">
        <v>9446</v>
      </c>
      <c r="O557" t="s">
        <v>6178</v>
      </c>
      <c r="P557" t="s">
        <v>9655</v>
      </c>
      <c r="Q557" t="s">
        <v>9421</v>
      </c>
      <c r="R557" t="s">
        <v>56</v>
      </c>
      <c r="S557" t="s">
        <v>6177</v>
      </c>
      <c r="T557" t="s">
        <v>10550</v>
      </c>
    </row>
    <row r="558" spans="1:20">
      <c r="A558" t="s">
        <v>6168</v>
      </c>
      <c r="B558" t="s">
        <v>9409</v>
      </c>
      <c r="C558" t="s">
        <v>6172</v>
      </c>
      <c r="D558" t="s">
        <v>9410</v>
      </c>
      <c r="E558" t="s">
        <v>10549</v>
      </c>
      <c r="F558" t="s">
        <v>9412</v>
      </c>
      <c r="G558" t="s">
        <v>9413</v>
      </c>
      <c r="H558" t="s">
        <v>9414</v>
      </c>
      <c r="I558" t="s">
        <v>9729</v>
      </c>
      <c r="J558" t="s">
        <v>1589</v>
      </c>
      <c r="K558" t="s">
        <v>9416</v>
      </c>
      <c r="L558" t="s">
        <v>9417</v>
      </c>
      <c r="M558" t="s">
        <v>9715</v>
      </c>
      <c r="N558" t="s">
        <v>9446</v>
      </c>
      <c r="O558" t="s">
        <v>6170</v>
      </c>
      <c r="P558" t="s">
        <v>9655</v>
      </c>
      <c r="Q558" t="s">
        <v>9421</v>
      </c>
      <c r="R558" t="s">
        <v>56</v>
      </c>
      <c r="S558" t="s">
        <v>6169</v>
      </c>
      <c r="T558" t="s">
        <v>10551</v>
      </c>
    </row>
    <row r="559" spans="1:20">
      <c r="A559" t="s">
        <v>6168</v>
      </c>
      <c r="B559" t="s">
        <v>9409</v>
      </c>
      <c r="C559" t="s">
        <v>6172</v>
      </c>
      <c r="D559" t="s">
        <v>9410</v>
      </c>
      <c r="E559" t="s">
        <v>10549</v>
      </c>
      <c r="F559" t="s">
        <v>9412</v>
      </c>
      <c r="G559" t="s">
        <v>9413</v>
      </c>
      <c r="H559" t="s">
        <v>9414</v>
      </c>
      <c r="I559" t="s">
        <v>9729</v>
      </c>
      <c r="J559" t="s">
        <v>1589</v>
      </c>
      <c r="K559" t="s">
        <v>9416</v>
      </c>
      <c r="L559" t="s">
        <v>9417</v>
      </c>
      <c r="M559" t="s">
        <v>9715</v>
      </c>
      <c r="N559" t="s">
        <v>9446</v>
      </c>
      <c r="O559" t="s">
        <v>6175</v>
      </c>
      <c r="P559" t="s">
        <v>9655</v>
      </c>
      <c r="Q559" t="s">
        <v>9421</v>
      </c>
      <c r="R559" t="s">
        <v>56</v>
      </c>
      <c r="S559" t="s">
        <v>6174</v>
      </c>
      <c r="T559" t="s">
        <v>10552</v>
      </c>
    </row>
    <row r="560" spans="1:20">
      <c r="A560" t="s">
        <v>6168</v>
      </c>
      <c r="B560" t="s">
        <v>9409</v>
      </c>
      <c r="C560" t="s">
        <v>6172</v>
      </c>
      <c r="D560" t="s">
        <v>9410</v>
      </c>
      <c r="E560" t="s">
        <v>10549</v>
      </c>
      <c r="F560" t="s">
        <v>9412</v>
      </c>
      <c r="G560" t="s">
        <v>9413</v>
      </c>
      <c r="H560" t="s">
        <v>9414</v>
      </c>
      <c r="I560" t="s">
        <v>9729</v>
      </c>
      <c r="J560" t="s">
        <v>1589</v>
      </c>
      <c r="K560" t="s">
        <v>9445</v>
      </c>
      <c r="L560" t="s">
        <v>9417</v>
      </c>
      <c r="M560" t="s">
        <v>9715</v>
      </c>
      <c r="N560" t="s">
        <v>9426</v>
      </c>
      <c r="O560" t="s">
        <v>9446</v>
      </c>
      <c r="P560" t="s">
        <v>9647</v>
      </c>
      <c r="Q560" t="s">
        <v>9421</v>
      </c>
      <c r="R560" t="s">
        <v>56</v>
      </c>
      <c r="S560" t="s">
        <v>1560</v>
      </c>
      <c r="T560" t="s">
        <v>1562</v>
      </c>
    </row>
    <row r="561" spans="1:20">
      <c r="A561" t="s">
        <v>10553</v>
      </c>
      <c r="B561" t="s">
        <v>9409</v>
      </c>
      <c r="C561" t="s">
        <v>10554</v>
      </c>
      <c r="D561" t="s">
        <v>9410</v>
      </c>
      <c r="E561" t="s">
        <v>10555</v>
      </c>
      <c r="F561" t="s">
        <v>9412</v>
      </c>
      <c r="G561" t="s">
        <v>9413</v>
      </c>
      <c r="H561" t="s">
        <v>9414</v>
      </c>
      <c r="I561" t="s">
        <v>9415</v>
      </c>
      <c r="J561" t="s">
        <v>1808</v>
      </c>
      <c r="K561" t="s">
        <v>9416</v>
      </c>
      <c r="L561" t="s">
        <v>9417</v>
      </c>
      <c r="M561" t="s">
        <v>9638</v>
      </c>
      <c r="N561" t="s">
        <v>9446</v>
      </c>
      <c r="O561" t="s">
        <v>10556</v>
      </c>
      <c r="P561" t="s">
        <v>9655</v>
      </c>
      <c r="Q561" t="s">
        <v>9421</v>
      </c>
      <c r="R561" t="s">
        <v>56</v>
      </c>
      <c r="S561" t="s">
        <v>10553</v>
      </c>
      <c r="T561" t="s">
        <v>10557</v>
      </c>
    </row>
    <row r="562" spans="1:20">
      <c r="A562" t="s">
        <v>1663</v>
      </c>
      <c r="B562" t="s">
        <v>20</v>
      </c>
      <c r="C562" t="s">
        <v>6182</v>
      </c>
      <c r="D562" t="s">
        <v>9666</v>
      </c>
      <c r="E562" t="s">
        <v>10558</v>
      </c>
      <c r="F562" t="s">
        <v>9412</v>
      </c>
      <c r="G562" t="s">
        <v>9413</v>
      </c>
      <c r="H562" t="s">
        <v>9414</v>
      </c>
      <c r="I562" t="s">
        <v>9736</v>
      </c>
      <c r="J562" t="s">
        <v>1589</v>
      </c>
      <c r="K562" t="s">
        <v>9445</v>
      </c>
      <c r="L562" t="s">
        <v>9417</v>
      </c>
      <c r="M562" t="s">
        <v>9715</v>
      </c>
      <c r="N562" t="s">
        <v>9430</v>
      </c>
      <c r="O562" t="s">
        <v>9446</v>
      </c>
      <c r="P562" t="s">
        <v>9474</v>
      </c>
      <c r="Q562" t="s">
        <v>9421</v>
      </c>
      <c r="R562" t="s">
        <v>43</v>
      </c>
      <c r="S562" t="s">
        <v>1680</v>
      </c>
      <c r="T562" t="s">
        <v>1682</v>
      </c>
    </row>
    <row r="563" spans="1:20">
      <c r="A563" t="s">
        <v>1663</v>
      </c>
      <c r="B563" t="s">
        <v>20</v>
      </c>
      <c r="C563" t="s">
        <v>6182</v>
      </c>
      <c r="D563" t="s">
        <v>9666</v>
      </c>
      <c r="E563" t="s">
        <v>10558</v>
      </c>
      <c r="F563" t="s">
        <v>9412</v>
      </c>
      <c r="G563" t="s">
        <v>9413</v>
      </c>
      <c r="H563" t="s">
        <v>9414</v>
      </c>
      <c r="I563" t="s">
        <v>9736</v>
      </c>
      <c r="J563" t="s">
        <v>1589</v>
      </c>
      <c r="K563" t="s">
        <v>9416</v>
      </c>
      <c r="L563" t="s">
        <v>9417</v>
      </c>
      <c r="M563" t="s">
        <v>9715</v>
      </c>
      <c r="N563" t="s">
        <v>9446</v>
      </c>
      <c r="O563" t="s">
        <v>6188</v>
      </c>
      <c r="P563" t="s">
        <v>9655</v>
      </c>
      <c r="Q563" t="s">
        <v>9421</v>
      </c>
      <c r="R563" t="s">
        <v>56</v>
      </c>
      <c r="S563" t="s">
        <v>1674</v>
      </c>
      <c r="T563" t="s">
        <v>1676</v>
      </c>
    </row>
    <row r="564" spans="1:20">
      <c r="A564" t="s">
        <v>1663</v>
      </c>
      <c r="B564" t="s">
        <v>20</v>
      </c>
      <c r="C564" t="s">
        <v>6182</v>
      </c>
      <c r="D564" t="s">
        <v>9666</v>
      </c>
      <c r="E564" t="s">
        <v>10558</v>
      </c>
      <c r="F564" t="s">
        <v>9412</v>
      </c>
      <c r="G564" t="s">
        <v>9413</v>
      </c>
      <c r="H564" t="s">
        <v>9414</v>
      </c>
      <c r="I564" t="s">
        <v>9736</v>
      </c>
      <c r="J564" t="s">
        <v>1589</v>
      </c>
      <c r="K564" t="s">
        <v>9416</v>
      </c>
      <c r="L564" t="s">
        <v>9417</v>
      </c>
      <c r="M564" t="s">
        <v>9715</v>
      </c>
      <c r="N564" t="s">
        <v>9446</v>
      </c>
      <c r="O564" t="s">
        <v>6190</v>
      </c>
      <c r="P564" t="s">
        <v>9655</v>
      </c>
      <c r="Q564" t="s">
        <v>9421</v>
      </c>
      <c r="R564" t="s">
        <v>56</v>
      </c>
      <c r="S564" t="s">
        <v>1677</v>
      </c>
      <c r="T564" t="s">
        <v>1679</v>
      </c>
    </row>
    <row r="565" spans="1:20">
      <c r="A565" t="s">
        <v>1663</v>
      </c>
      <c r="B565" t="s">
        <v>20</v>
      </c>
      <c r="C565" t="s">
        <v>6182</v>
      </c>
      <c r="D565" t="s">
        <v>9666</v>
      </c>
      <c r="E565" t="s">
        <v>10558</v>
      </c>
      <c r="F565" t="s">
        <v>9412</v>
      </c>
      <c r="G565" t="s">
        <v>9413</v>
      </c>
      <c r="H565" t="s">
        <v>9414</v>
      </c>
      <c r="I565" t="s">
        <v>9736</v>
      </c>
      <c r="J565" t="s">
        <v>1589</v>
      </c>
      <c r="K565" t="s">
        <v>9416</v>
      </c>
      <c r="L565" t="s">
        <v>9417</v>
      </c>
      <c r="M565" t="s">
        <v>9715</v>
      </c>
      <c r="N565" t="s">
        <v>9446</v>
      </c>
      <c r="O565" t="s">
        <v>6186</v>
      </c>
      <c r="P565" t="s">
        <v>9655</v>
      </c>
      <c r="Q565" t="s">
        <v>9421</v>
      </c>
      <c r="R565" t="s">
        <v>56</v>
      </c>
      <c r="S565" t="s">
        <v>1671</v>
      </c>
      <c r="T565" t="s">
        <v>1673</v>
      </c>
    </row>
    <row r="566" spans="1:20">
      <c r="A566" t="s">
        <v>1663</v>
      </c>
      <c r="B566" t="s">
        <v>20</v>
      </c>
      <c r="C566" t="s">
        <v>6182</v>
      </c>
      <c r="D566" t="s">
        <v>9666</v>
      </c>
      <c r="E566" t="s">
        <v>10558</v>
      </c>
      <c r="F566" t="s">
        <v>9412</v>
      </c>
      <c r="G566" t="s">
        <v>9413</v>
      </c>
      <c r="H566" t="s">
        <v>9414</v>
      </c>
      <c r="I566" t="s">
        <v>9736</v>
      </c>
      <c r="J566" t="s">
        <v>1589</v>
      </c>
      <c r="K566" t="s">
        <v>9416</v>
      </c>
      <c r="L566" t="s">
        <v>9417</v>
      </c>
      <c r="M566" t="s">
        <v>9715</v>
      </c>
      <c r="N566" t="s">
        <v>9446</v>
      </c>
      <c r="O566" t="s">
        <v>6180</v>
      </c>
      <c r="P566" t="s">
        <v>9655</v>
      </c>
      <c r="Q566" t="s">
        <v>9421</v>
      </c>
      <c r="R566" t="s">
        <v>56</v>
      </c>
      <c r="S566" t="s">
        <v>1664</v>
      </c>
      <c r="T566" t="s">
        <v>1666</v>
      </c>
    </row>
    <row r="567" spans="1:20">
      <c r="A567" t="s">
        <v>1663</v>
      </c>
      <c r="B567" t="s">
        <v>20</v>
      </c>
      <c r="C567" t="s">
        <v>6182</v>
      </c>
      <c r="D567" t="s">
        <v>9666</v>
      </c>
      <c r="E567" t="s">
        <v>10558</v>
      </c>
      <c r="F567" t="s">
        <v>9412</v>
      </c>
      <c r="G567" t="s">
        <v>9413</v>
      </c>
      <c r="H567" t="s">
        <v>9414</v>
      </c>
      <c r="I567" t="s">
        <v>9736</v>
      </c>
      <c r="J567" t="s">
        <v>1589</v>
      </c>
      <c r="K567" t="s">
        <v>9416</v>
      </c>
      <c r="L567" t="s">
        <v>9417</v>
      </c>
      <c r="M567" t="s">
        <v>9715</v>
      </c>
      <c r="N567" t="s">
        <v>9446</v>
      </c>
      <c r="O567" t="s">
        <v>6184</v>
      </c>
      <c r="P567" t="s">
        <v>9655</v>
      </c>
      <c r="Q567" t="s">
        <v>9421</v>
      </c>
      <c r="R567" t="s">
        <v>56</v>
      </c>
      <c r="S567" t="s">
        <v>1668</v>
      </c>
      <c r="T567" t="s">
        <v>1670</v>
      </c>
    </row>
    <row r="568" spans="1:20">
      <c r="A568" t="s">
        <v>10559</v>
      </c>
      <c r="B568" t="s">
        <v>9409</v>
      </c>
      <c r="C568" t="s">
        <v>10560</v>
      </c>
      <c r="D568" t="s">
        <v>9410</v>
      </c>
      <c r="E568" t="s">
        <v>10561</v>
      </c>
      <c r="F568" t="s">
        <v>9601</v>
      </c>
      <c r="G568" t="s">
        <v>9413</v>
      </c>
      <c r="H568" t="s">
        <v>9414</v>
      </c>
      <c r="I568" t="s">
        <v>10562</v>
      </c>
      <c r="J568" t="s">
        <v>1246</v>
      </c>
      <c r="K568" t="s">
        <v>9416</v>
      </c>
      <c r="L568" t="s">
        <v>9417</v>
      </c>
      <c r="M568" t="s">
        <v>9458</v>
      </c>
      <c r="N568" t="s">
        <v>9446</v>
      </c>
      <c r="O568" t="s">
        <v>10563</v>
      </c>
      <c r="P568" t="s">
        <v>9655</v>
      </c>
      <c r="Q568" t="s">
        <v>9421</v>
      </c>
      <c r="R568" t="s">
        <v>56</v>
      </c>
      <c r="S568" t="s">
        <v>10564</v>
      </c>
      <c r="T568" t="s">
        <v>10565</v>
      </c>
    </row>
    <row r="569" spans="1:20">
      <c r="A569" t="s">
        <v>6448</v>
      </c>
      <c r="B569" t="s">
        <v>62</v>
      </c>
      <c r="C569" t="s">
        <v>10566</v>
      </c>
      <c r="D569" t="s">
        <v>445</v>
      </c>
      <c r="E569" t="s">
        <v>10567</v>
      </c>
      <c r="F569" t="s">
        <v>9412</v>
      </c>
      <c r="G569" t="s">
        <v>9413</v>
      </c>
      <c r="H569" t="s">
        <v>1044</v>
      </c>
      <c r="I569" t="s">
        <v>10286</v>
      </c>
      <c r="J569" t="s">
        <v>1808</v>
      </c>
      <c r="K569" t="s">
        <v>9445</v>
      </c>
      <c r="L569" t="s">
        <v>9417</v>
      </c>
      <c r="M569" t="s">
        <v>9840</v>
      </c>
      <c r="N569" t="s">
        <v>9639</v>
      </c>
      <c r="O569" t="s">
        <v>9446</v>
      </c>
      <c r="P569" t="s">
        <v>9459</v>
      </c>
      <c r="Q569" t="s">
        <v>9421</v>
      </c>
      <c r="R569" t="s">
        <v>17</v>
      </c>
      <c r="S569" t="s">
        <v>1821</v>
      </c>
      <c r="T569" t="s">
        <v>1823</v>
      </c>
    </row>
    <row r="570" spans="1:20">
      <c r="A570" t="s">
        <v>2014</v>
      </c>
      <c r="B570" t="s">
        <v>20</v>
      </c>
      <c r="C570" t="s">
        <v>6606</v>
      </c>
      <c r="D570" t="s">
        <v>10052</v>
      </c>
      <c r="E570" t="s">
        <v>10568</v>
      </c>
      <c r="F570" t="s">
        <v>9412</v>
      </c>
      <c r="G570" t="s">
        <v>9413</v>
      </c>
      <c r="H570" t="s">
        <v>9414</v>
      </c>
      <c r="I570" t="s">
        <v>10434</v>
      </c>
      <c r="J570" t="s">
        <v>1920</v>
      </c>
      <c r="K570" t="s">
        <v>9416</v>
      </c>
      <c r="L570" t="s">
        <v>9417</v>
      </c>
      <c r="M570" t="s">
        <v>9820</v>
      </c>
      <c r="N570" t="s">
        <v>9446</v>
      </c>
      <c r="O570" t="s">
        <v>6604</v>
      </c>
      <c r="P570" t="s">
        <v>9655</v>
      </c>
      <c r="Q570" t="s">
        <v>9421</v>
      </c>
      <c r="R570" t="s">
        <v>56</v>
      </c>
      <c r="S570" t="s">
        <v>2014</v>
      </c>
      <c r="T570" t="s">
        <v>2016</v>
      </c>
    </row>
    <row r="571" spans="1:20">
      <c r="A571" t="s">
        <v>2014</v>
      </c>
      <c r="B571" t="s">
        <v>20</v>
      </c>
      <c r="C571" t="s">
        <v>6606</v>
      </c>
      <c r="D571" t="s">
        <v>10052</v>
      </c>
      <c r="E571" t="s">
        <v>10568</v>
      </c>
      <c r="F571" t="s">
        <v>9412</v>
      </c>
      <c r="G571" t="s">
        <v>9413</v>
      </c>
      <c r="H571" t="s">
        <v>9414</v>
      </c>
      <c r="I571" t="s">
        <v>10434</v>
      </c>
      <c r="J571" t="s">
        <v>1920</v>
      </c>
      <c r="K571" t="s">
        <v>9445</v>
      </c>
      <c r="L571" t="s">
        <v>9417</v>
      </c>
      <c r="M571" t="s">
        <v>9820</v>
      </c>
      <c r="N571" t="s">
        <v>9426</v>
      </c>
      <c r="O571" t="s">
        <v>9446</v>
      </c>
      <c r="P571" t="s">
        <v>9647</v>
      </c>
      <c r="Q571" t="s">
        <v>9421</v>
      </c>
      <c r="R571" t="s">
        <v>84</v>
      </c>
      <c r="S571" t="s">
        <v>1978</v>
      </c>
      <c r="T571" t="s">
        <v>1980</v>
      </c>
    </row>
    <row r="572" spans="1:20">
      <c r="A572" t="s">
        <v>5939</v>
      </c>
      <c r="B572" t="s">
        <v>9409</v>
      </c>
      <c r="C572" t="s">
        <v>10569</v>
      </c>
      <c r="D572" t="s">
        <v>9410</v>
      </c>
      <c r="E572" t="s">
        <v>10570</v>
      </c>
      <c r="F572" t="s">
        <v>9412</v>
      </c>
      <c r="G572" t="s">
        <v>9413</v>
      </c>
      <c r="H572" t="s">
        <v>9414</v>
      </c>
      <c r="I572" t="s">
        <v>10407</v>
      </c>
      <c r="J572" t="s">
        <v>1920</v>
      </c>
      <c r="K572" t="s">
        <v>9445</v>
      </c>
      <c r="L572" t="s">
        <v>9417</v>
      </c>
      <c r="M572" t="s">
        <v>9810</v>
      </c>
      <c r="N572" t="s">
        <v>9608</v>
      </c>
      <c r="O572" t="s">
        <v>9446</v>
      </c>
      <c r="P572" t="s">
        <v>9420</v>
      </c>
      <c r="Q572" t="s">
        <v>9421</v>
      </c>
      <c r="R572" t="s">
        <v>17</v>
      </c>
      <c r="S572" t="s">
        <v>6532</v>
      </c>
      <c r="T572" t="s">
        <v>10160</v>
      </c>
    </row>
    <row r="573" spans="1:20">
      <c r="A573" t="s">
        <v>2094</v>
      </c>
      <c r="B573" t="s">
        <v>62</v>
      </c>
      <c r="C573" t="s">
        <v>6725</v>
      </c>
      <c r="D573" t="s">
        <v>445</v>
      </c>
      <c r="E573" t="s">
        <v>10571</v>
      </c>
      <c r="F573" t="s">
        <v>9601</v>
      </c>
      <c r="G573" t="s">
        <v>9413</v>
      </c>
      <c r="H573" t="s">
        <v>9414</v>
      </c>
      <c r="I573" t="s">
        <v>9734</v>
      </c>
      <c r="J573" t="s">
        <v>2026</v>
      </c>
      <c r="K573" t="s">
        <v>9445</v>
      </c>
      <c r="L573" t="s">
        <v>9417</v>
      </c>
      <c r="M573" t="s">
        <v>9478</v>
      </c>
      <c r="N573" t="s">
        <v>9426</v>
      </c>
      <c r="O573" t="s">
        <v>9446</v>
      </c>
      <c r="P573" t="s">
        <v>9479</v>
      </c>
      <c r="Q573" t="s">
        <v>9421</v>
      </c>
      <c r="R573" t="s">
        <v>43</v>
      </c>
      <c r="S573" t="s">
        <v>1264</v>
      </c>
      <c r="T573" t="s">
        <v>1266</v>
      </c>
    </row>
    <row r="574" spans="1:20">
      <c r="A574" t="s">
        <v>2094</v>
      </c>
      <c r="B574" t="s">
        <v>62</v>
      </c>
      <c r="C574" t="s">
        <v>6725</v>
      </c>
      <c r="D574" t="s">
        <v>445</v>
      </c>
      <c r="E574" t="s">
        <v>10571</v>
      </c>
      <c r="F574" t="s">
        <v>9601</v>
      </c>
      <c r="G574" t="s">
        <v>9413</v>
      </c>
      <c r="H574" t="s">
        <v>9414</v>
      </c>
      <c r="I574" t="s">
        <v>9734</v>
      </c>
      <c r="J574" t="s">
        <v>2026</v>
      </c>
      <c r="K574" t="s">
        <v>9416</v>
      </c>
      <c r="L574" t="s">
        <v>9417</v>
      </c>
      <c r="M574" t="s">
        <v>9478</v>
      </c>
      <c r="N574" t="s">
        <v>9446</v>
      </c>
      <c r="O574" t="s">
        <v>6727</v>
      </c>
      <c r="P574" t="s">
        <v>9655</v>
      </c>
      <c r="Q574" t="s">
        <v>9421</v>
      </c>
      <c r="R574" t="s">
        <v>56</v>
      </c>
      <c r="S574" t="s">
        <v>2094</v>
      </c>
      <c r="T574" t="s">
        <v>2097</v>
      </c>
    </row>
    <row r="575" spans="1:20">
      <c r="A575" t="s">
        <v>10572</v>
      </c>
      <c r="B575" t="s">
        <v>9409</v>
      </c>
      <c r="C575" t="s">
        <v>10573</v>
      </c>
      <c r="D575" t="s">
        <v>9410</v>
      </c>
      <c r="E575" t="s">
        <v>10574</v>
      </c>
      <c r="F575" t="s">
        <v>9412</v>
      </c>
      <c r="G575" t="s">
        <v>9413</v>
      </c>
      <c r="H575" t="s">
        <v>9414</v>
      </c>
      <c r="I575" t="s">
        <v>9766</v>
      </c>
      <c r="J575" t="s">
        <v>1920</v>
      </c>
      <c r="K575" t="s">
        <v>9445</v>
      </c>
      <c r="L575" t="s">
        <v>9417</v>
      </c>
      <c r="M575" t="s">
        <v>9810</v>
      </c>
      <c r="N575" t="s">
        <v>9426</v>
      </c>
      <c r="O575" t="s">
        <v>9446</v>
      </c>
      <c r="P575" t="s">
        <v>10195</v>
      </c>
      <c r="Q575" t="s">
        <v>9421</v>
      </c>
      <c r="R575" t="s">
        <v>43</v>
      </c>
      <c r="S575" t="s">
        <v>2022</v>
      </c>
      <c r="T575" t="s">
        <v>2024</v>
      </c>
    </row>
    <row r="576" spans="1:20">
      <c r="A576" t="s">
        <v>10572</v>
      </c>
      <c r="B576" t="s">
        <v>9409</v>
      </c>
      <c r="C576" t="s">
        <v>10573</v>
      </c>
      <c r="D576" t="s">
        <v>9410</v>
      </c>
      <c r="E576" t="s">
        <v>10574</v>
      </c>
      <c r="F576" t="s">
        <v>9412</v>
      </c>
      <c r="G576" t="s">
        <v>9413</v>
      </c>
      <c r="H576" t="s">
        <v>9414</v>
      </c>
      <c r="I576" t="s">
        <v>9766</v>
      </c>
      <c r="J576" t="s">
        <v>1920</v>
      </c>
      <c r="K576" t="s">
        <v>9416</v>
      </c>
      <c r="L576" t="s">
        <v>9417</v>
      </c>
      <c r="M576" t="s">
        <v>9810</v>
      </c>
      <c r="N576" t="s">
        <v>9446</v>
      </c>
      <c r="O576" t="s">
        <v>10575</v>
      </c>
      <c r="P576" t="s">
        <v>9655</v>
      </c>
      <c r="Q576" t="s">
        <v>9421</v>
      </c>
      <c r="R576" t="s">
        <v>56</v>
      </c>
      <c r="S576" t="s">
        <v>10572</v>
      </c>
      <c r="T576" t="s">
        <v>10576</v>
      </c>
    </row>
    <row r="577" spans="1:20">
      <c r="A577" t="s">
        <v>2223</v>
      </c>
      <c r="B577" t="s">
        <v>62</v>
      </c>
      <c r="C577" t="s">
        <v>2226</v>
      </c>
      <c r="D577" t="s">
        <v>445</v>
      </c>
      <c r="E577" t="s">
        <v>10577</v>
      </c>
      <c r="F577" t="s">
        <v>9601</v>
      </c>
      <c r="G577" t="s">
        <v>9413</v>
      </c>
      <c r="H577" t="s">
        <v>1044</v>
      </c>
      <c r="I577" t="s">
        <v>9714</v>
      </c>
      <c r="J577" t="s">
        <v>2174</v>
      </c>
      <c r="K577" t="s">
        <v>9416</v>
      </c>
      <c r="L577" t="s">
        <v>9417</v>
      </c>
      <c r="M577" t="s">
        <v>9776</v>
      </c>
      <c r="N577" t="s">
        <v>9446</v>
      </c>
      <c r="O577" t="s">
        <v>6892</v>
      </c>
      <c r="P577" t="s">
        <v>9647</v>
      </c>
      <c r="Q577" t="s">
        <v>9421</v>
      </c>
      <c r="R577" t="s">
        <v>84</v>
      </c>
      <c r="S577" t="s">
        <v>2223</v>
      </c>
      <c r="T577" t="s">
        <v>2225</v>
      </c>
    </row>
    <row r="578" spans="1:20">
      <c r="A578" t="s">
        <v>1366</v>
      </c>
      <c r="B578" t="s">
        <v>62</v>
      </c>
      <c r="C578" t="s">
        <v>10578</v>
      </c>
      <c r="D578" t="s">
        <v>9448</v>
      </c>
      <c r="E578" t="s">
        <v>10579</v>
      </c>
      <c r="F578" t="s">
        <v>9412</v>
      </c>
      <c r="G578" t="s">
        <v>10580</v>
      </c>
      <c r="H578" t="s">
        <v>1044</v>
      </c>
      <c r="I578" t="s">
        <v>9736</v>
      </c>
      <c r="J578" t="s">
        <v>2026</v>
      </c>
      <c r="K578" t="s">
        <v>9445</v>
      </c>
      <c r="L578" t="s">
        <v>9417</v>
      </c>
      <c r="M578" t="s">
        <v>9602</v>
      </c>
      <c r="N578" t="s">
        <v>9446</v>
      </c>
      <c r="O578" t="s">
        <v>9446</v>
      </c>
      <c r="P578" t="s">
        <v>9651</v>
      </c>
      <c r="Q578" t="s">
        <v>9421</v>
      </c>
      <c r="R578" t="s">
        <v>56</v>
      </c>
      <c r="S578" t="s">
        <v>1366</v>
      </c>
      <c r="T578" t="s">
        <v>1368</v>
      </c>
    </row>
    <row r="579" spans="1:20">
      <c r="A579" t="s">
        <v>5764</v>
      </c>
      <c r="B579" t="s">
        <v>9446</v>
      </c>
      <c r="C579" t="s">
        <v>10581</v>
      </c>
      <c r="D579" t="s">
        <v>9410</v>
      </c>
      <c r="E579" t="s">
        <v>10440</v>
      </c>
      <c r="F579" t="s">
        <v>9412</v>
      </c>
      <c r="G579" t="s">
        <v>9413</v>
      </c>
      <c r="H579" t="s">
        <v>1044</v>
      </c>
      <c r="I579" t="s">
        <v>10582</v>
      </c>
      <c r="J579" t="s">
        <v>1246</v>
      </c>
      <c r="K579" t="s">
        <v>9445</v>
      </c>
      <c r="L579" t="s">
        <v>9417</v>
      </c>
      <c r="M579" t="s">
        <v>9529</v>
      </c>
      <c r="N579" t="s">
        <v>9419</v>
      </c>
      <c r="O579" t="s">
        <v>9446</v>
      </c>
      <c r="P579" t="s">
        <v>9420</v>
      </c>
      <c r="Q579" t="s">
        <v>9421</v>
      </c>
      <c r="R579" t="s">
        <v>17</v>
      </c>
      <c r="S579" t="s">
        <v>5765</v>
      </c>
      <c r="T579" t="s">
        <v>10440</v>
      </c>
    </row>
    <row r="580" spans="1:20">
      <c r="A580" t="s">
        <v>10583</v>
      </c>
      <c r="B580" t="s">
        <v>9409</v>
      </c>
      <c r="C580" t="s">
        <v>10584</v>
      </c>
      <c r="D580" t="s">
        <v>9410</v>
      </c>
      <c r="E580" t="s">
        <v>10585</v>
      </c>
      <c r="F580" t="s">
        <v>9601</v>
      </c>
      <c r="G580" t="s">
        <v>9413</v>
      </c>
      <c r="H580" t="s">
        <v>1044</v>
      </c>
      <c r="I580" t="s">
        <v>9469</v>
      </c>
      <c r="J580" t="s">
        <v>1808</v>
      </c>
      <c r="K580" t="s">
        <v>9445</v>
      </c>
      <c r="L580" t="s">
        <v>9417</v>
      </c>
      <c r="M580" t="s">
        <v>9418</v>
      </c>
      <c r="N580" t="s">
        <v>9639</v>
      </c>
      <c r="O580" t="s">
        <v>9446</v>
      </c>
      <c r="P580" t="s">
        <v>9603</v>
      </c>
      <c r="Q580" t="s">
        <v>9421</v>
      </c>
      <c r="R580" t="s">
        <v>9604</v>
      </c>
      <c r="S580" t="s">
        <v>10517</v>
      </c>
      <c r="T580" t="s">
        <v>10518</v>
      </c>
    </row>
    <row r="581" spans="1:20">
      <c r="A581" t="s">
        <v>1329</v>
      </c>
      <c r="B581" t="s">
        <v>62</v>
      </c>
      <c r="C581" t="s">
        <v>1330</v>
      </c>
      <c r="D581" t="s">
        <v>445</v>
      </c>
      <c r="E581" t="s">
        <v>10586</v>
      </c>
      <c r="F581" t="s">
        <v>9412</v>
      </c>
      <c r="G581" t="s">
        <v>9413</v>
      </c>
      <c r="H581" t="s">
        <v>1044</v>
      </c>
      <c r="I581" t="s">
        <v>10205</v>
      </c>
      <c r="J581" t="s">
        <v>1246</v>
      </c>
      <c r="K581" t="s">
        <v>9445</v>
      </c>
      <c r="L581" t="s">
        <v>9417</v>
      </c>
      <c r="M581" t="s">
        <v>9529</v>
      </c>
      <c r="N581" t="s">
        <v>9426</v>
      </c>
      <c r="O581" t="s">
        <v>9446</v>
      </c>
      <c r="P581" t="s">
        <v>9655</v>
      </c>
      <c r="Q581" t="s">
        <v>9421</v>
      </c>
      <c r="R581" t="s">
        <v>56</v>
      </c>
      <c r="S581" t="s">
        <v>1107</v>
      </c>
      <c r="T581" t="s">
        <v>1109</v>
      </c>
    </row>
    <row r="582" spans="1:20">
      <c r="A582" t="s">
        <v>1329</v>
      </c>
      <c r="B582" t="s">
        <v>62</v>
      </c>
      <c r="C582" t="s">
        <v>1330</v>
      </c>
      <c r="D582" t="s">
        <v>445</v>
      </c>
      <c r="E582" t="s">
        <v>10586</v>
      </c>
      <c r="F582" t="s">
        <v>9412</v>
      </c>
      <c r="G582" t="s">
        <v>9413</v>
      </c>
      <c r="H582" t="s">
        <v>1044</v>
      </c>
      <c r="I582" t="s">
        <v>10205</v>
      </c>
      <c r="J582" t="s">
        <v>1246</v>
      </c>
      <c r="K582" t="s">
        <v>9416</v>
      </c>
      <c r="L582" t="s">
        <v>9417</v>
      </c>
      <c r="M582" t="s">
        <v>9529</v>
      </c>
      <c r="N582" t="s">
        <v>9446</v>
      </c>
      <c r="O582" t="s">
        <v>5772</v>
      </c>
      <c r="P582" t="s">
        <v>9655</v>
      </c>
      <c r="Q582" t="s">
        <v>9421</v>
      </c>
      <c r="R582" t="s">
        <v>56</v>
      </c>
      <c r="S582" t="s">
        <v>1331</v>
      </c>
      <c r="T582" t="s">
        <v>1333</v>
      </c>
    </row>
    <row r="583" spans="1:20">
      <c r="A583" t="s">
        <v>1114</v>
      </c>
      <c r="B583" t="s">
        <v>20</v>
      </c>
      <c r="C583" t="s">
        <v>5513</v>
      </c>
      <c r="D583" t="s">
        <v>10052</v>
      </c>
      <c r="E583" t="s">
        <v>10587</v>
      </c>
      <c r="F583" t="s">
        <v>9412</v>
      </c>
      <c r="G583" t="s">
        <v>9413</v>
      </c>
      <c r="H583" t="s">
        <v>9414</v>
      </c>
      <c r="I583" t="s">
        <v>9751</v>
      </c>
      <c r="J583" t="s">
        <v>1043</v>
      </c>
      <c r="K583" t="s">
        <v>9445</v>
      </c>
      <c r="L583" t="s">
        <v>9417</v>
      </c>
      <c r="M583" t="s">
        <v>9458</v>
      </c>
      <c r="N583" t="s">
        <v>9426</v>
      </c>
      <c r="O583" t="s">
        <v>9446</v>
      </c>
      <c r="P583" t="s">
        <v>9479</v>
      </c>
      <c r="Q583" t="s">
        <v>9421</v>
      </c>
      <c r="R583" t="s">
        <v>43</v>
      </c>
      <c r="S583" t="s">
        <v>1064</v>
      </c>
      <c r="T583" t="s">
        <v>1066</v>
      </c>
    </row>
    <row r="584" spans="1:20">
      <c r="A584" t="s">
        <v>1114</v>
      </c>
      <c r="B584" t="s">
        <v>20</v>
      </c>
      <c r="C584" t="s">
        <v>5513</v>
      </c>
      <c r="D584" t="s">
        <v>10052</v>
      </c>
      <c r="E584" t="s">
        <v>10587</v>
      </c>
      <c r="F584" t="s">
        <v>9412</v>
      </c>
      <c r="G584" t="s">
        <v>9413</v>
      </c>
      <c r="H584" t="s">
        <v>9414</v>
      </c>
      <c r="I584" t="s">
        <v>9751</v>
      </c>
      <c r="J584" t="s">
        <v>1043</v>
      </c>
      <c r="K584" t="s">
        <v>9416</v>
      </c>
      <c r="L584" t="s">
        <v>9417</v>
      </c>
      <c r="M584" t="s">
        <v>9458</v>
      </c>
      <c r="N584" t="s">
        <v>9446</v>
      </c>
      <c r="O584" t="s">
        <v>5517</v>
      </c>
      <c r="P584" t="s">
        <v>9655</v>
      </c>
      <c r="Q584" t="s">
        <v>9421</v>
      </c>
      <c r="R584" t="s">
        <v>56</v>
      </c>
      <c r="S584" t="s">
        <v>1119</v>
      </c>
      <c r="T584" t="s">
        <v>1121</v>
      </c>
    </row>
    <row r="585" spans="1:20">
      <c r="A585" t="s">
        <v>1114</v>
      </c>
      <c r="B585" t="s">
        <v>20</v>
      </c>
      <c r="C585" t="s">
        <v>5513</v>
      </c>
      <c r="D585" t="s">
        <v>10052</v>
      </c>
      <c r="E585" t="s">
        <v>10587</v>
      </c>
      <c r="F585" t="s">
        <v>9412</v>
      </c>
      <c r="G585" t="s">
        <v>9413</v>
      </c>
      <c r="H585" t="s">
        <v>9414</v>
      </c>
      <c r="I585" t="s">
        <v>9751</v>
      </c>
      <c r="J585" t="s">
        <v>1043</v>
      </c>
      <c r="K585" t="s">
        <v>9416</v>
      </c>
      <c r="L585" t="s">
        <v>9417</v>
      </c>
      <c r="M585" t="s">
        <v>9458</v>
      </c>
      <c r="N585" t="s">
        <v>9437</v>
      </c>
      <c r="O585" t="s">
        <v>5526</v>
      </c>
      <c r="P585" t="s">
        <v>9429</v>
      </c>
      <c r="Q585" t="s">
        <v>9421</v>
      </c>
      <c r="R585" t="s">
        <v>52</v>
      </c>
      <c r="S585" t="s">
        <v>1122</v>
      </c>
      <c r="T585" t="s">
        <v>1124</v>
      </c>
    </row>
    <row r="586" spans="1:20">
      <c r="A586" t="s">
        <v>1114</v>
      </c>
      <c r="B586" t="s">
        <v>20</v>
      </c>
      <c r="C586" t="s">
        <v>5513</v>
      </c>
      <c r="D586" t="s">
        <v>10052</v>
      </c>
      <c r="E586" t="s">
        <v>10587</v>
      </c>
      <c r="F586" t="s">
        <v>9412</v>
      </c>
      <c r="G586" t="s">
        <v>9413</v>
      </c>
      <c r="H586" t="s">
        <v>9414</v>
      </c>
      <c r="I586" t="s">
        <v>9751</v>
      </c>
      <c r="J586" t="s">
        <v>1043</v>
      </c>
      <c r="K586" t="s">
        <v>9416</v>
      </c>
      <c r="L586" t="s">
        <v>9417</v>
      </c>
      <c r="M586" t="s">
        <v>9458</v>
      </c>
      <c r="N586" t="s">
        <v>9446</v>
      </c>
      <c r="O586" t="s">
        <v>5515</v>
      </c>
      <c r="P586" t="s">
        <v>9655</v>
      </c>
      <c r="Q586" t="s">
        <v>9421</v>
      </c>
      <c r="R586" t="s">
        <v>56</v>
      </c>
      <c r="S586" t="s">
        <v>1116</v>
      </c>
      <c r="T586" t="s">
        <v>1118</v>
      </c>
    </row>
    <row r="587" spans="1:20">
      <c r="A587" t="s">
        <v>1552</v>
      </c>
      <c r="B587" t="s">
        <v>62</v>
      </c>
      <c r="C587" t="s">
        <v>1555</v>
      </c>
      <c r="D587" t="s">
        <v>9448</v>
      </c>
      <c r="E587" t="s">
        <v>10588</v>
      </c>
      <c r="F587" t="s">
        <v>9412</v>
      </c>
      <c r="G587" t="s">
        <v>9413</v>
      </c>
      <c r="H587" t="s">
        <v>1044</v>
      </c>
      <c r="I587" t="s">
        <v>10589</v>
      </c>
      <c r="J587" t="s">
        <v>1442</v>
      </c>
      <c r="K587" t="s">
        <v>9416</v>
      </c>
      <c r="L587" t="s">
        <v>9417</v>
      </c>
      <c r="M587" t="s">
        <v>9702</v>
      </c>
      <c r="N587" t="s">
        <v>9446</v>
      </c>
      <c r="O587" t="s">
        <v>6049</v>
      </c>
      <c r="P587" t="s">
        <v>9647</v>
      </c>
      <c r="Q587" t="s">
        <v>9421</v>
      </c>
      <c r="R587" t="s">
        <v>84</v>
      </c>
      <c r="S587" t="s">
        <v>1552</v>
      </c>
      <c r="T587" t="s">
        <v>1554</v>
      </c>
    </row>
    <row r="588" spans="1:20">
      <c r="A588" t="s">
        <v>10590</v>
      </c>
      <c r="B588" t="s">
        <v>9409</v>
      </c>
      <c r="C588" t="s">
        <v>10591</v>
      </c>
      <c r="D588" t="s">
        <v>9410</v>
      </c>
      <c r="E588" t="s">
        <v>10592</v>
      </c>
      <c r="F588" t="s">
        <v>9601</v>
      </c>
      <c r="G588" t="s">
        <v>9413</v>
      </c>
      <c r="H588" t="s">
        <v>1044</v>
      </c>
      <c r="I588" t="s">
        <v>10281</v>
      </c>
      <c r="J588" t="s">
        <v>1920</v>
      </c>
      <c r="K588" t="s">
        <v>9416</v>
      </c>
      <c r="L588" t="s">
        <v>9417</v>
      </c>
      <c r="M588" t="s">
        <v>9638</v>
      </c>
      <c r="N588" t="s">
        <v>9608</v>
      </c>
      <c r="O588" t="s">
        <v>10593</v>
      </c>
      <c r="P588" t="s">
        <v>9603</v>
      </c>
      <c r="Q588" t="s">
        <v>9421</v>
      </c>
      <c r="R588" t="s">
        <v>9604</v>
      </c>
      <c r="S588" t="s">
        <v>10594</v>
      </c>
      <c r="T588" t="s">
        <v>10595</v>
      </c>
    </row>
    <row r="589" spans="1:20">
      <c r="A589" t="s">
        <v>1773</v>
      </c>
      <c r="B589" t="s">
        <v>62</v>
      </c>
      <c r="C589" t="s">
        <v>1777</v>
      </c>
      <c r="D589" t="s">
        <v>445</v>
      </c>
      <c r="E589" t="s">
        <v>10596</v>
      </c>
      <c r="F589" t="s">
        <v>9412</v>
      </c>
      <c r="G589" t="s">
        <v>9413</v>
      </c>
      <c r="H589" t="s">
        <v>1044</v>
      </c>
      <c r="I589" t="s">
        <v>10597</v>
      </c>
      <c r="J589" t="s">
        <v>1683</v>
      </c>
      <c r="K589" t="s">
        <v>9416</v>
      </c>
      <c r="L589" t="s">
        <v>9417</v>
      </c>
      <c r="M589" t="s">
        <v>9473</v>
      </c>
      <c r="N589" t="s">
        <v>9446</v>
      </c>
      <c r="O589" t="s">
        <v>6296</v>
      </c>
      <c r="P589" t="s">
        <v>9647</v>
      </c>
      <c r="Q589" t="s">
        <v>9421</v>
      </c>
      <c r="R589" t="s">
        <v>84</v>
      </c>
      <c r="S589" t="s">
        <v>1778</v>
      </c>
      <c r="T589" t="s">
        <v>1780</v>
      </c>
    </row>
    <row r="590" spans="1:20">
      <c r="A590" t="s">
        <v>1773</v>
      </c>
      <c r="B590" t="s">
        <v>62</v>
      </c>
      <c r="C590" t="s">
        <v>1777</v>
      </c>
      <c r="D590" t="s">
        <v>445</v>
      </c>
      <c r="E590" t="s">
        <v>10596</v>
      </c>
      <c r="F590" t="s">
        <v>9412</v>
      </c>
      <c r="G590" t="s">
        <v>9413</v>
      </c>
      <c r="H590" t="s">
        <v>1044</v>
      </c>
      <c r="I590" t="s">
        <v>10597</v>
      </c>
      <c r="J590" t="s">
        <v>1683</v>
      </c>
      <c r="K590" t="s">
        <v>9445</v>
      </c>
      <c r="L590" t="s">
        <v>9417</v>
      </c>
      <c r="M590" t="s">
        <v>9473</v>
      </c>
      <c r="N590" t="s">
        <v>9426</v>
      </c>
      <c r="O590" t="s">
        <v>9446</v>
      </c>
      <c r="P590" t="s">
        <v>9479</v>
      </c>
      <c r="Q590" t="s">
        <v>9421</v>
      </c>
      <c r="R590" t="s">
        <v>43</v>
      </c>
      <c r="S590" t="s">
        <v>1774</v>
      </c>
      <c r="T590" t="s">
        <v>1776</v>
      </c>
    </row>
    <row r="591" spans="1:20">
      <c r="A591" t="s">
        <v>1556</v>
      </c>
      <c r="B591" t="s">
        <v>20</v>
      </c>
      <c r="C591" t="s">
        <v>6055</v>
      </c>
      <c r="D591" t="s">
        <v>9677</v>
      </c>
      <c r="E591" t="s">
        <v>10598</v>
      </c>
      <c r="F591" t="s">
        <v>9412</v>
      </c>
      <c r="G591" t="s">
        <v>9413</v>
      </c>
      <c r="H591" t="s">
        <v>9414</v>
      </c>
      <c r="I591" t="s">
        <v>10177</v>
      </c>
      <c r="J591" t="s">
        <v>1442</v>
      </c>
      <c r="K591" t="s">
        <v>9416</v>
      </c>
      <c r="L591" t="s">
        <v>9417</v>
      </c>
      <c r="M591" t="s">
        <v>9702</v>
      </c>
      <c r="N591" t="s">
        <v>9446</v>
      </c>
      <c r="O591" t="s">
        <v>6053</v>
      </c>
      <c r="P591" t="s">
        <v>9655</v>
      </c>
      <c r="Q591" t="s">
        <v>9421</v>
      </c>
      <c r="R591" t="s">
        <v>56</v>
      </c>
      <c r="S591" t="s">
        <v>1556</v>
      </c>
      <c r="T591" t="s">
        <v>1558</v>
      </c>
    </row>
    <row r="592" spans="1:20">
      <c r="A592" t="s">
        <v>1556</v>
      </c>
      <c r="B592" t="s">
        <v>20</v>
      </c>
      <c r="C592" t="s">
        <v>6055</v>
      </c>
      <c r="D592" t="s">
        <v>9677</v>
      </c>
      <c r="E592" t="s">
        <v>10598</v>
      </c>
      <c r="F592" t="s">
        <v>9412</v>
      </c>
      <c r="G592" t="s">
        <v>9413</v>
      </c>
      <c r="H592" t="s">
        <v>9414</v>
      </c>
      <c r="I592" t="s">
        <v>10177</v>
      </c>
      <c r="J592" t="s">
        <v>1442</v>
      </c>
      <c r="K592" t="s">
        <v>9445</v>
      </c>
      <c r="L592" t="s">
        <v>9417</v>
      </c>
      <c r="M592" t="s">
        <v>9702</v>
      </c>
      <c r="N592" t="s">
        <v>9426</v>
      </c>
      <c r="O592" t="s">
        <v>9446</v>
      </c>
      <c r="P592" t="s">
        <v>9647</v>
      </c>
      <c r="Q592" t="s">
        <v>9421</v>
      </c>
      <c r="R592" t="s">
        <v>56</v>
      </c>
      <c r="S592" t="s">
        <v>1560</v>
      </c>
      <c r="T592" t="s">
        <v>1562</v>
      </c>
    </row>
    <row r="593" spans="1:20">
      <c r="A593" t="s">
        <v>1231</v>
      </c>
      <c r="B593" t="s">
        <v>20</v>
      </c>
      <c r="C593" t="s">
        <v>5662</v>
      </c>
      <c r="D593" t="s">
        <v>9460</v>
      </c>
      <c r="E593" t="s">
        <v>10599</v>
      </c>
      <c r="F593" t="s">
        <v>9412</v>
      </c>
      <c r="G593" t="s">
        <v>9413</v>
      </c>
      <c r="H593" t="s">
        <v>9414</v>
      </c>
      <c r="I593" t="s">
        <v>10099</v>
      </c>
      <c r="J593" t="s">
        <v>1155</v>
      </c>
      <c r="K593" t="s">
        <v>9416</v>
      </c>
      <c r="L593" t="s">
        <v>9417</v>
      </c>
      <c r="M593" t="s">
        <v>9561</v>
      </c>
      <c r="N593" t="s">
        <v>9446</v>
      </c>
      <c r="O593" t="s">
        <v>5660</v>
      </c>
      <c r="P593" t="s">
        <v>9655</v>
      </c>
      <c r="Q593" t="s">
        <v>9421</v>
      </c>
      <c r="R593" t="s">
        <v>56</v>
      </c>
      <c r="S593" t="s">
        <v>1231</v>
      </c>
      <c r="T593" t="s">
        <v>1233</v>
      </c>
    </row>
    <row r="594" spans="1:20">
      <c r="A594" t="s">
        <v>1125</v>
      </c>
      <c r="B594" t="s">
        <v>62</v>
      </c>
      <c r="C594" t="s">
        <v>5521</v>
      </c>
      <c r="D594" t="s">
        <v>445</v>
      </c>
      <c r="E594" t="s">
        <v>10600</v>
      </c>
      <c r="F594" t="s">
        <v>9412</v>
      </c>
      <c r="G594" t="s">
        <v>9413</v>
      </c>
      <c r="H594" t="s">
        <v>9414</v>
      </c>
      <c r="I594" t="s">
        <v>10601</v>
      </c>
      <c r="J594" t="s">
        <v>1043</v>
      </c>
      <c r="K594" t="s">
        <v>9416</v>
      </c>
      <c r="L594" t="s">
        <v>9417</v>
      </c>
      <c r="M594" t="s">
        <v>9458</v>
      </c>
      <c r="N594" t="s">
        <v>9437</v>
      </c>
      <c r="O594" t="s">
        <v>5519</v>
      </c>
      <c r="P594" t="s">
        <v>9429</v>
      </c>
      <c r="Q594" t="s">
        <v>9421</v>
      </c>
      <c r="R594" t="s">
        <v>52</v>
      </c>
      <c r="S594" t="s">
        <v>1089</v>
      </c>
      <c r="T594" t="s">
        <v>1127</v>
      </c>
    </row>
    <row r="595" spans="1:20">
      <c r="A595" t="s">
        <v>1125</v>
      </c>
      <c r="B595" t="s">
        <v>62</v>
      </c>
      <c r="C595" t="s">
        <v>10602</v>
      </c>
      <c r="D595" t="s">
        <v>445</v>
      </c>
      <c r="E595" t="s">
        <v>10600</v>
      </c>
      <c r="F595" t="s">
        <v>9412</v>
      </c>
      <c r="G595" t="s">
        <v>9413</v>
      </c>
      <c r="H595" t="s">
        <v>9414</v>
      </c>
      <c r="I595" t="s">
        <v>10601</v>
      </c>
      <c r="J595" t="s">
        <v>1043</v>
      </c>
      <c r="K595" t="s">
        <v>9416</v>
      </c>
      <c r="L595" t="s">
        <v>9417</v>
      </c>
      <c r="M595" t="s">
        <v>9458</v>
      </c>
      <c r="N595" t="s">
        <v>9437</v>
      </c>
      <c r="O595" t="s">
        <v>10603</v>
      </c>
      <c r="P595" t="s">
        <v>9603</v>
      </c>
      <c r="Q595" t="s">
        <v>9421</v>
      </c>
      <c r="R595" t="s">
        <v>9604</v>
      </c>
      <c r="S595" t="s">
        <v>10604</v>
      </c>
      <c r="T595" t="s">
        <v>10605</v>
      </c>
    </row>
    <row r="596" spans="1:20">
      <c r="A596" t="s">
        <v>10606</v>
      </c>
      <c r="B596" t="s">
        <v>62</v>
      </c>
      <c r="C596" t="s">
        <v>10607</v>
      </c>
      <c r="D596" t="s">
        <v>9410</v>
      </c>
      <c r="E596" t="s">
        <v>10608</v>
      </c>
      <c r="F596" t="s">
        <v>9412</v>
      </c>
      <c r="G596" t="s">
        <v>9413</v>
      </c>
      <c r="H596" t="s">
        <v>1044</v>
      </c>
      <c r="I596" t="s">
        <v>10609</v>
      </c>
      <c r="J596" t="s">
        <v>1808</v>
      </c>
      <c r="K596" t="s">
        <v>9445</v>
      </c>
      <c r="L596" t="s">
        <v>9417</v>
      </c>
      <c r="M596" t="s">
        <v>9833</v>
      </c>
      <c r="N596" t="s">
        <v>9639</v>
      </c>
      <c r="O596" t="s">
        <v>9446</v>
      </c>
      <c r="P596" t="s">
        <v>9603</v>
      </c>
      <c r="Q596" t="s">
        <v>9421</v>
      </c>
      <c r="R596" t="s">
        <v>9604</v>
      </c>
      <c r="S596" t="s">
        <v>10517</v>
      </c>
      <c r="T596" t="s">
        <v>10518</v>
      </c>
    </row>
    <row r="597" spans="1:20">
      <c r="A597" t="s">
        <v>1781</v>
      </c>
      <c r="B597" t="s">
        <v>20</v>
      </c>
      <c r="C597" t="s">
        <v>6300</v>
      </c>
      <c r="D597" t="s">
        <v>9666</v>
      </c>
      <c r="E597" t="s">
        <v>10610</v>
      </c>
      <c r="F597" t="s">
        <v>9412</v>
      </c>
      <c r="G597" t="s">
        <v>9413</v>
      </c>
      <c r="H597" t="s">
        <v>9414</v>
      </c>
      <c r="I597" t="s">
        <v>10540</v>
      </c>
      <c r="J597" t="s">
        <v>1683</v>
      </c>
      <c r="K597" t="s">
        <v>9416</v>
      </c>
      <c r="L597" t="s">
        <v>9417</v>
      </c>
      <c r="M597" t="s">
        <v>9453</v>
      </c>
      <c r="N597" t="s">
        <v>9446</v>
      </c>
      <c r="O597" t="s">
        <v>6298</v>
      </c>
      <c r="P597" t="s">
        <v>9655</v>
      </c>
      <c r="Q597" t="s">
        <v>9421</v>
      </c>
      <c r="R597" t="s">
        <v>56</v>
      </c>
      <c r="S597" t="s">
        <v>1781</v>
      </c>
      <c r="T597" t="s">
        <v>1783</v>
      </c>
    </row>
    <row r="598" spans="1:20">
      <c r="A598" t="s">
        <v>2018</v>
      </c>
      <c r="B598" t="s">
        <v>20</v>
      </c>
      <c r="C598" t="s">
        <v>10611</v>
      </c>
      <c r="D598" t="s">
        <v>9460</v>
      </c>
      <c r="E598" t="s">
        <v>10612</v>
      </c>
      <c r="F598" t="s">
        <v>9412</v>
      </c>
      <c r="G598" t="s">
        <v>9413</v>
      </c>
      <c r="H598" t="s">
        <v>1044</v>
      </c>
      <c r="I598" t="s">
        <v>9462</v>
      </c>
      <c r="J598" t="s">
        <v>1920</v>
      </c>
      <c r="K598" t="s">
        <v>9416</v>
      </c>
      <c r="L598" t="s">
        <v>9417</v>
      </c>
      <c r="M598" t="s">
        <v>9478</v>
      </c>
      <c r="N598" t="s">
        <v>9446</v>
      </c>
      <c r="O598" t="s">
        <v>6612</v>
      </c>
      <c r="P598" t="s">
        <v>9655</v>
      </c>
      <c r="Q598" t="s">
        <v>9421</v>
      </c>
      <c r="R598" t="s">
        <v>56</v>
      </c>
      <c r="S598" t="s">
        <v>2018</v>
      </c>
      <c r="T598" t="s">
        <v>2021</v>
      </c>
    </row>
    <row r="599" spans="1:20">
      <c r="A599" t="s">
        <v>2018</v>
      </c>
      <c r="B599" t="s">
        <v>20</v>
      </c>
      <c r="C599" t="s">
        <v>10611</v>
      </c>
      <c r="D599" t="s">
        <v>9460</v>
      </c>
      <c r="E599" t="s">
        <v>10612</v>
      </c>
      <c r="F599" t="s">
        <v>9412</v>
      </c>
      <c r="G599" t="s">
        <v>9413</v>
      </c>
      <c r="H599" t="s">
        <v>1044</v>
      </c>
      <c r="I599" t="s">
        <v>9462</v>
      </c>
      <c r="J599" t="s">
        <v>1920</v>
      </c>
      <c r="K599" t="s">
        <v>9445</v>
      </c>
      <c r="L599" t="s">
        <v>9417</v>
      </c>
      <c r="M599" t="s">
        <v>9478</v>
      </c>
      <c r="N599" t="s">
        <v>9426</v>
      </c>
      <c r="O599" t="s">
        <v>9446</v>
      </c>
      <c r="P599" t="s">
        <v>9479</v>
      </c>
      <c r="Q599" t="s">
        <v>9421</v>
      </c>
      <c r="R599" t="s">
        <v>43</v>
      </c>
      <c r="S599" t="s">
        <v>1889</v>
      </c>
      <c r="T599" t="s">
        <v>1891</v>
      </c>
    </row>
    <row r="600" spans="1:20">
      <c r="A600" t="s">
        <v>1563</v>
      </c>
      <c r="B600" t="s">
        <v>62</v>
      </c>
      <c r="C600" t="s">
        <v>6059</v>
      </c>
      <c r="D600" t="s">
        <v>9448</v>
      </c>
      <c r="E600" t="s">
        <v>10613</v>
      </c>
      <c r="F600" t="s">
        <v>9412</v>
      </c>
      <c r="G600" t="s">
        <v>9413</v>
      </c>
      <c r="H600" t="s">
        <v>9414</v>
      </c>
      <c r="I600" t="s">
        <v>9787</v>
      </c>
      <c r="J600" t="s">
        <v>1442</v>
      </c>
      <c r="K600" t="s">
        <v>9416</v>
      </c>
      <c r="L600" t="s">
        <v>9417</v>
      </c>
      <c r="M600" t="s">
        <v>10021</v>
      </c>
      <c r="N600" t="s">
        <v>9446</v>
      </c>
      <c r="O600" t="s">
        <v>6057</v>
      </c>
      <c r="P600" t="s">
        <v>9655</v>
      </c>
      <c r="Q600" t="s">
        <v>9421</v>
      </c>
      <c r="R600" t="s">
        <v>56</v>
      </c>
      <c r="S600" t="s">
        <v>1564</v>
      </c>
      <c r="T600" t="s">
        <v>1566</v>
      </c>
    </row>
    <row r="601" spans="1:20">
      <c r="A601" t="s">
        <v>1563</v>
      </c>
      <c r="B601" t="s">
        <v>62</v>
      </c>
      <c r="C601" t="s">
        <v>6059</v>
      </c>
      <c r="D601" t="s">
        <v>9448</v>
      </c>
      <c r="E601" t="s">
        <v>10613</v>
      </c>
      <c r="F601" t="s">
        <v>9412</v>
      </c>
      <c r="G601" t="s">
        <v>9413</v>
      </c>
      <c r="H601" t="s">
        <v>9414</v>
      </c>
      <c r="I601" t="s">
        <v>9787</v>
      </c>
      <c r="J601" t="s">
        <v>1442</v>
      </c>
      <c r="K601" t="s">
        <v>9416</v>
      </c>
      <c r="L601" t="s">
        <v>9417</v>
      </c>
      <c r="M601" t="s">
        <v>10021</v>
      </c>
      <c r="N601" t="s">
        <v>9446</v>
      </c>
      <c r="O601" t="s">
        <v>6061</v>
      </c>
      <c r="P601" t="s">
        <v>9655</v>
      </c>
      <c r="Q601" t="s">
        <v>9421</v>
      </c>
      <c r="R601" t="s">
        <v>56</v>
      </c>
      <c r="S601" t="s">
        <v>1568</v>
      </c>
      <c r="T601" t="s">
        <v>1570</v>
      </c>
    </row>
    <row r="602" spans="1:20">
      <c r="A602" t="s">
        <v>1235</v>
      </c>
      <c r="B602" t="s">
        <v>20</v>
      </c>
      <c r="C602" t="s">
        <v>5666</v>
      </c>
      <c r="D602" t="s">
        <v>9666</v>
      </c>
      <c r="E602" t="s">
        <v>10614</v>
      </c>
      <c r="F602" t="s">
        <v>9412</v>
      </c>
      <c r="G602" t="s">
        <v>9413</v>
      </c>
      <c r="H602" t="s">
        <v>9414</v>
      </c>
      <c r="I602" t="s">
        <v>9922</v>
      </c>
      <c r="J602" t="s">
        <v>1155</v>
      </c>
      <c r="K602" t="s">
        <v>9416</v>
      </c>
      <c r="L602" t="s">
        <v>9417</v>
      </c>
      <c r="M602" t="s">
        <v>9487</v>
      </c>
      <c r="N602" t="s">
        <v>9446</v>
      </c>
      <c r="O602" t="s">
        <v>5664</v>
      </c>
      <c r="P602" t="s">
        <v>9655</v>
      </c>
      <c r="Q602" t="s">
        <v>9421</v>
      </c>
      <c r="R602" t="s">
        <v>56</v>
      </c>
      <c r="S602" t="s">
        <v>1236</v>
      </c>
      <c r="T602" t="s">
        <v>1238</v>
      </c>
    </row>
    <row r="603" spans="1:20">
      <c r="A603" t="s">
        <v>1235</v>
      </c>
      <c r="B603" t="s">
        <v>20</v>
      </c>
      <c r="C603" t="s">
        <v>5666</v>
      </c>
      <c r="D603" t="s">
        <v>9666</v>
      </c>
      <c r="E603" t="s">
        <v>10614</v>
      </c>
      <c r="F603" t="s">
        <v>9412</v>
      </c>
      <c r="G603" t="s">
        <v>9413</v>
      </c>
      <c r="H603" t="s">
        <v>9414</v>
      </c>
      <c r="I603" t="s">
        <v>9922</v>
      </c>
      <c r="J603" t="s">
        <v>1155</v>
      </c>
      <c r="K603" t="s">
        <v>9416</v>
      </c>
      <c r="L603" t="s">
        <v>9417</v>
      </c>
      <c r="M603" t="s">
        <v>9487</v>
      </c>
      <c r="N603" t="s">
        <v>9446</v>
      </c>
      <c r="O603" t="s">
        <v>5668</v>
      </c>
      <c r="P603" t="s">
        <v>9655</v>
      </c>
      <c r="Q603" t="s">
        <v>9421</v>
      </c>
      <c r="R603" t="s">
        <v>56</v>
      </c>
      <c r="S603" t="s">
        <v>1240</v>
      </c>
      <c r="T603" t="s">
        <v>1242</v>
      </c>
    </row>
    <row r="604" spans="1:20">
      <c r="A604" t="s">
        <v>1235</v>
      </c>
      <c r="B604" t="s">
        <v>20</v>
      </c>
      <c r="C604" t="s">
        <v>5666</v>
      </c>
      <c r="D604" t="s">
        <v>9666</v>
      </c>
      <c r="E604" t="s">
        <v>10614</v>
      </c>
      <c r="F604" t="s">
        <v>9412</v>
      </c>
      <c r="G604" t="s">
        <v>9413</v>
      </c>
      <c r="H604" t="s">
        <v>9414</v>
      </c>
      <c r="I604" t="s">
        <v>9922</v>
      </c>
      <c r="J604" t="s">
        <v>1155</v>
      </c>
      <c r="K604" t="s">
        <v>9416</v>
      </c>
      <c r="L604" t="s">
        <v>9417</v>
      </c>
      <c r="M604" t="s">
        <v>9487</v>
      </c>
      <c r="N604" t="s">
        <v>9446</v>
      </c>
      <c r="O604" t="s">
        <v>5670</v>
      </c>
      <c r="P604" t="s">
        <v>9655</v>
      </c>
      <c r="Q604" t="s">
        <v>9421</v>
      </c>
      <c r="R604" t="s">
        <v>56</v>
      </c>
      <c r="S604" t="s">
        <v>1243</v>
      </c>
      <c r="T604" t="s">
        <v>1245</v>
      </c>
    </row>
    <row r="605" spans="1:20">
      <c r="A605" t="s">
        <v>1334</v>
      </c>
      <c r="B605" t="s">
        <v>20</v>
      </c>
      <c r="C605" t="s">
        <v>5787</v>
      </c>
      <c r="D605" t="s">
        <v>9666</v>
      </c>
      <c r="E605" t="s">
        <v>10615</v>
      </c>
      <c r="F605" t="s">
        <v>9412</v>
      </c>
      <c r="G605" t="s">
        <v>9413</v>
      </c>
      <c r="H605" t="s">
        <v>9414</v>
      </c>
      <c r="I605" t="s">
        <v>9466</v>
      </c>
      <c r="J605" t="s">
        <v>1246</v>
      </c>
      <c r="K605" t="s">
        <v>9416</v>
      </c>
      <c r="L605" t="s">
        <v>9417</v>
      </c>
      <c r="M605" t="s">
        <v>9580</v>
      </c>
      <c r="N605" t="s">
        <v>9419</v>
      </c>
      <c r="O605" t="s">
        <v>5785</v>
      </c>
      <c r="P605" t="s">
        <v>9429</v>
      </c>
      <c r="Q605" t="s">
        <v>9421</v>
      </c>
      <c r="R605" t="s">
        <v>52</v>
      </c>
      <c r="S605" t="s">
        <v>1335</v>
      </c>
      <c r="T605" t="s">
        <v>1337</v>
      </c>
    </row>
    <row r="606" spans="1:20">
      <c r="A606" t="s">
        <v>1334</v>
      </c>
      <c r="B606" t="s">
        <v>20</v>
      </c>
      <c r="C606" t="s">
        <v>5787</v>
      </c>
      <c r="D606" t="s">
        <v>9666</v>
      </c>
      <c r="E606" t="s">
        <v>10615</v>
      </c>
      <c r="F606" t="s">
        <v>9412</v>
      </c>
      <c r="G606" t="s">
        <v>9413</v>
      </c>
      <c r="H606" t="s">
        <v>9414</v>
      </c>
      <c r="I606" t="s">
        <v>9466</v>
      </c>
      <c r="J606" t="s">
        <v>1246</v>
      </c>
      <c r="K606" t="s">
        <v>9416</v>
      </c>
      <c r="L606" t="s">
        <v>9417</v>
      </c>
      <c r="M606" t="s">
        <v>9580</v>
      </c>
      <c r="N606" t="s">
        <v>9419</v>
      </c>
      <c r="O606" t="s">
        <v>5789</v>
      </c>
      <c r="P606" t="s">
        <v>9655</v>
      </c>
      <c r="Q606" t="s">
        <v>9421</v>
      </c>
      <c r="R606" t="s">
        <v>56</v>
      </c>
      <c r="S606" t="s">
        <v>1339</v>
      </c>
      <c r="T606" t="s">
        <v>1341</v>
      </c>
    </row>
    <row r="607" spans="1:20">
      <c r="A607" t="s">
        <v>1339</v>
      </c>
      <c r="B607" t="s">
        <v>20</v>
      </c>
      <c r="C607" t="s">
        <v>10616</v>
      </c>
      <c r="D607" t="s">
        <v>10356</v>
      </c>
      <c r="E607" t="s">
        <v>10617</v>
      </c>
      <c r="F607" t="s">
        <v>9412</v>
      </c>
      <c r="G607" t="s">
        <v>9413</v>
      </c>
      <c r="H607" t="s">
        <v>1044</v>
      </c>
      <c r="I607" t="s">
        <v>9826</v>
      </c>
      <c r="J607" t="s">
        <v>1246</v>
      </c>
      <c r="K607" t="s">
        <v>9445</v>
      </c>
      <c r="L607" t="s">
        <v>9417</v>
      </c>
      <c r="M607" t="s">
        <v>9580</v>
      </c>
      <c r="N607" t="s">
        <v>9419</v>
      </c>
      <c r="O607" t="s">
        <v>9446</v>
      </c>
      <c r="P607" t="s">
        <v>9655</v>
      </c>
      <c r="Q607" t="s">
        <v>9421</v>
      </c>
      <c r="R607" t="s">
        <v>56</v>
      </c>
      <c r="S607" t="s">
        <v>1339</v>
      </c>
      <c r="T607" t="s">
        <v>1341</v>
      </c>
    </row>
    <row r="608" spans="1:20">
      <c r="A608" t="s">
        <v>1785</v>
      </c>
      <c r="B608" t="s">
        <v>62</v>
      </c>
      <c r="C608" t="s">
        <v>6304</v>
      </c>
      <c r="D608" t="s">
        <v>9448</v>
      </c>
      <c r="E608" t="s">
        <v>10618</v>
      </c>
      <c r="F608" t="s">
        <v>9412</v>
      </c>
      <c r="G608" t="s">
        <v>9413</v>
      </c>
      <c r="H608" t="s">
        <v>9414</v>
      </c>
      <c r="I608" t="s">
        <v>10045</v>
      </c>
      <c r="J608" t="s">
        <v>1683</v>
      </c>
      <c r="K608" t="s">
        <v>9445</v>
      </c>
      <c r="L608" t="s">
        <v>9417</v>
      </c>
      <c r="M608" t="s">
        <v>9473</v>
      </c>
      <c r="N608" t="s">
        <v>9426</v>
      </c>
      <c r="O608" t="s">
        <v>9446</v>
      </c>
      <c r="P608" t="s">
        <v>9647</v>
      </c>
      <c r="Q608" t="s">
        <v>9421</v>
      </c>
      <c r="R608" t="s">
        <v>56</v>
      </c>
      <c r="S608" t="s">
        <v>1560</v>
      </c>
      <c r="T608" t="s">
        <v>1562</v>
      </c>
    </row>
    <row r="609" spans="1:20">
      <c r="A609" t="s">
        <v>1785</v>
      </c>
      <c r="B609" t="s">
        <v>62</v>
      </c>
      <c r="C609" t="s">
        <v>6304</v>
      </c>
      <c r="D609" t="s">
        <v>9448</v>
      </c>
      <c r="E609" t="s">
        <v>10618</v>
      </c>
      <c r="F609" t="s">
        <v>9412</v>
      </c>
      <c r="G609" t="s">
        <v>9413</v>
      </c>
      <c r="H609" t="s">
        <v>9414</v>
      </c>
      <c r="I609" t="s">
        <v>10045</v>
      </c>
      <c r="J609" t="s">
        <v>1683</v>
      </c>
      <c r="K609" t="s">
        <v>9416</v>
      </c>
      <c r="L609" t="s">
        <v>9417</v>
      </c>
      <c r="M609" t="s">
        <v>9473</v>
      </c>
      <c r="N609" t="s">
        <v>9446</v>
      </c>
      <c r="O609" t="s">
        <v>6302</v>
      </c>
      <c r="P609" t="s">
        <v>9655</v>
      </c>
      <c r="Q609" t="s">
        <v>9421</v>
      </c>
      <c r="R609" t="s">
        <v>56</v>
      </c>
      <c r="S609" t="s">
        <v>1785</v>
      </c>
      <c r="T609" t="s">
        <v>1787</v>
      </c>
    </row>
    <row r="610" spans="1:20">
      <c r="A610" t="s">
        <v>1732</v>
      </c>
      <c r="B610" t="s">
        <v>62</v>
      </c>
      <c r="C610" t="s">
        <v>10619</v>
      </c>
      <c r="D610" t="s">
        <v>445</v>
      </c>
      <c r="E610" t="s">
        <v>10620</v>
      </c>
      <c r="F610" t="s">
        <v>9601</v>
      </c>
      <c r="G610" t="s">
        <v>9413</v>
      </c>
      <c r="H610" t="s">
        <v>1044</v>
      </c>
      <c r="I610" t="s">
        <v>9736</v>
      </c>
      <c r="J610" t="s">
        <v>1246</v>
      </c>
      <c r="K610" t="s">
        <v>9445</v>
      </c>
      <c r="L610" t="s">
        <v>9417</v>
      </c>
      <c r="M610" t="s">
        <v>9529</v>
      </c>
      <c r="N610" t="s">
        <v>9419</v>
      </c>
      <c r="O610" t="s">
        <v>9446</v>
      </c>
      <c r="P610" t="s">
        <v>9603</v>
      </c>
      <c r="Q610" t="s">
        <v>9421</v>
      </c>
      <c r="R610" t="s">
        <v>9604</v>
      </c>
      <c r="S610" t="s">
        <v>10621</v>
      </c>
      <c r="T610" t="s">
        <v>10622</v>
      </c>
    </row>
    <row r="611" spans="1:20">
      <c r="A611" t="s">
        <v>1736</v>
      </c>
      <c r="B611" t="s">
        <v>9409</v>
      </c>
      <c r="C611" t="s">
        <v>10623</v>
      </c>
      <c r="D611" t="s">
        <v>9410</v>
      </c>
      <c r="E611" t="s">
        <v>10624</v>
      </c>
      <c r="F611" t="s">
        <v>9601</v>
      </c>
      <c r="G611" t="s">
        <v>9413</v>
      </c>
      <c r="H611" t="s">
        <v>1044</v>
      </c>
      <c r="I611" t="s">
        <v>9511</v>
      </c>
      <c r="J611" t="s">
        <v>1920</v>
      </c>
      <c r="K611" t="s">
        <v>9445</v>
      </c>
      <c r="L611" t="s">
        <v>9417</v>
      </c>
      <c r="M611" t="s">
        <v>9810</v>
      </c>
      <c r="N611" t="s">
        <v>9608</v>
      </c>
      <c r="O611" t="s">
        <v>9446</v>
      </c>
      <c r="P611" t="s">
        <v>9603</v>
      </c>
      <c r="Q611" t="s">
        <v>9421</v>
      </c>
      <c r="R611" t="s">
        <v>9604</v>
      </c>
      <c r="S611" t="s">
        <v>10594</v>
      </c>
      <c r="T611" t="s">
        <v>10595</v>
      </c>
    </row>
    <row r="612" spans="1:20">
      <c r="A612" t="s">
        <v>9744</v>
      </c>
      <c r="B612" t="s">
        <v>62</v>
      </c>
      <c r="C612" t="s">
        <v>10625</v>
      </c>
      <c r="D612" t="s">
        <v>9410</v>
      </c>
      <c r="E612" t="s">
        <v>10626</v>
      </c>
      <c r="F612" t="s">
        <v>9601</v>
      </c>
      <c r="G612" t="s">
        <v>9413</v>
      </c>
      <c r="H612" t="s">
        <v>1044</v>
      </c>
      <c r="I612" t="s">
        <v>9709</v>
      </c>
      <c r="J612" t="s">
        <v>1808</v>
      </c>
      <c r="K612" t="s">
        <v>9445</v>
      </c>
      <c r="L612" t="s">
        <v>9417</v>
      </c>
      <c r="M612" t="s">
        <v>9418</v>
      </c>
      <c r="N612" t="s">
        <v>9639</v>
      </c>
      <c r="O612" t="s">
        <v>9446</v>
      </c>
      <c r="P612" t="s">
        <v>9603</v>
      </c>
      <c r="Q612" t="s">
        <v>9421</v>
      </c>
      <c r="R612" t="s">
        <v>9604</v>
      </c>
      <c r="S612" t="s">
        <v>10517</v>
      </c>
      <c r="T612" t="s">
        <v>10518</v>
      </c>
    </row>
    <row r="613" spans="1:20">
      <c r="A613" t="s">
        <v>1331</v>
      </c>
      <c r="B613" t="s">
        <v>62</v>
      </c>
      <c r="C613" t="s">
        <v>1789</v>
      </c>
      <c r="D613" t="s">
        <v>445</v>
      </c>
      <c r="E613" t="s">
        <v>10627</v>
      </c>
      <c r="F613" t="s">
        <v>9412</v>
      </c>
      <c r="G613" t="s">
        <v>9413</v>
      </c>
      <c r="H613" t="s">
        <v>1044</v>
      </c>
      <c r="I613" t="s">
        <v>10628</v>
      </c>
      <c r="J613" t="s">
        <v>1683</v>
      </c>
      <c r="K613" t="s">
        <v>9416</v>
      </c>
      <c r="L613" t="s">
        <v>9417</v>
      </c>
      <c r="M613" t="s">
        <v>9453</v>
      </c>
      <c r="N613" t="s">
        <v>9454</v>
      </c>
      <c r="O613" t="s">
        <v>6309</v>
      </c>
      <c r="P613" t="s">
        <v>10629</v>
      </c>
      <c r="Q613" t="s">
        <v>9421</v>
      </c>
      <c r="R613" t="s">
        <v>17</v>
      </c>
      <c r="S613" t="s">
        <v>1793</v>
      </c>
      <c r="T613" t="s">
        <v>1795</v>
      </c>
    </row>
    <row r="614" spans="1:20">
      <c r="A614" t="s">
        <v>1331</v>
      </c>
      <c r="B614" t="s">
        <v>62</v>
      </c>
      <c r="C614" t="s">
        <v>1789</v>
      </c>
      <c r="D614" t="s">
        <v>445</v>
      </c>
      <c r="E614" t="s">
        <v>10627</v>
      </c>
      <c r="F614" t="s">
        <v>9412</v>
      </c>
      <c r="G614" t="s">
        <v>9413</v>
      </c>
      <c r="H614" t="s">
        <v>1044</v>
      </c>
      <c r="I614" t="s">
        <v>10628</v>
      </c>
      <c r="J614" t="s">
        <v>1683</v>
      </c>
      <c r="K614" t="s">
        <v>9416</v>
      </c>
      <c r="L614" t="s">
        <v>9417</v>
      </c>
      <c r="M614" t="s">
        <v>9453</v>
      </c>
      <c r="N614" t="s">
        <v>9454</v>
      </c>
      <c r="O614" t="s">
        <v>6308</v>
      </c>
      <c r="P614" t="s">
        <v>9429</v>
      </c>
      <c r="Q614" t="s">
        <v>9421</v>
      </c>
      <c r="R614" t="s">
        <v>52</v>
      </c>
      <c r="S614" t="s">
        <v>1790</v>
      </c>
      <c r="T614" t="s">
        <v>1792</v>
      </c>
    </row>
    <row r="615" spans="1:20">
      <c r="A615" t="s">
        <v>1331</v>
      </c>
      <c r="B615" t="s">
        <v>62</v>
      </c>
      <c r="C615" t="s">
        <v>1789</v>
      </c>
      <c r="D615" t="s">
        <v>445</v>
      </c>
      <c r="E615" t="s">
        <v>10627</v>
      </c>
      <c r="F615" t="s">
        <v>9412</v>
      </c>
      <c r="G615" t="s">
        <v>9413</v>
      </c>
      <c r="H615" t="s">
        <v>1044</v>
      </c>
      <c r="I615" t="s">
        <v>10628</v>
      </c>
      <c r="J615" t="s">
        <v>1683</v>
      </c>
      <c r="K615" t="s">
        <v>9445</v>
      </c>
      <c r="L615" t="s">
        <v>9417</v>
      </c>
      <c r="M615" t="s">
        <v>9453</v>
      </c>
      <c r="N615" t="s">
        <v>9426</v>
      </c>
      <c r="O615" t="s">
        <v>9446</v>
      </c>
      <c r="P615" t="s">
        <v>9420</v>
      </c>
      <c r="Q615" t="s">
        <v>9421</v>
      </c>
      <c r="R615" t="s">
        <v>17</v>
      </c>
      <c r="S615" t="s">
        <v>1391</v>
      </c>
      <c r="T615" t="s">
        <v>1393</v>
      </c>
    </row>
    <row r="616" spans="1:20">
      <c r="A616" t="s">
        <v>1342</v>
      </c>
      <c r="B616" t="s">
        <v>62</v>
      </c>
      <c r="C616" t="s">
        <v>10630</v>
      </c>
      <c r="D616" t="s">
        <v>445</v>
      </c>
      <c r="E616" t="s">
        <v>10631</v>
      </c>
      <c r="F616" t="s">
        <v>9412</v>
      </c>
      <c r="G616" t="s">
        <v>9413</v>
      </c>
      <c r="H616" t="s">
        <v>1044</v>
      </c>
      <c r="I616" t="s">
        <v>10632</v>
      </c>
      <c r="J616" t="s">
        <v>1246</v>
      </c>
      <c r="K616" t="s">
        <v>9416</v>
      </c>
      <c r="L616" t="s">
        <v>9417</v>
      </c>
      <c r="M616" t="s">
        <v>9529</v>
      </c>
      <c r="N616" t="s">
        <v>9419</v>
      </c>
      <c r="O616" t="s">
        <v>5793</v>
      </c>
      <c r="P616" t="s">
        <v>10410</v>
      </c>
      <c r="Q616" t="s">
        <v>9421</v>
      </c>
      <c r="R616" t="s">
        <v>17</v>
      </c>
      <c r="S616" t="s">
        <v>1343</v>
      </c>
      <c r="T616" t="s">
        <v>1345</v>
      </c>
    </row>
    <row r="617" spans="1:20">
      <c r="A617" t="s">
        <v>10633</v>
      </c>
      <c r="B617" t="s">
        <v>62</v>
      </c>
      <c r="C617" t="s">
        <v>5568</v>
      </c>
      <c r="D617" t="s">
        <v>9410</v>
      </c>
      <c r="E617" t="s">
        <v>10634</v>
      </c>
      <c r="F617" t="s">
        <v>9412</v>
      </c>
      <c r="G617" t="s">
        <v>9413</v>
      </c>
      <c r="H617" t="s">
        <v>9414</v>
      </c>
      <c r="I617" t="s">
        <v>10635</v>
      </c>
      <c r="J617" t="s">
        <v>1155</v>
      </c>
      <c r="K617" t="s">
        <v>9445</v>
      </c>
      <c r="L617" t="s">
        <v>9417</v>
      </c>
      <c r="M617" t="s">
        <v>9503</v>
      </c>
      <c r="N617" t="s">
        <v>9488</v>
      </c>
      <c r="O617" t="s">
        <v>9446</v>
      </c>
      <c r="P617" t="s">
        <v>9420</v>
      </c>
      <c r="Q617" t="s">
        <v>9421</v>
      </c>
      <c r="R617" t="s">
        <v>17</v>
      </c>
      <c r="S617" t="s">
        <v>5565</v>
      </c>
      <c r="T617" t="s">
        <v>9504</v>
      </c>
    </row>
    <row r="618" spans="1:20">
      <c r="A618" t="s">
        <v>1697</v>
      </c>
      <c r="B618" t="s">
        <v>9409</v>
      </c>
      <c r="C618" t="s">
        <v>10636</v>
      </c>
      <c r="D618" t="s">
        <v>9410</v>
      </c>
      <c r="E618" t="s">
        <v>10637</v>
      </c>
      <c r="F618" t="s">
        <v>9601</v>
      </c>
      <c r="G618" t="s">
        <v>9413</v>
      </c>
      <c r="H618" t="s">
        <v>9414</v>
      </c>
      <c r="I618" t="s">
        <v>10601</v>
      </c>
      <c r="J618" t="s">
        <v>2174</v>
      </c>
      <c r="K618" t="s">
        <v>9416</v>
      </c>
      <c r="L618" t="s">
        <v>9417</v>
      </c>
      <c r="M618" t="s">
        <v>9534</v>
      </c>
      <c r="N618" t="s">
        <v>9430</v>
      </c>
      <c r="O618" t="s">
        <v>10638</v>
      </c>
      <c r="P618" t="s">
        <v>9526</v>
      </c>
      <c r="Q618" t="s">
        <v>9421</v>
      </c>
      <c r="R618" t="s">
        <v>17</v>
      </c>
      <c r="S618" t="s">
        <v>10639</v>
      </c>
      <c r="T618" t="s">
        <v>10640</v>
      </c>
    </row>
    <row r="619" spans="1:20">
      <c r="A619" t="s">
        <v>1700</v>
      </c>
      <c r="B619" t="s">
        <v>9409</v>
      </c>
      <c r="C619" t="s">
        <v>10641</v>
      </c>
      <c r="D619" t="s">
        <v>9410</v>
      </c>
      <c r="E619" t="s">
        <v>10642</v>
      </c>
      <c r="F619" t="s">
        <v>9601</v>
      </c>
      <c r="G619" t="s">
        <v>9413</v>
      </c>
      <c r="H619" t="s">
        <v>1044</v>
      </c>
      <c r="I619" t="s">
        <v>10066</v>
      </c>
      <c r="J619" t="s">
        <v>1808</v>
      </c>
      <c r="K619" t="s">
        <v>9445</v>
      </c>
      <c r="L619" t="s">
        <v>9417</v>
      </c>
      <c r="M619" t="s">
        <v>9840</v>
      </c>
      <c r="N619" t="s">
        <v>9639</v>
      </c>
      <c r="O619" t="s">
        <v>9446</v>
      </c>
      <c r="P619" t="s">
        <v>9603</v>
      </c>
      <c r="Q619" t="s">
        <v>9421</v>
      </c>
      <c r="R619" t="s">
        <v>9604</v>
      </c>
      <c r="S619" t="s">
        <v>10517</v>
      </c>
      <c r="T619" t="s">
        <v>10518</v>
      </c>
    </row>
    <row r="620" spans="1:20">
      <c r="A620" t="s">
        <v>1347</v>
      </c>
      <c r="B620" t="s">
        <v>20</v>
      </c>
      <c r="C620" t="s">
        <v>10643</v>
      </c>
      <c r="D620" t="s">
        <v>9475</v>
      </c>
      <c r="E620" t="s">
        <v>10644</v>
      </c>
      <c r="F620" t="s">
        <v>9601</v>
      </c>
      <c r="G620" t="s">
        <v>9413</v>
      </c>
      <c r="H620" t="s">
        <v>9414</v>
      </c>
      <c r="I620" t="s">
        <v>10609</v>
      </c>
      <c r="J620" t="s">
        <v>1246</v>
      </c>
      <c r="K620" t="s">
        <v>9416</v>
      </c>
      <c r="L620" t="s">
        <v>9417</v>
      </c>
      <c r="M620" t="s">
        <v>9418</v>
      </c>
      <c r="N620" t="s">
        <v>9419</v>
      </c>
      <c r="O620" t="s">
        <v>5796</v>
      </c>
      <c r="P620" t="s">
        <v>9420</v>
      </c>
      <c r="Q620" t="s">
        <v>9421</v>
      </c>
      <c r="R620" t="s">
        <v>17</v>
      </c>
      <c r="S620" t="s">
        <v>1348</v>
      </c>
      <c r="T620" t="s">
        <v>1350</v>
      </c>
    </row>
    <row r="621" spans="1:20">
      <c r="A621" t="s">
        <v>1326</v>
      </c>
      <c r="B621" t="s">
        <v>10645</v>
      </c>
      <c r="C621" t="s">
        <v>10646</v>
      </c>
      <c r="D621" t="s">
        <v>9410</v>
      </c>
      <c r="E621" t="s">
        <v>10647</v>
      </c>
      <c r="F621" t="s">
        <v>9412</v>
      </c>
      <c r="G621" t="s">
        <v>9413</v>
      </c>
      <c r="H621" t="s">
        <v>1044</v>
      </c>
      <c r="I621" t="s">
        <v>10648</v>
      </c>
      <c r="J621" t="s">
        <v>1920</v>
      </c>
      <c r="K621" t="s">
        <v>9445</v>
      </c>
      <c r="L621" t="s">
        <v>9417</v>
      </c>
      <c r="M621" t="s">
        <v>9783</v>
      </c>
      <c r="N621" t="s">
        <v>9608</v>
      </c>
      <c r="O621" t="s">
        <v>9446</v>
      </c>
      <c r="P621" t="s">
        <v>9420</v>
      </c>
      <c r="Q621" t="s">
        <v>9421</v>
      </c>
      <c r="R621" t="s">
        <v>17</v>
      </c>
      <c r="S621" t="s">
        <v>1940</v>
      </c>
      <c r="T621" t="s">
        <v>1942</v>
      </c>
    </row>
    <row r="622" spans="1:20">
      <c r="A622" t="s">
        <v>10649</v>
      </c>
      <c r="B622" t="s">
        <v>62</v>
      </c>
      <c r="C622" t="s">
        <v>10650</v>
      </c>
      <c r="D622" t="s">
        <v>9410</v>
      </c>
      <c r="E622" t="s">
        <v>10651</v>
      </c>
      <c r="F622" t="s">
        <v>9601</v>
      </c>
      <c r="G622" t="s">
        <v>9413</v>
      </c>
      <c r="H622" t="s">
        <v>9414</v>
      </c>
      <c r="I622" t="s">
        <v>9522</v>
      </c>
      <c r="J622" t="s">
        <v>1920</v>
      </c>
      <c r="K622" t="s">
        <v>9445</v>
      </c>
      <c r="L622" t="s">
        <v>9417</v>
      </c>
      <c r="M622" t="s">
        <v>9810</v>
      </c>
      <c r="N622" t="s">
        <v>9608</v>
      </c>
      <c r="O622" t="s">
        <v>9446</v>
      </c>
      <c r="P622" t="s">
        <v>9603</v>
      </c>
      <c r="Q622" t="s">
        <v>9421</v>
      </c>
      <c r="R622" t="s">
        <v>9604</v>
      </c>
      <c r="S622" t="s">
        <v>10594</v>
      </c>
      <c r="T622" t="s">
        <v>10595</v>
      </c>
    </row>
    <row r="623" spans="1:20">
      <c r="A623" t="s">
        <v>10652</v>
      </c>
      <c r="B623" t="s">
        <v>62</v>
      </c>
      <c r="C623" t="s">
        <v>10653</v>
      </c>
      <c r="D623" t="s">
        <v>9410</v>
      </c>
      <c r="E623" t="s">
        <v>10654</v>
      </c>
      <c r="F623" t="s">
        <v>9601</v>
      </c>
      <c r="G623" t="s">
        <v>9413</v>
      </c>
      <c r="H623" t="s">
        <v>9414</v>
      </c>
      <c r="I623" t="s">
        <v>9441</v>
      </c>
      <c r="J623" t="s">
        <v>1246</v>
      </c>
      <c r="K623" t="s">
        <v>9445</v>
      </c>
      <c r="L623" t="s">
        <v>9417</v>
      </c>
      <c r="M623" t="s">
        <v>9467</v>
      </c>
      <c r="N623" t="s">
        <v>9419</v>
      </c>
      <c r="O623" t="s">
        <v>9446</v>
      </c>
      <c r="P623" t="s">
        <v>9603</v>
      </c>
      <c r="Q623" t="s">
        <v>9421</v>
      </c>
      <c r="R623" t="s">
        <v>9604</v>
      </c>
      <c r="S623" t="s">
        <v>10621</v>
      </c>
      <c r="T623" t="s">
        <v>10622</v>
      </c>
    </row>
    <row r="624" spans="1:20">
      <c r="A624" t="s">
        <v>10655</v>
      </c>
      <c r="B624" t="s">
        <v>9409</v>
      </c>
      <c r="C624" t="s">
        <v>10656</v>
      </c>
      <c r="D624" t="s">
        <v>9410</v>
      </c>
      <c r="E624" t="s">
        <v>10657</v>
      </c>
      <c r="F624" t="s">
        <v>9601</v>
      </c>
      <c r="G624" t="s">
        <v>9413</v>
      </c>
      <c r="H624" t="s">
        <v>1044</v>
      </c>
      <c r="I624" t="s">
        <v>9415</v>
      </c>
      <c r="J624" t="s">
        <v>1808</v>
      </c>
      <c r="K624" t="s">
        <v>9445</v>
      </c>
      <c r="L624" t="s">
        <v>9417</v>
      </c>
      <c r="M624" t="s">
        <v>9840</v>
      </c>
      <c r="N624" t="s">
        <v>9639</v>
      </c>
      <c r="O624" t="s">
        <v>9446</v>
      </c>
      <c r="P624" t="s">
        <v>9603</v>
      </c>
      <c r="Q624" t="s">
        <v>9421</v>
      </c>
      <c r="R624" t="s">
        <v>9604</v>
      </c>
      <c r="S624" t="s">
        <v>10517</v>
      </c>
      <c r="T624" t="s">
        <v>10518</v>
      </c>
    </row>
    <row r="625" spans="1:20">
      <c r="A625" t="s">
        <v>1459</v>
      </c>
      <c r="B625" t="s">
        <v>62</v>
      </c>
      <c r="C625" t="s">
        <v>10658</v>
      </c>
      <c r="D625" t="s">
        <v>445</v>
      </c>
      <c r="E625" t="s">
        <v>10659</v>
      </c>
      <c r="F625" t="s">
        <v>9412</v>
      </c>
      <c r="G625" t="s">
        <v>10660</v>
      </c>
      <c r="H625" t="s">
        <v>1044</v>
      </c>
      <c r="I625" t="s">
        <v>10400</v>
      </c>
      <c r="J625" t="s">
        <v>2026</v>
      </c>
      <c r="K625" t="s">
        <v>9445</v>
      </c>
      <c r="L625" t="s">
        <v>9417</v>
      </c>
      <c r="M625" t="s">
        <v>9602</v>
      </c>
      <c r="N625" t="s">
        <v>9446</v>
      </c>
      <c r="O625" t="s">
        <v>9446</v>
      </c>
      <c r="P625" t="s">
        <v>9655</v>
      </c>
      <c r="Q625" t="s">
        <v>9421</v>
      </c>
      <c r="R625" t="s">
        <v>56</v>
      </c>
      <c r="S625" t="s">
        <v>6731</v>
      </c>
      <c r="T625" t="s">
        <v>10484</v>
      </c>
    </row>
    <row r="626" spans="1:20">
      <c r="A626" t="s">
        <v>2022</v>
      </c>
      <c r="B626" t="s">
        <v>9409</v>
      </c>
      <c r="C626" t="s">
        <v>10661</v>
      </c>
      <c r="D626" t="s">
        <v>9410</v>
      </c>
      <c r="E626" t="s">
        <v>10662</v>
      </c>
      <c r="F626" t="s">
        <v>9412</v>
      </c>
      <c r="G626" t="s">
        <v>9413</v>
      </c>
      <c r="H626" t="s">
        <v>9414</v>
      </c>
      <c r="I626" t="s">
        <v>9751</v>
      </c>
      <c r="J626" t="s">
        <v>1920</v>
      </c>
      <c r="K626" t="s">
        <v>9445</v>
      </c>
      <c r="L626" t="s">
        <v>9417</v>
      </c>
      <c r="M626" t="s">
        <v>9831</v>
      </c>
      <c r="N626" t="s">
        <v>9426</v>
      </c>
      <c r="O626" t="s">
        <v>9446</v>
      </c>
      <c r="P626" t="s">
        <v>9479</v>
      </c>
      <c r="Q626" t="s">
        <v>9421</v>
      </c>
      <c r="R626" t="s">
        <v>43</v>
      </c>
      <c r="S626" t="s">
        <v>1594</v>
      </c>
      <c r="T626" t="s">
        <v>1596</v>
      </c>
    </row>
    <row r="627" spans="1:20">
      <c r="A627" t="s">
        <v>2022</v>
      </c>
      <c r="B627" t="s">
        <v>9409</v>
      </c>
      <c r="C627" t="s">
        <v>10661</v>
      </c>
      <c r="D627" t="s">
        <v>9410</v>
      </c>
      <c r="E627" t="s">
        <v>10662</v>
      </c>
      <c r="F627" t="s">
        <v>9412</v>
      </c>
      <c r="G627" t="s">
        <v>9413</v>
      </c>
      <c r="H627" t="s">
        <v>9414</v>
      </c>
      <c r="I627" t="s">
        <v>9751</v>
      </c>
      <c r="J627" t="s">
        <v>1920</v>
      </c>
      <c r="K627" t="s">
        <v>9416</v>
      </c>
      <c r="L627" t="s">
        <v>9417</v>
      </c>
      <c r="M627" t="s">
        <v>9831</v>
      </c>
      <c r="N627" t="s">
        <v>9446</v>
      </c>
      <c r="O627" t="s">
        <v>6615</v>
      </c>
      <c r="P627" t="s">
        <v>9647</v>
      </c>
      <c r="Q627" t="s">
        <v>9421</v>
      </c>
      <c r="R627" t="s">
        <v>84</v>
      </c>
      <c r="S627" t="s">
        <v>6614</v>
      </c>
      <c r="T627" t="s">
        <v>10663</v>
      </c>
    </row>
    <row r="628" spans="1:20">
      <c r="A628" t="s">
        <v>1503</v>
      </c>
      <c r="B628" t="s">
        <v>62</v>
      </c>
      <c r="C628" t="s">
        <v>6621</v>
      </c>
      <c r="D628" t="s">
        <v>445</v>
      </c>
      <c r="E628" t="s">
        <v>10664</v>
      </c>
      <c r="F628" t="s">
        <v>9412</v>
      </c>
      <c r="G628" t="s">
        <v>9413</v>
      </c>
      <c r="H628" t="s">
        <v>9414</v>
      </c>
      <c r="I628" t="s">
        <v>9528</v>
      </c>
      <c r="J628" t="s">
        <v>1920</v>
      </c>
      <c r="K628" t="s">
        <v>9416</v>
      </c>
      <c r="L628" t="s">
        <v>9417</v>
      </c>
      <c r="M628" t="s">
        <v>9810</v>
      </c>
      <c r="N628" t="s">
        <v>9426</v>
      </c>
      <c r="O628" t="s">
        <v>6619</v>
      </c>
      <c r="P628" t="s">
        <v>10195</v>
      </c>
      <c r="Q628" t="s">
        <v>9421</v>
      </c>
      <c r="R628" t="s">
        <v>43</v>
      </c>
      <c r="S628" t="s">
        <v>2022</v>
      </c>
      <c r="T628" t="s">
        <v>2024</v>
      </c>
    </row>
    <row r="629" spans="1:20">
      <c r="A629" t="s">
        <v>6623</v>
      </c>
      <c r="B629" t="s">
        <v>9409</v>
      </c>
      <c r="C629" t="s">
        <v>10665</v>
      </c>
      <c r="D629" t="s">
        <v>9410</v>
      </c>
      <c r="E629" t="s">
        <v>10666</v>
      </c>
      <c r="F629" t="s">
        <v>9601</v>
      </c>
      <c r="G629" t="s">
        <v>9413</v>
      </c>
      <c r="H629" t="s">
        <v>1044</v>
      </c>
      <c r="I629" t="s">
        <v>9502</v>
      </c>
      <c r="J629" t="s">
        <v>1920</v>
      </c>
      <c r="K629" t="s">
        <v>9416</v>
      </c>
      <c r="L629" t="s">
        <v>9417</v>
      </c>
      <c r="M629" t="s">
        <v>9783</v>
      </c>
      <c r="N629" t="s">
        <v>9446</v>
      </c>
      <c r="O629" t="s">
        <v>6624</v>
      </c>
      <c r="P629" t="s">
        <v>9651</v>
      </c>
      <c r="Q629" t="s">
        <v>9421</v>
      </c>
      <c r="R629" t="s">
        <v>56</v>
      </c>
      <c r="S629" t="s">
        <v>6623</v>
      </c>
      <c r="T629" t="s">
        <v>10667</v>
      </c>
    </row>
    <row r="630" spans="1:20">
      <c r="A630" t="s">
        <v>10668</v>
      </c>
      <c r="B630" t="s">
        <v>9409</v>
      </c>
      <c r="C630" t="s">
        <v>10669</v>
      </c>
      <c r="D630" t="s">
        <v>9410</v>
      </c>
      <c r="E630" t="s">
        <v>10670</v>
      </c>
      <c r="F630" t="s">
        <v>9601</v>
      </c>
      <c r="G630" t="s">
        <v>9413</v>
      </c>
      <c r="H630" t="s">
        <v>1044</v>
      </c>
      <c r="I630" t="s">
        <v>9826</v>
      </c>
      <c r="J630" t="s">
        <v>2026</v>
      </c>
      <c r="K630" t="s">
        <v>9445</v>
      </c>
      <c r="L630" t="s">
        <v>9417</v>
      </c>
      <c r="M630" t="s">
        <v>9757</v>
      </c>
      <c r="N630" t="s">
        <v>9480</v>
      </c>
      <c r="O630" t="s">
        <v>9446</v>
      </c>
      <c r="P630" t="s">
        <v>9623</v>
      </c>
      <c r="Q630" t="s">
        <v>9421</v>
      </c>
      <c r="R630" t="s">
        <v>24</v>
      </c>
      <c r="S630" t="s">
        <v>6661</v>
      </c>
      <c r="T630" t="s">
        <v>10137</v>
      </c>
    </row>
    <row r="631" spans="1:20">
      <c r="A631" t="s">
        <v>5803</v>
      </c>
      <c r="B631" t="s">
        <v>9446</v>
      </c>
      <c r="C631" t="s">
        <v>10671</v>
      </c>
      <c r="D631" t="s">
        <v>9410</v>
      </c>
      <c r="E631" t="s">
        <v>1350</v>
      </c>
      <c r="F631" t="s">
        <v>9412</v>
      </c>
      <c r="G631" t="s">
        <v>9413</v>
      </c>
      <c r="H631" t="s">
        <v>1044</v>
      </c>
      <c r="I631" t="s">
        <v>10582</v>
      </c>
      <c r="J631" t="s">
        <v>1246</v>
      </c>
      <c r="K631" t="s">
        <v>9445</v>
      </c>
      <c r="L631" t="s">
        <v>9417</v>
      </c>
      <c r="M631" t="s">
        <v>9418</v>
      </c>
      <c r="N631" t="s">
        <v>9419</v>
      </c>
      <c r="O631" t="s">
        <v>9446</v>
      </c>
      <c r="P631" t="s">
        <v>9420</v>
      </c>
      <c r="Q631" t="s">
        <v>9421</v>
      </c>
      <c r="R631" t="s">
        <v>17</v>
      </c>
      <c r="S631" t="s">
        <v>1348</v>
      </c>
      <c r="T631" t="s">
        <v>1350</v>
      </c>
    </row>
    <row r="632" spans="1:20">
      <c r="A632" t="s">
        <v>10672</v>
      </c>
      <c r="B632" t="s">
        <v>9409</v>
      </c>
      <c r="C632" t="s">
        <v>10673</v>
      </c>
      <c r="D632" t="s">
        <v>9410</v>
      </c>
      <c r="E632" t="s">
        <v>10674</v>
      </c>
      <c r="F632" t="s">
        <v>9601</v>
      </c>
      <c r="G632" t="s">
        <v>9413</v>
      </c>
      <c r="H632" t="s">
        <v>9414</v>
      </c>
      <c r="I632" t="s">
        <v>9819</v>
      </c>
      <c r="J632" t="s">
        <v>2026</v>
      </c>
      <c r="K632" t="s">
        <v>9416</v>
      </c>
      <c r="L632" t="s">
        <v>9417</v>
      </c>
      <c r="M632" t="s">
        <v>9425</v>
      </c>
      <c r="N632" t="s">
        <v>9480</v>
      </c>
      <c r="O632" t="s">
        <v>10675</v>
      </c>
      <c r="P632" t="s">
        <v>9420</v>
      </c>
      <c r="Q632" t="s">
        <v>9421</v>
      </c>
      <c r="R632" t="s">
        <v>17</v>
      </c>
      <c r="S632" t="s">
        <v>10676</v>
      </c>
      <c r="T632" t="s">
        <v>10677</v>
      </c>
    </row>
    <row r="633" spans="1:20">
      <c r="A633" t="s">
        <v>1903</v>
      </c>
      <c r="B633" t="s">
        <v>62</v>
      </c>
      <c r="C633" t="s">
        <v>10678</v>
      </c>
      <c r="D633" t="s">
        <v>445</v>
      </c>
      <c r="E633" t="s">
        <v>10679</v>
      </c>
      <c r="F633" t="s">
        <v>9412</v>
      </c>
      <c r="G633" t="s">
        <v>9413</v>
      </c>
      <c r="H633" t="s">
        <v>1044</v>
      </c>
      <c r="I633" t="s">
        <v>10628</v>
      </c>
      <c r="J633" t="s">
        <v>1808</v>
      </c>
      <c r="K633" t="s">
        <v>9416</v>
      </c>
      <c r="L633" t="s">
        <v>9417</v>
      </c>
      <c r="M633" t="s">
        <v>9418</v>
      </c>
      <c r="N633" t="s">
        <v>9639</v>
      </c>
      <c r="O633" t="s">
        <v>6460</v>
      </c>
      <c r="P633" t="s">
        <v>10680</v>
      </c>
      <c r="Q633" t="s">
        <v>9421</v>
      </c>
      <c r="R633" t="s">
        <v>17</v>
      </c>
      <c r="S633" t="s">
        <v>1908</v>
      </c>
      <c r="T633" t="s">
        <v>1910</v>
      </c>
    </row>
    <row r="634" spans="1:20">
      <c r="A634" t="s">
        <v>1903</v>
      </c>
      <c r="B634" t="s">
        <v>62</v>
      </c>
      <c r="C634" t="s">
        <v>10678</v>
      </c>
      <c r="D634" t="s">
        <v>445</v>
      </c>
      <c r="E634" t="s">
        <v>10679</v>
      </c>
      <c r="F634" t="s">
        <v>9412</v>
      </c>
      <c r="G634" t="s">
        <v>9413</v>
      </c>
      <c r="H634" t="s">
        <v>1044</v>
      </c>
      <c r="I634" t="s">
        <v>10628</v>
      </c>
      <c r="J634" t="s">
        <v>1808</v>
      </c>
      <c r="K634" t="s">
        <v>9416</v>
      </c>
      <c r="L634" t="s">
        <v>9417</v>
      </c>
      <c r="M634" t="s">
        <v>9418</v>
      </c>
      <c r="N634" t="s">
        <v>9639</v>
      </c>
      <c r="O634" t="s">
        <v>6456</v>
      </c>
      <c r="P634" t="s">
        <v>9429</v>
      </c>
      <c r="Q634" t="s">
        <v>9421</v>
      </c>
      <c r="R634" t="s">
        <v>52</v>
      </c>
      <c r="S634" t="s">
        <v>1904</v>
      </c>
      <c r="T634" t="s">
        <v>1906</v>
      </c>
    </row>
    <row r="635" spans="1:20">
      <c r="A635" t="s">
        <v>10681</v>
      </c>
      <c r="B635" t="s">
        <v>62</v>
      </c>
      <c r="C635" t="s">
        <v>10682</v>
      </c>
      <c r="D635" t="s">
        <v>9410</v>
      </c>
      <c r="E635" t="s">
        <v>10683</v>
      </c>
      <c r="F635" t="s">
        <v>9601</v>
      </c>
      <c r="G635" t="s">
        <v>9413</v>
      </c>
      <c r="H635" t="s">
        <v>1044</v>
      </c>
      <c r="I635" t="s">
        <v>9415</v>
      </c>
      <c r="J635" t="s">
        <v>1808</v>
      </c>
      <c r="K635" t="s">
        <v>9445</v>
      </c>
      <c r="L635" t="s">
        <v>9417</v>
      </c>
      <c r="M635" t="s">
        <v>9870</v>
      </c>
      <c r="N635" t="s">
        <v>9639</v>
      </c>
      <c r="O635" t="s">
        <v>9446</v>
      </c>
      <c r="P635" t="s">
        <v>9603</v>
      </c>
      <c r="Q635" t="s">
        <v>9421</v>
      </c>
      <c r="R635" t="s">
        <v>9604</v>
      </c>
      <c r="S635" t="s">
        <v>10517</v>
      </c>
      <c r="T635" t="s">
        <v>10518</v>
      </c>
    </row>
    <row r="636" spans="1:20">
      <c r="A636" t="s">
        <v>5531</v>
      </c>
      <c r="B636" t="s">
        <v>10645</v>
      </c>
      <c r="C636" t="s">
        <v>10684</v>
      </c>
      <c r="D636" t="s">
        <v>9410</v>
      </c>
      <c r="E636" t="s">
        <v>10685</v>
      </c>
      <c r="F636" t="s">
        <v>9601</v>
      </c>
      <c r="G636" t="s">
        <v>9413</v>
      </c>
      <c r="H636" t="s">
        <v>1044</v>
      </c>
      <c r="I636" t="s">
        <v>10582</v>
      </c>
      <c r="J636" t="s">
        <v>1043</v>
      </c>
      <c r="K636" t="s">
        <v>9416</v>
      </c>
      <c r="L636" t="s">
        <v>9417</v>
      </c>
      <c r="M636" t="s">
        <v>9458</v>
      </c>
      <c r="N636" t="s">
        <v>9446</v>
      </c>
      <c r="O636" t="s">
        <v>5529</v>
      </c>
      <c r="P636" t="s">
        <v>10686</v>
      </c>
      <c r="Q636" t="s">
        <v>9421</v>
      </c>
      <c r="R636" t="s">
        <v>56</v>
      </c>
      <c r="S636" t="s">
        <v>5528</v>
      </c>
      <c r="T636" t="s">
        <v>10687</v>
      </c>
    </row>
    <row r="637" spans="1:20">
      <c r="A637" t="s">
        <v>10688</v>
      </c>
      <c r="B637" t="s">
        <v>9409</v>
      </c>
      <c r="C637" t="s">
        <v>10689</v>
      </c>
      <c r="D637" t="s">
        <v>9410</v>
      </c>
      <c r="E637" t="s">
        <v>10620</v>
      </c>
      <c r="F637" t="s">
        <v>9601</v>
      </c>
      <c r="G637" t="s">
        <v>9413</v>
      </c>
      <c r="H637" t="s">
        <v>9414</v>
      </c>
      <c r="I637" t="s">
        <v>10540</v>
      </c>
      <c r="J637" t="s">
        <v>1246</v>
      </c>
      <c r="K637" t="s">
        <v>9416</v>
      </c>
      <c r="L637" t="s">
        <v>9417</v>
      </c>
      <c r="M637" t="s">
        <v>9529</v>
      </c>
      <c r="N637" t="s">
        <v>9419</v>
      </c>
      <c r="O637" t="s">
        <v>10690</v>
      </c>
      <c r="P637" t="s">
        <v>9603</v>
      </c>
      <c r="Q637" t="s">
        <v>9421</v>
      </c>
      <c r="R637" t="s">
        <v>9604</v>
      </c>
      <c r="S637" t="s">
        <v>10621</v>
      </c>
      <c r="T637" t="s">
        <v>10622</v>
      </c>
    </row>
    <row r="638" spans="1:20">
      <c r="A638" t="s">
        <v>1568</v>
      </c>
      <c r="B638" t="s">
        <v>62</v>
      </c>
      <c r="C638" t="s">
        <v>5806</v>
      </c>
      <c r="D638" t="s">
        <v>9448</v>
      </c>
      <c r="E638" t="s">
        <v>10691</v>
      </c>
      <c r="F638" t="s">
        <v>9601</v>
      </c>
      <c r="G638" t="s">
        <v>9413</v>
      </c>
      <c r="H638" t="s">
        <v>9414</v>
      </c>
      <c r="I638" t="s">
        <v>10601</v>
      </c>
      <c r="J638" t="s">
        <v>1246</v>
      </c>
      <c r="K638" t="s">
        <v>9445</v>
      </c>
      <c r="L638" t="s">
        <v>9417</v>
      </c>
      <c r="M638" t="s">
        <v>9483</v>
      </c>
      <c r="N638" t="s">
        <v>9419</v>
      </c>
      <c r="O638" t="s">
        <v>9446</v>
      </c>
      <c r="P638" t="s">
        <v>9420</v>
      </c>
      <c r="Q638" t="s">
        <v>9421</v>
      </c>
      <c r="R638" t="s">
        <v>17</v>
      </c>
      <c r="S638" t="s">
        <v>5692</v>
      </c>
      <c r="T638" t="s">
        <v>9692</v>
      </c>
    </row>
    <row r="639" spans="1:20">
      <c r="A639" t="s">
        <v>10692</v>
      </c>
      <c r="B639" t="s">
        <v>62</v>
      </c>
      <c r="C639" t="s">
        <v>10693</v>
      </c>
      <c r="D639" t="s">
        <v>9448</v>
      </c>
      <c r="E639" t="s">
        <v>10694</v>
      </c>
      <c r="F639" t="s">
        <v>9601</v>
      </c>
      <c r="G639" t="s">
        <v>9413</v>
      </c>
      <c r="H639" t="s">
        <v>1044</v>
      </c>
      <c r="I639" t="s">
        <v>9645</v>
      </c>
      <c r="J639" t="s">
        <v>1808</v>
      </c>
      <c r="K639" t="s">
        <v>9445</v>
      </c>
      <c r="L639" t="s">
        <v>9417</v>
      </c>
      <c r="M639" t="s">
        <v>9870</v>
      </c>
      <c r="N639" t="s">
        <v>9639</v>
      </c>
      <c r="O639" t="s">
        <v>9446</v>
      </c>
      <c r="P639" t="s">
        <v>9603</v>
      </c>
      <c r="Q639" t="s">
        <v>9421</v>
      </c>
      <c r="R639" t="s">
        <v>9604</v>
      </c>
      <c r="S639" t="s">
        <v>10517</v>
      </c>
      <c r="T639" t="s">
        <v>10518</v>
      </c>
    </row>
    <row r="640" spans="1:20">
      <c r="A640" t="s">
        <v>1630</v>
      </c>
      <c r="B640" t="s">
        <v>9409</v>
      </c>
      <c r="C640" t="s">
        <v>10695</v>
      </c>
      <c r="D640" t="s">
        <v>9410</v>
      </c>
      <c r="E640" t="s">
        <v>10696</v>
      </c>
      <c r="F640" t="s">
        <v>9601</v>
      </c>
      <c r="G640" t="s">
        <v>9413</v>
      </c>
      <c r="H640" t="s">
        <v>9414</v>
      </c>
      <c r="I640" t="s">
        <v>9502</v>
      </c>
      <c r="J640" t="s">
        <v>1246</v>
      </c>
      <c r="K640" t="s">
        <v>9416</v>
      </c>
      <c r="L640" t="s">
        <v>9417</v>
      </c>
      <c r="M640" t="s">
        <v>9467</v>
      </c>
      <c r="N640" t="s">
        <v>9419</v>
      </c>
      <c r="O640" t="s">
        <v>10697</v>
      </c>
      <c r="P640" t="s">
        <v>9459</v>
      </c>
      <c r="Q640" t="s">
        <v>9421</v>
      </c>
      <c r="R640" t="s">
        <v>17</v>
      </c>
      <c r="S640" t="s">
        <v>10698</v>
      </c>
      <c r="T640" t="s">
        <v>10699</v>
      </c>
    </row>
    <row r="641" spans="1:20">
      <c r="A641" t="s">
        <v>1763</v>
      </c>
      <c r="B641" t="s">
        <v>9409</v>
      </c>
      <c r="C641" t="s">
        <v>10700</v>
      </c>
      <c r="D641" t="s">
        <v>9410</v>
      </c>
      <c r="E641" t="s">
        <v>10701</v>
      </c>
      <c r="F641" t="s">
        <v>9601</v>
      </c>
      <c r="G641" t="s">
        <v>9413</v>
      </c>
      <c r="H641" t="s">
        <v>1044</v>
      </c>
      <c r="I641" t="s">
        <v>9709</v>
      </c>
      <c r="J641" t="s">
        <v>1246</v>
      </c>
      <c r="K641" t="s">
        <v>9445</v>
      </c>
      <c r="L641" t="s">
        <v>9417</v>
      </c>
      <c r="M641" t="s">
        <v>9467</v>
      </c>
      <c r="N641" t="s">
        <v>9426</v>
      </c>
      <c r="O641" t="s">
        <v>9446</v>
      </c>
      <c r="P641" t="s">
        <v>9524</v>
      </c>
      <c r="Q641" t="s">
        <v>9421</v>
      </c>
      <c r="R641" t="s">
        <v>24</v>
      </c>
      <c r="S641" t="s">
        <v>1071</v>
      </c>
      <c r="T641" t="s">
        <v>1073</v>
      </c>
    </row>
    <row r="642" spans="1:20">
      <c r="A642" t="s">
        <v>1429</v>
      </c>
      <c r="B642" t="s">
        <v>62</v>
      </c>
      <c r="C642" t="s">
        <v>10702</v>
      </c>
      <c r="D642" t="s">
        <v>9410</v>
      </c>
      <c r="E642" t="s">
        <v>10703</v>
      </c>
      <c r="F642" t="s">
        <v>9601</v>
      </c>
      <c r="G642" t="s">
        <v>9413</v>
      </c>
      <c r="H642" t="s">
        <v>1044</v>
      </c>
      <c r="I642" t="s">
        <v>10509</v>
      </c>
      <c r="J642" t="s">
        <v>2026</v>
      </c>
      <c r="K642" t="s">
        <v>9416</v>
      </c>
      <c r="L642" t="s">
        <v>9417</v>
      </c>
      <c r="M642" t="s">
        <v>9820</v>
      </c>
      <c r="N642" t="s">
        <v>9480</v>
      </c>
      <c r="O642" t="s">
        <v>10704</v>
      </c>
      <c r="P642" t="s">
        <v>9603</v>
      </c>
      <c r="Q642" t="s">
        <v>9421</v>
      </c>
      <c r="R642" t="s">
        <v>9604</v>
      </c>
      <c r="S642" t="s">
        <v>9605</v>
      </c>
      <c r="T642" t="s">
        <v>9606</v>
      </c>
    </row>
    <row r="643" spans="1:20">
      <c r="A643" t="s">
        <v>10621</v>
      </c>
      <c r="B643" t="s">
        <v>9409</v>
      </c>
      <c r="C643" t="s">
        <v>10705</v>
      </c>
      <c r="D643" t="s">
        <v>9410</v>
      </c>
      <c r="E643" t="s">
        <v>10706</v>
      </c>
      <c r="F643" t="s">
        <v>9601</v>
      </c>
      <c r="G643" t="s">
        <v>9413</v>
      </c>
      <c r="H643" t="s">
        <v>1044</v>
      </c>
      <c r="I643" t="s">
        <v>10177</v>
      </c>
      <c r="J643" t="s">
        <v>1808</v>
      </c>
      <c r="K643" t="s">
        <v>9445</v>
      </c>
      <c r="L643" t="s">
        <v>9417</v>
      </c>
      <c r="M643" t="s">
        <v>9638</v>
      </c>
      <c r="N643" t="s">
        <v>9639</v>
      </c>
      <c r="O643" t="s">
        <v>9446</v>
      </c>
      <c r="P643" t="s">
        <v>9603</v>
      </c>
      <c r="Q643" t="s">
        <v>9421</v>
      </c>
      <c r="R643" t="s">
        <v>9604</v>
      </c>
      <c r="S643" t="s">
        <v>10517</v>
      </c>
      <c r="T643" t="s">
        <v>10518</v>
      </c>
    </row>
    <row r="644" spans="1:20">
      <c r="A644" t="s">
        <v>10517</v>
      </c>
      <c r="B644" t="s">
        <v>9409</v>
      </c>
      <c r="C644" t="s">
        <v>10707</v>
      </c>
      <c r="D644" t="s">
        <v>9410</v>
      </c>
      <c r="E644" t="s">
        <v>10708</v>
      </c>
      <c r="F644" t="s">
        <v>9601</v>
      </c>
      <c r="G644" t="s">
        <v>9413</v>
      </c>
      <c r="H644" t="s">
        <v>1044</v>
      </c>
      <c r="I644" t="s">
        <v>10709</v>
      </c>
      <c r="J644" t="s">
        <v>1808</v>
      </c>
      <c r="K644" t="s">
        <v>9445</v>
      </c>
      <c r="L644" t="s">
        <v>9417</v>
      </c>
      <c r="M644" t="s">
        <v>9870</v>
      </c>
      <c r="N644" t="s">
        <v>9639</v>
      </c>
      <c r="O644" t="s">
        <v>9446</v>
      </c>
      <c r="P644" t="s">
        <v>9420</v>
      </c>
      <c r="Q644" t="s">
        <v>9421</v>
      </c>
      <c r="R644" t="s">
        <v>17</v>
      </c>
      <c r="S644" t="s">
        <v>9866</v>
      </c>
      <c r="T644" t="s">
        <v>9872</v>
      </c>
    </row>
    <row r="645" spans="1:20">
      <c r="A645" t="s">
        <v>10710</v>
      </c>
      <c r="B645" t="s">
        <v>9409</v>
      </c>
      <c r="C645" t="s">
        <v>10711</v>
      </c>
      <c r="D645" t="s">
        <v>9410</v>
      </c>
      <c r="E645" t="s">
        <v>10712</v>
      </c>
      <c r="F645" t="s">
        <v>9601</v>
      </c>
      <c r="G645" t="s">
        <v>9413</v>
      </c>
      <c r="H645" t="s">
        <v>9414</v>
      </c>
      <c r="I645" t="s">
        <v>10202</v>
      </c>
      <c r="J645" t="s">
        <v>2026</v>
      </c>
      <c r="K645" t="s">
        <v>9445</v>
      </c>
      <c r="L645" t="s">
        <v>9417</v>
      </c>
      <c r="M645" t="s">
        <v>9820</v>
      </c>
      <c r="N645" t="s">
        <v>9426</v>
      </c>
      <c r="O645" t="s">
        <v>9446</v>
      </c>
      <c r="P645" t="s">
        <v>10713</v>
      </c>
      <c r="Q645" t="s">
        <v>9421</v>
      </c>
      <c r="R645" t="s">
        <v>43</v>
      </c>
      <c r="S645" t="s">
        <v>2606</v>
      </c>
      <c r="T645" t="s">
        <v>2608</v>
      </c>
    </row>
    <row r="646" spans="1:20">
      <c r="A646" t="s">
        <v>10714</v>
      </c>
      <c r="B646" t="s">
        <v>9409</v>
      </c>
      <c r="C646" t="s">
        <v>10715</v>
      </c>
      <c r="D646" t="s">
        <v>9410</v>
      </c>
      <c r="E646" t="s">
        <v>10716</v>
      </c>
      <c r="F646" t="s">
        <v>9601</v>
      </c>
      <c r="G646" t="s">
        <v>9413</v>
      </c>
      <c r="H646" t="s">
        <v>1044</v>
      </c>
      <c r="I646" t="s">
        <v>9751</v>
      </c>
      <c r="J646" t="s">
        <v>1155</v>
      </c>
      <c r="K646" t="s">
        <v>9416</v>
      </c>
      <c r="L646" t="s">
        <v>9417</v>
      </c>
      <c r="M646" t="s">
        <v>9487</v>
      </c>
      <c r="N646" t="s">
        <v>9446</v>
      </c>
      <c r="O646" t="s">
        <v>10717</v>
      </c>
      <c r="P646" t="s">
        <v>9655</v>
      </c>
      <c r="Q646" t="s">
        <v>9421</v>
      </c>
      <c r="R646" t="s">
        <v>56</v>
      </c>
      <c r="S646" t="s">
        <v>10718</v>
      </c>
      <c r="T646" t="s">
        <v>10719</v>
      </c>
    </row>
    <row r="647" spans="1:20">
      <c r="A647" t="s">
        <v>6896</v>
      </c>
      <c r="B647" t="s">
        <v>62</v>
      </c>
      <c r="C647" t="s">
        <v>10720</v>
      </c>
      <c r="D647" t="s">
        <v>445</v>
      </c>
      <c r="E647" t="s">
        <v>10721</v>
      </c>
      <c r="F647" t="s">
        <v>9601</v>
      </c>
      <c r="G647" t="s">
        <v>9413</v>
      </c>
      <c r="H647" t="s">
        <v>1044</v>
      </c>
      <c r="I647" t="s">
        <v>9714</v>
      </c>
      <c r="J647" t="s">
        <v>2174</v>
      </c>
      <c r="K647" t="s">
        <v>9445</v>
      </c>
      <c r="L647" t="s">
        <v>9417</v>
      </c>
      <c r="M647" t="s">
        <v>9776</v>
      </c>
      <c r="N647" t="s">
        <v>9446</v>
      </c>
      <c r="O647" t="s">
        <v>9446</v>
      </c>
      <c r="P647" t="s">
        <v>9647</v>
      </c>
      <c r="Q647" t="s">
        <v>9421</v>
      </c>
      <c r="R647" t="s">
        <v>84</v>
      </c>
      <c r="S647" t="s">
        <v>2223</v>
      </c>
      <c r="T647" t="s">
        <v>2225</v>
      </c>
    </row>
    <row r="648" spans="1:20">
      <c r="A648" t="s">
        <v>1641</v>
      </c>
      <c r="B648" t="s">
        <v>9409</v>
      </c>
      <c r="C648" t="s">
        <v>10722</v>
      </c>
      <c r="D648" t="s">
        <v>9410</v>
      </c>
      <c r="E648" t="s">
        <v>10723</v>
      </c>
      <c r="F648" t="s">
        <v>9601</v>
      </c>
      <c r="G648" t="s">
        <v>9413</v>
      </c>
      <c r="H648" t="s">
        <v>1044</v>
      </c>
      <c r="I648" t="s">
        <v>10186</v>
      </c>
      <c r="J648" t="s">
        <v>1808</v>
      </c>
      <c r="K648" t="s">
        <v>9445</v>
      </c>
      <c r="L648" t="s">
        <v>9417</v>
      </c>
      <c r="M648" t="s">
        <v>9870</v>
      </c>
      <c r="N648" t="s">
        <v>9639</v>
      </c>
      <c r="O648" t="s">
        <v>9446</v>
      </c>
      <c r="P648" t="s">
        <v>9603</v>
      </c>
      <c r="Q648" t="s">
        <v>9421</v>
      </c>
      <c r="R648" t="s">
        <v>9604</v>
      </c>
      <c r="S648" t="s">
        <v>10517</v>
      </c>
      <c r="T648" t="s">
        <v>10518</v>
      </c>
    </row>
    <row r="649" spans="1:20">
      <c r="A649" t="s">
        <v>9761</v>
      </c>
      <c r="B649" t="s">
        <v>9409</v>
      </c>
      <c r="C649" t="s">
        <v>10724</v>
      </c>
      <c r="D649" t="s">
        <v>9410</v>
      </c>
      <c r="E649" t="s">
        <v>10725</v>
      </c>
      <c r="F649" t="s">
        <v>9601</v>
      </c>
      <c r="G649" t="s">
        <v>9413</v>
      </c>
      <c r="H649" t="s">
        <v>1044</v>
      </c>
      <c r="I649" t="s">
        <v>9462</v>
      </c>
      <c r="J649" t="s">
        <v>1246</v>
      </c>
      <c r="K649" t="s">
        <v>9416</v>
      </c>
      <c r="L649" t="s">
        <v>9417</v>
      </c>
      <c r="M649" t="s">
        <v>9840</v>
      </c>
      <c r="N649" t="s">
        <v>9446</v>
      </c>
      <c r="O649" t="s">
        <v>10726</v>
      </c>
      <c r="P649" t="s">
        <v>10548</v>
      </c>
      <c r="Q649" t="s">
        <v>9421</v>
      </c>
      <c r="R649" t="s">
        <v>56</v>
      </c>
      <c r="S649" t="s">
        <v>10727</v>
      </c>
      <c r="T649" t="s">
        <v>10728</v>
      </c>
    </row>
    <row r="650" spans="1:20">
      <c r="A650" t="s">
        <v>1432</v>
      </c>
      <c r="B650" t="s">
        <v>62</v>
      </c>
      <c r="C650" t="s">
        <v>1436</v>
      </c>
      <c r="D650" t="s">
        <v>10271</v>
      </c>
      <c r="E650" t="s">
        <v>10729</v>
      </c>
      <c r="F650" t="s">
        <v>9601</v>
      </c>
      <c r="G650" t="s">
        <v>9413</v>
      </c>
      <c r="H650" t="s">
        <v>1044</v>
      </c>
      <c r="I650" t="s">
        <v>10066</v>
      </c>
      <c r="J650" t="s">
        <v>1375</v>
      </c>
      <c r="K650" t="s">
        <v>9416</v>
      </c>
      <c r="L650" t="s">
        <v>9417</v>
      </c>
      <c r="M650" t="s">
        <v>9442</v>
      </c>
      <c r="N650" t="s">
        <v>9430</v>
      </c>
      <c r="O650" t="s">
        <v>5894</v>
      </c>
      <c r="P650" t="s">
        <v>10178</v>
      </c>
      <c r="Q650" t="s">
        <v>9421</v>
      </c>
      <c r="R650" t="s">
        <v>24</v>
      </c>
      <c r="S650" t="s">
        <v>1433</v>
      </c>
      <c r="T650" t="s">
        <v>1435</v>
      </c>
    </row>
    <row r="651" spans="1:20">
      <c r="A651" t="s">
        <v>1129</v>
      </c>
      <c r="B651" t="s">
        <v>62</v>
      </c>
      <c r="C651" t="s">
        <v>5539</v>
      </c>
      <c r="D651" t="s">
        <v>9448</v>
      </c>
      <c r="E651" t="s">
        <v>10730</v>
      </c>
      <c r="F651" t="s">
        <v>9601</v>
      </c>
      <c r="G651" t="s">
        <v>9413</v>
      </c>
      <c r="H651" t="s">
        <v>9414</v>
      </c>
      <c r="I651" t="s">
        <v>10492</v>
      </c>
      <c r="J651" t="s">
        <v>1043</v>
      </c>
      <c r="K651" t="s">
        <v>9416</v>
      </c>
      <c r="L651" t="s">
        <v>9417</v>
      </c>
      <c r="M651" t="s">
        <v>9463</v>
      </c>
      <c r="N651" t="s">
        <v>9430</v>
      </c>
      <c r="O651" t="s">
        <v>5537</v>
      </c>
      <c r="P651" t="s">
        <v>9431</v>
      </c>
      <c r="Q651" t="s">
        <v>9421</v>
      </c>
      <c r="R651" t="s">
        <v>24</v>
      </c>
      <c r="S651" t="s">
        <v>1130</v>
      </c>
      <c r="T651" t="s">
        <v>1132</v>
      </c>
    </row>
    <row r="652" spans="1:20">
      <c r="A652" t="s">
        <v>10731</v>
      </c>
      <c r="B652" t="s">
        <v>62</v>
      </c>
      <c r="C652" t="s">
        <v>10732</v>
      </c>
      <c r="D652" t="s">
        <v>9410</v>
      </c>
      <c r="E652" t="s">
        <v>10733</v>
      </c>
      <c r="F652" t="s">
        <v>9601</v>
      </c>
      <c r="G652" t="s">
        <v>9413</v>
      </c>
      <c r="H652" t="s">
        <v>9414</v>
      </c>
      <c r="I652" t="s">
        <v>10205</v>
      </c>
      <c r="J652" t="s">
        <v>1920</v>
      </c>
      <c r="K652" t="s">
        <v>9445</v>
      </c>
      <c r="L652" t="s">
        <v>9417</v>
      </c>
      <c r="M652" t="s">
        <v>9478</v>
      </c>
      <c r="N652" t="s">
        <v>9608</v>
      </c>
      <c r="O652" t="s">
        <v>9446</v>
      </c>
      <c r="P652" t="s">
        <v>9603</v>
      </c>
      <c r="Q652" t="s">
        <v>9421</v>
      </c>
      <c r="R652" t="s">
        <v>9604</v>
      </c>
      <c r="S652" t="s">
        <v>10594</v>
      </c>
      <c r="T652" t="s">
        <v>10595</v>
      </c>
    </row>
    <row r="653" spans="1:20">
      <c r="A653" t="s">
        <v>1796</v>
      </c>
      <c r="B653" t="s">
        <v>62</v>
      </c>
      <c r="C653" t="s">
        <v>6310</v>
      </c>
      <c r="D653" t="s">
        <v>445</v>
      </c>
      <c r="E653" t="s">
        <v>10734</v>
      </c>
      <c r="F653" t="s">
        <v>9412</v>
      </c>
      <c r="G653" t="s">
        <v>9413</v>
      </c>
      <c r="H653" t="s">
        <v>9414</v>
      </c>
      <c r="I653" t="s">
        <v>10205</v>
      </c>
      <c r="J653" t="s">
        <v>1683</v>
      </c>
      <c r="K653" t="s">
        <v>9416</v>
      </c>
      <c r="L653" t="s">
        <v>9417</v>
      </c>
      <c r="M653" t="s">
        <v>9453</v>
      </c>
      <c r="N653" t="s">
        <v>9454</v>
      </c>
      <c r="O653" t="s">
        <v>6312</v>
      </c>
      <c r="P653" t="s">
        <v>9420</v>
      </c>
      <c r="Q653" t="s">
        <v>9421</v>
      </c>
      <c r="R653" t="s">
        <v>17</v>
      </c>
      <c r="S653" t="s">
        <v>1798</v>
      </c>
      <c r="T653" t="s">
        <v>1800</v>
      </c>
    </row>
    <row r="654" spans="1:20">
      <c r="A654" t="s">
        <v>1796</v>
      </c>
      <c r="B654" t="s">
        <v>62</v>
      </c>
      <c r="C654" t="s">
        <v>6310</v>
      </c>
      <c r="D654" t="s">
        <v>445</v>
      </c>
      <c r="E654" t="s">
        <v>10734</v>
      </c>
      <c r="F654" t="s">
        <v>9412</v>
      </c>
      <c r="G654" t="s">
        <v>9413</v>
      </c>
      <c r="H654" t="s">
        <v>9414</v>
      </c>
      <c r="I654" t="s">
        <v>10205</v>
      </c>
      <c r="J654" t="s">
        <v>1683</v>
      </c>
      <c r="K654" t="s">
        <v>9445</v>
      </c>
      <c r="L654" t="s">
        <v>9417</v>
      </c>
      <c r="M654" t="s">
        <v>9453</v>
      </c>
      <c r="N654" t="s">
        <v>9426</v>
      </c>
      <c r="O654" t="s">
        <v>9446</v>
      </c>
      <c r="P654" t="s">
        <v>9420</v>
      </c>
      <c r="Q654" t="s">
        <v>9421</v>
      </c>
      <c r="R654" t="s">
        <v>17</v>
      </c>
      <c r="S654" t="s">
        <v>1391</v>
      </c>
      <c r="T654" t="s">
        <v>1393</v>
      </c>
    </row>
    <row r="655" spans="1:20">
      <c r="A655" t="s">
        <v>10735</v>
      </c>
      <c r="B655" t="s">
        <v>9409</v>
      </c>
      <c r="C655" t="s">
        <v>10736</v>
      </c>
      <c r="D655" t="s">
        <v>9410</v>
      </c>
      <c r="E655" t="s">
        <v>10737</v>
      </c>
      <c r="F655" t="s">
        <v>9412</v>
      </c>
      <c r="G655" t="s">
        <v>9413</v>
      </c>
      <c r="H655" t="s">
        <v>9414</v>
      </c>
      <c r="I655" t="s">
        <v>9457</v>
      </c>
      <c r="J655" t="s">
        <v>1246</v>
      </c>
      <c r="K655" t="s">
        <v>9445</v>
      </c>
      <c r="L655" t="s">
        <v>9417</v>
      </c>
      <c r="M655" t="s">
        <v>9458</v>
      </c>
      <c r="N655" t="s">
        <v>9446</v>
      </c>
      <c r="O655" t="s">
        <v>9446</v>
      </c>
      <c r="P655" t="s">
        <v>10738</v>
      </c>
      <c r="Q655" t="s">
        <v>9421</v>
      </c>
      <c r="R655" t="s">
        <v>56</v>
      </c>
      <c r="S655" t="s">
        <v>10739</v>
      </c>
      <c r="T655" t="s">
        <v>10740</v>
      </c>
    </row>
    <row r="656" spans="1:20">
      <c r="A656" t="s">
        <v>1352</v>
      </c>
      <c r="B656" t="s">
        <v>20</v>
      </c>
      <c r="C656" t="s">
        <v>1356</v>
      </c>
      <c r="D656" t="s">
        <v>9898</v>
      </c>
      <c r="E656" t="s">
        <v>10741</v>
      </c>
      <c r="F656" t="s">
        <v>9412</v>
      </c>
      <c r="G656" t="s">
        <v>9413</v>
      </c>
      <c r="H656" t="s">
        <v>1044</v>
      </c>
      <c r="I656" t="s">
        <v>9792</v>
      </c>
      <c r="J656" t="s">
        <v>1246</v>
      </c>
      <c r="K656" t="s">
        <v>9445</v>
      </c>
      <c r="L656" t="s">
        <v>9417</v>
      </c>
      <c r="M656" t="s">
        <v>9458</v>
      </c>
      <c r="N656" t="s">
        <v>9426</v>
      </c>
      <c r="O656" t="s">
        <v>9446</v>
      </c>
      <c r="P656" t="s">
        <v>9655</v>
      </c>
      <c r="Q656" t="s">
        <v>9421</v>
      </c>
      <c r="R656" t="s">
        <v>56</v>
      </c>
      <c r="S656" t="s">
        <v>1353</v>
      </c>
      <c r="T656" t="s">
        <v>1355</v>
      </c>
    </row>
    <row r="657" spans="1:20">
      <c r="A657" t="s">
        <v>1352</v>
      </c>
      <c r="B657" t="s">
        <v>20</v>
      </c>
      <c r="C657" t="s">
        <v>1356</v>
      </c>
      <c r="D657" t="s">
        <v>9898</v>
      </c>
      <c r="E657" t="s">
        <v>10741</v>
      </c>
      <c r="F657" t="s">
        <v>9412</v>
      </c>
      <c r="G657" t="s">
        <v>9413</v>
      </c>
      <c r="H657" t="s">
        <v>1044</v>
      </c>
      <c r="I657" t="s">
        <v>9792</v>
      </c>
      <c r="J657" t="s">
        <v>1246</v>
      </c>
      <c r="K657" t="s">
        <v>9416</v>
      </c>
      <c r="L657" t="s">
        <v>9417</v>
      </c>
      <c r="M657" t="s">
        <v>9458</v>
      </c>
      <c r="N657" t="s">
        <v>9446</v>
      </c>
      <c r="O657" t="s">
        <v>5812</v>
      </c>
      <c r="P657" t="s">
        <v>10742</v>
      </c>
      <c r="Q657" t="s">
        <v>9421</v>
      </c>
      <c r="R657" t="s">
        <v>56</v>
      </c>
      <c r="S657" t="s">
        <v>1357</v>
      </c>
      <c r="T657" t="s">
        <v>1359</v>
      </c>
    </row>
    <row r="658" spans="1:20">
      <c r="A658" t="s">
        <v>1134</v>
      </c>
      <c r="B658" t="s">
        <v>62</v>
      </c>
      <c r="C658" t="s">
        <v>5543</v>
      </c>
      <c r="D658" t="s">
        <v>9448</v>
      </c>
      <c r="E658" t="s">
        <v>10743</v>
      </c>
      <c r="F658" t="s">
        <v>9412</v>
      </c>
      <c r="G658" t="s">
        <v>9413</v>
      </c>
      <c r="H658" t="s">
        <v>9414</v>
      </c>
      <c r="I658" t="s">
        <v>9495</v>
      </c>
      <c r="J658" t="s">
        <v>1043</v>
      </c>
      <c r="K658" t="s">
        <v>9416</v>
      </c>
      <c r="L658" t="s">
        <v>9417</v>
      </c>
      <c r="M658" t="s">
        <v>9458</v>
      </c>
      <c r="N658" t="s">
        <v>9446</v>
      </c>
      <c r="O658" t="s">
        <v>5547</v>
      </c>
      <c r="P658" t="s">
        <v>9651</v>
      </c>
      <c r="Q658" t="s">
        <v>9421</v>
      </c>
      <c r="R658" t="s">
        <v>56</v>
      </c>
      <c r="S658" t="s">
        <v>1142</v>
      </c>
      <c r="T658" t="s">
        <v>1144</v>
      </c>
    </row>
    <row r="659" spans="1:20">
      <c r="A659" t="s">
        <v>1134</v>
      </c>
      <c r="B659" t="s">
        <v>62</v>
      </c>
      <c r="C659" t="s">
        <v>5543</v>
      </c>
      <c r="D659" t="s">
        <v>9448</v>
      </c>
      <c r="E659" t="s">
        <v>10743</v>
      </c>
      <c r="F659" t="s">
        <v>9412</v>
      </c>
      <c r="G659" t="s">
        <v>9413</v>
      </c>
      <c r="H659" t="s">
        <v>9414</v>
      </c>
      <c r="I659" t="s">
        <v>9495</v>
      </c>
      <c r="J659" t="s">
        <v>1043</v>
      </c>
      <c r="K659" t="s">
        <v>9416</v>
      </c>
      <c r="L659" t="s">
        <v>9417</v>
      </c>
      <c r="M659" t="s">
        <v>9458</v>
      </c>
      <c r="N659" t="s">
        <v>9446</v>
      </c>
      <c r="O659" t="s">
        <v>5541</v>
      </c>
      <c r="P659" t="s">
        <v>9655</v>
      </c>
      <c r="Q659" t="s">
        <v>9421</v>
      </c>
      <c r="R659" t="s">
        <v>56</v>
      </c>
      <c r="S659" t="s">
        <v>1135</v>
      </c>
      <c r="T659" t="s">
        <v>1137</v>
      </c>
    </row>
    <row r="660" spans="1:20">
      <c r="A660" t="s">
        <v>1134</v>
      </c>
      <c r="B660" t="s">
        <v>62</v>
      </c>
      <c r="C660" t="s">
        <v>5543</v>
      </c>
      <c r="D660" t="s">
        <v>9448</v>
      </c>
      <c r="E660" t="s">
        <v>10743</v>
      </c>
      <c r="F660" t="s">
        <v>9412</v>
      </c>
      <c r="G660" t="s">
        <v>9413</v>
      </c>
      <c r="H660" t="s">
        <v>9414</v>
      </c>
      <c r="I660" t="s">
        <v>9495</v>
      </c>
      <c r="J660" t="s">
        <v>1043</v>
      </c>
      <c r="K660" t="s">
        <v>9416</v>
      </c>
      <c r="L660" t="s">
        <v>9417</v>
      </c>
      <c r="M660" t="s">
        <v>9458</v>
      </c>
      <c r="N660" t="s">
        <v>9446</v>
      </c>
      <c r="O660" t="s">
        <v>5545</v>
      </c>
      <c r="P660" t="s">
        <v>9655</v>
      </c>
      <c r="Q660" t="s">
        <v>9421</v>
      </c>
      <c r="R660" t="s">
        <v>56</v>
      </c>
      <c r="S660" t="s">
        <v>1139</v>
      </c>
      <c r="T660" t="s">
        <v>1141</v>
      </c>
    </row>
    <row r="661" spans="1:20">
      <c r="A661" t="s">
        <v>10744</v>
      </c>
      <c r="B661" t="s">
        <v>9409</v>
      </c>
      <c r="C661" t="s">
        <v>10745</v>
      </c>
      <c r="D661" t="s">
        <v>9410</v>
      </c>
      <c r="E661" t="s">
        <v>10746</v>
      </c>
      <c r="F661" t="s">
        <v>9412</v>
      </c>
      <c r="G661" t="s">
        <v>9413</v>
      </c>
      <c r="H661" t="s">
        <v>9414</v>
      </c>
      <c r="I661" t="s">
        <v>10747</v>
      </c>
      <c r="J661" t="s">
        <v>1246</v>
      </c>
      <c r="K661" t="s">
        <v>9416</v>
      </c>
      <c r="L661" t="s">
        <v>9417</v>
      </c>
      <c r="M661" t="s">
        <v>9580</v>
      </c>
      <c r="N661" t="s">
        <v>9446</v>
      </c>
      <c r="O661" t="s">
        <v>5780</v>
      </c>
      <c r="P661" t="s">
        <v>9655</v>
      </c>
      <c r="Q661" t="s">
        <v>9421</v>
      </c>
      <c r="R661" t="s">
        <v>56</v>
      </c>
      <c r="S661" t="s">
        <v>5779</v>
      </c>
      <c r="T661" t="s">
        <v>10748</v>
      </c>
    </row>
    <row r="662" spans="1:20">
      <c r="A662" t="s">
        <v>1911</v>
      </c>
      <c r="B662" t="s">
        <v>62</v>
      </c>
      <c r="C662" t="s">
        <v>10749</v>
      </c>
      <c r="D662" t="s">
        <v>445</v>
      </c>
      <c r="E662" t="s">
        <v>10750</v>
      </c>
      <c r="F662" t="s">
        <v>9412</v>
      </c>
      <c r="G662" t="s">
        <v>9413</v>
      </c>
      <c r="H662" t="s">
        <v>9414</v>
      </c>
      <c r="I662" t="s">
        <v>10492</v>
      </c>
      <c r="J662" t="s">
        <v>1808</v>
      </c>
      <c r="K662" t="s">
        <v>9445</v>
      </c>
      <c r="L662" t="s">
        <v>9417</v>
      </c>
      <c r="M662" t="s">
        <v>9831</v>
      </c>
      <c r="N662" t="s">
        <v>9426</v>
      </c>
      <c r="O662" t="s">
        <v>9446</v>
      </c>
      <c r="P662" t="s">
        <v>9479</v>
      </c>
      <c r="Q662" t="s">
        <v>9421</v>
      </c>
      <c r="R662" t="s">
        <v>43</v>
      </c>
      <c r="S662" t="s">
        <v>1889</v>
      </c>
      <c r="T662" t="s">
        <v>1891</v>
      </c>
    </row>
    <row r="663" spans="1:20">
      <c r="A663" t="s">
        <v>1911</v>
      </c>
      <c r="B663" t="s">
        <v>62</v>
      </c>
      <c r="C663" t="s">
        <v>10749</v>
      </c>
      <c r="D663" t="s">
        <v>445</v>
      </c>
      <c r="E663" t="s">
        <v>10750</v>
      </c>
      <c r="F663" t="s">
        <v>9412</v>
      </c>
      <c r="G663" t="s">
        <v>9413</v>
      </c>
      <c r="H663" t="s">
        <v>9414</v>
      </c>
      <c r="I663" t="s">
        <v>10492</v>
      </c>
      <c r="J663" t="s">
        <v>1808</v>
      </c>
      <c r="K663" t="s">
        <v>9416</v>
      </c>
      <c r="L663" t="s">
        <v>9417</v>
      </c>
      <c r="M663" t="s">
        <v>9831</v>
      </c>
      <c r="N663" t="s">
        <v>9639</v>
      </c>
      <c r="O663" t="s">
        <v>6462</v>
      </c>
      <c r="P663" t="s">
        <v>9524</v>
      </c>
      <c r="Q663" t="s">
        <v>9421</v>
      </c>
      <c r="R663" t="s">
        <v>24</v>
      </c>
      <c r="S663" t="s">
        <v>1912</v>
      </c>
      <c r="T663" t="s">
        <v>1914</v>
      </c>
    </row>
    <row r="664" spans="1:20">
      <c r="A664" t="s">
        <v>1801</v>
      </c>
      <c r="B664" t="s">
        <v>62</v>
      </c>
      <c r="C664" t="s">
        <v>6315</v>
      </c>
      <c r="D664" t="s">
        <v>445</v>
      </c>
      <c r="E664" t="s">
        <v>10751</v>
      </c>
      <c r="F664" t="s">
        <v>9601</v>
      </c>
      <c r="G664" t="s">
        <v>9413</v>
      </c>
      <c r="H664" t="s">
        <v>9414</v>
      </c>
      <c r="I664" t="s">
        <v>10205</v>
      </c>
      <c r="J664" t="s">
        <v>1683</v>
      </c>
      <c r="K664" t="s">
        <v>9416</v>
      </c>
      <c r="L664" t="s">
        <v>9417</v>
      </c>
      <c r="M664" t="s">
        <v>9473</v>
      </c>
      <c r="N664" t="s">
        <v>9454</v>
      </c>
      <c r="O664" t="s">
        <v>6313</v>
      </c>
      <c r="P664" t="s">
        <v>9623</v>
      </c>
      <c r="Q664" t="s">
        <v>9421</v>
      </c>
      <c r="R664" t="s">
        <v>24</v>
      </c>
      <c r="S664" t="s">
        <v>1802</v>
      </c>
      <c r="T664" t="s">
        <v>1804</v>
      </c>
    </row>
    <row r="665" spans="1:20">
      <c r="A665" t="s">
        <v>1360</v>
      </c>
      <c r="B665" t="s">
        <v>62</v>
      </c>
      <c r="C665" t="s">
        <v>1364</v>
      </c>
      <c r="D665" t="s">
        <v>9448</v>
      </c>
      <c r="E665" t="s">
        <v>10752</v>
      </c>
      <c r="F665" t="s">
        <v>9601</v>
      </c>
      <c r="G665" t="s">
        <v>9413</v>
      </c>
      <c r="H665" t="s">
        <v>1044</v>
      </c>
      <c r="I665" t="s">
        <v>10589</v>
      </c>
      <c r="J665" t="s">
        <v>1246</v>
      </c>
      <c r="K665" t="s">
        <v>9416</v>
      </c>
      <c r="L665" t="s">
        <v>9417</v>
      </c>
      <c r="M665" t="s">
        <v>9483</v>
      </c>
      <c r="N665" t="s">
        <v>9446</v>
      </c>
      <c r="O665" t="s">
        <v>5814</v>
      </c>
      <c r="P665" t="s">
        <v>9655</v>
      </c>
      <c r="Q665" t="s">
        <v>9421</v>
      </c>
      <c r="R665" t="s">
        <v>56</v>
      </c>
      <c r="S665" t="s">
        <v>1361</v>
      </c>
      <c r="T665" t="s">
        <v>1363</v>
      </c>
    </row>
    <row r="666" spans="1:20">
      <c r="A666" t="s">
        <v>10753</v>
      </c>
      <c r="B666" t="s">
        <v>9409</v>
      </c>
      <c r="C666" t="s">
        <v>10754</v>
      </c>
      <c r="D666" t="s">
        <v>9410</v>
      </c>
      <c r="E666" t="s">
        <v>10755</v>
      </c>
      <c r="F666" t="s">
        <v>9601</v>
      </c>
      <c r="G666" t="s">
        <v>9413</v>
      </c>
      <c r="H666" t="s">
        <v>9414</v>
      </c>
      <c r="I666" t="s">
        <v>10066</v>
      </c>
      <c r="J666" t="s">
        <v>1246</v>
      </c>
      <c r="K666" t="s">
        <v>9445</v>
      </c>
      <c r="L666" t="s">
        <v>9417</v>
      </c>
      <c r="M666" t="s">
        <v>9467</v>
      </c>
      <c r="N666" t="s">
        <v>9419</v>
      </c>
      <c r="O666" t="s">
        <v>9446</v>
      </c>
      <c r="P666" t="s">
        <v>9459</v>
      </c>
      <c r="Q666" t="s">
        <v>9421</v>
      </c>
      <c r="R666" t="s">
        <v>17</v>
      </c>
      <c r="S666" t="s">
        <v>9583</v>
      </c>
      <c r="T666" t="s">
        <v>9588</v>
      </c>
    </row>
    <row r="667" spans="1:20">
      <c r="A667" t="s">
        <v>10756</v>
      </c>
      <c r="B667" t="s">
        <v>9409</v>
      </c>
      <c r="C667" t="s">
        <v>10757</v>
      </c>
      <c r="D667" t="s">
        <v>9410</v>
      </c>
      <c r="E667" t="s">
        <v>10758</v>
      </c>
      <c r="F667" t="s">
        <v>9601</v>
      </c>
      <c r="G667" t="s">
        <v>9413</v>
      </c>
      <c r="H667" t="s">
        <v>9414</v>
      </c>
      <c r="I667" t="s">
        <v>9709</v>
      </c>
      <c r="J667" t="s">
        <v>1246</v>
      </c>
      <c r="K667" t="s">
        <v>9416</v>
      </c>
      <c r="L667" t="s">
        <v>9417</v>
      </c>
      <c r="M667" t="s">
        <v>9467</v>
      </c>
      <c r="N667" t="s">
        <v>9426</v>
      </c>
      <c r="O667" t="s">
        <v>5461</v>
      </c>
      <c r="P667" t="s">
        <v>9524</v>
      </c>
      <c r="Q667" t="s">
        <v>9421</v>
      </c>
      <c r="R667" t="s">
        <v>24</v>
      </c>
      <c r="S667" t="s">
        <v>1071</v>
      </c>
      <c r="T667" t="s">
        <v>1073</v>
      </c>
    </row>
    <row r="668" spans="1:20">
      <c r="A668" t="s">
        <v>6194</v>
      </c>
      <c r="B668" t="s">
        <v>62</v>
      </c>
      <c r="C668" t="s">
        <v>6130</v>
      </c>
      <c r="D668" t="s">
        <v>9448</v>
      </c>
      <c r="E668" t="s">
        <v>10759</v>
      </c>
      <c r="F668" t="s">
        <v>9412</v>
      </c>
      <c r="G668" t="s">
        <v>10760</v>
      </c>
      <c r="H668" t="s">
        <v>9414</v>
      </c>
      <c r="I668" t="s">
        <v>10761</v>
      </c>
      <c r="J668" t="s">
        <v>1589</v>
      </c>
      <c r="K668" t="s">
        <v>9445</v>
      </c>
      <c r="L668" t="s">
        <v>9417</v>
      </c>
      <c r="M668" t="s">
        <v>9788</v>
      </c>
      <c r="N668" t="s">
        <v>9716</v>
      </c>
      <c r="O668" t="s">
        <v>9446</v>
      </c>
      <c r="P668" t="s">
        <v>9420</v>
      </c>
      <c r="Q668" t="s">
        <v>9421</v>
      </c>
      <c r="R668" t="s">
        <v>24</v>
      </c>
      <c r="S668" t="s">
        <v>1622</v>
      </c>
      <c r="T668" t="s">
        <v>1624</v>
      </c>
    </row>
    <row r="669" spans="1:20">
      <c r="A669" t="s">
        <v>1312</v>
      </c>
      <c r="B669" t="s">
        <v>9409</v>
      </c>
      <c r="C669" t="s">
        <v>10762</v>
      </c>
      <c r="D669" t="s">
        <v>9410</v>
      </c>
      <c r="E669" t="s">
        <v>10763</v>
      </c>
      <c r="F669" t="s">
        <v>9412</v>
      </c>
      <c r="G669" t="s">
        <v>10760</v>
      </c>
      <c r="H669" t="s">
        <v>9414</v>
      </c>
      <c r="I669" t="s">
        <v>10764</v>
      </c>
      <c r="J669" t="s">
        <v>2026</v>
      </c>
      <c r="K669" t="s">
        <v>9445</v>
      </c>
      <c r="L669" t="s">
        <v>9417</v>
      </c>
      <c r="M669" t="s">
        <v>9705</v>
      </c>
      <c r="N669" t="s">
        <v>9480</v>
      </c>
      <c r="O669" t="s">
        <v>9446</v>
      </c>
      <c r="P669" t="s">
        <v>9459</v>
      </c>
      <c r="Q669" t="s">
        <v>9421</v>
      </c>
      <c r="R669" t="s">
        <v>17</v>
      </c>
      <c r="S669" t="s">
        <v>10765</v>
      </c>
      <c r="T669" t="s">
        <v>10766</v>
      </c>
    </row>
    <row r="670" spans="1:20">
      <c r="A670" t="s">
        <v>10594</v>
      </c>
      <c r="B670" t="s">
        <v>9409</v>
      </c>
      <c r="C670" t="s">
        <v>10221</v>
      </c>
      <c r="D670" t="s">
        <v>9410</v>
      </c>
      <c r="E670" t="s">
        <v>10767</v>
      </c>
      <c r="F670" t="s">
        <v>9412</v>
      </c>
      <c r="G670" t="s">
        <v>10760</v>
      </c>
      <c r="H670" t="s">
        <v>9414</v>
      </c>
      <c r="I670" t="s">
        <v>9766</v>
      </c>
      <c r="J670" t="s">
        <v>1442</v>
      </c>
      <c r="K670" t="s">
        <v>9445</v>
      </c>
      <c r="L670" t="s">
        <v>9417</v>
      </c>
      <c r="M670" t="s">
        <v>9702</v>
      </c>
      <c r="N670" t="s">
        <v>9428</v>
      </c>
      <c r="O670" t="s">
        <v>9446</v>
      </c>
      <c r="P670" t="s">
        <v>9420</v>
      </c>
      <c r="Q670" t="s">
        <v>9421</v>
      </c>
      <c r="R670" t="s">
        <v>17</v>
      </c>
      <c r="S670" t="s">
        <v>10220</v>
      </c>
      <c r="T670" t="s">
        <v>10224</v>
      </c>
    </row>
    <row r="671" spans="1:20">
      <c r="A671" t="s">
        <v>10768</v>
      </c>
      <c r="B671" t="s">
        <v>9409</v>
      </c>
      <c r="C671" t="s">
        <v>10769</v>
      </c>
      <c r="D671" t="s">
        <v>9410</v>
      </c>
      <c r="E671" t="s">
        <v>10770</v>
      </c>
      <c r="F671" t="s">
        <v>9412</v>
      </c>
      <c r="G671" t="s">
        <v>9413</v>
      </c>
      <c r="H671" t="s">
        <v>9414</v>
      </c>
      <c r="I671" t="s">
        <v>9869</v>
      </c>
      <c r="J671" t="s">
        <v>1246</v>
      </c>
      <c r="K671" t="s">
        <v>9416</v>
      </c>
      <c r="L671" t="s">
        <v>9417</v>
      </c>
      <c r="M671" t="s">
        <v>9467</v>
      </c>
      <c r="N671" t="s">
        <v>9419</v>
      </c>
      <c r="O671" t="s">
        <v>10771</v>
      </c>
      <c r="P671" t="s">
        <v>9429</v>
      </c>
      <c r="Q671" t="s">
        <v>9421</v>
      </c>
      <c r="R671" t="s">
        <v>52</v>
      </c>
      <c r="S671" t="s">
        <v>10772</v>
      </c>
      <c r="T671" t="s">
        <v>10773</v>
      </c>
    </row>
    <row r="672" spans="1:20">
      <c r="A672" t="s">
        <v>10768</v>
      </c>
      <c r="B672" t="s">
        <v>9409</v>
      </c>
      <c r="C672" t="s">
        <v>10769</v>
      </c>
      <c r="D672" t="s">
        <v>9410</v>
      </c>
      <c r="E672" t="s">
        <v>10770</v>
      </c>
      <c r="F672" t="s">
        <v>9412</v>
      </c>
      <c r="G672" t="s">
        <v>9413</v>
      </c>
      <c r="H672" t="s">
        <v>9414</v>
      </c>
      <c r="I672" t="s">
        <v>9869</v>
      </c>
      <c r="J672" t="s">
        <v>1246</v>
      </c>
      <c r="K672" t="s">
        <v>9416</v>
      </c>
      <c r="L672" t="s">
        <v>9417</v>
      </c>
      <c r="M672" t="s">
        <v>9467</v>
      </c>
      <c r="N672" t="s">
        <v>9419</v>
      </c>
      <c r="O672" t="s">
        <v>10774</v>
      </c>
      <c r="P672" t="s">
        <v>9420</v>
      </c>
      <c r="Q672" t="s">
        <v>9421</v>
      </c>
      <c r="R672" t="s">
        <v>17</v>
      </c>
      <c r="S672" t="s">
        <v>10775</v>
      </c>
      <c r="T672" t="s">
        <v>10776</v>
      </c>
    </row>
    <row r="673" spans="1:20">
      <c r="A673" t="s">
        <v>10777</v>
      </c>
      <c r="B673" t="s">
        <v>9409</v>
      </c>
      <c r="C673" t="s">
        <v>10778</v>
      </c>
      <c r="D673" t="s">
        <v>9410</v>
      </c>
      <c r="E673" t="s">
        <v>10779</v>
      </c>
      <c r="F673" t="s">
        <v>9412</v>
      </c>
      <c r="G673" t="s">
        <v>9413</v>
      </c>
      <c r="H673" t="s">
        <v>9414</v>
      </c>
      <c r="I673" t="s">
        <v>9771</v>
      </c>
      <c r="J673" t="s">
        <v>1683</v>
      </c>
      <c r="K673" t="s">
        <v>9445</v>
      </c>
      <c r="L673" t="s">
        <v>9417</v>
      </c>
      <c r="M673" t="s">
        <v>9473</v>
      </c>
      <c r="N673" t="s">
        <v>9454</v>
      </c>
      <c r="O673" t="s">
        <v>9446</v>
      </c>
      <c r="P673" t="s">
        <v>9420</v>
      </c>
      <c r="Q673" t="s">
        <v>9421</v>
      </c>
      <c r="R673" t="s">
        <v>17</v>
      </c>
      <c r="S673" t="s">
        <v>9958</v>
      </c>
      <c r="T673" t="s">
        <v>9962</v>
      </c>
    </row>
    <row r="674" spans="1:20">
      <c r="A674" t="s">
        <v>10780</v>
      </c>
      <c r="B674" t="s">
        <v>9409</v>
      </c>
      <c r="C674" t="s">
        <v>10762</v>
      </c>
      <c r="D674" t="s">
        <v>9410</v>
      </c>
      <c r="E674" t="s">
        <v>10781</v>
      </c>
      <c r="F674" t="s">
        <v>9412</v>
      </c>
      <c r="G674" t="s">
        <v>9413</v>
      </c>
      <c r="H674" t="s">
        <v>9414</v>
      </c>
      <c r="I674" t="s">
        <v>9905</v>
      </c>
      <c r="J674" t="s">
        <v>2026</v>
      </c>
      <c r="K674" t="s">
        <v>9416</v>
      </c>
      <c r="L674" t="s">
        <v>9417</v>
      </c>
      <c r="M674" t="s">
        <v>9705</v>
      </c>
      <c r="N674" t="s">
        <v>9480</v>
      </c>
      <c r="O674" t="s">
        <v>10782</v>
      </c>
      <c r="P674" t="s">
        <v>9459</v>
      </c>
      <c r="Q674" t="s">
        <v>9421</v>
      </c>
      <c r="R674" t="s">
        <v>17</v>
      </c>
      <c r="S674" t="s">
        <v>10765</v>
      </c>
      <c r="T674" t="s">
        <v>10766</v>
      </c>
    </row>
    <row r="675" spans="1:20">
      <c r="A675" t="s">
        <v>10783</v>
      </c>
      <c r="B675" t="s">
        <v>9409</v>
      </c>
      <c r="C675" t="s">
        <v>9992</v>
      </c>
      <c r="D675" t="s">
        <v>9410</v>
      </c>
      <c r="E675" t="s">
        <v>10784</v>
      </c>
      <c r="F675" t="s">
        <v>9412</v>
      </c>
      <c r="G675" t="s">
        <v>10760</v>
      </c>
      <c r="H675" t="s">
        <v>9414</v>
      </c>
      <c r="I675" t="s">
        <v>9771</v>
      </c>
      <c r="J675" t="s">
        <v>1683</v>
      </c>
      <c r="K675" t="s">
        <v>9445</v>
      </c>
      <c r="L675" t="s">
        <v>9417</v>
      </c>
      <c r="M675" t="s">
        <v>9453</v>
      </c>
      <c r="N675" t="s">
        <v>9454</v>
      </c>
      <c r="O675" t="s">
        <v>9446</v>
      </c>
      <c r="P675" t="s">
        <v>9420</v>
      </c>
      <c r="Q675" t="s">
        <v>9421</v>
      </c>
      <c r="R675" t="s">
        <v>17</v>
      </c>
      <c r="S675" t="s">
        <v>9991</v>
      </c>
      <c r="T675" t="s">
        <v>9995</v>
      </c>
    </row>
    <row r="676" spans="1:20">
      <c r="A676" t="s">
        <v>10785</v>
      </c>
      <c r="B676" t="s">
        <v>9409</v>
      </c>
      <c r="C676" t="s">
        <v>10786</v>
      </c>
      <c r="D676" t="s">
        <v>9410</v>
      </c>
      <c r="E676" t="s">
        <v>10787</v>
      </c>
      <c r="F676" t="s">
        <v>9601</v>
      </c>
      <c r="G676" t="s">
        <v>9413</v>
      </c>
      <c r="H676" t="s">
        <v>1044</v>
      </c>
      <c r="I676" t="s">
        <v>9682</v>
      </c>
      <c r="J676" t="s">
        <v>2026</v>
      </c>
      <c r="K676" t="s">
        <v>9416</v>
      </c>
      <c r="L676" t="s">
        <v>9417</v>
      </c>
      <c r="M676" t="s">
        <v>9757</v>
      </c>
      <c r="N676" t="s">
        <v>9480</v>
      </c>
      <c r="O676" t="s">
        <v>10788</v>
      </c>
      <c r="P676" t="s">
        <v>10789</v>
      </c>
      <c r="Q676" t="s">
        <v>9421</v>
      </c>
      <c r="R676" t="s">
        <v>553</v>
      </c>
      <c r="S676" t="s">
        <v>10790</v>
      </c>
      <c r="T676" t="s">
        <v>10791</v>
      </c>
    </row>
    <row r="677" spans="1:20">
      <c r="A677" t="s">
        <v>10792</v>
      </c>
      <c r="B677" t="s">
        <v>9409</v>
      </c>
      <c r="C677" t="s">
        <v>10793</v>
      </c>
      <c r="D677" t="s">
        <v>9410</v>
      </c>
      <c r="E677" t="s">
        <v>10794</v>
      </c>
      <c r="F677" t="s">
        <v>9601</v>
      </c>
      <c r="G677" t="s">
        <v>9413</v>
      </c>
      <c r="H677" t="s">
        <v>9414</v>
      </c>
      <c r="I677" t="s">
        <v>9472</v>
      </c>
      <c r="J677" t="s">
        <v>1589</v>
      </c>
      <c r="K677" t="s">
        <v>9445</v>
      </c>
      <c r="L677" t="s">
        <v>9417</v>
      </c>
      <c r="M677" t="s">
        <v>9788</v>
      </c>
      <c r="N677" t="s">
        <v>9716</v>
      </c>
      <c r="O677" t="s">
        <v>9446</v>
      </c>
      <c r="P677" t="s">
        <v>9420</v>
      </c>
      <c r="Q677" t="s">
        <v>9421</v>
      </c>
      <c r="R677" t="s">
        <v>24</v>
      </c>
      <c r="S677" t="s">
        <v>1622</v>
      </c>
      <c r="T677" t="s">
        <v>1624</v>
      </c>
    </row>
    <row r="678" spans="1:20">
      <c r="A678" t="s">
        <v>1806</v>
      </c>
      <c r="B678" t="s">
        <v>20</v>
      </c>
      <c r="C678" t="s">
        <v>1807</v>
      </c>
      <c r="D678" t="s">
        <v>10329</v>
      </c>
      <c r="E678" t="s">
        <v>10795</v>
      </c>
      <c r="F678" t="s">
        <v>9601</v>
      </c>
      <c r="G678" t="s">
        <v>9413</v>
      </c>
      <c r="H678" t="s">
        <v>1044</v>
      </c>
      <c r="I678" t="s">
        <v>10452</v>
      </c>
      <c r="J678" t="s">
        <v>1683</v>
      </c>
      <c r="K678" t="s">
        <v>9416</v>
      </c>
      <c r="L678" t="s">
        <v>9417</v>
      </c>
      <c r="M678" t="s">
        <v>9473</v>
      </c>
      <c r="N678" t="s">
        <v>9426</v>
      </c>
      <c r="O678" t="s">
        <v>6040</v>
      </c>
      <c r="P678" t="s">
        <v>9567</v>
      </c>
      <c r="Q678" t="s">
        <v>9421</v>
      </c>
      <c r="R678" t="s">
        <v>43</v>
      </c>
      <c r="S678" t="s">
        <v>1721</v>
      </c>
      <c r="T678" t="s">
        <v>1723</v>
      </c>
    </row>
    <row r="679" spans="1:20">
      <c r="A679" t="s">
        <v>10796</v>
      </c>
      <c r="B679" t="s">
        <v>9409</v>
      </c>
      <c r="C679" t="s">
        <v>10797</v>
      </c>
      <c r="D679" t="s">
        <v>9410</v>
      </c>
      <c r="E679" t="s">
        <v>10798</v>
      </c>
      <c r="F679" t="s">
        <v>9601</v>
      </c>
      <c r="G679" t="s">
        <v>9413</v>
      </c>
      <c r="H679" t="s">
        <v>9414</v>
      </c>
      <c r="I679" t="s">
        <v>10281</v>
      </c>
      <c r="J679" t="s">
        <v>1589</v>
      </c>
      <c r="K679" t="s">
        <v>9416</v>
      </c>
      <c r="L679" t="s">
        <v>9417</v>
      </c>
      <c r="M679" t="s">
        <v>9596</v>
      </c>
      <c r="N679" t="s">
        <v>9446</v>
      </c>
      <c r="O679" t="s">
        <v>10799</v>
      </c>
      <c r="P679" t="s">
        <v>9655</v>
      </c>
      <c r="Q679" t="s">
        <v>9421</v>
      </c>
      <c r="R679" t="s">
        <v>56</v>
      </c>
      <c r="S679" t="s">
        <v>10633</v>
      </c>
      <c r="T679" t="s">
        <v>10800</v>
      </c>
    </row>
    <row r="680" spans="1:20">
      <c r="A680" t="s">
        <v>10801</v>
      </c>
      <c r="B680" t="s">
        <v>9409</v>
      </c>
      <c r="C680" t="s">
        <v>10802</v>
      </c>
      <c r="D680" t="s">
        <v>9410</v>
      </c>
      <c r="E680" t="s">
        <v>10803</v>
      </c>
      <c r="F680" t="s">
        <v>9412</v>
      </c>
      <c r="G680" t="s">
        <v>9413</v>
      </c>
      <c r="H680" t="s">
        <v>9414</v>
      </c>
      <c r="I680" t="s">
        <v>9880</v>
      </c>
      <c r="J680" t="s">
        <v>2026</v>
      </c>
      <c r="K680" t="s">
        <v>9445</v>
      </c>
      <c r="L680" t="s">
        <v>9417</v>
      </c>
      <c r="M680" t="s">
        <v>9425</v>
      </c>
      <c r="N680" t="s">
        <v>9430</v>
      </c>
      <c r="O680" t="s">
        <v>9446</v>
      </c>
      <c r="P680" t="s">
        <v>9524</v>
      </c>
      <c r="Q680" t="s">
        <v>9421</v>
      </c>
      <c r="R680" t="s">
        <v>24</v>
      </c>
      <c r="S680" t="s">
        <v>9761</v>
      </c>
      <c r="T680" t="s">
        <v>9762</v>
      </c>
    </row>
    <row r="681" spans="1:20">
      <c r="A681" t="s">
        <v>10804</v>
      </c>
      <c r="B681" t="s">
        <v>9409</v>
      </c>
      <c r="C681" t="s">
        <v>10805</v>
      </c>
      <c r="D681" t="s">
        <v>9410</v>
      </c>
      <c r="E681" t="s">
        <v>10806</v>
      </c>
      <c r="F681" t="s">
        <v>9601</v>
      </c>
      <c r="G681" t="s">
        <v>9413</v>
      </c>
      <c r="H681" t="s">
        <v>1044</v>
      </c>
      <c r="I681" t="s">
        <v>10807</v>
      </c>
      <c r="J681" t="s">
        <v>1683</v>
      </c>
      <c r="K681" t="s">
        <v>9445</v>
      </c>
      <c r="L681" t="s">
        <v>9417</v>
      </c>
      <c r="M681" t="s">
        <v>10447</v>
      </c>
      <c r="N681" t="s">
        <v>9454</v>
      </c>
      <c r="O681" t="s">
        <v>9446</v>
      </c>
      <c r="P681" t="s">
        <v>9429</v>
      </c>
      <c r="Q681" t="s">
        <v>9421</v>
      </c>
      <c r="R681" t="s">
        <v>52</v>
      </c>
      <c r="S681" t="s">
        <v>10449</v>
      </c>
      <c r="T681" t="s">
        <v>10454</v>
      </c>
    </row>
    <row r="682" spans="1:20">
      <c r="A682" t="s">
        <v>10604</v>
      </c>
      <c r="B682" t="s">
        <v>9409</v>
      </c>
      <c r="C682" t="s">
        <v>10802</v>
      </c>
      <c r="D682" t="s">
        <v>9410</v>
      </c>
      <c r="E682" t="s">
        <v>10808</v>
      </c>
      <c r="F682" t="s">
        <v>9412</v>
      </c>
      <c r="G682" t="s">
        <v>10760</v>
      </c>
      <c r="H682" t="s">
        <v>9414</v>
      </c>
      <c r="I682" t="s">
        <v>10809</v>
      </c>
      <c r="J682" t="s">
        <v>2026</v>
      </c>
      <c r="K682" t="s">
        <v>9445</v>
      </c>
      <c r="L682" t="s">
        <v>9417</v>
      </c>
      <c r="M682" t="s">
        <v>9425</v>
      </c>
      <c r="N682" t="s">
        <v>9430</v>
      </c>
      <c r="O682" t="s">
        <v>9446</v>
      </c>
      <c r="P682" t="s">
        <v>9524</v>
      </c>
      <c r="Q682" t="s">
        <v>9421</v>
      </c>
      <c r="R682" t="s">
        <v>24</v>
      </c>
      <c r="S682" t="s">
        <v>9761</v>
      </c>
      <c r="T682" t="s">
        <v>9762</v>
      </c>
    </row>
    <row r="683" spans="1:20">
      <c r="A683" t="s">
        <v>10810</v>
      </c>
      <c r="B683" t="s">
        <v>9409</v>
      </c>
      <c r="C683" t="s">
        <v>10811</v>
      </c>
      <c r="D683" t="s">
        <v>9410</v>
      </c>
      <c r="E683" t="s">
        <v>10812</v>
      </c>
      <c r="F683" t="s">
        <v>9601</v>
      </c>
      <c r="G683" t="s">
        <v>9413</v>
      </c>
      <c r="H683" t="s">
        <v>1044</v>
      </c>
      <c r="I683" t="s">
        <v>9771</v>
      </c>
      <c r="J683" t="s">
        <v>1683</v>
      </c>
      <c r="K683" t="s">
        <v>9445</v>
      </c>
      <c r="L683" t="s">
        <v>9417</v>
      </c>
      <c r="M683" t="s">
        <v>10447</v>
      </c>
      <c r="N683" t="s">
        <v>9454</v>
      </c>
      <c r="O683" t="s">
        <v>9446</v>
      </c>
      <c r="P683" t="s">
        <v>9429</v>
      </c>
      <c r="Q683" t="s">
        <v>9421</v>
      </c>
      <c r="R683" t="s">
        <v>52</v>
      </c>
      <c r="S683" t="s">
        <v>10449</v>
      </c>
      <c r="T683" t="s">
        <v>10454</v>
      </c>
    </row>
    <row r="684" spans="1:20">
      <c r="A684" t="s">
        <v>10813</v>
      </c>
      <c r="B684" t="s">
        <v>9409</v>
      </c>
      <c r="C684" t="s">
        <v>10814</v>
      </c>
      <c r="D684" t="s">
        <v>9410</v>
      </c>
      <c r="E684" t="s">
        <v>10815</v>
      </c>
      <c r="F684" t="s">
        <v>9412</v>
      </c>
      <c r="G684" t="s">
        <v>9413</v>
      </c>
      <c r="H684" t="s">
        <v>1044</v>
      </c>
      <c r="I684" t="s">
        <v>10816</v>
      </c>
      <c r="J684" t="s">
        <v>1043</v>
      </c>
      <c r="K684" t="s">
        <v>9416</v>
      </c>
      <c r="L684" t="s">
        <v>9417</v>
      </c>
      <c r="M684" t="s">
        <v>9463</v>
      </c>
      <c r="N684" t="s">
        <v>9428</v>
      </c>
      <c r="O684" t="s">
        <v>10817</v>
      </c>
      <c r="P684" t="s">
        <v>9429</v>
      </c>
      <c r="Q684" t="s">
        <v>9421</v>
      </c>
      <c r="R684" t="s">
        <v>52</v>
      </c>
      <c r="S684" t="s">
        <v>10818</v>
      </c>
      <c r="T684" t="s">
        <v>10819</v>
      </c>
    </row>
    <row r="685" spans="1:20">
      <c r="A685" t="s">
        <v>10820</v>
      </c>
      <c r="B685" t="s">
        <v>9409</v>
      </c>
      <c r="C685" t="s">
        <v>9749</v>
      </c>
      <c r="D685" t="s">
        <v>9410</v>
      </c>
      <c r="E685" t="s">
        <v>10821</v>
      </c>
      <c r="F685" t="s">
        <v>9412</v>
      </c>
      <c r="G685" t="s">
        <v>10760</v>
      </c>
      <c r="H685" t="s">
        <v>9414</v>
      </c>
      <c r="I685" t="s">
        <v>10822</v>
      </c>
      <c r="J685" t="s">
        <v>2174</v>
      </c>
      <c r="K685" t="s">
        <v>9445</v>
      </c>
      <c r="L685" t="s">
        <v>9417</v>
      </c>
      <c r="M685" t="s">
        <v>9534</v>
      </c>
      <c r="N685" t="s">
        <v>9621</v>
      </c>
      <c r="O685" t="s">
        <v>9446</v>
      </c>
      <c r="P685" t="s">
        <v>9420</v>
      </c>
      <c r="Q685" t="s">
        <v>9421</v>
      </c>
      <c r="R685" t="s">
        <v>17</v>
      </c>
      <c r="S685" t="s">
        <v>9748</v>
      </c>
      <c r="T685" t="s">
        <v>9753</v>
      </c>
    </row>
    <row r="686" spans="1:20">
      <c r="A686" t="s">
        <v>10820</v>
      </c>
      <c r="B686" t="s">
        <v>9409</v>
      </c>
      <c r="C686" t="s">
        <v>9749</v>
      </c>
      <c r="D686" t="s">
        <v>9410</v>
      </c>
      <c r="E686" t="s">
        <v>10821</v>
      </c>
      <c r="F686" t="s">
        <v>9412</v>
      </c>
      <c r="G686" t="s">
        <v>10760</v>
      </c>
      <c r="H686" t="s">
        <v>9414</v>
      </c>
      <c r="I686" t="s">
        <v>10822</v>
      </c>
      <c r="J686" t="s">
        <v>2174</v>
      </c>
      <c r="K686" t="s">
        <v>9445</v>
      </c>
      <c r="L686" t="s">
        <v>9417</v>
      </c>
      <c r="M686" t="s">
        <v>9534</v>
      </c>
      <c r="N686" t="s">
        <v>9426</v>
      </c>
      <c r="O686" t="s">
        <v>9446</v>
      </c>
      <c r="P686" t="s">
        <v>10713</v>
      </c>
      <c r="Q686" t="s">
        <v>9421</v>
      </c>
      <c r="R686" t="s">
        <v>43</v>
      </c>
      <c r="S686" t="s">
        <v>2606</v>
      </c>
      <c r="T686" t="s">
        <v>2608</v>
      </c>
    </row>
    <row r="687" spans="1:20">
      <c r="A687" t="s">
        <v>1466</v>
      </c>
      <c r="B687" t="s">
        <v>9409</v>
      </c>
      <c r="C687" t="s">
        <v>6846</v>
      </c>
      <c r="D687" t="s">
        <v>9410</v>
      </c>
      <c r="E687" t="s">
        <v>10823</v>
      </c>
      <c r="F687" t="s">
        <v>9412</v>
      </c>
      <c r="G687" t="s">
        <v>10760</v>
      </c>
      <c r="H687" t="s">
        <v>9414</v>
      </c>
      <c r="I687" t="s">
        <v>9771</v>
      </c>
      <c r="J687" t="s">
        <v>2174</v>
      </c>
      <c r="K687" t="s">
        <v>9445</v>
      </c>
      <c r="L687" t="s">
        <v>9417</v>
      </c>
      <c r="M687" t="s">
        <v>9534</v>
      </c>
      <c r="N687" t="s">
        <v>9621</v>
      </c>
      <c r="O687" t="s">
        <v>9446</v>
      </c>
      <c r="P687" t="s">
        <v>9420</v>
      </c>
      <c r="Q687" t="s">
        <v>9421</v>
      </c>
      <c r="R687" t="s">
        <v>17</v>
      </c>
      <c r="S687" t="s">
        <v>6843</v>
      </c>
      <c r="T687" t="s">
        <v>10312</v>
      </c>
    </row>
    <row r="688" spans="1:20">
      <c r="A688" t="s">
        <v>6063</v>
      </c>
      <c r="B688" t="s">
        <v>9409</v>
      </c>
      <c r="C688" t="s">
        <v>6064</v>
      </c>
      <c r="D688" t="s">
        <v>9410</v>
      </c>
      <c r="E688" t="s">
        <v>10824</v>
      </c>
      <c r="F688" t="s">
        <v>9412</v>
      </c>
      <c r="G688" t="s">
        <v>9413</v>
      </c>
      <c r="H688" t="s">
        <v>9414</v>
      </c>
      <c r="I688" t="s">
        <v>10825</v>
      </c>
      <c r="J688" t="s">
        <v>1442</v>
      </c>
      <c r="K688" t="s">
        <v>9445</v>
      </c>
      <c r="L688" t="s">
        <v>9417</v>
      </c>
      <c r="M688" t="s">
        <v>9425</v>
      </c>
      <c r="N688" t="s">
        <v>9426</v>
      </c>
      <c r="O688" t="s">
        <v>9446</v>
      </c>
      <c r="P688" t="s">
        <v>9655</v>
      </c>
      <c r="Q688" t="s">
        <v>9421</v>
      </c>
      <c r="R688" t="s">
        <v>56</v>
      </c>
      <c r="S688" t="s">
        <v>1353</v>
      </c>
      <c r="T688" t="s">
        <v>1355</v>
      </c>
    </row>
    <row r="689" spans="1:20">
      <c r="A689" t="s">
        <v>5821</v>
      </c>
      <c r="B689" t="s">
        <v>20</v>
      </c>
      <c r="C689" t="s">
        <v>10826</v>
      </c>
      <c r="D689" t="s">
        <v>10329</v>
      </c>
      <c r="E689" t="s">
        <v>10827</v>
      </c>
      <c r="F689" t="s">
        <v>9412</v>
      </c>
      <c r="G689" t="s">
        <v>10760</v>
      </c>
      <c r="H689" t="s">
        <v>1044</v>
      </c>
      <c r="I689" t="s">
        <v>9736</v>
      </c>
      <c r="J689" t="s">
        <v>1246</v>
      </c>
      <c r="K689" t="s">
        <v>9445</v>
      </c>
      <c r="L689" t="s">
        <v>9417</v>
      </c>
      <c r="M689" t="s">
        <v>9418</v>
      </c>
      <c r="N689" t="s">
        <v>9419</v>
      </c>
      <c r="O689" t="s">
        <v>9446</v>
      </c>
      <c r="P689" t="s">
        <v>9420</v>
      </c>
      <c r="Q689" t="s">
        <v>9421</v>
      </c>
      <c r="R689" t="s">
        <v>17</v>
      </c>
      <c r="S689" t="s">
        <v>5822</v>
      </c>
      <c r="T689" t="s">
        <v>9422</v>
      </c>
    </row>
    <row r="690" spans="1:20">
      <c r="A690" t="s">
        <v>10828</v>
      </c>
      <c r="B690" t="s">
        <v>9409</v>
      </c>
      <c r="C690" t="s">
        <v>10829</v>
      </c>
      <c r="D690" t="s">
        <v>9410</v>
      </c>
      <c r="E690" t="s">
        <v>10830</v>
      </c>
      <c r="F690" t="s">
        <v>9601</v>
      </c>
      <c r="G690" t="s">
        <v>9413</v>
      </c>
      <c r="H690" t="s">
        <v>1044</v>
      </c>
      <c r="I690" t="s">
        <v>10562</v>
      </c>
      <c r="J690" t="s">
        <v>1442</v>
      </c>
      <c r="K690" t="s">
        <v>9416</v>
      </c>
      <c r="L690" t="s">
        <v>9417</v>
      </c>
      <c r="M690" t="s">
        <v>9425</v>
      </c>
      <c r="N690" t="s">
        <v>9430</v>
      </c>
      <c r="O690" t="s">
        <v>10831</v>
      </c>
      <c r="P690" t="s">
        <v>9459</v>
      </c>
      <c r="Q690" t="s">
        <v>9421</v>
      </c>
      <c r="R690" t="s">
        <v>17</v>
      </c>
      <c r="S690" t="s">
        <v>10832</v>
      </c>
      <c r="T690" t="s">
        <v>10833</v>
      </c>
    </row>
    <row r="691" spans="1:20">
      <c r="A691" t="s">
        <v>1303</v>
      </c>
      <c r="B691" t="s">
        <v>9409</v>
      </c>
      <c r="C691" t="s">
        <v>5949</v>
      </c>
      <c r="D691" t="s">
        <v>9410</v>
      </c>
      <c r="E691" t="s">
        <v>10834</v>
      </c>
      <c r="F691" t="s">
        <v>9412</v>
      </c>
      <c r="G691" t="s">
        <v>10760</v>
      </c>
      <c r="H691" t="s">
        <v>9414</v>
      </c>
      <c r="I691" t="s">
        <v>9766</v>
      </c>
      <c r="J691" t="s">
        <v>1442</v>
      </c>
      <c r="K691" t="s">
        <v>9445</v>
      </c>
      <c r="L691" t="s">
        <v>9417</v>
      </c>
      <c r="M691" t="s">
        <v>9596</v>
      </c>
      <c r="N691" t="s">
        <v>9428</v>
      </c>
      <c r="O691" t="s">
        <v>9446</v>
      </c>
      <c r="P691" t="s">
        <v>9524</v>
      </c>
      <c r="Q691" t="s">
        <v>9421</v>
      </c>
      <c r="R691" t="s">
        <v>24</v>
      </c>
      <c r="S691" t="s">
        <v>5946</v>
      </c>
      <c r="T691" t="s">
        <v>10094</v>
      </c>
    </row>
    <row r="692" spans="1:20">
      <c r="A692" t="s">
        <v>10835</v>
      </c>
      <c r="B692" t="s">
        <v>9409</v>
      </c>
      <c r="C692" t="s">
        <v>9785</v>
      </c>
      <c r="D692" t="s">
        <v>9410</v>
      </c>
      <c r="E692" t="s">
        <v>10836</v>
      </c>
      <c r="F692" t="s">
        <v>9412</v>
      </c>
      <c r="G692" t="s">
        <v>10760</v>
      </c>
      <c r="H692" t="s">
        <v>9414</v>
      </c>
      <c r="I692" t="s">
        <v>10822</v>
      </c>
      <c r="J692" t="s">
        <v>1442</v>
      </c>
      <c r="K692" t="s">
        <v>9445</v>
      </c>
      <c r="L692" t="s">
        <v>9417</v>
      </c>
      <c r="M692" t="s">
        <v>9788</v>
      </c>
      <c r="N692" t="s">
        <v>9428</v>
      </c>
      <c r="O692" t="s">
        <v>9446</v>
      </c>
      <c r="P692" t="s">
        <v>9420</v>
      </c>
      <c r="Q692" t="s">
        <v>9421</v>
      </c>
      <c r="R692" t="s">
        <v>17</v>
      </c>
      <c r="S692" t="s">
        <v>9784</v>
      </c>
      <c r="T692" t="s">
        <v>9790</v>
      </c>
    </row>
    <row r="693" spans="1:20">
      <c r="A693" t="s">
        <v>9689</v>
      </c>
      <c r="B693" t="s">
        <v>9409</v>
      </c>
      <c r="C693" t="s">
        <v>10175</v>
      </c>
      <c r="D693" t="s">
        <v>9410</v>
      </c>
      <c r="E693" t="s">
        <v>10837</v>
      </c>
      <c r="F693" t="s">
        <v>9412</v>
      </c>
      <c r="G693" t="s">
        <v>10760</v>
      </c>
      <c r="H693" t="s">
        <v>9414</v>
      </c>
      <c r="I693" t="s">
        <v>9736</v>
      </c>
      <c r="J693" t="s">
        <v>1442</v>
      </c>
      <c r="K693" t="s">
        <v>9445</v>
      </c>
      <c r="L693" t="s">
        <v>9417</v>
      </c>
      <c r="M693" t="s">
        <v>10021</v>
      </c>
      <c r="N693" t="s">
        <v>9430</v>
      </c>
      <c r="O693" t="s">
        <v>9446</v>
      </c>
      <c r="P693" t="s">
        <v>10178</v>
      </c>
      <c r="Q693" t="s">
        <v>9421</v>
      </c>
      <c r="R693" t="s">
        <v>24</v>
      </c>
      <c r="S693" t="s">
        <v>6793</v>
      </c>
      <c r="T693" t="s">
        <v>10179</v>
      </c>
    </row>
    <row r="694" spans="1:20">
      <c r="A694" t="s">
        <v>1348</v>
      </c>
      <c r="B694" t="s">
        <v>62</v>
      </c>
      <c r="C694" t="s">
        <v>1301</v>
      </c>
      <c r="D694" t="s">
        <v>10271</v>
      </c>
      <c r="E694" t="s">
        <v>10838</v>
      </c>
      <c r="F694" t="s">
        <v>9412</v>
      </c>
      <c r="G694" t="s">
        <v>10760</v>
      </c>
      <c r="H694" t="s">
        <v>1044</v>
      </c>
      <c r="I694" t="s">
        <v>9736</v>
      </c>
      <c r="J694" t="s">
        <v>1246</v>
      </c>
      <c r="K694" t="s">
        <v>9445</v>
      </c>
      <c r="L694" t="s">
        <v>9417</v>
      </c>
      <c r="M694" t="s">
        <v>9467</v>
      </c>
      <c r="N694" t="s">
        <v>9426</v>
      </c>
      <c r="O694" t="s">
        <v>9446</v>
      </c>
      <c r="P694" t="s">
        <v>10713</v>
      </c>
      <c r="Q694" t="s">
        <v>9421</v>
      </c>
      <c r="R694" t="s">
        <v>43</v>
      </c>
      <c r="S694" t="s">
        <v>2606</v>
      </c>
      <c r="T694" t="s">
        <v>2608</v>
      </c>
    </row>
    <row r="695" spans="1:20">
      <c r="A695" t="s">
        <v>1348</v>
      </c>
      <c r="B695" t="s">
        <v>62</v>
      </c>
      <c r="C695" t="s">
        <v>1301</v>
      </c>
      <c r="D695" t="s">
        <v>10271</v>
      </c>
      <c r="E695" t="s">
        <v>10838</v>
      </c>
      <c r="F695" t="s">
        <v>9412</v>
      </c>
      <c r="G695" t="s">
        <v>10760</v>
      </c>
      <c r="H695" t="s">
        <v>1044</v>
      </c>
      <c r="I695" t="s">
        <v>9736</v>
      </c>
      <c r="J695" t="s">
        <v>1246</v>
      </c>
      <c r="K695" t="s">
        <v>9445</v>
      </c>
      <c r="L695" t="s">
        <v>9417</v>
      </c>
      <c r="M695" t="s">
        <v>9467</v>
      </c>
      <c r="N695" t="s">
        <v>9419</v>
      </c>
      <c r="O695" t="s">
        <v>9446</v>
      </c>
      <c r="P695" t="s">
        <v>9459</v>
      </c>
      <c r="Q695" t="s">
        <v>9421</v>
      </c>
      <c r="R695" t="s">
        <v>17</v>
      </c>
      <c r="S695" t="s">
        <v>1298</v>
      </c>
      <c r="T695" t="s">
        <v>1300</v>
      </c>
    </row>
    <row r="696" spans="1:20">
      <c r="A696" t="s">
        <v>10839</v>
      </c>
      <c r="B696" t="s">
        <v>9409</v>
      </c>
      <c r="C696" t="s">
        <v>10840</v>
      </c>
      <c r="D696" t="s">
        <v>9410</v>
      </c>
      <c r="E696" t="s">
        <v>10841</v>
      </c>
      <c r="F696" t="s">
        <v>9412</v>
      </c>
      <c r="G696" t="s">
        <v>9413</v>
      </c>
      <c r="H696" t="s">
        <v>9414</v>
      </c>
      <c r="I696" t="s">
        <v>9576</v>
      </c>
      <c r="J696" t="s">
        <v>1043</v>
      </c>
      <c r="K696" t="s">
        <v>9416</v>
      </c>
      <c r="L696" t="s">
        <v>9417</v>
      </c>
      <c r="M696" t="s">
        <v>9580</v>
      </c>
      <c r="N696" t="s">
        <v>9437</v>
      </c>
      <c r="O696" t="s">
        <v>10842</v>
      </c>
      <c r="P696" t="s">
        <v>9429</v>
      </c>
      <c r="Q696" t="s">
        <v>9421</v>
      </c>
      <c r="R696" t="s">
        <v>52</v>
      </c>
      <c r="S696" t="s">
        <v>10843</v>
      </c>
      <c r="T696" t="s">
        <v>10844</v>
      </c>
    </row>
    <row r="697" spans="1:20">
      <c r="A697" t="s">
        <v>10839</v>
      </c>
      <c r="B697" t="s">
        <v>9409</v>
      </c>
      <c r="C697" t="s">
        <v>10840</v>
      </c>
      <c r="D697" t="s">
        <v>9410</v>
      </c>
      <c r="E697" t="s">
        <v>10841</v>
      </c>
      <c r="F697" t="s">
        <v>9412</v>
      </c>
      <c r="G697" t="s">
        <v>9413</v>
      </c>
      <c r="H697" t="s">
        <v>9414</v>
      </c>
      <c r="I697" t="s">
        <v>9576</v>
      </c>
      <c r="J697" t="s">
        <v>1043</v>
      </c>
      <c r="K697" t="s">
        <v>9416</v>
      </c>
      <c r="L697" t="s">
        <v>9417</v>
      </c>
      <c r="M697" t="s">
        <v>9580</v>
      </c>
      <c r="N697" t="s">
        <v>9426</v>
      </c>
      <c r="O697" t="s">
        <v>6293</v>
      </c>
      <c r="P697" t="s">
        <v>9479</v>
      </c>
      <c r="Q697" t="s">
        <v>9421</v>
      </c>
      <c r="R697" t="s">
        <v>43</v>
      </c>
      <c r="S697" t="s">
        <v>1774</v>
      </c>
      <c r="T697" t="s">
        <v>1776</v>
      </c>
    </row>
    <row r="698" spans="1:20">
      <c r="A698" t="s">
        <v>1576</v>
      </c>
      <c r="B698" t="s">
        <v>62</v>
      </c>
      <c r="C698" t="s">
        <v>1580</v>
      </c>
      <c r="D698" t="s">
        <v>9448</v>
      </c>
      <c r="E698" t="s">
        <v>10845</v>
      </c>
      <c r="F698" t="s">
        <v>9601</v>
      </c>
      <c r="G698" t="s">
        <v>9413</v>
      </c>
      <c r="H698" t="s">
        <v>1044</v>
      </c>
      <c r="I698" t="s">
        <v>9576</v>
      </c>
      <c r="J698" t="s">
        <v>1442</v>
      </c>
      <c r="K698" t="s">
        <v>9416</v>
      </c>
      <c r="L698" t="s">
        <v>9417</v>
      </c>
      <c r="M698" t="s">
        <v>9596</v>
      </c>
      <c r="N698" t="s">
        <v>9446</v>
      </c>
      <c r="O698" t="s">
        <v>6066</v>
      </c>
      <c r="P698" t="s">
        <v>9655</v>
      </c>
      <c r="Q698" t="s">
        <v>9421</v>
      </c>
      <c r="R698" t="s">
        <v>56</v>
      </c>
      <c r="S698" t="s">
        <v>1581</v>
      </c>
      <c r="T698" t="s">
        <v>1583</v>
      </c>
    </row>
    <row r="699" spans="1:20">
      <c r="A699" t="s">
        <v>1576</v>
      </c>
      <c r="B699" t="s">
        <v>62</v>
      </c>
      <c r="C699" t="s">
        <v>1580</v>
      </c>
      <c r="D699" t="s">
        <v>9448</v>
      </c>
      <c r="E699" t="s">
        <v>10845</v>
      </c>
      <c r="F699" t="s">
        <v>9601</v>
      </c>
      <c r="G699" t="s">
        <v>9413</v>
      </c>
      <c r="H699" t="s">
        <v>1044</v>
      </c>
      <c r="I699" t="s">
        <v>9576</v>
      </c>
      <c r="J699" t="s">
        <v>1442</v>
      </c>
      <c r="K699" t="s">
        <v>9416</v>
      </c>
      <c r="L699" t="s">
        <v>9417</v>
      </c>
      <c r="M699" t="s">
        <v>9596</v>
      </c>
      <c r="N699" t="s">
        <v>9446</v>
      </c>
      <c r="O699" t="s">
        <v>6070</v>
      </c>
      <c r="P699" t="s">
        <v>9655</v>
      </c>
      <c r="Q699" t="s">
        <v>9421</v>
      </c>
      <c r="R699" t="s">
        <v>56</v>
      </c>
      <c r="S699" t="s">
        <v>1572</v>
      </c>
      <c r="T699" t="s">
        <v>1574</v>
      </c>
    </row>
    <row r="700" spans="1:20">
      <c r="A700" t="s">
        <v>1576</v>
      </c>
      <c r="B700" t="s">
        <v>62</v>
      </c>
      <c r="C700" t="s">
        <v>1580</v>
      </c>
      <c r="D700" t="s">
        <v>9448</v>
      </c>
      <c r="E700" t="s">
        <v>10845</v>
      </c>
      <c r="F700" t="s">
        <v>9601</v>
      </c>
      <c r="G700" t="s">
        <v>9413</v>
      </c>
      <c r="H700" t="s">
        <v>1044</v>
      </c>
      <c r="I700" t="s">
        <v>9576</v>
      </c>
      <c r="J700" t="s">
        <v>1442</v>
      </c>
      <c r="K700" t="s">
        <v>9416</v>
      </c>
      <c r="L700" t="s">
        <v>9417</v>
      </c>
      <c r="M700" t="s">
        <v>9596</v>
      </c>
      <c r="N700" t="s">
        <v>9430</v>
      </c>
      <c r="O700" t="s">
        <v>10846</v>
      </c>
      <c r="P700" t="s">
        <v>9651</v>
      </c>
      <c r="Q700" t="s">
        <v>9421</v>
      </c>
      <c r="R700" t="s">
        <v>56</v>
      </c>
      <c r="S700" t="s">
        <v>1577</v>
      </c>
      <c r="T700" t="s">
        <v>1579</v>
      </c>
    </row>
    <row r="701" spans="1:20">
      <c r="A701" t="s">
        <v>5828</v>
      </c>
      <c r="B701" t="s">
        <v>62</v>
      </c>
      <c r="C701" t="s">
        <v>10847</v>
      </c>
      <c r="D701" t="s">
        <v>445</v>
      </c>
      <c r="E701" t="s">
        <v>10848</v>
      </c>
      <c r="F701" t="s">
        <v>9601</v>
      </c>
      <c r="G701" t="s">
        <v>9413</v>
      </c>
      <c r="H701" t="s">
        <v>1044</v>
      </c>
      <c r="I701" t="s">
        <v>10400</v>
      </c>
      <c r="J701" t="s">
        <v>1246</v>
      </c>
      <c r="K701" t="s">
        <v>9445</v>
      </c>
      <c r="L701" t="s">
        <v>9417</v>
      </c>
      <c r="M701" t="s">
        <v>9705</v>
      </c>
      <c r="N701" t="s">
        <v>9419</v>
      </c>
      <c r="O701" t="s">
        <v>9446</v>
      </c>
      <c r="P701" t="s">
        <v>9420</v>
      </c>
      <c r="Q701" t="s">
        <v>9421</v>
      </c>
      <c r="R701" t="s">
        <v>17</v>
      </c>
      <c r="S701" t="s">
        <v>1274</v>
      </c>
      <c r="T701" t="s">
        <v>1276</v>
      </c>
    </row>
    <row r="702" spans="1:20">
      <c r="A702" t="s">
        <v>1584</v>
      </c>
      <c r="B702" t="s">
        <v>62</v>
      </c>
      <c r="C702" t="s">
        <v>6072</v>
      </c>
      <c r="D702" t="s">
        <v>9448</v>
      </c>
      <c r="E702" t="s">
        <v>10849</v>
      </c>
      <c r="F702" t="s">
        <v>9601</v>
      </c>
      <c r="G702" t="s">
        <v>9413</v>
      </c>
      <c r="H702" t="s">
        <v>9414</v>
      </c>
      <c r="I702" t="s">
        <v>9709</v>
      </c>
      <c r="J702" t="s">
        <v>1442</v>
      </c>
      <c r="K702" t="s">
        <v>9416</v>
      </c>
      <c r="L702" t="s">
        <v>9417</v>
      </c>
      <c r="M702" t="s">
        <v>9463</v>
      </c>
      <c r="N702" t="s">
        <v>9446</v>
      </c>
      <c r="O702" t="s">
        <v>6074</v>
      </c>
      <c r="P702" t="s">
        <v>9655</v>
      </c>
      <c r="Q702" t="s">
        <v>9421</v>
      </c>
      <c r="R702" t="s">
        <v>56</v>
      </c>
      <c r="S702" t="s">
        <v>1586</v>
      </c>
      <c r="T702" t="s">
        <v>1588</v>
      </c>
    </row>
    <row r="703" spans="1:20">
      <c r="A703" t="s">
        <v>1584</v>
      </c>
      <c r="B703" t="s">
        <v>62</v>
      </c>
      <c r="C703" t="s">
        <v>6072</v>
      </c>
      <c r="D703" t="s">
        <v>9448</v>
      </c>
      <c r="E703" t="s">
        <v>10849</v>
      </c>
      <c r="F703" t="s">
        <v>9601</v>
      </c>
      <c r="G703" t="s">
        <v>9413</v>
      </c>
      <c r="H703" t="s">
        <v>9414</v>
      </c>
      <c r="I703" t="s">
        <v>9709</v>
      </c>
      <c r="J703" t="s">
        <v>1442</v>
      </c>
      <c r="K703" t="s">
        <v>9445</v>
      </c>
      <c r="L703" t="s">
        <v>9417</v>
      </c>
      <c r="M703" t="s">
        <v>9463</v>
      </c>
      <c r="N703" t="s">
        <v>9426</v>
      </c>
      <c r="O703" t="s">
        <v>9446</v>
      </c>
      <c r="P703" t="s">
        <v>9655</v>
      </c>
      <c r="Q703" t="s">
        <v>9421</v>
      </c>
      <c r="R703" t="s">
        <v>56</v>
      </c>
      <c r="S703" t="s">
        <v>1353</v>
      </c>
      <c r="T703" t="s">
        <v>1355</v>
      </c>
    </row>
    <row r="704" spans="1:20">
      <c r="A704" t="s">
        <v>2227</v>
      </c>
      <c r="B704" t="s">
        <v>20</v>
      </c>
      <c r="C704" t="s">
        <v>6906</v>
      </c>
      <c r="D704" t="s">
        <v>9455</v>
      </c>
      <c r="E704" t="s">
        <v>10850</v>
      </c>
      <c r="F704" t="s">
        <v>9601</v>
      </c>
      <c r="G704" t="s">
        <v>9413</v>
      </c>
      <c r="H704" t="s">
        <v>9414</v>
      </c>
      <c r="I704" t="s">
        <v>9709</v>
      </c>
      <c r="J704" t="s">
        <v>2174</v>
      </c>
      <c r="K704" t="s">
        <v>9416</v>
      </c>
      <c r="L704" t="s">
        <v>9417</v>
      </c>
      <c r="M704" t="s">
        <v>9534</v>
      </c>
      <c r="N704" t="s">
        <v>9446</v>
      </c>
      <c r="O704" t="s">
        <v>6904</v>
      </c>
      <c r="P704" t="s">
        <v>9655</v>
      </c>
      <c r="Q704" t="s">
        <v>9421</v>
      </c>
      <c r="R704" t="s">
        <v>56</v>
      </c>
      <c r="S704" t="s">
        <v>2228</v>
      </c>
      <c r="T704" t="s">
        <v>2230</v>
      </c>
    </row>
    <row r="705" spans="1:20">
      <c r="A705" t="s">
        <v>1145</v>
      </c>
      <c r="B705" t="s">
        <v>62</v>
      </c>
      <c r="C705" t="s">
        <v>1149</v>
      </c>
      <c r="D705" t="s">
        <v>445</v>
      </c>
      <c r="E705" t="s">
        <v>10851</v>
      </c>
      <c r="F705" t="s">
        <v>9601</v>
      </c>
      <c r="G705" t="s">
        <v>9413</v>
      </c>
      <c r="H705" t="s">
        <v>1044</v>
      </c>
      <c r="I705" t="s">
        <v>9482</v>
      </c>
      <c r="J705" t="s">
        <v>1043</v>
      </c>
      <c r="K705" t="s">
        <v>9416</v>
      </c>
      <c r="L705" t="s">
        <v>9417</v>
      </c>
      <c r="M705" t="s">
        <v>9512</v>
      </c>
      <c r="N705" t="s">
        <v>9446</v>
      </c>
      <c r="O705" t="s">
        <v>5549</v>
      </c>
      <c r="P705" t="s">
        <v>9655</v>
      </c>
      <c r="Q705" t="s">
        <v>9421</v>
      </c>
      <c r="R705" t="s">
        <v>56</v>
      </c>
      <c r="S705" t="s">
        <v>1146</v>
      </c>
      <c r="T705" t="s">
        <v>1148</v>
      </c>
    </row>
    <row r="706" spans="1:20">
      <c r="A706" t="s">
        <v>1365</v>
      </c>
      <c r="B706" t="s">
        <v>62</v>
      </c>
      <c r="C706" t="s">
        <v>5833</v>
      </c>
      <c r="D706" t="s">
        <v>9448</v>
      </c>
      <c r="E706" t="s">
        <v>10852</v>
      </c>
      <c r="F706" t="s">
        <v>9601</v>
      </c>
      <c r="G706" t="s">
        <v>9413</v>
      </c>
      <c r="H706" t="s">
        <v>9414</v>
      </c>
      <c r="I706" t="s">
        <v>9830</v>
      </c>
      <c r="J706" t="s">
        <v>1246</v>
      </c>
      <c r="K706" t="s">
        <v>9416</v>
      </c>
      <c r="L706" t="s">
        <v>9417</v>
      </c>
      <c r="M706" t="s">
        <v>9705</v>
      </c>
      <c r="N706" t="s">
        <v>9446</v>
      </c>
      <c r="O706" t="s">
        <v>5831</v>
      </c>
      <c r="P706" t="s">
        <v>9651</v>
      </c>
      <c r="Q706" t="s">
        <v>9421</v>
      </c>
      <c r="R706" t="s">
        <v>56</v>
      </c>
      <c r="S706" t="s">
        <v>1366</v>
      </c>
      <c r="T706" t="s">
        <v>1368</v>
      </c>
    </row>
    <row r="707" spans="1:20">
      <c r="A707" t="s">
        <v>10853</v>
      </c>
      <c r="B707" t="s">
        <v>9409</v>
      </c>
      <c r="C707" t="s">
        <v>6446</v>
      </c>
      <c r="D707" t="s">
        <v>9410</v>
      </c>
      <c r="E707" t="s">
        <v>10854</v>
      </c>
      <c r="F707" t="s">
        <v>9412</v>
      </c>
      <c r="G707" t="s">
        <v>10660</v>
      </c>
      <c r="H707" t="s">
        <v>9414</v>
      </c>
      <c r="I707" t="s">
        <v>10177</v>
      </c>
      <c r="J707" t="s">
        <v>1808</v>
      </c>
      <c r="K707" t="s">
        <v>9445</v>
      </c>
      <c r="L707" t="s">
        <v>9417</v>
      </c>
      <c r="M707" t="s">
        <v>9833</v>
      </c>
      <c r="N707" t="s">
        <v>9446</v>
      </c>
      <c r="O707" t="s">
        <v>9446</v>
      </c>
      <c r="P707" t="s">
        <v>9655</v>
      </c>
      <c r="Q707" t="s">
        <v>9421</v>
      </c>
      <c r="R707" t="s">
        <v>56</v>
      </c>
      <c r="S707" t="s">
        <v>1899</v>
      </c>
      <c r="T707" t="s">
        <v>1901</v>
      </c>
    </row>
    <row r="708" spans="1:20">
      <c r="A708" t="s">
        <v>10855</v>
      </c>
      <c r="B708" t="s">
        <v>9409</v>
      </c>
      <c r="C708" t="s">
        <v>10856</v>
      </c>
      <c r="D708" t="s">
        <v>9410</v>
      </c>
      <c r="E708" t="s">
        <v>10857</v>
      </c>
      <c r="F708" t="s">
        <v>9601</v>
      </c>
      <c r="G708" t="s">
        <v>9413</v>
      </c>
      <c r="H708" t="s">
        <v>9414</v>
      </c>
      <c r="I708" t="s">
        <v>10066</v>
      </c>
      <c r="J708" t="s">
        <v>1808</v>
      </c>
      <c r="K708" t="s">
        <v>9445</v>
      </c>
      <c r="L708" t="s">
        <v>9417</v>
      </c>
      <c r="M708" t="s">
        <v>9833</v>
      </c>
      <c r="N708" t="s">
        <v>9639</v>
      </c>
      <c r="O708" t="s">
        <v>9446</v>
      </c>
      <c r="P708" t="s">
        <v>9524</v>
      </c>
      <c r="Q708" t="s">
        <v>9421</v>
      </c>
      <c r="R708" t="s">
        <v>24</v>
      </c>
      <c r="S708" t="s">
        <v>1884</v>
      </c>
      <c r="T708" t="s">
        <v>1886</v>
      </c>
    </row>
    <row r="709" spans="1:20">
      <c r="A709" t="s">
        <v>1916</v>
      </c>
      <c r="B709" t="s">
        <v>62</v>
      </c>
      <c r="C709" t="s">
        <v>10858</v>
      </c>
      <c r="D709" t="s">
        <v>445</v>
      </c>
      <c r="E709" t="s">
        <v>10859</v>
      </c>
      <c r="F709" t="s">
        <v>9412</v>
      </c>
      <c r="G709" t="s">
        <v>9413</v>
      </c>
      <c r="H709" t="s">
        <v>9414</v>
      </c>
      <c r="I709" t="s">
        <v>10492</v>
      </c>
      <c r="J709" t="s">
        <v>1808</v>
      </c>
      <c r="K709" t="s">
        <v>9416</v>
      </c>
      <c r="L709" t="s">
        <v>9417</v>
      </c>
      <c r="M709" t="s">
        <v>9418</v>
      </c>
      <c r="N709" t="s">
        <v>9639</v>
      </c>
      <c r="O709" t="s">
        <v>6466</v>
      </c>
      <c r="P709" t="s">
        <v>9459</v>
      </c>
      <c r="Q709" t="s">
        <v>9421</v>
      </c>
      <c r="R709" t="s">
        <v>17</v>
      </c>
      <c r="S709" t="s">
        <v>1916</v>
      </c>
      <c r="T709" t="s">
        <v>1918</v>
      </c>
    </row>
    <row r="710" spans="1:20">
      <c r="A710" t="s">
        <v>1437</v>
      </c>
      <c r="B710" t="s">
        <v>62</v>
      </c>
      <c r="C710" t="s">
        <v>5900</v>
      </c>
      <c r="D710" t="s">
        <v>9448</v>
      </c>
      <c r="E710" t="s">
        <v>10860</v>
      </c>
      <c r="F710" t="s">
        <v>9601</v>
      </c>
      <c r="G710" t="s">
        <v>9413</v>
      </c>
      <c r="H710" t="s">
        <v>9414</v>
      </c>
      <c r="I710" t="s">
        <v>9506</v>
      </c>
      <c r="J710" t="s">
        <v>1375</v>
      </c>
      <c r="K710" t="s">
        <v>9416</v>
      </c>
      <c r="L710" t="s">
        <v>9417</v>
      </c>
      <c r="M710" t="s">
        <v>9534</v>
      </c>
      <c r="N710" t="s">
        <v>9446</v>
      </c>
      <c r="O710" t="s">
        <v>5898</v>
      </c>
      <c r="P710" t="s">
        <v>9655</v>
      </c>
      <c r="Q710" t="s">
        <v>9421</v>
      </c>
      <c r="R710" t="s">
        <v>56</v>
      </c>
      <c r="S710" t="s">
        <v>1438</v>
      </c>
      <c r="T710" t="s">
        <v>1440</v>
      </c>
    </row>
    <row r="711" spans="1:20">
      <c r="A711" t="s">
        <v>10861</v>
      </c>
      <c r="B711" t="s">
        <v>9409</v>
      </c>
      <c r="C711" t="s">
        <v>10862</v>
      </c>
      <c r="D711" t="s">
        <v>9410</v>
      </c>
      <c r="E711" t="s">
        <v>10863</v>
      </c>
      <c r="F711" t="s">
        <v>9601</v>
      </c>
      <c r="G711" t="s">
        <v>9413</v>
      </c>
      <c r="H711" t="s">
        <v>9414</v>
      </c>
      <c r="I711" t="s">
        <v>10452</v>
      </c>
      <c r="J711" t="s">
        <v>1808</v>
      </c>
      <c r="K711" t="s">
        <v>9445</v>
      </c>
      <c r="L711" t="s">
        <v>9417</v>
      </c>
      <c r="M711" t="s">
        <v>9833</v>
      </c>
      <c r="N711" t="s">
        <v>9639</v>
      </c>
      <c r="O711" t="s">
        <v>9446</v>
      </c>
      <c r="P711" t="s">
        <v>9524</v>
      </c>
      <c r="Q711" t="s">
        <v>9421</v>
      </c>
      <c r="R711" t="s">
        <v>24</v>
      </c>
      <c r="S711" t="s">
        <v>6341</v>
      </c>
      <c r="T711" t="s">
        <v>9836</v>
      </c>
    </row>
    <row r="712" spans="1:20">
      <c r="A712" t="s">
        <v>1370</v>
      </c>
      <c r="B712" t="s">
        <v>62</v>
      </c>
      <c r="C712" t="s">
        <v>1374</v>
      </c>
      <c r="D712" t="s">
        <v>445</v>
      </c>
      <c r="E712" t="s">
        <v>10864</v>
      </c>
      <c r="F712" t="s">
        <v>9412</v>
      </c>
      <c r="G712" t="s">
        <v>9413</v>
      </c>
      <c r="H712" t="s">
        <v>1044</v>
      </c>
      <c r="I712" t="s">
        <v>10407</v>
      </c>
      <c r="J712" t="s">
        <v>1246</v>
      </c>
      <c r="K712" t="s">
        <v>9416</v>
      </c>
      <c r="L712" t="s">
        <v>9417</v>
      </c>
      <c r="M712" t="s">
        <v>9483</v>
      </c>
      <c r="N712" t="s">
        <v>9430</v>
      </c>
      <c r="O712" t="s">
        <v>5835</v>
      </c>
      <c r="P712" t="s">
        <v>9431</v>
      </c>
      <c r="Q712" t="s">
        <v>9421</v>
      </c>
      <c r="R712" t="s">
        <v>24</v>
      </c>
      <c r="S712" t="s">
        <v>1371</v>
      </c>
      <c r="T712" t="s">
        <v>1373</v>
      </c>
    </row>
    <row r="713" spans="1:20">
      <c r="A713" t="s">
        <v>1150</v>
      </c>
      <c r="B713" t="s">
        <v>62</v>
      </c>
      <c r="C713" t="s">
        <v>5555</v>
      </c>
      <c r="D713" t="s">
        <v>445</v>
      </c>
      <c r="E713" t="s">
        <v>10865</v>
      </c>
      <c r="F713" t="s">
        <v>9601</v>
      </c>
      <c r="G713" t="s">
        <v>9413</v>
      </c>
      <c r="H713" t="s">
        <v>9414</v>
      </c>
      <c r="I713" t="s">
        <v>10261</v>
      </c>
      <c r="J713" t="s">
        <v>1043</v>
      </c>
      <c r="K713" t="s">
        <v>9416</v>
      </c>
      <c r="L713" t="s">
        <v>9417</v>
      </c>
      <c r="M713" t="s">
        <v>9436</v>
      </c>
      <c r="N713" t="s">
        <v>9446</v>
      </c>
      <c r="O713" t="s">
        <v>5553</v>
      </c>
      <c r="P713" t="s">
        <v>9655</v>
      </c>
      <c r="Q713" t="s">
        <v>9421</v>
      </c>
      <c r="R713" t="s">
        <v>56</v>
      </c>
      <c r="S713" t="s">
        <v>1151</v>
      </c>
      <c r="T713" t="s">
        <v>1153</v>
      </c>
    </row>
    <row r="714" spans="1:20">
      <c r="A714" t="s">
        <v>10866</v>
      </c>
      <c r="B714" t="s">
        <v>9409</v>
      </c>
      <c r="C714" t="s">
        <v>10867</v>
      </c>
      <c r="D714" t="s">
        <v>9410</v>
      </c>
      <c r="E714" t="s">
        <v>10868</v>
      </c>
      <c r="F714" t="s">
        <v>9601</v>
      </c>
      <c r="G714" t="s">
        <v>9413</v>
      </c>
      <c r="H714" t="s">
        <v>10869</v>
      </c>
      <c r="I714" t="s">
        <v>9446</v>
      </c>
      <c r="J714" t="s">
        <v>10870</v>
      </c>
      <c r="K714" t="s">
        <v>9416</v>
      </c>
      <c r="L714" t="s">
        <v>9417</v>
      </c>
      <c r="M714" t="s">
        <v>10871</v>
      </c>
      <c r="N714" t="s">
        <v>9426</v>
      </c>
      <c r="O714" t="s">
        <v>8411</v>
      </c>
      <c r="P714" t="s">
        <v>9567</v>
      </c>
      <c r="Q714" t="s">
        <v>9421</v>
      </c>
      <c r="R714" t="s">
        <v>43</v>
      </c>
      <c r="S714" t="s">
        <v>3628</v>
      </c>
      <c r="T714" t="s">
        <v>3630</v>
      </c>
    </row>
    <row r="715" spans="1:20">
      <c r="A715" t="s">
        <v>10872</v>
      </c>
      <c r="B715" t="s">
        <v>9409</v>
      </c>
      <c r="C715" t="s">
        <v>10867</v>
      </c>
      <c r="D715" t="s">
        <v>9410</v>
      </c>
      <c r="E715" t="s">
        <v>10873</v>
      </c>
      <c r="F715" t="s">
        <v>9601</v>
      </c>
      <c r="G715" t="s">
        <v>9413</v>
      </c>
      <c r="H715" t="s">
        <v>10869</v>
      </c>
      <c r="I715" t="s">
        <v>10874</v>
      </c>
      <c r="J715" t="s">
        <v>10870</v>
      </c>
      <c r="K715" t="s">
        <v>9445</v>
      </c>
      <c r="L715" t="s">
        <v>9417</v>
      </c>
      <c r="M715" t="s">
        <v>10871</v>
      </c>
      <c r="N715" t="s">
        <v>9426</v>
      </c>
      <c r="O715" t="s">
        <v>9446</v>
      </c>
      <c r="P715" t="s">
        <v>9567</v>
      </c>
      <c r="Q715" t="s">
        <v>9421</v>
      </c>
      <c r="R715" t="s">
        <v>43</v>
      </c>
      <c r="S715" t="s">
        <v>3628</v>
      </c>
      <c r="T715" t="s">
        <v>3630</v>
      </c>
    </row>
    <row r="716" spans="1:20">
      <c r="A716" t="s">
        <v>6989</v>
      </c>
      <c r="B716" t="s">
        <v>9409</v>
      </c>
      <c r="C716" t="s">
        <v>6992</v>
      </c>
      <c r="D716" t="s">
        <v>9410</v>
      </c>
      <c r="E716" t="s">
        <v>10875</v>
      </c>
      <c r="F716" t="s">
        <v>9412</v>
      </c>
      <c r="G716" t="s">
        <v>9413</v>
      </c>
      <c r="H716" t="s">
        <v>10876</v>
      </c>
      <c r="I716" t="s">
        <v>10877</v>
      </c>
      <c r="J716" t="s">
        <v>2314</v>
      </c>
      <c r="K716" t="s">
        <v>9416</v>
      </c>
      <c r="L716" t="s">
        <v>9417</v>
      </c>
      <c r="M716" t="s">
        <v>10878</v>
      </c>
      <c r="N716" t="s">
        <v>10879</v>
      </c>
      <c r="O716" t="s">
        <v>6990</v>
      </c>
      <c r="P716" t="s">
        <v>9420</v>
      </c>
      <c r="Q716" t="s">
        <v>9421</v>
      </c>
      <c r="R716" t="s">
        <v>17</v>
      </c>
      <c r="S716" t="s">
        <v>6989</v>
      </c>
      <c r="T716" t="s">
        <v>10880</v>
      </c>
    </row>
    <row r="717" spans="1:20">
      <c r="A717" t="s">
        <v>2315</v>
      </c>
      <c r="B717" t="s">
        <v>20</v>
      </c>
      <c r="C717" t="s">
        <v>2318</v>
      </c>
      <c r="D717" t="s">
        <v>9460</v>
      </c>
      <c r="E717" t="s">
        <v>10881</v>
      </c>
      <c r="F717" t="s">
        <v>9412</v>
      </c>
      <c r="G717" t="s">
        <v>9413</v>
      </c>
      <c r="H717" t="s">
        <v>2233</v>
      </c>
      <c r="I717" t="s">
        <v>9469</v>
      </c>
      <c r="J717" t="s">
        <v>2314</v>
      </c>
      <c r="K717" t="s">
        <v>9416</v>
      </c>
      <c r="L717" t="s">
        <v>9417</v>
      </c>
      <c r="M717" t="s">
        <v>10882</v>
      </c>
      <c r="N717" t="s">
        <v>10879</v>
      </c>
      <c r="O717" t="s">
        <v>6994</v>
      </c>
      <c r="P717" t="s">
        <v>9420</v>
      </c>
      <c r="Q717" t="s">
        <v>9421</v>
      </c>
      <c r="R717" t="s">
        <v>17</v>
      </c>
      <c r="S717" t="s">
        <v>2315</v>
      </c>
      <c r="T717" t="s">
        <v>2317</v>
      </c>
    </row>
    <row r="718" spans="1:20">
      <c r="A718" t="s">
        <v>10883</v>
      </c>
      <c r="B718" t="s">
        <v>9409</v>
      </c>
      <c r="C718" t="s">
        <v>10884</v>
      </c>
      <c r="D718" t="s">
        <v>9410</v>
      </c>
      <c r="E718" t="s">
        <v>10885</v>
      </c>
      <c r="F718" t="s">
        <v>9412</v>
      </c>
      <c r="G718" t="s">
        <v>9413</v>
      </c>
      <c r="H718" t="s">
        <v>10876</v>
      </c>
      <c r="I718" t="s">
        <v>9869</v>
      </c>
      <c r="J718" t="s">
        <v>2314</v>
      </c>
      <c r="K718" t="s">
        <v>9416</v>
      </c>
      <c r="L718" t="s">
        <v>9417</v>
      </c>
      <c r="M718" t="s">
        <v>10886</v>
      </c>
      <c r="N718" t="s">
        <v>10879</v>
      </c>
      <c r="O718" t="s">
        <v>10887</v>
      </c>
      <c r="P718" t="s">
        <v>9420</v>
      </c>
      <c r="Q718" t="s">
        <v>9421</v>
      </c>
      <c r="R718" t="s">
        <v>17</v>
      </c>
      <c r="S718" t="s">
        <v>10883</v>
      </c>
      <c r="T718" t="s">
        <v>10888</v>
      </c>
    </row>
    <row r="719" spans="1:20">
      <c r="A719" t="s">
        <v>3014</v>
      </c>
      <c r="B719" t="s">
        <v>62</v>
      </c>
      <c r="C719" t="s">
        <v>7722</v>
      </c>
      <c r="D719" t="s">
        <v>445</v>
      </c>
      <c r="E719" t="s">
        <v>10889</v>
      </c>
      <c r="F719" t="s">
        <v>9412</v>
      </c>
      <c r="G719" t="s">
        <v>9413</v>
      </c>
      <c r="H719" t="s">
        <v>10876</v>
      </c>
      <c r="I719" t="s">
        <v>10890</v>
      </c>
      <c r="J719" t="s">
        <v>3013</v>
      </c>
      <c r="K719" t="s">
        <v>9416</v>
      </c>
      <c r="L719" t="s">
        <v>9417</v>
      </c>
      <c r="M719" t="s">
        <v>10891</v>
      </c>
      <c r="N719" t="s">
        <v>10892</v>
      </c>
      <c r="O719" t="s">
        <v>7720</v>
      </c>
      <c r="P719" t="s">
        <v>9420</v>
      </c>
      <c r="Q719" t="s">
        <v>9421</v>
      </c>
      <c r="R719" t="s">
        <v>17</v>
      </c>
      <c r="S719" t="s">
        <v>3014</v>
      </c>
      <c r="T719" t="s">
        <v>3016</v>
      </c>
    </row>
    <row r="720" spans="1:20">
      <c r="A720" t="s">
        <v>3018</v>
      </c>
      <c r="B720" t="s">
        <v>62</v>
      </c>
      <c r="C720" t="s">
        <v>7726</v>
      </c>
      <c r="D720" t="s">
        <v>445</v>
      </c>
      <c r="E720" t="s">
        <v>10893</v>
      </c>
      <c r="F720" t="s">
        <v>9412</v>
      </c>
      <c r="G720" t="s">
        <v>9413</v>
      </c>
      <c r="H720" t="s">
        <v>10876</v>
      </c>
      <c r="I720" t="s">
        <v>9450</v>
      </c>
      <c r="J720" t="s">
        <v>3013</v>
      </c>
      <c r="K720" t="s">
        <v>9416</v>
      </c>
      <c r="L720" t="s">
        <v>9417</v>
      </c>
      <c r="M720" t="s">
        <v>10894</v>
      </c>
      <c r="N720" t="s">
        <v>10892</v>
      </c>
      <c r="O720" t="s">
        <v>7724</v>
      </c>
      <c r="P720" t="s">
        <v>9420</v>
      </c>
      <c r="Q720" t="s">
        <v>9421</v>
      </c>
      <c r="R720" t="s">
        <v>17</v>
      </c>
      <c r="S720" t="s">
        <v>3018</v>
      </c>
      <c r="T720" t="s">
        <v>3020</v>
      </c>
    </row>
    <row r="721" spans="1:20">
      <c r="A721" t="s">
        <v>6998</v>
      </c>
      <c r="B721" t="s">
        <v>9409</v>
      </c>
      <c r="C721" t="s">
        <v>7001</v>
      </c>
      <c r="D721" t="s">
        <v>9410</v>
      </c>
      <c r="E721" t="s">
        <v>10895</v>
      </c>
      <c r="F721" t="s">
        <v>9412</v>
      </c>
      <c r="G721" t="s">
        <v>9413</v>
      </c>
      <c r="H721" t="s">
        <v>10876</v>
      </c>
      <c r="I721" t="s">
        <v>10261</v>
      </c>
      <c r="J721" t="s">
        <v>2314</v>
      </c>
      <c r="K721" t="s">
        <v>9416</v>
      </c>
      <c r="L721" t="s">
        <v>9417</v>
      </c>
      <c r="M721" t="s">
        <v>10896</v>
      </c>
      <c r="N721" t="s">
        <v>10879</v>
      </c>
      <c r="O721" t="s">
        <v>6999</v>
      </c>
      <c r="P721" t="s">
        <v>9420</v>
      </c>
      <c r="Q721" t="s">
        <v>9421</v>
      </c>
      <c r="R721" t="s">
        <v>17</v>
      </c>
      <c r="S721" t="s">
        <v>6998</v>
      </c>
      <c r="T721" t="s">
        <v>10897</v>
      </c>
    </row>
    <row r="722" spans="1:20">
      <c r="A722" t="s">
        <v>2862</v>
      </c>
      <c r="B722" t="s">
        <v>62</v>
      </c>
      <c r="C722" t="s">
        <v>7494</v>
      </c>
      <c r="D722" t="s">
        <v>9448</v>
      </c>
      <c r="E722" t="s">
        <v>10898</v>
      </c>
      <c r="F722" t="s">
        <v>9412</v>
      </c>
      <c r="G722" t="s">
        <v>9413</v>
      </c>
      <c r="H722" t="s">
        <v>10876</v>
      </c>
      <c r="I722" t="s">
        <v>10265</v>
      </c>
      <c r="J722" t="s">
        <v>2861</v>
      </c>
      <c r="K722" t="s">
        <v>9416</v>
      </c>
      <c r="L722" t="s">
        <v>9417</v>
      </c>
      <c r="M722" t="s">
        <v>10899</v>
      </c>
      <c r="N722" t="s">
        <v>10900</v>
      </c>
      <c r="O722" t="s">
        <v>7492</v>
      </c>
      <c r="P722" t="s">
        <v>9623</v>
      </c>
      <c r="Q722" t="s">
        <v>9421</v>
      </c>
      <c r="R722" t="s">
        <v>24</v>
      </c>
      <c r="S722" t="s">
        <v>2862</v>
      </c>
      <c r="T722" t="s">
        <v>2864</v>
      </c>
    </row>
    <row r="723" spans="1:20">
      <c r="A723" t="s">
        <v>3022</v>
      </c>
      <c r="B723" t="s">
        <v>62</v>
      </c>
      <c r="C723" t="s">
        <v>7730</v>
      </c>
      <c r="D723" t="s">
        <v>445</v>
      </c>
      <c r="E723" t="s">
        <v>10901</v>
      </c>
      <c r="F723" t="s">
        <v>9412</v>
      </c>
      <c r="G723" t="s">
        <v>9413</v>
      </c>
      <c r="H723" t="s">
        <v>10876</v>
      </c>
      <c r="I723" t="s">
        <v>10890</v>
      </c>
      <c r="J723" t="s">
        <v>3013</v>
      </c>
      <c r="K723" t="s">
        <v>9416</v>
      </c>
      <c r="L723" t="s">
        <v>9417</v>
      </c>
      <c r="M723" t="s">
        <v>10891</v>
      </c>
      <c r="N723" t="s">
        <v>10892</v>
      </c>
      <c r="O723" t="s">
        <v>7728</v>
      </c>
      <c r="P723" t="s">
        <v>9420</v>
      </c>
      <c r="Q723" t="s">
        <v>9421</v>
      </c>
      <c r="R723" t="s">
        <v>17</v>
      </c>
      <c r="S723" t="s">
        <v>3022</v>
      </c>
      <c r="T723" t="s">
        <v>3024</v>
      </c>
    </row>
    <row r="724" spans="1:20">
      <c r="A724" t="s">
        <v>2694</v>
      </c>
      <c r="B724" t="s">
        <v>20</v>
      </c>
      <c r="C724" t="s">
        <v>7360</v>
      </c>
      <c r="D724" t="s">
        <v>9460</v>
      </c>
      <c r="E724" t="s">
        <v>10902</v>
      </c>
      <c r="F724" t="s">
        <v>9412</v>
      </c>
      <c r="G724" t="s">
        <v>9413</v>
      </c>
      <c r="H724" t="s">
        <v>10876</v>
      </c>
      <c r="I724" t="s">
        <v>9415</v>
      </c>
      <c r="J724" t="s">
        <v>2693</v>
      </c>
      <c r="K724" t="s">
        <v>9416</v>
      </c>
      <c r="L724" t="s">
        <v>9417</v>
      </c>
      <c r="M724" t="s">
        <v>10903</v>
      </c>
      <c r="N724" t="s">
        <v>10904</v>
      </c>
      <c r="O724" t="s">
        <v>7362</v>
      </c>
      <c r="P724" t="s">
        <v>10467</v>
      </c>
      <c r="Q724" t="s">
        <v>9421</v>
      </c>
      <c r="R724" t="s">
        <v>52</v>
      </c>
      <c r="S724" t="s">
        <v>2698</v>
      </c>
      <c r="T724" t="s">
        <v>2700</v>
      </c>
    </row>
    <row r="725" spans="1:20">
      <c r="A725" t="s">
        <v>2694</v>
      </c>
      <c r="B725" t="s">
        <v>20</v>
      </c>
      <c r="C725" t="s">
        <v>7360</v>
      </c>
      <c r="D725" t="s">
        <v>9460</v>
      </c>
      <c r="E725" t="s">
        <v>10902</v>
      </c>
      <c r="F725" t="s">
        <v>9412</v>
      </c>
      <c r="G725" t="s">
        <v>9413</v>
      </c>
      <c r="H725" t="s">
        <v>10876</v>
      </c>
      <c r="I725" t="s">
        <v>9415</v>
      </c>
      <c r="J725" t="s">
        <v>2693</v>
      </c>
      <c r="K725" t="s">
        <v>9416</v>
      </c>
      <c r="L725" t="s">
        <v>9417</v>
      </c>
      <c r="M725" t="s">
        <v>10903</v>
      </c>
      <c r="N725" t="s">
        <v>10904</v>
      </c>
      <c r="O725" t="s">
        <v>7358</v>
      </c>
      <c r="P725" t="s">
        <v>9420</v>
      </c>
      <c r="Q725" t="s">
        <v>9421</v>
      </c>
      <c r="R725" t="s">
        <v>17</v>
      </c>
      <c r="S725" t="s">
        <v>2694</v>
      </c>
      <c r="T725" t="s">
        <v>2696</v>
      </c>
    </row>
    <row r="726" spans="1:20">
      <c r="A726" t="s">
        <v>2927</v>
      </c>
      <c r="B726" t="s">
        <v>20</v>
      </c>
      <c r="C726" t="s">
        <v>10905</v>
      </c>
      <c r="D726" t="s">
        <v>9455</v>
      </c>
      <c r="E726" t="s">
        <v>10906</v>
      </c>
      <c r="F726" t="s">
        <v>9412</v>
      </c>
      <c r="G726" t="s">
        <v>9413</v>
      </c>
      <c r="H726" t="s">
        <v>10876</v>
      </c>
      <c r="I726" t="s">
        <v>9766</v>
      </c>
      <c r="J726" t="s">
        <v>2926</v>
      </c>
      <c r="K726" t="s">
        <v>9445</v>
      </c>
      <c r="L726" t="s">
        <v>9417</v>
      </c>
      <c r="M726" t="s">
        <v>10907</v>
      </c>
      <c r="N726" t="s">
        <v>9426</v>
      </c>
      <c r="O726" t="s">
        <v>9446</v>
      </c>
      <c r="P726" t="s">
        <v>9567</v>
      </c>
      <c r="Q726" t="s">
        <v>9421</v>
      </c>
      <c r="R726" t="s">
        <v>24</v>
      </c>
      <c r="S726" t="s">
        <v>2772</v>
      </c>
      <c r="T726" t="s">
        <v>2774</v>
      </c>
    </row>
    <row r="727" spans="1:20">
      <c r="A727" t="s">
        <v>2927</v>
      </c>
      <c r="B727" t="s">
        <v>20</v>
      </c>
      <c r="C727" t="s">
        <v>10905</v>
      </c>
      <c r="D727" t="s">
        <v>9455</v>
      </c>
      <c r="E727" t="s">
        <v>10906</v>
      </c>
      <c r="F727" t="s">
        <v>9412</v>
      </c>
      <c r="G727" t="s">
        <v>9413</v>
      </c>
      <c r="H727" t="s">
        <v>10876</v>
      </c>
      <c r="I727" t="s">
        <v>9766</v>
      </c>
      <c r="J727" t="s">
        <v>2926</v>
      </c>
      <c r="K727" t="s">
        <v>9416</v>
      </c>
      <c r="L727" t="s">
        <v>9417</v>
      </c>
      <c r="M727" t="s">
        <v>10907</v>
      </c>
      <c r="N727" t="s">
        <v>10908</v>
      </c>
      <c r="O727" t="s">
        <v>7603</v>
      </c>
      <c r="P727" t="s">
        <v>9647</v>
      </c>
      <c r="Q727" t="s">
        <v>9421</v>
      </c>
      <c r="R727" t="s">
        <v>84</v>
      </c>
      <c r="S727" t="s">
        <v>2928</v>
      </c>
      <c r="T727" t="s">
        <v>2930</v>
      </c>
    </row>
    <row r="728" spans="1:20">
      <c r="A728" t="s">
        <v>7003</v>
      </c>
      <c r="B728" t="s">
        <v>9409</v>
      </c>
      <c r="C728" t="s">
        <v>7006</v>
      </c>
      <c r="D728" t="s">
        <v>9410</v>
      </c>
      <c r="E728" t="s">
        <v>10909</v>
      </c>
      <c r="F728" t="s">
        <v>9412</v>
      </c>
      <c r="G728" t="s">
        <v>9413</v>
      </c>
      <c r="H728" t="s">
        <v>10876</v>
      </c>
      <c r="I728" t="s">
        <v>10066</v>
      </c>
      <c r="J728" t="s">
        <v>2314</v>
      </c>
      <c r="K728" t="s">
        <v>9416</v>
      </c>
      <c r="L728" t="s">
        <v>9417</v>
      </c>
      <c r="M728" t="s">
        <v>10910</v>
      </c>
      <c r="N728" t="s">
        <v>10879</v>
      </c>
      <c r="O728" t="s">
        <v>7004</v>
      </c>
      <c r="P728" t="s">
        <v>9420</v>
      </c>
      <c r="Q728" t="s">
        <v>9421</v>
      </c>
      <c r="R728" t="s">
        <v>17</v>
      </c>
      <c r="S728" t="s">
        <v>7003</v>
      </c>
      <c r="T728" t="s">
        <v>10911</v>
      </c>
    </row>
    <row r="729" spans="1:20">
      <c r="A729" t="s">
        <v>7496</v>
      </c>
      <c r="B729" t="s">
        <v>9409</v>
      </c>
      <c r="C729" t="s">
        <v>7500</v>
      </c>
      <c r="D729" t="s">
        <v>9410</v>
      </c>
      <c r="E729" t="s">
        <v>10912</v>
      </c>
      <c r="F729" t="s">
        <v>9412</v>
      </c>
      <c r="G729" t="s">
        <v>9413</v>
      </c>
      <c r="H729" t="s">
        <v>10876</v>
      </c>
      <c r="I729" t="s">
        <v>9469</v>
      </c>
      <c r="J729" t="s">
        <v>2861</v>
      </c>
      <c r="K729" t="s">
        <v>9416</v>
      </c>
      <c r="L729" t="s">
        <v>9417</v>
      </c>
      <c r="M729" t="s">
        <v>10913</v>
      </c>
      <c r="N729" t="s">
        <v>9446</v>
      </c>
      <c r="O729" t="s">
        <v>7506</v>
      </c>
      <c r="P729" t="s">
        <v>9655</v>
      </c>
      <c r="Q729" t="s">
        <v>9421</v>
      </c>
      <c r="R729" t="s">
        <v>56</v>
      </c>
      <c r="S729" t="s">
        <v>7505</v>
      </c>
      <c r="T729" t="s">
        <v>10914</v>
      </c>
    </row>
    <row r="730" spans="1:20">
      <c r="A730" t="s">
        <v>7496</v>
      </c>
      <c r="B730" t="s">
        <v>9409</v>
      </c>
      <c r="C730" t="s">
        <v>7500</v>
      </c>
      <c r="D730" t="s">
        <v>9410</v>
      </c>
      <c r="E730" t="s">
        <v>10912</v>
      </c>
      <c r="F730" t="s">
        <v>9412</v>
      </c>
      <c r="G730" t="s">
        <v>9413</v>
      </c>
      <c r="H730" t="s">
        <v>10876</v>
      </c>
      <c r="I730" t="s">
        <v>9469</v>
      </c>
      <c r="J730" t="s">
        <v>2861</v>
      </c>
      <c r="K730" t="s">
        <v>9416</v>
      </c>
      <c r="L730" t="s">
        <v>9417</v>
      </c>
      <c r="M730" t="s">
        <v>10913</v>
      </c>
      <c r="N730" t="s">
        <v>10900</v>
      </c>
      <c r="O730" t="s">
        <v>7503</v>
      </c>
      <c r="P730" t="s">
        <v>9420</v>
      </c>
      <c r="Q730" t="s">
        <v>9421</v>
      </c>
      <c r="R730" t="s">
        <v>17</v>
      </c>
      <c r="S730" t="s">
        <v>7502</v>
      </c>
      <c r="T730" t="s">
        <v>10915</v>
      </c>
    </row>
    <row r="731" spans="1:20">
      <c r="A731" t="s">
        <v>7496</v>
      </c>
      <c r="B731" t="s">
        <v>9409</v>
      </c>
      <c r="C731" t="s">
        <v>7500</v>
      </c>
      <c r="D731" t="s">
        <v>9410</v>
      </c>
      <c r="E731" t="s">
        <v>10912</v>
      </c>
      <c r="F731" t="s">
        <v>9412</v>
      </c>
      <c r="G731" t="s">
        <v>9413</v>
      </c>
      <c r="H731" t="s">
        <v>10876</v>
      </c>
      <c r="I731" t="s">
        <v>9469</v>
      </c>
      <c r="J731" t="s">
        <v>2861</v>
      </c>
      <c r="K731" t="s">
        <v>9416</v>
      </c>
      <c r="L731" t="s">
        <v>9417</v>
      </c>
      <c r="M731" t="s">
        <v>10913</v>
      </c>
      <c r="N731" t="s">
        <v>9430</v>
      </c>
      <c r="O731" t="s">
        <v>7498</v>
      </c>
      <c r="P731" t="s">
        <v>9623</v>
      </c>
      <c r="Q731" t="s">
        <v>9421</v>
      </c>
      <c r="R731" t="s">
        <v>24</v>
      </c>
      <c r="S731" t="s">
        <v>7497</v>
      </c>
      <c r="T731" t="s">
        <v>10916</v>
      </c>
    </row>
    <row r="732" spans="1:20">
      <c r="A732" t="s">
        <v>2234</v>
      </c>
      <c r="B732" t="s">
        <v>20</v>
      </c>
      <c r="C732" t="s">
        <v>6910</v>
      </c>
      <c r="D732" t="s">
        <v>9475</v>
      </c>
      <c r="E732" t="s">
        <v>10917</v>
      </c>
      <c r="F732" t="s">
        <v>9412</v>
      </c>
      <c r="G732" t="s">
        <v>9413</v>
      </c>
      <c r="H732" t="s">
        <v>10876</v>
      </c>
      <c r="I732" t="s">
        <v>9787</v>
      </c>
      <c r="J732" t="s">
        <v>2232</v>
      </c>
      <c r="K732" t="s">
        <v>9416</v>
      </c>
      <c r="L732" t="s">
        <v>9417</v>
      </c>
      <c r="M732" t="s">
        <v>10918</v>
      </c>
      <c r="N732" t="s">
        <v>10919</v>
      </c>
      <c r="O732" t="s">
        <v>6908</v>
      </c>
      <c r="P732" t="s">
        <v>9420</v>
      </c>
      <c r="Q732" t="s">
        <v>9421</v>
      </c>
      <c r="R732" t="s">
        <v>17</v>
      </c>
      <c r="S732" t="s">
        <v>2234</v>
      </c>
      <c r="T732" t="s">
        <v>2236</v>
      </c>
    </row>
    <row r="733" spans="1:20">
      <c r="A733" t="s">
        <v>2234</v>
      </c>
      <c r="B733" t="s">
        <v>20</v>
      </c>
      <c r="C733" t="s">
        <v>6910</v>
      </c>
      <c r="D733" t="s">
        <v>9475</v>
      </c>
      <c r="E733" t="s">
        <v>10917</v>
      </c>
      <c r="F733" t="s">
        <v>9412</v>
      </c>
      <c r="G733" t="s">
        <v>9413</v>
      </c>
      <c r="H733" t="s">
        <v>10876</v>
      </c>
      <c r="I733" t="s">
        <v>9787</v>
      </c>
      <c r="J733" t="s">
        <v>2232</v>
      </c>
      <c r="K733" t="s">
        <v>9445</v>
      </c>
      <c r="L733" t="s">
        <v>9417</v>
      </c>
      <c r="M733" t="s">
        <v>10918</v>
      </c>
      <c r="N733" t="s">
        <v>9426</v>
      </c>
      <c r="O733" t="s">
        <v>9446</v>
      </c>
      <c r="P733" t="s">
        <v>9479</v>
      </c>
      <c r="Q733" t="s">
        <v>9421</v>
      </c>
      <c r="R733" t="s">
        <v>43</v>
      </c>
      <c r="S733" t="s">
        <v>2238</v>
      </c>
      <c r="T733" t="s">
        <v>2240</v>
      </c>
    </row>
    <row r="734" spans="1:20">
      <c r="A734" t="s">
        <v>10920</v>
      </c>
      <c r="B734" t="s">
        <v>9409</v>
      </c>
      <c r="C734" t="s">
        <v>10921</v>
      </c>
      <c r="D734" t="s">
        <v>9410</v>
      </c>
      <c r="E734" t="s">
        <v>10922</v>
      </c>
      <c r="F734" t="s">
        <v>9412</v>
      </c>
      <c r="G734" t="s">
        <v>9413</v>
      </c>
      <c r="H734" t="s">
        <v>10876</v>
      </c>
      <c r="I734" t="s">
        <v>9751</v>
      </c>
      <c r="J734" t="s">
        <v>2314</v>
      </c>
      <c r="K734" t="s">
        <v>9416</v>
      </c>
      <c r="L734" t="s">
        <v>9417</v>
      </c>
      <c r="M734" t="s">
        <v>10923</v>
      </c>
      <c r="N734" t="s">
        <v>9446</v>
      </c>
      <c r="O734" t="s">
        <v>10924</v>
      </c>
      <c r="P734" t="s">
        <v>9647</v>
      </c>
      <c r="Q734" t="s">
        <v>9421</v>
      </c>
      <c r="R734" t="s">
        <v>84</v>
      </c>
      <c r="S734" t="s">
        <v>10925</v>
      </c>
      <c r="T734" t="s">
        <v>10926</v>
      </c>
    </row>
    <row r="735" spans="1:20">
      <c r="A735" t="s">
        <v>10920</v>
      </c>
      <c r="B735" t="s">
        <v>9409</v>
      </c>
      <c r="C735" t="s">
        <v>10921</v>
      </c>
      <c r="D735" t="s">
        <v>9410</v>
      </c>
      <c r="E735" t="s">
        <v>10922</v>
      </c>
      <c r="F735" t="s">
        <v>9412</v>
      </c>
      <c r="G735" t="s">
        <v>9413</v>
      </c>
      <c r="H735" t="s">
        <v>10876</v>
      </c>
      <c r="I735" t="s">
        <v>9751</v>
      </c>
      <c r="J735" t="s">
        <v>2314</v>
      </c>
      <c r="K735" t="s">
        <v>9416</v>
      </c>
      <c r="L735" t="s">
        <v>9417</v>
      </c>
      <c r="M735" t="s">
        <v>10923</v>
      </c>
      <c r="N735" t="s">
        <v>10879</v>
      </c>
      <c r="O735" t="s">
        <v>10927</v>
      </c>
      <c r="P735" t="s">
        <v>10928</v>
      </c>
      <c r="Q735" t="s">
        <v>9421</v>
      </c>
      <c r="R735" t="s">
        <v>17</v>
      </c>
      <c r="S735" t="s">
        <v>10929</v>
      </c>
      <c r="T735" t="s">
        <v>10930</v>
      </c>
    </row>
    <row r="736" spans="1:20">
      <c r="A736" t="s">
        <v>10931</v>
      </c>
      <c r="B736" t="s">
        <v>9409</v>
      </c>
      <c r="C736" t="s">
        <v>10932</v>
      </c>
      <c r="D736" t="s">
        <v>9410</v>
      </c>
      <c r="E736" t="s">
        <v>10933</v>
      </c>
      <c r="F736" t="s">
        <v>9412</v>
      </c>
      <c r="G736" t="s">
        <v>9413</v>
      </c>
      <c r="H736" t="s">
        <v>10876</v>
      </c>
      <c r="I736" t="s">
        <v>9518</v>
      </c>
      <c r="J736" t="s">
        <v>2232</v>
      </c>
      <c r="K736" t="s">
        <v>9416</v>
      </c>
      <c r="L736" t="s">
        <v>9417</v>
      </c>
      <c r="M736" t="s">
        <v>10934</v>
      </c>
      <c r="N736" t="s">
        <v>10919</v>
      </c>
      <c r="O736" t="s">
        <v>10935</v>
      </c>
      <c r="P736" t="s">
        <v>9420</v>
      </c>
      <c r="Q736" t="s">
        <v>9421</v>
      </c>
      <c r="R736" t="s">
        <v>17</v>
      </c>
      <c r="S736" t="s">
        <v>10936</v>
      </c>
      <c r="T736" t="s">
        <v>10937</v>
      </c>
    </row>
    <row r="737" spans="1:20">
      <c r="A737" t="s">
        <v>2241</v>
      </c>
      <c r="B737" t="s">
        <v>20</v>
      </c>
      <c r="C737" t="s">
        <v>6915</v>
      </c>
      <c r="D737" t="s">
        <v>9475</v>
      </c>
      <c r="E737" t="s">
        <v>10938</v>
      </c>
      <c r="F737" t="s">
        <v>9412</v>
      </c>
      <c r="G737" t="s">
        <v>9413</v>
      </c>
      <c r="H737" t="s">
        <v>10876</v>
      </c>
      <c r="I737" t="s">
        <v>10302</v>
      </c>
      <c r="J737" t="s">
        <v>2232</v>
      </c>
      <c r="K737" t="s">
        <v>9416</v>
      </c>
      <c r="L737" t="s">
        <v>9417</v>
      </c>
      <c r="M737" t="s">
        <v>10882</v>
      </c>
      <c r="N737" t="s">
        <v>10919</v>
      </c>
      <c r="O737" t="s">
        <v>6913</v>
      </c>
      <c r="P737" t="s">
        <v>9420</v>
      </c>
      <c r="Q737" t="s">
        <v>9421</v>
      </c>
      <c r="R737" t="s">
        <v>17</v>
      </c>
      <c r="S737" t="s">
        <v>2241</v>
      </c>
      <c r="T737" t="s">
        <v>2243</v>
      </c>
    </row>
    <row r="738" spans="1:20">
      <c r="A738" t="s">
        <v>10939</v>
      </c>
      <c r="B738" t="s">
        <v>9409</v>
      </c>
      <c r="C738" t="s">
        <v>10940</v>
      </c>
      <c r="D738" t="s">
        <v>9410</v>
      </c>
      <c r="E738" t="s">
        <v>10941</v>
      </c>
      <c r="F738" t="s">
        <v>9412</v>
      </c>
      <c r="G738" t="s">
        <v>9413</v>
      </c>
      <c r="H738" t="s">
        <v>10876</v>
      </c>
      <c r="I738" t="s">
        <v>10265</v>
      </c>
      <c r="J738" t="s">
        <v>2232</v>
      </c>
      <c r="K738" t="s">
        <v>9416</v>
      </c>
      <c r="L738" t="s">
        <v>9417</v>
      </c>
      <c r="M738" t="s">
        <v>10882</v>
      </c>
      <c r="N738" t="s">
        <v>9446</v>
      </c>
      <c r="O738" t="s">
        <v>10942</v>
      </c>
      <c r="P738" t="s">
        <v>9479</v>
      </c>
      <c r="Q738" t="s">
        <v>9421</v>
      </c>
      <c r="R738" t="s">
        <v>43</v>
      </c>
      <c r="S738" t="s">
        <v>10943</v>
      </c>
      <c r="T738" t="s">
        <v>10944</v>
      </c>
    </row>
    <row r="739" spans="1:20">
      <c r="A739" t="s">
        <v>2245</v>
      </c>
      <c r="B739" t="s">
        <v>62</v>
      </c>
      <c r="C739" t="s">
        <v>2249</v>
      </c>
      <c r="D739" t="s">
        <v>10271</v>
      </c>
      <c r="E739" t="s">
        <v>10945</v>
      </c>
      <c r="F739" t="s">
        <v>9412</v>
      </c>
      <c r="G739" t="s">
        <v>9413</v>
      </c>
      <c r="H739" t="s">
        <v>2233</v>
      </c>
      <c r="I739" t="s">
        <v>10422</v>
      </c>
      <c r="J739" t="s">
        <v>2232</v>
      </c>
      <c r="K739" t="s">
        <v>9416</v>
      </c>
      <c r="L739" t="s">
        <v>9417</v>
      </c>
      <c r="M739" t="s">
        <v>10882</v>
      </c>
      <c r="N739" t="s">
        <v>9446</v>
      </c>
      <c r="O739" t="s">
        <v>6921</v>
      </c>
      <c r="P739" t="s">
        <v>9651</v>
      </c>
      <c r="Q739" t="s">
        <v>9421</v>
      </c>
      <c r="R739" t="s">
        <v>56</v>
      </c>
      <c r="S739" t="s">
        <v>2250</v>
      </c>
      <c r="T739" t="s">
        <v>2252</v>
      </c>
    </row>
    <row r="740" spans="1:20">
      <c r="A740" t="s">
        <v>2245</v>
      </c>
      <c r="B740" t="s">
        <v>62</v>
      </c>
      <c r="C740" t="s">
        <v>2249</v>
      </c>
      <c r="D740" t="s">
        <v>10271</v>
      </c>
      <c r="E740" t="s">
        <v>10945</v>
      </c>
      <c r="F740" t="s">
        <v>9412</v>
      </c>
      <c r="G740" t="s">
        <v>9413</v>
      </c>
      <c r="H740" t="s">
        <v>2233</v>
      </c>
      <c r="I740" t="s">
        <v>10422</v>
      </c>
      <c r="J740" t="s">
        <v>2232</v>
      </c>
      <c r="K740" t="s">
        <v>9416</v>
      </c>
      <c r="L740" t="s">
        <v>9417</v>
      </c>
      <c r="M740" t="s">
        <v>10882</v>
      </c>
      <c r="N740" t="s">
        <v>10919</v>
      </c>
      <c r="O740" t="s">
        <v>6917</v>
      </c>
      <c r="P740" t="s">
        <v>9429</v>
      </c>
      <c r="Q740" t="s">
        <v>9421</v>
      </c>
      <c r="R740" t="s">
        <v>52</v>
      </c>
      <c r="S740" t="s">
        <v>2246</v>
      </c>
      <c r="T740" t="s">
        <v>2248</v>
      </c>
    </row>
    <row r="741" spans="1:20">
      <c r="A741" t="s">
        <v>7732</v>
      </c>
      <c r="B741" t="s">
        <v>9409</v>
      </c>
      <c r="C741" t="s">
        <v>7735</v>
      </c>
      <c r="D741" t="s">
        <v>9410</v>
      </c>
      <c r="E741" t="s">
        <v>10946</v>
      </c>
      <c r="F741" t="s">
        <v>9412</v>
      </c>
      <c r="G741" t="s">
        <v>9413</v>
      </c>
      <c r="H741" t="s">
        <v>10876</v>
      </c>
      <c r="I741" t="s">
        <v>9628</v>
      </c>
      <c r="J741" t="s">
        <v>3013</v>
      </c>
      <c r="K741" t="s">
        <v>9416</v>
      </c>
      <c r="L741" t="s">
        <v>9417</v>
      </c>
      <c r="M741" t="s">
        <v>10891</v>
      </c>
      <c r="N741" t="s">
        <v>10892</v>
      </c>
      <c r="O741" t="s">
        <v>7733</v>
      </c>
      <c r="P741" t="s">
        <v>9420</v>
      </c>
      <c r="Q741" t="s">
        <v>9421</v>
      </c>
      <c r="R741" t="s">
        <v>17</v>
      </c>
      <c r="S741" t="s">
        <v>7732</v>
      </c>
      <c r="T741" t="s">
        <v>10947</v>
      </c>
    </row>
    <row r="742" spans="1:20">
      <c r="A742" t="s">
        <v>7732</v>
      </c>
      <c r="B742" t="s">
        <v>9409</v>
      </c>
      <c r="C742" t="s">
        <v>7735</v>
      </c>
      <c r="D742" t="s">
        <v>9410</v>
      </c>
      <c r="E742" t="s">
        <v>10946</v>
      </c>
      <c r="F742" t="s">
        <v>9412</v>
      </c>
      <c r="G742" t="s">
        <v>9413</v>
      </c>
      <c r="H742" t="s">
        <v>10876</v>
      </c>
      <c r="I742" t="s">
        <v>9628</v>
      </c>
      <c r="J742" t="s">
        <v>3013</v>
      </c>
      <c r="K742" t="s">
        <v>9445</v>
      </c>
      <c r="L742" t="s">
        <v>9417</v>
      </c>
      <c r="M742" t="s">
        <v>10891</v>
      </c>
      <c r="N742" t="s">
        <v>9426</v>
      </c>
      <c r="O742" t="s">
        <v>9446</v>
      </c>
      <c r="P742" t="s">
        <v>9567</v>
      </c>
      <c r="Q742" t="s">
        <v>9421</v>
      </c>
      <c r="R742" t="s">
        <v>24</v>
      </c>
      <c r="S742" t="s">
        <v>2772</v>
      </c>
      <c r="T742" t="s">
        <v>2774</v>
      </c>
    </row>
    <row r="743" spans="1:20">
      <c r="A743" t="s">
        <v>2932</v>
      </c>
      <c r="B743" t="s">
        <v>20</v>
      </c>
      <c r="C743" t="s">
        <v>7609</v>
      </c>
      <c r="D743" t="s">
        <v>9475</v>
      </c>
      <c r="E743" t="s">
        <v>10948</v>
      </c>
      <c r="F743" t="s">
        <v>9412</v>
      </c>
      <c r="G743" t="s">
        <v>9413</v>
      </c>
      <c r="H743" t="s">
        <v>10876</v>
      </c>
      <c r="I743" t="s">
        <v>9766</v>
      </c>
      <c r="J743" t="s">
        <v>2926</v>
      </c>
      <c r="K743" t="s">
        <v>9416</v>
      </c>
      <c r="L743" t="s">
        <v>9417</v>
      </c>
      <c r="M743" t="s">
        <v>10899</v>
      </c>
      <c r="N743" t="s">
        <v>9430</v>
      </c>
      <c r="O743" t="s">
        <v>7611</v>
      </c>
      <c r="P743" t="s">
        <v>10949</v>
      </c>
      <c r="Q743" t="s">
        <v>9421</v>
      </c>
      <c r="R743" t="s">
        <v>24</v>
      </c>
      <c r="S743" t="s">
        <v>2936</v>
      </c>
      <c r="T743" t="s">
        <v>2938</v>
      </c>
    </row>
    <row r="744" spans="1:20">
      <c r="A744" t="s">
        <v>2932</v>
      </c>
      <c r="B744" t="s">
        <v>20</v>
      </c>
      <c r="C744" t="s">
        <v>7609</v>
      </c>
      <c r="D744" t="s">
        <v>9475</v>
      </c>
      <c r="E744" t="s">
        <v>10948</v>
      </c>
      <c r="F744" t="s">
        <v>9412</v>
      </c>
      <c r="G744" t="s">
        <v>9413</v>
      </c>
      <c r="H744" t="s">
        <v>10876</v>
      </c>
      <c r="I744" t="s">
        <v>9766</v>
      </c>
      <c r="J744" t="s">
        <v>2926</v>
      </c>
      <c r="K744" t="s">
        <v>9416</v>
      </c>
      <c r="L744" t="s">
        <v>9417</v>
      </c>
      <c r="M744" t="s">
        <v>10899</v>
      </c>
      <c r="N744" t="s">
        <v>9426</v>
      </c>
      <c r="O744" t="s">
        <v>7046</v>
      </c>
      <c r="P744" t="s">
        <v>9567</v>
      </c>
      <c r="Q744" t="s">
        <v>9421</v>
      </c>
      <c r="R744" t="s">
        <v>43</v>
      </c>
      <c r="S744" t="s">
        <v>2323</v>
      </c>
      <c r="T744" t="s">
        <v>2325</v>
      </c>
    </row>
    <row r="745" spans="1:20">
      <c r="A745" t="s">
        <v>2932</v>
      </c>
      <c r="B745" t="s">
        <v>20</v>
      </c>
      <c r="C745" t="s">
        <v>7609</v>
      </c>
      <c r="D745" t="s">
        <v>9475</v>
      </c>
      <c r="E745" t="s">
        <v>10948</v>
      </c>
      <c r="F745" t="s">
        <v>9412</v>
      </c>
      <c r="G745" t="s">
        <v>9413</v>
      </c>
      <c r="H745" t="s">
        <v>10876</v>
      </c>
      <c r="I745" t="s">
        <v>9766</v>
      </c>
      <c r="J745" t="s">
        <v>2926</v>
      </c>
      <c r="K745" t="s">
        <v>9416</v>
      </c>
      <c r="L745" t="s">
        <v>9417</v>
      </c>
      <c r="M745" t="s">
        <v>10899</v>
      </c>
      <c r="N745" t="s">
        <v>10908</v>
      </c>
      <c r="O745" t="s">
        <v>7607</v>
      </c>
      <c r="P745" t="s">
        <v>9420</v>
      </c>
      <c r="Q745" t="s">
        <v>9421</v>
      </c>
      <c r="R745" t="s">
        <v>17</v>
      </c>
      <c r="S745" t="s">
        <v>2932</v>
      </c>
      <c r="T745" t="s">
        <v>2934</v>
      </c>
    </row>
    <row r="746" spans="1:20">
      <c r="A746" t="s">
        <v>2319</v>
      </c>
      <c r="B746" t="s">
        <v>62</v>
      </c>
      <c r="C746" t="s">
        <v>7010</v>
      </c>
      <c r="D746" t="s">
        <v>9448</v>
      </c>
      <c r="E746" t="s">
        <v>10950</v>
      </c>
      <c r="F746" t="s">
        <v>9412</v>
      </c>
      <c r="G746" t="s">
        <v>9413</v>
      </c>
      <c r="H746" t="s">
        <v>10876</v>
      </c>
      <c r="I746" t="s">
        <v>9511</v>
      </c>
      <c r="J746" t="s">
        <v>2314</v>
      </c>
      <c r="K746" t="s">
        <v>9445</v>
      </c>
      <c r="L746" t="s">
        <v>9417</v>
      </c>
      <c r="M746" t="s">
        <v>10951</v>
      </c>
      <c r="N746" t="s">
        <v>9426</v>
      </c>
      <c r="O746" t="s">
        <v>9446</v>
      </c>
      <c r="P746" t="s">
        <v>9567</v>
      </c>
      <c r="Q746" t="s">
        <v>9421</v>
      </c>
      <c r="R746" t="s">
        <v>43</v>
      </c>
      <c r="S746" t="s">
        <v>2323</v>
      </c>
      <c r="T746" t="s">
        <v>2325</v>
      </c>
    </row>
    <row r="747" spans="1:20">
      <c r="A747" t="s">
        <v>2319</v>
      </c>
      <c r="B747" t="s">
        <v>62</v>
      </c>
      <c r="C747" t="s">
        <v>7010</v>
      </c>
      <c r="D747" t="s">
        <v>9448</v>
      </c>
      <c r="E747" t="s">
        <v>10950</v>
      </c>
      <c r="F747" t="s">
        <v>9412</v>
      </c>
      <c r="G747" t="s">
        <v>9413</v>
      </c>
      <c r="H747" t="s">
        <v>10876</v>
      </c>
      <c r="I747" t="s">
        <v>9511</v>
      </c>
      <c r="J747" t="s">
        <v>2314</v>
      </c>
      <c r="K747" t="s">
        <v>9416</v>
      </c>
      <c r="L747" t="s">
        <v>9417</v>
      </c>
      <c r="M747" t="s">
        <v>10951</v>
      </c>
      <c r="N747" t="s">
        <v>10879</v>
      </c>
      <c r="O747" t="s">
        <v>7008</v>
      </c>
      <c r="P747" t="s">
        <v>9420</v>
      </c>
      <c r="Q747" t="s">
        <v>9421</v>
      </c>
      <c r="R747" t="s">
        <v>17</v>
      </c>
      <c r="S747" t="s">
        <v>2319</v>
      </c>
      <c r="T747" t="s">
        <v>2321</v>
      </c>
    </row>
    <row r="748" spans="1:20">
      <c r="A748" t="s">
        <v>2253</v>
      </c>
      <c r="B748" t="s">
        <v>20</v>
      </c>
      <c r="C748" t="s">
        <v>2256</v>
      </c>
      <c r="D748" t="s">
        <v>9460</v>
      </c>
      <c r="E748" t="s">
        <v>10952</v>
      </c>
      <c r="F748" t="s">
        <v>9412</v>
      </c>
      <c r="G748" t="s">
        <v>9413</v>
      </c>
      <c r="H748" t="s">
        <v>2233</v>
      </c>
      <c r="I748" t="s">
        <v>9886</v>
      </c>
      <c r="J748" t="s">
        <v>2232</v>
      </c>
      <c r="K748" t="s">
        <v>9416</v>
      </c>
      <c r="L748" t="s">
        <v>9417</v>
      </c>
      <c r="M748" t="s">
        <v>10918</v>
      </c>
      <c r="N748" t="s">
        <v>10919</v>
      </c>
      <c r="O748" t="s">
        <v>6923</v>
      </c>
      <c r="P748" t="s">
        <v>9623</v>
      </c>
      <c r="Q748" t="s">
        <v>9421</v>
      </c>
      <c r="R748" t="s">
        <v>24</v>
      </c>
      <c r="S748" t="s">
        <v>2253</v>
      </c>
      <c r="T748" t="s">
        <v>2255</v>
      </c>
    </row>
    <row r="749" spans="1:20">
      <c r="A749" t="s">
        <v>2939</v>
      </c>
      <c r="B749" t="s">
        <v>20</v>
      </c>
      <c r="C749" t="s">
        <v>2942</v>
      </c>
      <c r="D749" t="s">
        <v>9464</v>
      </c>
      <c r="E749" t="s">
        <v>10953</v>
      </c>
      <c r="F749" t="s">
        <v>9412</v>
      </c>
      <c r="G749" t="s">
        <v>9413</v>
      </c>
      <c r="H749" t="s">
        <v>2233</v>
      </c>
      <c r="I749" t="s">
        <v>9781</v>
      </c>
      <c r="J749" t="s">
        <v>2926</v>
      </c>
      <c r="K749" t="s">
        <v>9416</v>
      </c>
      <c r="L749" t="s">
        <v>9417</v>
      </c>
      <c r="M749" t="s">
        <v>10954</v>
      </c>
      <c r="N749" t="s">
        <v>10908</v>
      </c>
      <c r="O749" t="s">
        <v>7613</v>
      </c>
      <c r="P749" t="s">
        <v>9420</v>
      </c>
      <c r="Q749" t="s">
        <v>9421</v>
      </c>
      <c r="R749" t="s">
        <v>17</v>
      </c>
      <c r="S749" t="s">
        <v>2939</v>
      </c>
      <c r="T749" t="s">
        <v>2941</v>
      </c>
    </row>
    <row r="750" spans="1:20">
      <c r="A750" t="s">
        <v>10955</v>
      </c>
      <c r="B750" t="s">
        <v>9409</v>
      </c>
      <c r="C750" t="s">
        <v>10956</v>
      </c>
      <c r="D750" t="s">
        <v>9410</v>
      </c>
      <c r="E750" t="s">
        <v>10957</v>
      </c>
      <c r="F750" t="s">
        <v>9412</v>
      </c>
      <c r="G750" t="s">
        <v>9413</v>
      </c>
      <c r="H750" t="s">
        <v>10876</v>
      </c>
      <c r="I750" t="s">
        <v>10958</v>
      </c>
      <c r="J750" t="s">
        <v>2314</v>
      </c>
      <c r="K750" t="s">
        <v>9416</v>
      </c>
      <c r="L750" t="s">
        <v>9417</v>
      </c>
      <c r="M750" t="s">
        <v>10934</v>
      </c>
      <c r="N750" t="s">
        <v>10879</v>
      </c>
      <c r="O750" t="s">
        <v>10959</v>
      </c>
      <c r="P750" t="s">
        <v>9429</v>
      </c>
      <c r="Q750" t="s">
        <v>9421</v>
      </c>
      <c r="R750" t="s">
        <v>52</v>
      </c>
      <c r="S750" t="s">
        <v>10960</v>
      </c>
      <c r="T750" t="s">
        <v>10961</v>
      </c>
    </row>
    <row r="751" spans="1:20">
      <c r="A751" t="s">
        <v>10955</v>
      </c>
      <c r="B751" t="s">
        <v>9409</v>
      </c>
      <c r="C751" t="s">
        <v>10956</v>
      </c>
      <c r="D751" t="s">
        <v>9410</v>
      </c>
      <c r="E751" t="s">
        <v>10957</v>
      </c>
      <c r="F751" t="s">
        <v>9412</v>
      </c>
      <c r="G751" t="s">
        <v>9413</v>
      </c>
      <c r="H751" t="s">
        <v>10876</v>
      </c>
      <c r="I751" t="s">
        <v>10958</v>
      </c>
      <c r="J751" t="s">
        <v>2314</v>
      </c>
      <c r="K751" t="s">
        <v>9416</v>
      </c>
      <c r="L751" t="s">
        <v>9417</v>
      </c>
      <c r="M751" t="s">
        <v>10934</v>
      </c>
      <c r="N751" t="s">
        <v>10879</v>
      </c>
      <c r="O751" t="s">
        <v>10962</v>
      </c>
      <c r="P751" t="s">
        <v>9420</v>
      </c>
      <c r="Q751" t="s">
        <v>9421</v>
      </c>
      <c r="R751" t="s">
        <v>17</v>
      </c>
      <c r="S751" t="s">
        <v>10955</v>
      </c>
      <c r="T751" t="s">
        <v>10963</v>
      </c>
    </row>
    <row r="752" spans="1:20">
      <c r="A752" t="s">
        <v>10964</v>
      </c>
      <c r="B752" t="s">
        <v>9409</v>
      </c>
      <c r="C752" t="s">
        <v>10965</v>
      </c>
      <c r="D752" t="s">
        <v>9410</v>
      </c>
      <c r="E752" t="s">
        <v>10966</v>
      </c>
      <c r="F752" t="s">
        <v>9412</v>
      </c>
      <c r="G752" t="s">
        <v>9413</v>
      </c>
      <c r="H752" t="s">
        <v>10876</v>
      </c>
      <c r="I752" t="s">
        <v>9469</v>
      </c>
      <c r="J752" t="s">
        <v>2314</v>
      </c>
      <c r="K752" t="s">
        <v>9416</v>
      </c>
      <c r="L752" t="s">
        <v>9417</v>
      </c>
      <c r="M752" t="s">
        <v>10910</v>
      </c>
      <c r="N752" t="s">
        <v>10879</v>
      </c>
      <c r="O752" t="s">
        <v>10967</v>
      </c>
      <c r="P752" t="s">
        <v>9420</v>
      </c>
      <c r="Q752" t="s">
        <v>9421</v>
      </c>
      <c r="R752" t="s">
        <v>17</v>
      </c>
      <c r="S752" t="s">
        <v>10964</v>
      </c>
      <c r="T752" t="s">
        <v>10968</v>
      </c>
    </row>
    <row r="753" spans="1:20">
      <c r="A753" t="s">
        <v>10969</v>
      </c>
      <c r="B753" t="s">
        <v>9409</v>
      </c>
      <c r="C753" t="s">
        <v>10970</v>
      </c>
      <c r="D753" t="s">
        <v>9410</v>
      </c>
      <c r="E753" t="s">
        <v>10971</v>
      </c>
      <c r="F753" t="s">
        <v>9412</v>
      </c>
      <c r="G753" t="s">
        <v>9413</v>
      </c>
      <c r="H753" t="s">
        <v>10876</v>
      </c>
      <c r="I753" t="s">
        <v>10958</v>
      </c>
      <c r="J753" t="s">
        <v>2314</v>
      </c>
      <c r="K753" t="s">
        <v>9416</v>
      </c>
      <c r="L753" t="s">
        <v>9417</v>
      </c>
      <c r="M753" t="s">
        <v>10882</v>
      </c>
      <c r="N753" t="s">
        <v>10879</v>
      </c>
      <c r="O753" t="s">
        <v>10972</v>
      </c>
      <c r="P753" t="s">
        <v>9420</v>
      </c>
      <c r="Q753" t="s">
        <v>9421</v>
      </c>
      <c r="R753" t="s">
        <v>17</v>
      </c>
      <c r="S753" t="s">
        <v>10969</v>
      </c>
      <c r="T753" t="s">
        <v>10973</v>
      </c>
    </row>
    <row r="754" spans="1:20">
      <c r="A754" t="s">
        <v>7617</v>
      </c>
      <c r="B754" t="s">
        <v>20</v>
      </c>
      <c r="C754" t="s">
        <v>7621</v>
      </c>
      <c r="D754" t="s">
        <v>9464</v>
      </c>
      <c r="E754" t="s">
        <v>10974</v>
      </c>
      <c r="F754" t="s">
        <v>9412</v>
      </c>
      <c r="G754" t="s">
        <v>9413</v>
      </c>
      <c r="H754" t="s">
        <v>10876</v>
      </c>
      <c r="I754" t="s">
        <v>10975</v>
      </c>
      <c r="J754" t="s">
        <v>2926</v>
      </c>
      <c r="K754" t="s">
        <v>9416</v>
      </c>
      <c r="L754" t="s">
        <v>9417</v>
      </c>
      <c r="M754" t="s">
        <v>10954</v>
      </c>
      <c r="N754" t="s">
        <v>9446</v>
      </c>
      <c r="O754" t="s">
        <v>7624</v>
      </c>
      <c r="P754" t="s">
        <v>9655</v>
      </c>
      <c r="Q754" t="s">
        <v>9421</v>
      </c>
      <c r="R754" t="s">
        <v>56</v>
      </c>
      <c r="S754" t="s">
        <v>7623</v>
      </c>
      <c r="T754" t="s">
        <v>10976</v>
      </c>
    </row>
    <row r="755" spans="1:20">
      <c r="A755" t="s">
        <v>7617</v>
      </c>
      <c r="B755" t="s">
        <v>20</v>
      </c>
      <c r="C755" t="s">
        <v>7621</v>
      </c>
      <c r="D755" t="s">
        <v>9464</v>
      </c>
      <c r="E755" t="s">
        <v>10974</v>
      </c>
      <c r="F755" t="s">
        <v>9412</v>
      </c>
      <c r="G755" t="s">
        <v>9413</v>
      </c>
      <c r="H755" t="s">
        <v>10876</v>
      </c>
      <c r="I755" t="s">
        <v>10975</v>
      </c>
      <c r="J755" t="s">
        <v>2926</v>
      </c>
      <c r="K755" t="s">
        <v>9445</v>
      </c>
      <c r="L755" t="s">
        <v>9417</v>
      </c>
      <c r="M755" t="s">
        <v>10954</v>
      </c>
      <c r="N755" t="s">
        <v>9430</v>
      </c>
      <c r="O755" t="s">
        <v>9446</v>
      </c>
      <c r="P755" t="s">
        <v>10977</v>
      </c>
      <c r="Q755" t="s">
        <v>9421</v>
      </c>
      <c r="R755" t="s">
        <v>24</v>
      </c>
      <c r="S755" t="s">
        <v>7626</v>
      </c>
      <c r="T755" t="s">
        <v>10978</v>
      </c>
    </row>
    <row r="756" spans="1:20">
      <c r="A756" t="s">
        <v>7617</v>
      </c>
      <c r="B756" t="s">
        <v>20</v>
      </c>
      <c r="C756" t="s">
        <v>7621</v>
      </c>
      <c r="D756" t="s">
        <v>9464</v>
      </c>
      <c r="E756" t="s">
        <v>10974</v>
      </c>
      <c r="F756" t="s">
        <v>9412</v>
      </c>
      <c r="G756" t="s">
        <v>9413</v>
      </c>
      <c r="H756" t="s">
        <v>10876</v>
      </c>
      <c r="I756" t="s">
        <v>10975</v>
      </c>
      <c r="J756" t="s">
        <v>2926</v>
      </c>
      <c r="K756" t="s">
        <v>9416</v>
      </c>
      <c r="L756" t="s">
        <v>9417</v>
      </c>
      <c r="M756" t="s">
        <v>10954</v>
      </c>
      <c r="N756" t="s">
        <v>10908</v>
      </c>
      <c r="O756" t="s">
        <v>7619</v>
      </c>
      <c r="P756" t="s">
        <v>9429</v>
      </c>
      <c r="Q756" t="s">
        <v>9421</v>
      </c>
      <c r="R756" t="s">
        <v>52</v>
      </c>
      <c r="S756" t="s">
        <v>7618</v>
      </c>
      <c r="T756" t="s">
        <v>10979</v>
      </c>
    </row>
    <row r="757" spans="1:20">
      <c r="A757" t="s">
        <v>2701</v>
      </c>
      <c r="B757" t="s">
        <v>20</v>
      </c>
      <c r="C757" t="s">
        <v>7366</v>
      </c>
      <c r="D757" t="s">
        <v>9677</v>
      </c>
      <c r="E757" t="s">
        <v>10980</v>
      </c>
      <c r="F757" t="s">
        <v>9412</v>
      </c>
      <c r="G757" t="s">
        <v>9413</v>
      </c>
      <c r="H757" t="s">
        <v>10876</v>
      </c>
      <c r="I757" t="s">
        <v>9462</v>
      </c>
      <c r="J757" t="s">
        <v>2693</v>
      </c>
      <c r="K757" t="s">
        <v>9416</v>
      </c>
      <c r="L757" t="s">
        <v>9417</v>
      </c>
      <c r="M757" t="s">
        <v>10903</v>
      </c>
      <c r="N757" t="s">
        <v>10904</v>
      </c>
      <c r="O757" t="s">
        <v>7368</v>
      </c>
      <c r="P757" t="s">
        <v>9429</v>
      </c>
      <c r="Q757" t="s">
        <v>9421</v>
      </c>
      <c r="R757" t="s">
        <v>52</v>
      </c>
      <c r="S757" t="s">
        <v>2706</v>
      </c>
      <c r="T757" t="s">
        <v>2708</v>
      </c>
    </row>
    <row r="758" spans="1:20">
      <c r="A758" t="s">
        <v>2701</v>
      </c>
      <c r="B758" t="s">
        <v>20</v>
      </c>
      <c r="C758" t="s">
        <v>7366</v>
      </c>
      <c r="D758" t="s">
        <v>9677</v>
      </c>
      <c r="E758" t="s">
        <v>10980</v>
      </c>
      <c r="F758" t="s">
        <v>9412</v>
      </c>
      <c r="G758" t="s">
        <v>9413</v>
      </c>
      <c r="H758" t="s">
        <v>10876</v>
      </c>
      <c r="I758" t="s">
        <v>9462</v>
      </c>
      <c r="J758" t="s">
        <v>2693</v>
      </c>
      <c r="K758" t="s">
        <v>9416</v>
      </c>
      <c r="L758" t="s">
        <v>9417</v>
      </c>
      <c r="M758" t="s">
        <v>10903</v>
      </c>
      <c r="N758" t="s">
        <v>10904</v>
      </c>
      <c r="O758" t="s">
        <v>7364</v>
      </c>
      <c r="P758" t="s">
        <v>9429</v>
      </c>
      <c r="Q758" t="s">
        <v>9421</v>
      </c>
      <c r="R758" t="s">
        <v>52</v>
      </c>
      <c r="S758" t="s">
        <v>2702</v>
      </c>
      <c r="T758" t="s">
        <v>2704</v>
      </c>
    </row>
    <row r="759" spans="1:20">
      <c r="A759" t="s">
        <v>2701</v>
      </c>
      <c r="B759" t="s">
        <v>20</v>
      </c>
      <c r="C759" t="s">
        <v>7366</v>
      </c>
      <c r="D759" t="s">
        <v>9677</v>
      </c>
      <c r="E759" t="s">
        <v>10980</v>
      </c>
      <c r="F759" t="s">
        <v>9412</v>
      </c>
      <c r="G759" t="s">
        <v>9413</v>
      </c>
      <c r="H759" t="s">
        <v>10876</v>
      </c>
      <c r="I759" t="s">
        <v>9462</v>
      </c>
      <c r="J759" t="s">
        <v>2693</v>
      </c>
      <c r="K759" t="s">
        <v>9416</v>
      </c>
      <c r="L759" t="s">
        <v>9417</v>
      </c>
      <c r="M759" t="s">
        <v>10903</v>
      </c>
      <c r="N759" t="s">
        <v>10904</v>
      </c>
      <c r="O759" t="s">
        <v>7370</v>
      </c>
      <c r="P759" t="s">
        <v>9524</v>
      </c>
      <c r="Q759" t="s">
        <v>9421</v>
      </c>
      <c r="R759" t="s">
        <v>24</v>
      </c>
      <c r="S759" t="s">
        <v>2709</v>
      </c>
      <c r="T759" t="s">
        <v>2711</v>
      </c>
    </row>
    <row r="760" spans="1:20">
      <c r="A760" t="s">
        <v>10981</v>
      </c>
      <c r="B760" t="s">
        <v>9409</v>
      </c>
      <c r="C760" t="s">
        <v>10982</v>
      </c>
      <c r="D760" t="s">
        <v>9410</v>
      </c>
      <c r="E760" t="s">
        <v>10983</v>
      </c>
      <c r="F760" t="s">
        <v>9412</v>
      </c>
      <c r="G760" t="s">
        <v>9413</v>
      </c>
      <c r="H760" t="s">
        <v>10876</v>
      </c>
      <c r="I760" t="s">
        <v>9469</v>
      </c>
      <c r="J760" t="s">
        <v>2861</v>
      </c>
      <c r="K760" t="s">
        <v>9416</v>
      </c>
      <c r="L760" t="s">
        <v>9417</v>
      </c>
      <c r="M760" t="s">
        <v>10899</v>
      </c>
      <c r="N760" t="s">
        <v>10900</v>
      </c>
      <c r="O760" t="s">
        <v>10984</v>
      </c>
      <c r="P760" t="s">
        <v>9420</v>
      </c>
      <c r="Q760" t="s">
        <v>9421</v>
      </c>
      <c r="R760" t="s">
        <v>17</v>
      </c>
      <c r="S760" t="s">
        <v>10985</v>
      </c>
      <c r="T760" t="s">
        <v>10986</v>
      </c>
    </row>
    <row r="761" spans="1:20">
      <c r="A761" t="s">
        <v>10981</v>
      </c>
      <c r="B761" t="s">
        <v>9409</v>
      </c>
      <c r="C761" t="s">
        <v>10982</v>
      </c>
      <c r="D761" t="s">
        <v>9410</v>
      </c>
      <c r="E761" t="s">
        <v>10983</v>
      </c>
      <c r="F761" t="s">
        <v>9412</v>
      </c>
      <c r="G761" t="s">
        <v>9413</v>
      </c>
      <c r="H761" t="s">
        <v>10876</v>
      </c>
      <c r="I761" t="s">
        <v>9469</v>
      </c>
      <c r="J761" t="s">
        <v>2861</v>
      </c>
      <c r="K761" t="s">
        <v>9416</v>
      </c>
      <c r="L761" t="s">
        <v>9417</v>
      </c>
      <c r="M761" t="s">
        <v>10899</v>
      </c>
      <c r="N761" t="s">
        <v>9430</v>
      </c>
      <c r="O761" t="s">
        <v>10987</v>
      </c>
      <c r="P761" t="s">
        <v>10988</v>
      </c>
      <c r="Q761" t="s">
        <v>9421</v>
      </c>
      <c r="R761" t="s">
        <v>43</v>
      </c>
      <c r="S761" t="s">
        <v>10989</v>
      </c>
      <c r="T761" t="s">
        <v>10990</v>
      </c>
    </row>
    <row r="762" spans="1:20">
      <c r="A762" t="s">
        <v>10991</v>
      </c>
      <c r="B762" t="s">
        <v>9409</v>
      </c>
      <c r="C762" t="s">
        <v>10992</v>
      </c>
      <c r="D762" t="s">
        <v>9410</v>
      </c>
      <c r="E762" t="s">
        <v>10993</v>
      </c>
      <c r="F762" t="s">
        <v>9412</v>
      </c>
      <c r="G762" t="s">
        <v>9413</v>
      </c>
      <c r="H762" t="s">
        <v>10876</v>
      </c>
      <c r="I762" t="s">
        <v>9482</v>
      </c>
      <c r="J762" t="s">
        <v>2926</v>
      </c>
      <c r="K762" t="s">
        <v>9416</v>
      </c>
      <c r="L762" t="s">
        <v>9417</v>
      </c>
      <c r="M762" t="s">
        <v>10907</v>
      </c>
      <c r="N762" t="s">
        <v>10908</v>
      </c>
      <c r="O762" t="s">
        <v>10994</v>
      </c>
      <c r="P762" t="s">
        <v>9623</v>
      </c>
      <c r="Q762" t="s">
        <v>9421</v>
      </c>
      <c r="R762" t="s">
        <v>24</v>
      </c>
      <c r="S762" t="s">
        <v>10991</v>
      </c>
      <c r="T762" t="s">
        <v>10995</v>
      </c>
    </row>
    <row r="763" spans="1:20">
      <c r="A763" t="s">
        <v>2326</v>
      </c>
      <c r="B763" t="s">
        <v>20</v>
      </c>
      <c r="C763" t="s">
        <v>7015</v>
      </c>
      <c r="D763" t="s">
        <v>9455</v>
      </c>
      <c r="E763" t="s">
        <v>10996</v>
      </c>
      <c r="F763" t="s">
        <v>9412</v>
      </c>
      <c r="G763" t="s">
        <v>9413</v>
      </c>
      <c r="H763" t="s">
        <v>10876</v>
      </c>
      <c r="I763" t="s">
        <v>10066</v>
      </c>
      <c r="J763" t="s">
        <v>2314</v>
      </c>
      <c r="K763" t="s">
        <v>9445</v>
      </c>
      <c r="L763" t="s">
        <v>9417</v>
      </c>
      <c r="M763" t="s">
        <v>10997</v>
      </c>
      <c r="N763" t="s">
        <v>9426</v>
      </c>
      <c r="O763" t="s">
        <v>9446</v>
      </c>
      <c r="P763" t="s">
        <v>9647</v>
      </c>
      <c r="Q763" t="s">
        <v>9421</v>
      </c>
      <c r="R763" t="s">
        <v>84</v>
      </c>
      <c r="S763" t="s">
        <v>2333</v>
      </c>
      <c r="T763" t="s">
        <v>2335</v>
      </c>
    </row>
    <row r="764" spans="1:20">
      <c r="A764" t="s">
        <v>2326</v>
      </c>
      <c r="B764" t="s">
        <v>20</v>
      </c>
      <c r="C764" t="s">
        <v>7015</v>
      </c>
      <c r="D764" t="s">
        <v>9455</v>
      </c>
      <c r="E764" t="s">
        <v>10996</v>
      </c>
      <c r="F764" t="s">
        <v>9412</v>
      </c>
      <c r="G764" t="s">
        <v>9413</v>
      </c>
      <c r="H764" t="s">
        <v>10876</v>
      </c>
      <c r="I764" t="s">
        <v>10066</v>
      </c>
      <c r="J764" t="s">
        <v>2314</v>
      </c>
      <c r="K764" t="s">
        <v>9416</v>
      </c>
      <c r="L764" t="s">
        <v>9417</v>
      </c>
      <c r="M764" t="s">
        <v>10997</v>
      </c>
      <c r="N764" t="s">
        <v>9446</v>
      </c>
      <c r="O764" t="s">
        <v>7013</v>
      </c>
      <c r="P764" t="s">
        <v>9655</v>
      </c>
      <c r="Q764" t="s">
        <v>9421</v>
      </c>
      <c r="R764" t="s">
        <v>56</v>
      </c>
      <c r="S764" t="s">
        <v>2326</v>
      </c>
      <c r="T764" t="s">
        <v>2328</v>
      </c>
    </row>
    <row r="765" spans="1:20">
      <c r="A765" t="s">
        <v>2326</v>
      </c>
      <c r="B765" t="s">
        <v>20</v>
      </c>
      <c r="C765" t="s">
        <v>7015</v>
      </c>
      <c r="D765" t="s">
        <v>9455</v>
      </c>
      <c r="E765" t="s">
        <v>10996</v>
      </c>
      <c r="F765" t="s">
        <v>9412</v>
      </c>
      <c r="G765" t="s">
        <v>9413</v>
      </c>
      <c r="H765" t="s">
        <v>10876</v>
      </c>
      <c r="I765" t="s">
        <v>10066</v>
      </c>
      <c r="J765" t="s">
        <v>2314</v>
      </c>
      <c r="K765" t="s">
        <v>9416</v>
      </c>
      <c r="L765" t="s">
        <v>9417</v>
      </c>
      <c r="M765" t="s">
        <v>10997</v>
      </c>
      <c r="N765" t="s">
        <v>10879</v>
      </c>
      <c r="O765" t="s">
        <v>7017</v>
      </c>
      <c r="P765" t="s">
        <v>9623</v>
      </c>
      <c r="Q765" t="s">
        <v>9421</v>
      </c>
      <c r="R765" t="s">
        <v>24</v>
      </c>
      <c r="S765" t="s">
        <v>2330</v>
      </c>
      <c r="T765" t="s">
        <v>2332</v>
      </c>
    </row>
    <row r="766" spans="1:20">
      <c r="A766" t="s">
        <v>3026</v>
      </c>
      <c r="B766" t="s">
        <v>62</v>
      </c>
      <c r="C766" t="s">
        <v>7739</v>
      </c>
      <c r="D766" t="s">
        <v>445</v>
      </c>
      <c r="E766" t="s">
        <v>10998</v>
      </c>
      <c r="F766" t="s">
        <v>9412</v>
      </c>
      <c r="G766" t="s">
        <v>9413</v>
      </c>
      <c r="H766" t="s">
        <v>10876</v>
      </c>
      <c r="I766" t="s">
        <v>9450</v>
      </c>
      <c r="J766" t="s">
        <v>3013</v>
      </c>
      <c r="K766" t="s">
        <v>9445</v>
      </c>
      <c r="L766" t="s">
        <v>9417</v>
      </c>
      <c r="M766" t="s">
        <v>10999</v>
      </c>
      <c r="N766" t="s">
        <v>9426</v>
      </c>
      <c r="O766" t="s">
        <v>9446</v>
      </c>
      <c r="P766" t="s">
        <v>9567</v>
      </c>
      <c r="Q766" t="s">
        <v>9421</v>
      </c>
      <c r="R766" t="s">
        <v>43</v>
      </c>
      <c r="S766" t="s">
        <v>2323</v>
      </c>
      <c r="T766" t="s">
        <v>2325</v>
      </c>
    </row>
    <row r="767" spans="1:20">
      <c r="A767" t="s">
        <v>3026</v>
      </c>
      <c r="B767" t="s">
        <v>62</v>
      </c>
      <c r="C767" t="s">
        <v>7739</v>
      </c>
      <c r="D767" t="s">
        <v>445</v>
      </c>
      <c r="E767" t="s">
        <v>10998</v>
      </c>
      <c r="F767" t="s">
        <v>9412</v>
      </c>
      <c r="G767" t="s">
        <v>9413</v>
      </c>
      <c r="H767" t="s">
        <v>10876</v>
      </c>
      <c r="I767" t="s">
        <v>9450</v>
      </c>
      <c r="J767" t="s">
        <v>3013</v>
      </c>
      <c r="K767" t="s">
        <v>9416</v>
      </c>
      <c r="L767" t="s">
        <v>9417</v>
      </c>
      <c r="M767" t="s">
        <v>10999</v>
      </c>
      <c r="N767" t="s">
        <v>10892</v>
      </c>
      <c r="O767" t="s">
        <v>7737</v>
      </c>
      <c r="P767" t="s">
        <v>9420</v>
      </c>
      <c r="Q767" t="s">
        <v>9421</v>
      </c>
      <c r="R767" t="s">
        <v>17</v>
      </c>
      <c r="S767" t="s">
        <v>3026</v>
      </c>
      <c r="T767" t="s">
        <v>3028</v>
      </c>
    </row>
    <row r="768" spans="1:20">
      <c r="A768" t="s">
        <v>2866</v>
      </c>
      <c r="B768" t="s">
        <v>20</v>
      </c>
      <c r="C768" t="s">
        <v>7510</v>
      </c>
      <c r="D768" t="s">
        <v>9460</v>
      </c>
      <c r="E768" t="s">
        <v>11000</v>
      </c>
      <c r="F768" t="s">
        <v>9412</v>
      </c>
      <c r="G768" t="s">
        <v>9413</v>
      </c>
      <c r="H768" t="s">
        <v>10876</v>
      </c>
      <c r="I768" t="s">
        <v>9472</v>
      </c>
      <c r="J768" t="s">
        <v>2861</v>
      </c>
      <c r="K768" t="s">
        <v>9416</v>
      </c>
      <c r="L768" t="s">
        <v>9417</v>
      </c>
      <c r="M768" t="s">
        <v>10913</v>
      </c>
      <c r="N768" t="s">
        <v>9430</v>
      </c>
      <c r="O768" t="s">
        <v>7508</v>
      </c>
      <c r="P768" t="s">
        <v>11001</v>
      </c>
      <c r="Q768" t="s">
        <v>9421</v>
      </c>
      <c r="R768" t="s">
        <v>995</v>
      </c>
      <c r="S768" t="s">
        <v>2867</v>
      </c>
      <c r="T768" t="s">
        <v>2869</v>
      </c>
    </row>
    <row r="769" spans="1:20">
      <c r="A769" t="s">
        <v>2866</v>
      </c>
      <c r="B769" t="s">
        <v>20</v>
      </c>
      <c r="C769" t="s">
        <v>7510</v>
      </c>
      <c r="D769" t="s">
        <v>9460</v>
      </c>
      <c r="E769" t="s">
        <v>11000</v>
      </c>
      <c r="F769" t="s">
        <v>9412</v>
      </c>
      <c r="G769" t="s">
        <v>9413</v>
      </c>
      <c r="H769" t="s">
        <v>10876</v>
      </c>
      <c r="I769" t="s">
        <v>9472</v>
      </c>
      <c r="J769" t="s">
        <v>2861</v>
      </c>
      <c r="K769" t="s">
        <v>9445</v>
      </c>
      <c r="L769" t="s">
        <v>9417</v>
      </c>
      <c r="M769" t="s">
        <v>10913</v>
      </c>
      <c r="N769" t="s">
        <v>9430</v>
      </c>
      <c r="O769" t="s">
        <v>9446</v>
      </c>
      <c r="P769" t="s">
        <v>10988</v>
      </c>
      <c r="Q769" t="s">
        <v>9421</v>
      </c>
      <c r="R769" t="s">
        <v>43</v>
      </c>
      <c r="S769" t="s">
        <v>2871</v>
      </c>
      <c r="T769" t="s">
        <v>11002</v>
      </c>
    </row>
    <row r="770" spans="1:20">
      <c r="A770" t="s">
        <v>2866</v>
      </c>
      <c r="B770" t="s">
        <v>20</v>
      </c>
      <c r="C770" t="s">
        <v>7510</v>
      </c>
      <c r="D770" t="s">
        <v>9460</v>
      </c>
      <c r="E770" t="s">
        <v>11000</v>
      </c>
      <c r="F770" t="s">
        <v>9412</v>
      </c>
      <c r="G770" t="s">
        <v>9413</v>
      </c>
      <c r="H770" t="s">
        <v>10876</v>
      </c>
      <c r="I770" t="s">
        <v>9472</v>
      </c>
      <c r="J770" t="s">
        <v>2861</v>
      </c>
      <c r="K770" t="s">
        <v>9416</v>
      </c>
      <c r="L770" t="s">
        <v>9417</v>
      </c>
      <c r="M770" t="s">
        <v>10913</v>
      </c>
      <c r="N770" t="s">
        <v>10900</v>
      </c>
      <c r="O770" t="s">
        <v>7514</v>
      </c>
      <c r="P770" t="s">
        <v>9623</v>
      </c>
      <c r="Q770" t="s">
        <v>9421</v>
      </c>
      <c r="R770" t="s">
        <v>24</v>
      </c>
      <c r="S770" t="s">
        <v>2874</v>
      </c>
      <c r="T770" t="s">
        <v>2876</v>
      </c>
    </row>
    <row r="771" spans="1:20">
      <c r="A771" t="s">
        <v>7741</v>
      </c>
      <c r="B771" t="s">
        <v>9409</v>
      </c>
      <c r="C771" t="s">
        <v>7744</v>
      </c>
      <c r="D771" t="s">
        <v>9410</v>
      </c>
      <c r="E771" t="s">
        <v>11003</v>
      </c>
      <c r="F771" t="s">
        <v>9412</v>
      </c>
      <c r="G771" t="s">
        <v>9413</v>
      </c>
      <c r="H771" t="s">
        <v>10876</v>
      </c>
      <c r="I771" t="s">
        <v>9869</v>
      </c>
      <c r="J771" t="s">
        <v>3013</v>
      </c>
      <c r="K771" t="s">
        <v>9416</v>
      </c>
      <c r="L771" t="s">
        <v>9417</v>
      </c>
      <c r="M771" t="s">
        <v>10894</v>
      </c>
      <c r="N771" t="s">
        <v>9446</v>
      </c>
      <c r="O771" t="s">
        <v>7747</v>
      </c>
      <c r="P771" t="s">
        <v>9655</v>
      </c>
      <c r="Q771" t="s">
        <v>9421</v>
      </c>
      <c r="R771" t="s">
        <v>56</v>
      </c>
      <c r="S771" t="s">
        <v>7746</v>
      </c>
      <c r="T771" t="s">
        <v>11004</v>
      </c>
    </row>
    <row r="772" spans="1:20">
      <c r="A772" t="s">
        <v>7741</v>
      </c>
      <c r="B772" t="s">
        <v>9409</v>
      </c>
      <c r="C772" t="s">
        <v>7744</v>
      </c>
      <c r="D772" t="s">
        <v>9410</v>
      </c>
      <c r="E772" t="s">
        <v>11003</v>
      </c>
      <c r="F772" t="s">
        <v>9412</v>
      </c>
      <c r="G772" t="s">
        <v>9413</v>
      </c>
      <c r="H772" t="s">
        <v>10876</v>
      </c>
      <c r="I772" t="s">
        <v>9869</v>
      </c>
      <c r="J772" t="s">
        <v>3013</v>
      </c>
      <c r="K772" t="s">
        <v>9416</v>
      </c>
      <c r="L772" t="s">
        <v>9417</v>
      </c>
      <c r="M772" t="s">
        <v>10894</v>
      </c>
      <c r="N772" t="s">
        <v>10892</v>
      </c>
      <c r="O772" t="s">
        <v>7742</v>
      </c>
      <c r="P772" t="s">
        <v>9429</v>
      </c>
      <c r="Q772" t="s">
        <v>9421</v>
      </c>
      <c r="R772" t="s">
        <v>52</v>
      </c>
      <c r="S772" t="s">
        <v>7741</v>
      </c>
      <c r="T772" t="s">
        <v>11005</v>
      </c>
    </row>
    <row r="773" spans="1:20">
      <c r="A773" t="s">
        <v>7741</v>
      </c>
      <c r="B773" t="s">
        <v>9409</v>
      </c>
      <c r="C773" t="s">
        <v>7744</v>
      </c>
      <c r="D773" t="s">
        <v>9410</v>
      </c>
      <c r="E773" t="s">
        <v>11003</v>
      </c>
      <c r="F773" t="s">
        <v>9412</v>
      </c>
      <c r="G773" t="s">
        <v>9413</v>
      </c>
      <c r="H773" t="s">
        <v>10876</v>
      </c>
      <c r="I773" t="s">
        <v>9869</v>
      </c>
      <c r="J773" t="s">
        <v>3013</v>
      </c>
      <c r="K773" t="s">
        <v>9416</v>
      </c>
      <c r="L773" t="s">
        <v>9417</v>
      </c>
      <c r="M773" t="s">
        <v>10894</v>
      </c>
      <c r="N773" t="s">
        <v>9446</v>
      </c>
      <c r="O773" t="s">
        <v>7750</v>
      </c>
      <c r="P773" t="s">
        <v>9655</v>
      </c>
      <c r="Q773" t="s">
        <v>9421</v>
      </c>
      <c r="R773" t="s">
        <v>56</v>
      </c>
      <c r="S773" t="s">
        <v>7749</v>
      </c>
      <c r="T773" t="s">
        <v>11006</v>
      </c>
    </row>
    <row r="774" spans="1:20">
      <c r="A774" t="s">
        <v>7372</v>
      </c>
      <c r="B774" t="s">
        <v>9409</v>
      </c>
      <c r="C774" t="s">
        <v>11007</v>
      </c>
      <c r="D774" t="s">
        <v>9410</v>
      </c>
      <c r="E774" t="s">
        <v>11008</v>
      </c>
      <c r="F774" t="s">
        <v>9412</v>
      </c>
      <c r="G774" t="s">
        <v>9413</v>
      </c>
      <c r="H774" t="s">
        <v>10876</v>
      </c>
      <c r="I774" t="s">
        <v>9435</v>
      </c>
      <c r="J774" t="s">
        <v>2693</v>
      </c>
      <c r="K774" t="s">
        <v>9416</v>
      </c>
      <c r="L774" t="s">
        <v>9417</v>
      </c>
      <c r="M774" t="s">
        <v>11009</v>
      </c>
      <c r="N774" t="s">
        <v>10904</v>
      </c>
      <c r="O774" t="s">
        <v>7373</v>
      </c>
      <c r="P774" t="s">
        <v>9429</v>
      </c>
      <c r="Q774" t="s">
        <v>9421</v>
      </c>
      <c r="R774" t="s">
        <v>52</v>
      </c>
      <c r="S774" t="s">
        <v>7372</v>
      </c>
      <c r="T774" t="s">
        <v>11010</v>
      </c>
    </row>
    <row r="775" spans="1:20">
      <c r="A775" t="s">
        <v>2257</v>
      </c>
      <c r="B775" t="s">
        <v>20</v>
      </c>
      <c r="C775" t="s">
        <v>6929</v>
      </c>
      <c r="D775" t="s">
        <v>9475</v>
      </c>
      <c r="E775" t="s">
        <v>11011</v>
      </c>
      <c r="F775" t="s">
        <v>9412</v>
      </c>
      <c r="G775" t="s">
        <v>9413</v>
      </c>
      <c r="H775" t="s">
        <v>10876</v>
      </c>
      <c r="I775" t="s">
        <v>9482</v>
      </c>
      <c r="J775" t="s">
        <v>2232</v>
      </c>
      <c r="K775" t="s">
        <v>9416</v>
      </c>
      <c r="L775" t="s">
        <v>9417</v>
      </c>
      <c r="M775" t="s">
        <v>10882</v>
      </c>
      <c r="N775" t="s">
        <v>10919</v>
      </c>
      <c r="O775" t="s">
        <v>6933</v>
      </c>
      <c r="P775" t="s">
        <v>9429</v>
      </c>
      <c r="Q775" t="s">
        <v>9421</v>
      </c>
      <c r="R775" t="s">
        <v>52</v>
      </c>
      <c r="S775" t="s">
        <v>2265</v>
      </c>
      <c r="T775" t="s">
        <v>2267</v>
      </c>
    </row>
    <row r="776" spans="1:20">
      <c r="A776" t="s">
        <v>2257</v>
      </c>
      <c r="B776" t="s">
        <v>20</v>
      </c>
      <c r="C776" t="s">
        <v>6929</v>
      </c>
      <c r="D776" t="s">
        <v>9475</v>
      </c>
      <c r="E776" t="s">
        <v>11011</v>
      </c>
      <c r="F776" t="s">
        <v>9412</v>
      </c>
      <c r="G776" t="s">
        <v>9413</v>
      </c>
      <c r="H776" t="s">
        <v>10876</v>
      </c>
      <c r="I776" t="s">
        <v>9482</v>
      </c>
      <c r="J776" t="s">
        <v>2232</v>
      </c>
      <c r="K776" t="s">
        <v>9416</v>
      </c>
      <c r="L776" t="s">
        <v>9417</v>
      </c>
      <c r="M776" t="s">
        <v>10882</v>
      </c>
      <c r="N776" t="s">
        <v>10919</v>
      </c>
      <c r="O776" t="s">
        <v>6931</v>
      </c>
      <c r="P776" t="s">
        <v>9655</v>
      </c>
      <c r="Q776" t="s">
        <v>9421</v>
      </c>
      <c r="R776" t="s">
        <v>56</v>
      </c>
      <c r="S776" t="s">
        <v>2262</v>
      </c>
      <c r="T776" t="s">
        <v>2264</v>
      </c>
    </row>
    <row r="777" spans="1:20">
      <c r="A777" t="s">
        <v>2257</v>
      </c>
      <c r="B777" t="s">
        <v>20</v>
      </c>
      <c r="C777" t="s">
        <v>6929</v>
      </c>
      <c r="D777" t="s">
        <v>9475</v>
      </c>
      <c r="E777" t="s">
        <v>11011</v>
      </c>
      <c r="F777" t="s">
        <v>9412</v>
      </c>
      <c r="G777" t="s">
        <v>9413</v>
      </c>
      <c r="H777" t="s">
        <v>10876</v>
      </c>
      <c r="I777" t="s">
        <v>9482</v>
      </c>
      <c r="J777" t="s">
        <v>2232</v>
      </c>
      <c r="K777" t="s">
        <v>9416</v>
      </c>
      <c r="L777" t="s">
        <v>9417</v>
      </c>
      <c r="M777" t="s">
        <v>10882</v>
      </c>
      <c r="N777" t="s">
        <v>9430</v>
      </c>
      <c r="O777" t="s">
        <v>6927</v>
      </c>
      <c r="P777" t="s">
        <v>11012</v>
      </c>
      <c r="Q777" t="s">
        <v>9421</v>
      </c>
      <c r="R777" t="s">
        <v>17</v>
      </c>
      <c r="S777" t="s">
        <v>2258</v>
      </c>
      <c r="T777" t="s">
        <v>2260</v>
      </c>
    </row>
    <row r="778" spans="1:20">
      <c r="A778" t="s">
        <v>11013</v>
      </c>
      <c r="B778" t="s">
        <v>9409</v>
      </c>
      <c r="C778" t="s">
        <v>11014</v>
      </c>
      <c r="D778" t="s">
        <v>9410</v>
      </c>
      <c r="E778" t="s">
        <v>11015</v>
      </c>
      <c r="F778" t="s">
        <v>9412</v>
      </c>
      <c r="G778" t="s">
        <v>9413</v>
      </c>
      <c r="H778" t="s">
        <v>10876</v>
      </c>
      <c r="I778" t="s">
        <v>9729</v>
      </c>
      <c r="J778" t="s">
        <v>2861</v>
      </c>
      <c r="K778" t="s">
        <v>9416</v>
      </c>
      <c r="L778" t="s">
        <v>9417</v>
      </c>
      <c r="M778" t="s">
        <v>10913</v>
      </c>
      <c r="N778" t="s">
        <v>10900</v>
      </c>
      <c r="O778" t="s">
        <v>11016</v>
      </c>
      <c r="P778" t="s">
        <v>9623</v>
      </c>
      <c r="Q778" t="s">
        <v>9421</v>
      </c>
      <c r="R778" t="s">
        <v>24</v>
      </c>
      <c r="S778" t="s">
        <v>11013</v>
      </c>
      <c r="T778" t="s">
        <v>11017</v>
      </c>
    </row>
    <row r="779" spans="1:20">
      <c r="A779" t="s">
        <v>11018</v>
      </c>
      <c r="B779" t="s">
        <v>9409</v>
      </c>
      <c r="C779" t="s">
        <v>11019</v>
      </c>
      <c r="D779" t="s">
        <v>9410</v>
      </c>
      <c r="E779" t="s">
        <v>11020</v>
      </c>
      <c r="F779" t="s">
        <v>9412</v>
      </c>
      <c r="G779" t="s">
        <v>9413</v>
      </c>
      <c r="H779" t="s">
        <v>10876</v>
      </c>
      <c r="I779" t="s">
        <v>9766</v>
      </c>
      <c r="J779" t="s">
        <v>2314</v>
      </c>
      <c r="K779" t="s">
        <v>9416</v>
      </c>
      <c r="L779" t="s">
        <v>9417</v>
      </c>
      <c r="M779" t="s">
        <v>11021</v>
      </c>
      <c r="N779" t="s">
        <v>9426</v>
      </c>
      <c r="O779" t="s">
        <v>7345</v>
      </c>
      <c r="P779" t="s">
        <v>11022</v>
      </c>
      <c r="Q779" t="s">
        <v>9421</v>
      </c>
      <c r="R779" t="s">
        <v>43</v>
      </c>
      <c r="S779" t="s">
        <v>2676</v>
      </c>
      <c r="T779" t="s">
        <v>2678</v>
      </c>
    </row>
    <row r="780" spans="1:20">
      <c r="A780" t="s">
        <v>2268</v>
      </c>
      <c r="B780" t="s">
        <v>20</v>
      </c>
      <c r="C780" t="s">
        <v>2272</v>
      </c>
      <c r="D780" t="s">
        <v>9460</v>
      </c>
      <c r="E780" t="s">
        <v>11023</v>
      </c>
      <c r="F780" t="s">
        <v>9412</v>
      </c>
      <c r="G780" t="s">
        <v>9413</v>
      </c>
      <c r="H780" t="s">
        <v>2233</v>
      </c>
      <c r="I780" t="s">
        <v>9826</v>
      </c>
      <c r="J780" t="s">
        <v>2232</v>
      </c>
      <c r="K780" t="s">
        <v>9416</v>
      </c>
      <c r="L780" t="s">
        <v>9417</v>
      </c>
      <c r="M780" t="s">
        <v>10918</v>
      </c>
      <c r="N780" t="s">
        <v>9430</v>
      </c>
      <c r="O780" t="s">
        <v>11024</v>
      </c>
      <c r="P780" t="s">
        <v>11025</v>
      </c>
      <c r="Q780" t="s">
        <v>9421</v>
      </c>
      <c r="R780" t="s">
        <v>24</v>
      </c>
      <c r="S780" t="s">
        <v>2269</v>
      </c>
      <c r="T780" t="s">
        <v>2271</v>
      </c>
    </row>
    <row r="781" spans="1:20">
      <c r="A781" t="s">
        <v>2268</v>
      </c>
      <c r="B781" t="s">
        <v>20</v>
      </c>
      <c r="C781" t="s">
        <v>2272</v>
      </c>
      <c r="D781" t="s">
        <v>9460</v>
      </c>
      <c r="E781" t="s">
        <v>11023</v>
      </c>
      <c r="F781" t="s">
        <v>9412</v>
      </c>
      <c r="G781" t="s">
        <v>9413</v>
      </c>
      <c r="H781" t="s">
        <v>2233</v>
      </c>
      <c r="I781" t="s">
        <v>9826</v>
      </c>
      <c r="J781" t="s">
        <v>2232</v>
      </c>
      <c r="K781" t="s">
        <v>9416</v>
      </c>
      <c r="L781" t="s">
        <v>9417</v>
      </c>
      <c r="M781" t="s">
        <v>10918</v>
      </c>
      <c r="N781" t="s">
        <v>9446</v>
      </c>
      <c r="O781" t="s">
        <v>6935</v>
      </c>
      <c r="P781" t="s">
        <v>9647</v>
      </c>
      <c r="Q781" t="s">
        <v>9421</v>
      </c>
      <c r="R781" t="s">
        <v>84</v>
      </c>
      <c r="S781" t="s">
        <v>2273</v>
      </c>
      <c r="T781" t="s">
        <v>2275</v>
      </c>
    </row>
    <row r="782" spans="1:20">
      <c r="A782" t="s">
        <v>11026</v>
      </c>
      <c r="B782" t="s">
        <v>9409</v>
      </c>
      <c r="C782" t="s">
        <v>11027</v>
      </c>
      <c r="D782" t="s">
        <v>9410</v>
      </c>
      <c r="E782" t="s">
        <v>11028</v>
      </c>
      <c r="F782" t="s">
        <v>9412</v>
      </c>
      <c r="G782" t="s">
        <v>9413</v>
      </c>
      <c r="H782" t="s">
        <v>10876</v>
      </c>
      <c r="I782" t="s">
        <v>10045</v>
      </c>
      <c r="J782" t="s">
        <v>2232</v>
      </c>
      <c r="K782" t="s">
        <v>9416</v>
      </c>
      <c r="L782" t="s">
        <v>9417</v>
      </c>
      <c r="M782" t="s">
        <v>10918</v>
      </c>
      <c r="N782" t="s">
        <v>10919</v>
      </c>
      <c r="O782" t="s">
        <v>11029</v>
      </c>
      <c r="P782" t="s">
        <v>9420</v>
      </c>
      <c r="Q782" t="s">
        <v>9421</v>
      </c>
      <c r="R782" t="s">
        <v>17</v>
      </c>
      <c r="S782" t="s">
        <v>11030</v>
      </c>
      <c r="T782" t="s">
        <v>11031</v>
      </c>
    </row>
    <row r="783" spans="1:20">
      <c r="A783" t="s">
        <v>11026</v>
      </c>
      <c r="B783" t="s">
        <v>9409</v>
      </c>
      <c r="C783" t="s">
        <v>11027</v>
      </c>
      <c r="D783" t="s">
        <v>9410</v>
      </c>
      <c r="E783" t="s">
        <v>11028</v>
      </c>
      <c r="F783" t="s">
        <v>9412</v>
      </c>
      <c r="G783" t="s">
        <v>9413</v>
      </c>
      <c r="H783" t="s">
        <v>10876</v>
      </c>
      <c r="I783" t="s">
        <v>10045</v>
      </c>
      <c r="J783" t="s">
        <v>2232</v>
      </c>
      <c r="K783" t="s">
        <v>9445</v>
      </c>
      <c r="L783" t="s">
        <v>9417</v>
      </c>
      <c r="M783" t="s">
        <v>10918</v>
      </c>
      <c r="N783" t="s">
        <v>9426</v>
      </c>
      <c r="O783" t="s">
        <v>9446</v>
      </c>
      <c r="P783" t="s">
        <v>9479</v>
      </c>
      <c r="Q783" t="s">
        <v>9421</v>
      </c>
      <c r="R783" t="s">
        <v>43</v>
      </c>
      <c r="S783" t="s">
        <v>2238</v>
      </c>
      <c r="T783" t="s">
        <v>2240</v>
      </c>
    </row>
    <row r="784" spans="1:20">
      <c r="A784" t="s">
        <v>6939</v>
      </c>
      <c r="B784" t="s">
        <v>20</v>
      </c>
      <c r="C784" t="s">
        <v>6942</v>
      </c>
      <c r="D784" t="s">
        <v>9460</v>
      </c>
      <c r="E784" t="s">
        <v>11032</v>
      </c>
      <c r="F784" t="s">
        <v>9412</v>
      </c>
      <c r="G784" t="s">
        <v>9413</v>
      </c>
      <c r="H784" t="s">
        <v>10876</v>
      </c>
      <c r="I784" t="s">
        <v>9869</v>
      </c>
      <c r="J784" t="s">
        <v>2232</v>
      </c>
      <c r="K784" t="s">
        <v>9416</v>
      </c>
      <c r="L784" t="s">
        <v>9417</v>
      </c>
      <c r="M784" t="s">
        <v>10918</v>
      </c>
      <c r="N784" t="s">
        <v>10919</v>
      </c>
      <c r="O784" t="s">
        <v>6940</v>
      </c>
      <c r="P784" t="s">
        <v>9420</v>
      </c>
      <c r="Q784" t="s">
        <v>9421</v>
      </c>
      <c r="R784" t="s">
        <v>17</v>
      </c>
      <c r="S784" t="s">
        <v>6939</v>
      </c>
      <c r="T784" t="s">
        <v>11033</v>
      </c>
    </row>
    <row r="785" spans="1:20">
      <c r="A785" t="s">
        <v>6939</v>
      </c>
      <c r="B785" t="s">
        <v>20</v>
      </c>
      <c r="C785" t="s">
        <v>6942</v>
      </c>
      <c r="D785" t="s">
        <v>9460</v>
      </c>
      <c r="E785" t="s">
        <v>11032</v>
      </c>
      <c r="F785" t="s">
        <v>9412</v>
      </c>
      <c r="G785" t="s">
        <v>9413</v>
      </c>
      <c r="H785" t="s">
        <v>10876</v>
      </c>
      <c r="I785" t="s">
        <v>9869</v>
      </c>
      <c r="J785" t="s">
        <v>2232</v>
      </c>
      <c r="K785" t="s">
        <v>9416</v>
      </c>
      <c r="L785" t="s">
        <v>9417</v>
      </c>
      <c r="M785" t="s">
        <v>10918</v>
      </c>
      <c r="N785" t="s">
        <v>10919</v>
      </c>
      <c r="O785" t="s">
        <v>6945</v>
      </c>
      <c r="P785" t="s">
        <v>9420</v>
      </c>
      <c r="Q785" t="s">
        <v>9421</v>
      </c>
      <c r="R785" t="s">
        <v>17</v>
      </c>
      <c r="S785" t="s">
        <v>6944</v>
      </c>
      <c r="T785" t="s">
        <v>11034</v>
      </c>
    </row>
    <row r="786" spans="1:20">
      <c r="A786" t="s">
        <v>11035</v>
      </c>
      <c r="B786" t="s">
        <v>9409</v>
      </c>
      <c r="C786" t="s">
        <v>11036</v>
      </c>
      <c r="D786" t="s">
        <v>9410</v>
      </c>
      <c r="E786" t="s">
        <v>11037</v>
      </c>
      <c r="F786" t="s">
        <v>9412</v>
      </c>
      <c r="G786" t="s">
        <v>9413</v>
      </c>
      <c r="H786" t="s">
        <v>10876</v>
      </c>
      <c r="I786" t="s">
        <v>9682</v>
      </c>
      <c r="J786" t="s">
        <v>2232</v>
      </c>
      <c r="K786" t="s">
        <v>9416</v>
      </c>
      <c r="L786" t="s">
        <v>9417</v>
      </c>
      <c r="M786" t="s">
        <v>10918</v>
      </c>
      <c r="N786" t="s">
        <v>10919</v>
      </c>
      <c r="O786" t="s">
        <v>11038</v>
      </c>
      <c r="P786" t="s">
        <v>9420</v>
      </c>
      <c r="Q786" t="s">
        <v>9421</v>
      </c>
      <c r="R786" t="s">
        <v>17</v>
      </c>
      <c r="S786" t="s">
        <v>11039</v>
      </c>
      <c r="T786" t="s">
        <v>11040</v>
      </c>
    </row>
    <row r="787" spans="1:20">
      <c r="A787" t="s">
        <v>11035</v>
      </c>
      <c r="B787" t="s">
        <v>9409</v>
      </c>
      <c r="C787" t="s">
        <v>11036</v>
      </c>
      <c r="D787" t="s">
        <v>9410</v>
      </c>
      <c r="E787" t="s">
        <v>11037</v>
      </c>
      <c r="F787" t="s">
        <v>9412</v>
      </c>
      <c r="G787" t="s">
        <v>9413</v>
      </c>
      <c r="H787" t="s">
        <v>10876</v>
      </c>
      <c r="I787" t="s">
        <v>9682</v>
      </c>
      <c r="J787" t="s">
        <v>2232</v>
      </c>
      <c r="K787" t="s">
        <v>9416</v>
      </c>
      <c r="L787" t="s">
        <v>9417</v>
      </c>
      <c r="M787" t="s">
        <v>10918</v>
      </c>
      <c r="N787" t="s">
        <v>10919</v>
      </c>
      <c r="O787" t="s">
        <v>11041</v>
      </c>
      <c r="P787" t="s">
        <v>9420</v>
      </c>
      <c r="Q787" t="s">
        <v>9421</v>
      </c>
      <c r="R787" t="s">
        <v>17</v>
      </c>
      <c r="S787" t="s">
        <v>11035</v>
      </c>
      <c r="T787" t="s">
        <v>11042</v>
      </c>
    </row>
    <row r="788" spans="1:20">
      <c r="A788" t="s">
        <v>11035</v>
      </c>
      <c r="B788" t="s">
        <v>9409</v>
      </c>
      <c r="C788" t="s">
        <v>11036</v>
      </c>
      <c r="D788" t="s">
        <v>9410</v>
      </c>
      <c r="E788" t="s">
        <v>11037</v>
      </c>
      <c r="F788" t="s">
        <v>9412</v>
      </c>
      <c r="G788" t="s">
        <v>9413</v>
      </c>
      <c r="H788" t="s">
        <v>10876</v>
      </c>
      <c r="I788" t="s">
        <v>9682</v>
      </c>
      <c r="J788" t="s">
        <v>2232</v>
      </c>
      <c r="K788" t="s">
        <v>9416</v>
      </c>
      <c r="L788" t="s">
        <v>9417</v>
      </c>
      <c r="M788" t="s">
        <v>10918</v>
      </c>
      <c r="N788" t="s">
        <v>10919</v>
      </c>
      <c r="O788" t="s">
        <v>11043</v>
      </c>
      <c r="P788" t="s">
        <v>9429</v>
      </c>
      <c r="Q788" t="s">
        <v>9421</v>
      </c>
      <c r="R788" t="s">
        <v>52</v>
      </c>
      <c r="S788" t="s">
        <v>11044</v>
      </c>
      <c r="T788" t="s">
        <v>11045</v>
      </c>
    </row>
    <row r="789" spans="1:20">
      <c r="A789" t="s">
        <v>2336</v>
      </c>
      <c r="B789" t="s">
        <v>20</v>
      </c>
      <c r="C789" t="s">
        <v>2340</v>
      </c>
      <c r="D789" t="s">
        <v>9464</v>
      </c>
      <c r="E789" t="s">
        <v>11046</v>
      </c>
      <c r="F789" t="s">
        <v>9412</v>
      </c>
      <c r="G789" t="s">
        <v>9413</v>
      </c>
      <c r="H789" t="s">
        <v>2233</v>
      </c>
      <c r="I789" t="s">
        <v>9751</v>
      </c>
      <c r="J789" t="s">
        <v>2314</v>
      </c>
      <c r="K789" t="s">
        <v>9416</v>
      </c>
      <c r="L789" t="s">
        <v>9417</v>
      </c>
      <c r="M789" t="s">
        <v>11047</v>
      </c>
      <c r="N789" t="s">
        <v>10879</v>
      </c>
      <c r="O789" t="s">
        <v>7021</v>
      </c>
      <c r="P789" t="s">
        <v>9420</v>
      </c>
      <c r="Q789" t="s">
        <v>9421</v>
      </c>
      <c r="R789" t="s">
        <v>17</v>
      </c>
      <c r="S789" t="s">
        <v>2337</v>
      </c>
      <c r="T789" t="s">
        <v>2339</v>
      </c>
    </row>
    <row r="790" spans="1:20">
      <c r="A790" t="s">
        <v>2341</v>
      </c>
      <c r="B790" t="s">
        <v>62</v>
      </c>
      <c r="C790" t="s">
        <v>7027</v>
      </c>
      <c r="D790" t="s">
        <v>9448</v>
      </c>
      <c r="E790" t="s">
        <v>11048</v>
      </c>
      <c r="F790" t="s">
        <v>9412</v>
      </c>
      <c r="G790" t="s">
        <v>9413</v>
      </c>
      <c r="H790" t="s">
        <v>10876</v>
      </c>
      <c r="I790" t="s">
        <v>9441</v>
      </c>
      <c r="J790" t="s">
        <v>2314</v>
      </c>
      <c r="K790" t="s">
        <v>9416</v>
      </c>
      <c r="L790" t="s">
        <v>9417</v>
      </c>
      <c r="M790" t="s">
        <v>10910</v>
      </c>
      <c r="N790" t="s">
        <v>10879</v>
      </c>
      <c r="O790" t="s">
        <v>7025</v>
      </c>
      <c r="P790" t="s">
        <v>9429</v>
      </c>
      <c r="Q790" t="s">
        <v>9421</v>
      </c>
      <c r="R790" t="s">
        <v>52</v>
      </c>
      <c r="S790" t="s">
        <v>2342</v>
      </c>
      <c r="T790" t="s">
        <v>2344</v>
      </c>
    </row>
    <row r="791" spans="1:20">
      <c r="A791" t="s">
        <v>2341</v>
      </c>
      <c r="B791" t="s">
        <v>62</v>
      </c>
      <c r="C791" t="s">
        <v>7027</v>
      </c>
      <c r="D791" t="s">
        <v>9448</v>
      </c>
      <c r="E791" t="s">
        <v>11048</v>
      </c>
      <c r="F791" t="s">
        <v>9412</v>
      </c>
      <c r="G791" t="s">
        <v>9413</v>
      </c>
      <c r="H791" t="s">
        <v>10876</v>
      </c>
      <c r="I791" t="s">
        <v>9441</v>
      </c>
      <c r="J791" t="s">
        <v>2314</v>
      </c>
      <c r="K791" t="s">
        <v>9416</v>
      </c>
      <c r="L791" t="s">
        <v>9417</v>
      </c>
      <c r="M791" t="s">
        <v>10910</v>
      </c>
      <c r="N791" t="s">
        <v>9446</v>
      </c>
      <c r="O791" t="s">
        <v>7029</v>
      </c>
      <c r="P791" t="s">
        <v>9655</v>
      </c>
      <c r="Q791" t="s">
        <v>9421</v>
      </c>
      <c r="R791" t="s">
        <v>56</v>
      </c>
      <c r="S791" t="s">
        <v>2346</v>
      </c>
      <c r="T791" t="s">
        <v>2348</v>
      </c>
    </row>
    <row r="792" spans="1:20">
      <c r="A792" t="s">
        <v>2341</v>
      </c>
      <c r="B792" t="s">
        <v>62</v>
      </c>
      <c r="C792" t="s">
        <v>7027</v>
      </c>
      <c r="D792" t="s">
        <v>9448</v>
      </c>
      <c r="E792" t="s">
        <v>11048</v>
      </c>
      <c r="F792" t="s">
        <v>9412</v>
      </c>
      <c r="G792" t="s">
        <v>9413</v>
      </c>
      <c r="H792" t="s">
        <v>10876</v>
      </c>
      <c r="I792" t="s">
        <v>9441</v>
      </c>
      <c r="J792" t="s">
        <v>2314</v>
      </c>
      <c r="K792" t="s">
        <v>9416</v>
      </c>
      <c r="L792" t="s">
        <v>9417</v>
      </c>
      <c r="M792" t="s">
        <v>10910</v>
      </c>
      <c r="N792" t="s">
        <v>9446</v>
      </c>
      <c r="O792" t="s">
        <v>7031</v>
      </c>
      <c r="P792" t="s">
        <v>9655</v>
      </c>
      <c r="Q792" t="s">
        <v>9421</v>
      </c>
      <c r="R792" t="s">
        <v>56</v>
      </c>
      <c r="S792" t="s">
        <v>2349</v>
      </c>
      <c r="T792" t="s">
        <v>2351</v>
      </c>
    </row>
    <row r="793" spans="1:20">
      <c r="A793" t="s">
        <v>7516</v>
      </c>
      <c r="B793" t="s">
        <v>9409</v>
      </c>
      <c r="C793" t="s">
        <v>7519</v>
      </c>
      <c r="D793" t="s">
        <v>9410</v>
      </c>
      <c r="E793" t="s">
        <v>11049</v>
      </c>
      <c r="F793" t="s">
        <v>9412</v>
      </c>
      <c r="G793" t="s">
        <v>9413</v>
      </c>
      <c r="H793" t="s">
        <v>10876</v>
      </c>
      <c r="I793" t="s">
        <v>9826</v>
      </c>
      <c r="J793" t="s">
        <v>2861</v>
      </c>
      <c r="K793" t="s">
        <v>9416</v>
      </c>
      <c r="L793" t="s">
        <v>9417</v>
      </c>
      <c r="M793" t="s">
        <v>10913</v>
      </c>
      <c r="N793" t="s">
        <v>10900</v>
      </c>
      <c r="O793" t="s">
        <v>7517</v>
      </c>
      <c r="P793" t="s">
        <v>9623</v>
      </c>
      <c r="Q793" t="s">
        <v>9421</v>
      </c>
      <c r="R793" t="s">
        <v>24</v>
      </c>
      <c r="S793" t="s">
        <v>7516</v>
      </c>
      <c r="T793" t="s">
        <v>11050</v>
      </c>
    </row>
    <row r="794" spans="1:20">
      <c r="A794" t="s">
        <v>2712</v>
      </c>
      <c r="B794" t="s">
        <v>20</v>
      </c>
      <c r="C794" t="s">
        <v>11051</v>
      </c>
      <c r="D794" t="s">
        <v>9475</v>
      </c>
      <c r="E794" t="s">
        <v>11052</v>
      </c>
      <c r="F794" t="s">
        <v>9412</v>
      </c>
      <c r="G794" t="s">
        <v>9413</v>
      </c>
      <c r="H794" t="s">
        <v>10876</v>
      </c>
      <c r="I794" t="s">
        <v>9435</v>
      </c>
      <c r="J794" t="s">
        <v>2693</v>
      </c>
      <c r="K794" t="s">
        <v>9416</v>
      </c>
      <c r="L794" t="s">
        <v>9417</v>
      </c>
      <c r="M794" t="s">
        <v>11009</v>
      </c>
      <c r="N794" t="s">
        <v>10904</v>
      </c>
      <c r="O794" t="s">
        <v>7377</v>
      </c>
      <c r="P794" t="s">
        <v>9459</v>
      </c>
      <c r="Q794" t="s">
        <v>9421</v>
      </c>
      <c r="R794" t="s">
        <v>17</v>
      </c>
      <c r="S794" t="s">
        <v>2712</v>
      </c>
      <c r="T794" t="s">
        <v>2714</v>
      </c>
    </row>
    <row r="795" spans="1:20">
      <c r="A795" t="s">
        <v>11053</v>
      </c>
      <c r="B795" t="s">
        <v>9409</v>
      </c>
      <c r="C795" t="s">
        <v>11054</v>
      </c>
      <c r="D795" t="s">
        <v>9410</v>
      </c>
      <c r="E795" t="s">
        <v>11055</v>
      </c>
      <c r="F795" t="s">
        <v>9412</v>
      </c>
      <c r="G795" t="s">
        <v>9413</v>
      </c>
      <c r="H795" t="s">
        <v>10876</v>
      </c>
      <c r="I795" t="s">
        <v>9415</v>
      </c>
      <c r="J795" t="s">
        <v>2693</v>
      </c>
      <c r="K795" t="s">
        <v>9445</v>
      </c>
      <c r="L795" t="s">
        <v>9417</v>
      </c>
      <c r="M795" t="s">
        <v>10954</v>
      </c>
      <c r="N795" t="s">
        <v>9426</v>
      </c>
      <c r="O795" t="s">
        <v>9446</v>
      </c>
      <c r="P795" t="s">
        <v>9567</v>
      </c>
      <c r="Q795" t="s">
        <v>9421</v>
      </c>
      <c r="R795" t="s">
        <v>43</v>
      </c>
      <c r="S795" t="s">
        <v>2504</v>
      </c>
      <c r="T795" t="s">
        <v>2506</v>
      </c>
    </row>
    <row r="796" spans="1:20">
      <c r="A796" t="s">
        <v>11053</v>
      </c>
      <c r="B796" t="s">
        <v>9409</v>
      </c>
      <c r="C796" t="s">
        <v>11054</v>
      </c>
      <c r="D796" t="s">
        <v>9410</v>
      </c>
      <c r="E796" t="s">
        <v>11055</v>
      </c>
      <c r="F796" t="s">
        <v>9412</v>
      </c>
      <c r="G796" t="s">
        <v>9413</v>
      </c>
      <c r="H796" t="s">
        <v>10876</v>
      </c>
      <c r="I796" t="s">
        <v>9415</v>
      </c>
      <c r="J796" t="s">
        <v>2693</v>
      </c>
      <c r="K796" t="s">
        <v>9416</v>
      </c>
      <c r="L796" t="s">
        <v>9417</v>
      </c>
      <c r="M796" t="s">
        <v>10954</v>
      </c>
      <c r="N796" t="s">
        <v>10904</v>
      </c>
      <c r="O796" t="s">
        <v>11056</v>
      </c>
      <c r="P796" t="s">
        <v>9623</v>
      </c>
      <c r="Q796" t="s">
        <v>9421</v>
      </c>
      <c r="R796" t="s">
        <v>24</v>
      </c>
      <c r="S796" t="s">
        <v>11053</v>
      </c>
      <c r="T796" t="s">
        <v>11057</v>
      </c>
    </row>
    <row r="797" spans="1:20">
      <c r="A797" t="s">
        <v>2943</v>
      </c>
      <c r="B797" t="s">
        <v>20</v>
      </c>
      <c r="C797" t="s">
        <v>2946</v>
      </c>
      <c r="D797" t="s">
        <v>9455</v>
      </c>
      <c r="E797" t="s">
        <v>11058</v>
      </c>
      <c r="F797" t="s">
        <v>9412</v>
      </c>
      <c r="G797" t="s">
        <v>9413</v>
      </c>
      <c r="H797" t="s">
        <v>2233</v>
      </c>
      <c r="I797" t="s">
        <v>10302</v>
      </c>
      <c r="J797" t="s">
        <v>2926</v>
      </c>
      <c r="K797" t="s">
        <v>9416</v>
      </c>
      <c r="L797" t="s">
        <v>9417</v>
      </c>
      <c r="M797" t="s">
        <v>10899</v>
      </c>
      <c r="N797" t="s">
        <v>9426</v>
      </c>
      <c r="O797" t="s">
        <v>7629</v>
      </c>
      <c r="P797" t="s">
        <v>9647</v>
      </c>
      <c r="Q797" t="s">
        <v>9421</v>
      </c>
      <c r="R797" t="s">
        <v>84</v>
      </c>
      <c r="S797" t="s">
        <v>2943</v>
      </c>
      <c r="T797" t="s">
        <v>2945</v>
      </c>
    </row>
    <row r="798" spans="1:20">
      <c r="A798" t="s">
        <v>11059</v>
      </c>
      <c r="B798" t="s">
        <v>9409</v>
      </c>
      <c r="C798" t="s">
        <v>11060</v>
      </c>
      <c r="D798" t="s">
        <v>9410</v>
      </c>
      <c r="E798" t="s">
        <v>11061</v>
      </c>
      <c r="F798" t="s">
        <v>9412</v>
      </c>
      <c r="G798" t="s">
        <v>9413</v>
      </c>
      <c r="H798" t="s">
        <v>10876</v>
      </c>
      <c r="I798" t="s">
        <v>9457</v>
      </c>
      <c r="J798" t="s">
        <v>2693</v>
      </c>
      <c r="K798" t="s">
        <v>9445</v>
      </c>
      <c r="L798" t="s">
        <v>9417</v>
      </c>
      <c r="M798" t="s">
        <v>10954</v>
      </c>
      <c r="N798" t="s">
        <v>9430</v>
      </c>
      <c r="O798" t="s">
        <v>9446</v>
      </c>
      <c r="P798" t="s">
        <v>9474</v>
      </c>
      <c r="Q798" t="s">
        <v>9421</v>
      </c>
      <c r="R798" t="s">
        <v>43</v>
      </c>
      <c r="S798" t="s">
        <v>2995</v>
      </c>
      <c r="T798" t="s">
        <v>2997</v>
      </c>
    </row>
    <row r="799" spans="1:20">
      <c r="A799" t="s">
        <v>2877</v>
      </c>
      <c r="B799" t="s">
        <v>62</v>
      </c>
      <c r="C799" t="s">
        <v>2880</v>
      </c>
      <c r="D799" t="s">
        <v>9448</v>
      </c>
      <c r="E799" t="s">
        <v>11062</v>
      </c>
      <c r="F799" t="s">
        <v>9412</v>
      </c>
      <c r="G799" t="s">
        <v>9413</v>
      </c>
      <c r="H799" t="s">
        <v>2233</v>
      </c>
      <c r="I799" t="s">
        <v>9729</v>
      </c>
      <c r="J799" t="s">
        <v>2861</v>
      </c>
      <c r="K799" t="s">
        <v>9416</v>
      </c>
      <c r="L799" t="s">
        <v>9417</v>
      </c>
      <c r="M799" t="s">
        <v>10913</v>
      </c>
      <c r="N799" t="s">
        <v>10900</v>
      </c>
      <c r="O799" t="s">
        <v>7525</v>
      </c>
      <c r="P799" t="s">
        <v>9420</v>
      </c>
      <c r="Q799" t="s">
        <v>9421</v>
      </c>
      <c r="R799" t="s">
        <v>17</v>
      </c>
      <c r="S799" t="s">
        <v>2881</v>
      </c>
      <c r="T799" t="s">
        <v>2883</v>
      </c>
    </row>
    <row r="800" spans="1:20">
      <c r="A800" t="s">
        <v>2877</v>
      </c>
      <c r="B800" t="s">
        <v>62</v>
      </c>
      <c r="C800" t="s">
        <v>2880</v>
      </c>
      <c r="D800" t="s">
        <v>9448</v>
      </c>
      <c r="E800" t="s">
        <v>11062</v>
      </c>
      <c r="F800" t="s">
        <v>9412</v>
      </c>
      <c r="G800" t="s">
        <v>9413</v>
      </c>
      <c r="H800" t="s">
        <v>2233</v>
      </c>
      <c r="I800" t="s">
        <v>9729</v>
      </c>
      <c r="J800" t="s">
        <v>2861</v>
      </c>
      <c r="K800" t="s">
        <v>9416</v>
      </c>
      <c r="L800" t="s">
        <v>9417</v>
      </c>
      <c r="M800" t="s">
        <v>10913</v>
      </c>
      <c r="N800" t="s">
        <v>10900</v>
      </c>
      <c r="O800" t="s">
        <v>7521</v>
      </c>
      <c r="P800" t="s">
        <v>9420</v>
      </c>
      <c r="Q800" t="s">
        <v>9421</v>
      </c>
      <c r="R800" t="s">
        <v>17</v>
      </c>
      <c r="S800" t="s">
        <v>2877</v>
      </c>
      <c r="T800" t="s">
        <v>2879</v>
      </c>
    </row>
    <row r="801" spans="1:20">
      <c r="A801" t="s">
        <v>2719</v>
      </c>
      <c r="B801" t="s">
        <v>20</v>
      </c>
      <c r="C801" t="s">
        <v>2722</v>
      </c>
      <c r="D801" t="s">
        <v>9898</v>
      </c>
      <c r="E801" t="s">
        <v>11063</v>
      </c>
      <c r="F801" t="s">
        <v>9412</v>
      </c>
      <c r="G801" t="s">
        <v>9413</v>
      </c>
      <c r="H801" t="s">
        <v>2233</v>
      </c>
      <c r="I801" t="s">
        <v>9874</v>
      </c>
      <c r="J801" t="s">
        <v>2693</v>
      </c>
      <c r="K801" t="s">
        <v>9416</v>
      </c>
      <c r="L801" t="s">
        <v>9417</v>
      </c>
      <c r="M801" t="s">
        <v>11009</v>
      </c>
      <c r="N801" t="s">
        <v>10904</v>
      </c>
      <c r="O801" t="s">
        <v>7381</v>
      </c>
      <c r="P801" t="s">
        <v>9420</v>
      </c>
      <c r="Q801" t="s">
        <v>9421</v>
      </c>
      <c r="R801" t="s">
        <v>17</v>
      </c>
      <c r="S801" t="s">
        <v>2719</v>
      </c>
      <c r="T801" t="s">
        <v>2721</v>
      </c>
    </row>
    <row r="802" spans="1:20">
      <c r="A802" t="s">
        <v>11064</v>
      </c>
      <c r="B802" t="s">
        <v>9409</v>
      </c>
      <c r="C802" t="s">
        <v>11065</v>
      </c>
      <c r="D802" t="s">
        <v>9410</v>
      </c>
      <c r="E802" t="s">
        <v>11066</v>
      </c>
      <c r="F802" t="s">
        <v>9412</v>
      </c>
      <c r="G802" t="s">
        <v>9413</v>
      </c>
      <c r="H802" t="s">
        <v>10876</v>
      </c>
      <c r="I802" t="s">
        <v>9886</v>
      </c>
      <c r="J802" t="s">
        <v>2693</v>
      </c>
      <c r="K802" t="s">
        <v>9416</v>
      </c>
      <c r="L802" t="s">
        <v>9417</v>
      </c>
      <c r="M802" t="s">
        <v>10903</v>
      </c>
      <c r="N802" t="s">
        <v>10904</v>
      </c>
      <c r="O802" t="s">
        <v>11067</v>
      </c>
      <c r="P802" t="s">
        <v>9420</v>
      </c>
      <c r="Q802" t="s">
        <v>9421</v>
      </c>
      <c r="R802" t="s">
        <v>17</v>
      </c>
      <c r="S802" t="s">
        <v>11064</v>
      </c>
      <c r="T802" t="s">
        <v>11068</v>
      </c>
    </row>
    <row r="803" spans="1:20">
      <c r="A803" t="s">
        <v>2723</v>
      </c>
      <c r="B803" t="s">
        <v>62</v>
      </c>
      <c r="C803" t="s">
        <v>7385</v>
      </c>
      <c r="D803" t="s">
        <v>9448</v>
      </c>
      <c r="E803" t="s">
        <v>11069</v>
      </c>
      <c r="F803" t="s">
        <v>9412</v>
      </c>
      <c r="G803" t="s">
        <v>9413</v>
      </c>
      <c r="H803" t="s">
        <v>10876</v>
      </c>
      <c r="I803" t="s">
        <v>9905</v>
      </c>
      <c r="J803" t="s">
        <v>2693</v>
      </c>
      <c r="K803" t="s">
        <v>9416</v>
      </c>
      <c r="L803" t="s">
        <v>9417</v>
      </c>
      <c r="M803" t="s">
        <v>11070</v>
      </c>
      <c r="N803" t="s">
        <v>9446</v>
      </c>
      <c r="O803" t="s">
        <v>7389</v>
      </c>
      <c r="P803" t="s">
        <v>9647</v>
      </c>
      <c r="Q803" t="s">
        <v>9421</v>
      </c>
      <c r="R803" t="s">
        <v>84</v>
      </c>
      <c r="S803" t="s">
        <v>2728</v>
      </c>
      <c r="T803" t="s">
        <v>2730</v>
      </c>
    </row>
    <row r="804" spans="1:20">
      <c r="A804" t="s">
        <v>2723</v>
      </c>
      <c r="B804" t="s">
        <v>62</v>
      </c>
      <c r="C804" t="s">
        <v>7385</v>
      </c>
      <c r="D804" t="s">
        <v>9448</v>
      </c>
      <c r="E804" t="s">
        <v>11069</v>
      </c>
      <c r="F804" t="s">
        <v>9412</v>
      </c>
      <c r="G804" t="s">
        <v>9413</v>
      </c>
      <c r="H804" t="s">
        <v>10876</v>
      </c>
      <c r="I804" t="s">
        <v>9905</v>
      </c>
      <c r="J804" t="s">
        <v>2693</v>
      </c>
      <c r="K804" t="s">
        <v>9445</v>
      </c>
      <c r="L804" t="s">
        <v>9417</v>
      </c>
      <c r="M804" t="s">
        <v>11070</v>
      </c>
      <c r="N804" t="s">
        <v>9430</v>
      </c>
      <c r="O804" t="s">
        <v>9446</v>
      </c>
      <c r="P804" t="s">
        <v>9479</v>
      </c>
      <c r="Q804" t="s">
        <v>9421</v>
      </c>
      <c r="R804" t="s">
        <v>43</v>
      </c>
      <c r="S804" t="s">
        <v>2575</v>
      </c>
      <c r="T804" t="s">
        <v>2577</v>
      </c>
    </row>
    <row r="805" spans="1:20">
      <c r="A805" t="s">
        <v>2723</v>
      </c>
      <c r="B805" t="s">
        <v>62</v>
      </c>
      <c r="C805" t="s">
        <v>7385</v>
      </c>
      <c r="D805" t="s">
        <v>9448</v>
      </c>
      <c r="E805" t="s">
        <v>11069</v>
      </c>
      <c r="F805" t="s">
        <v>9412</v>
      </c>
      <c r="G805" t="s">
        <v>9413</v>
      </c>
      <c r="H805" t="s">
        <v>10876</v>
      </c>
      <c r="I805" t="s">
        <v>9905</v>
      </c>
      <c r="J805" t="s">
        <v>2693</v>
      </c>
      <c r="K805" t="s">
        <v>9416</v>
      </c>
      <c r="L805" t="s">
        <v>9417</v>
      </c>
      <c r="M805" t="s">
        <v>11070</v>
      </c>
      <c r="N805" t="s">
        <v>9446</v>
      </c>
      <c r="O805" t="s">
        <v>7387</v>
      </c>
      <c r="P805" t="s">
        <v>9647</v>
      </c>
      <c r="Q805" t="s">
        <v>9421</v>
      </c>
      <c r="R805" t="s">
        <v>84</v>
      </c>
      <c r="S805" t="s">
        <v>2725</v>
      </c>
      <c r="T805" t="s">
        <v>2727</v>
      </c>
    </row>
    <row r="806" spans="1:20">
      <c r="A806" t="s">
        <v>2352</v>
      </c>
      <c r="B806" t="s">
        <v>62</v>
      </c>
      <c r="C806" t="s">
        <v>7034</v>
      </c>
      <c r="D806" t="s">
        <v>445</v>
      </c>
      <c r="E806" t="s">
        <v>11071</v>
      </c>
      <c r="F806" t="s">
        <v>9412</v>
      </c>
      <c r="G806" t="s">
        <v>9413</v>
      </c>
      <c r="H806" t="s">
        <v>10876</v>
      </c>
      <c r="I806" t="s">
        <v>11072</v>
      </c>
      <c r="J806" t="s">
        <v>2314</v>
      </c>
      <c r="K806" t="s">
        <v>9416</v>
      </c>
      <c r="L806" t="s">
        <v>9417</v>
      </c>
      <c r="M806" t="s">
        <v>11073</v>
      </c>
      <c r="N806" t="s">
        <v>10879</v>
      </c>
      <c r="O806" t="s">
        <v>7033</v>
      </c>
      <c r="P806" t="s">
        <v>9420</v>
      </c>
      <c r="Q806" t="s">
        <v>9421</v>
      </c>
      <c r="R806" t="s">
        <v>17</v>
      </c>
      <c r="S806" t="s">
        <v>2352</v>
      </c>
      <c r="T806" t="s">
        <v>2354</v>
      </c>
    </row>
    <row r="807" spans="1:20">
      <c r="A807" t="s">
        <v>2352</v>
      </c>
      <c r="B807" t="s">
        <v>62</v>
      </c>
      <c r="C807" t="s">
        <v>7034</v>
      </c>
      <c r="D807" t="s">
        <v>445</v>
      </c>
      <c r="E807" t="s">
        <v>11071</v>
      </c>
      <c r="F807" t="s">
        <v>9412</v>
      </c>
      <c r="G807" t="s">
        <v>9413</v>
      </c>
      <c r="H807" t="s">
        <v>10876</v>
      </c>
      <c r="I807" t="s">
        <v>11072</v>
      </c>
      <c r="J807" t="s">
        <v>2314</v>
      </c>
      <c r="K807" t="s">
        <v>9416</v>
      </c>
      <c r="L807" t="s">
        <v>9417</v>
      </c>
      <c r="M807" t="s">
        <v>11073</v>
      </c>
      <c r="N807" t="s">
        <v>10879</v>
      </c>
      <c r="O807" t="s">
        <v>7036</v>
      </c>
      <c r="P807" t="s">
        <v>9429</v>
      </c>
      <c r="Q807" t="s">
        <v>9421</v>
      </c>
      <c r="R807" t="s">
        <v>52</v>
      </c>
      <c r="S807" t="s">
        <v>2356</v>
      </c>
      <c r="T807" t="s">
        <v>2358</v>
      </c>
    </row>
    <row r="808" spans="1:20">
      <c r="A808" t="s">
        <v>3030</v>
      </c>
      <c r="B808" t="s">
        <v>62</v>
      </c>
      <c r="C808" t="s">
        <v>7754</v>
      </c>
      <c r="D808" t="s">
        <v>445</v>
      </c>
      <c r="E808" t="s">
        <v>11074</v>
      </c>
      <c r="F808" t="s">
        <v>9412</v>
      </c>
      <c r="G808" t="s">
        <v>9413</v>
      </c>
      <c r="H808" t="s">
        <v>10876</v>
      </c>
      <c r="I808" t="s">
        <v>9424</v>
      </c>
      <c r="J808" t="s">
        <v>3013</v>
      </c>
      <c r="K808" t="s">
        <v>9416</v>
      </c>
      <c r="L808" t="s">
        <v>9417</v>
      </c>
      <c r="M808" t="s">
        <v>10891</v>
      </c>
      <c r="N808" t="s">
        <v>10892</v>
      </c>
      <c r="O808" t="s">
        <v>7758</v>
      </c>
      <c r="P808" t="s">
        <v>9429</v>
      </c>
      <c r="Q808" t="s">
        <v>9421</v>
      </c>
      <c r="R808" t="s">
        <v>52</v>
      </c>
      <c r="S808" t="s">
        <v>3038</v>
      </c>
      <c r="T808" t="s">
        <v>3040</v>
      </c>
    </row>
    <row r="809" spans="1:20">
      <c r="A809" t="s">
        <v>3030</v>
      </c>
      <c r="B809" t="s">
        <v>62</v>
      </c>
      <c r="C809" t="s">
        <v>7754</v>
      </c>
      <c r="D809" t="s">
        <v>445</v>
      </c>
      <c r="E809" t="s">
        <v>11074</v>
      </c>
      <c r="F809" t="s">
        <v>9412</v>
      </c>
      <c r="G809" t="s">
        <v>9413</v>
      </c>
      <c r="H809" t="s">
        <v>10876</v>
      </c>
      <c r="I809" t="s">
        <v>9424</v>
      </c>
      <c r="J809" t="s">
        <v>3013</v>
      </c>
      <c r="K809" t="s">
        <v>9416</v>
      </c>
      <c r="L809" t="s">
        <v>9417</v>
      </c>
      <c r="M809" t="s">
        <v>10891</v>
      </c>
      <c r="N809" t="s">
        <v>9430</v>
      </c>
      <c r="O809" t="s">
        <v>7752</v>
      </c>
      <c r="P809" t="s">
        <v>9431</v>
      </c>
      <c r="Q809" t="s">
        <v>9421</v>
      </c>
      <c r="R809" t="s">
        <v>43</v>
      </c>
      <c r="S809" t="s">
        <v>3031</v>
      </c>
      <c r="T809" t="s">
        <v>3033</v>
      </c>
    </row>
    <row r="810" spans="1:20">
      <c r="A810" t="s">
        <v>3030</v>
      </c>
      <c r="B810" t="s">
        <v>62</v>
      </c>
      <c r="C810" t="s">
        <v>7754</v>
      </c>
      <c r="D810" t="s">
        <v>445</v>
      </c>
      <c r="E810" t="s">
        <v>11074</v>
      </c>
      <c r="F810" t="s">
        <v>9412</v>
      </c>
      <c r="G810" t="s">
        <v>9413</v>
      </c>
      <c r="H810" t="s">
        <v>10876</v>
      </c>
      <c r="I810" t="s">
        <v>9424</v>
      </c>
      <c r="J810" t="s">
        <v>3013</v>
      </c>
      <c r="K810" t="s">
        <v>9445</v>
      </c>
      <c r="L810" t="s">
        <v>9417</v>
      </c>
      <c r="M810" t="s">
        <v>10891</v>
      </c>
      <c r="N810" t="s">
        <v>9426</v>
      </c>
      <c r="O810" t="s">
        <v>9446</v>
      </c>
      <c r="P810" t="s">
        <v>9567</v>
      </c>
      <c r="Q810" t="s">
        <v>9421</v>
      </c>
      <c r="R810" t="s">
        <v>43</v>
      </c>
      <c r="S810" t="s">
        <v>2323</v>
      </c>
      <c r="T810" t="s">
        <v>2325</v>
      </c>
    </row>
    <row r="811" spans="1:20">
      <c r="A811" t="s">
        <v>3030</v>
      </c>
      <c r="B811" t="s">
        <v>62</v>
      </c>
      <c r="C811" t="s">
        <v>7754</v>
      </c>
      <c r="D811" t="s">
        <v>445</v>
      </c>
      <c r="E811" t="s">
        <v>11074</v>
      </c>
      <c r="F811" t="s">
        <v>9412</v>
      </c>
      <c r="G811" t="s">
        <v>9413</v>
      </c>
      <c r="H811" t="s">
        <v>10876</v>
      </c>
      <c r="I811" t="s">
        <v>9424</v>
      </c>
      <c r="J811" t="s">
        <v>3013</v>
      </c>
      <c r="K811" t="s">
        <v>9416</v>
      </c>
      <c r="L811" t="s">
        <v>9417</v>
      </c>
      <c r="M811" t="s">
        <v>10891</v>
      </c>
      <c r="N811" t="s">
        <v>10892</v>
      </c>
      <c r="O811" t="s">
        <v>7756</v>
      </c>
      <c r="P811" t="s">
        <v>9429</v>
      </c>
      <c r="Q811" t="s">
        <v>9421</v>
      </c>
      <c r="R811" t="s">
        <v>52</v>
      </c>
      <c r="S811" t="s">
        <v>3035</v>
      </c>
      <c r="T811" t="s">
        <v>3037</v>
      </c>
    </row>
    <row r="812" spans="1:20">
      <c r="A812" t="s">
        <v>2947</v>
      </c>
      <c r="B812" t="s">
        <v>62</v>
      </c>
      <c r="C812" t="s">
        <v>7635</v>
      </c>
      <c r="D812" t="s">
        <v>9448</v>
      </c>
      <c r="E812" t="s">
        <v>11075</v>
      </c>
      <c r="F812" t="s">
        <v>9412</v>
      </c>
      <c r="G812" t="s">
        <v>9413</v>
      </c>
      <c r="H812" t="s">
        <v>10876</v>
      </c>
      <c r="I812" t="s">
        <v>9441</v>
      </c>
      <c r="J812" t="s">
        <v>2926</v>
      </c>
      <c r="K812" t="s">
        <v>9445</v>
      </c>
      <c r="L812" t="s">
        <v>9417</v>
      </c>
      <c r="M812" t="s">
        <v>11076</v>
      </c>
      <c r="N812" t="s">
        <v>9430</v>
      </c>
      <c r="O812" t="s">
        <v>9446</v>
      </c>
      <c r="P812" t="s">
        <v>9550</v>
      </c>
      <c r="Q812" t="s">
        <v>9421</v>
      </c>
      <c r="R812" t="s">
        <v>84</v>
      </c>
      <c r="S812" t="s">
        <v>2951</v>
      </c>
      <c r="T812" t="s">
        <v>2953</v>
      </c>
    </row>
    <row r="813" spans="1:20">
      <c r="A813" t="s">
        <v>2947</v>
      </c>
      <c r="B813" t="s">
        <v>62</v>
      </c>
      <c r="C813" t="s">
        <v>7635</v>
      </c>
      <c r="D813" t="s">
        <v>9448</v>
      </c>
      <c r="E813" t="s">
        <v>11075</v>
      </c>
      <c r="F813" t="s">
        <v>9412</v>
      </c>
      <c r="G813" t="s">
        <v>9413</v>
      </c>
      <c r="H813" t="s">
        <v>10876</v>
      </c>
      <c r="I813" t="s">
        <v>9441</v>
      </c>
      <c r="J813" t="s">
        <v>2926</v>
      </c>
      <c r="K813" t="s">
        <v>9416</v>
      </c>
      <c r="L813" t="s">
        <v>9417</v>
      </c>
      <c r="M813" t="s">
        <v>11076</v>
      </c>
      <c r="N813" t="s">
        <v>9430</v>
      </c>
      <c r="O813" t="s">
        <v>7639</v>
      </c>
      <c r="P813" t="s">
        <v>9794</v>
      </c>
      <c r="Q813" t="s">
        <v>9421</v>
      </c>
      <c r="R813" t="s">
        <v>52</v>
      </c>
      <c r="S813" t="s">
        <v>2954</v>
      </c>
      <c r="T813" t="s">
        <v>2956</v>
      </c>
    </row>
    <row r="814" spans="1:20">
      <c r="A814" t="s">
        <v>2947</v>
      </c>
      <c r="B814" t="s">
        <v>62</v>
      </c>
      <c r="C814" t="s">
        <v>7635</v>
      </c>
      <c r="D814" t="s">
        <v>9448</v>
      </c>
      <c r="E814" t="s">
        <v>11075</v>
      </c>
      <c r="F814" t="s">
        <v>9412</v>
      </c>
      <c r="G814" t="s">
        <v>9413</v>
      </c>
      <c r="H814" t="s">
        <v>10876</v>
      </c>
      <c r="I814" t="s">
        <v>9441</v>
      </c>
      <c r="J814" t="s">
        <v>2926</v>
      </c>
      <c r="K814" t="s">
        <v>9416</v>
      </c>
      <c r="L814" t="s">
        <v>9417</v>
      </c>
      <c r="M814" t="s">
        <v>11076</v>
      </c>
      <c r="N814" t="s">
        <v>10908</v>
      </c>
      <c r="O814" t="s">
        <v>7633</v>
      </c>
      <c r="P814" t="s">
        <v>9420</v>
      </c>
      <c r="Q814" t="s">
        <v>9421</v>
      </c>
      <c r="R814" t="s">
        <v>17</v>
      </c>
      <c r="S814" t="s">
        <v>2947</v>
      </c>
      <c r="T814" t="s">
        <v>2949</v>
      </c>
    </row>
    <row r="815" spans="1:20">
      <c r="A815" t="s">
        <v>3041</v>
      </c>
      <c r="B815" t="s">
        <v>62</v>
      </c>
      <c r="C815" t="s">
        <v>7762</v>
      </c>
      <c r="D815" t="s">
        <v>445</v>
      </c>
      <c r="E815" t="s">
        <v>11077</v>
      </c>
      <c r="F815" t="s">
        <v>9412</v>
      </c>
      <c r="G815" t="s">
        <v>9413</v>
      </c>
      <c r="H815" t="s">
        <v>10876</v>
      </c>
      <c r="I815" t="s">
        <v>11078</v>
      </c>
      <c r="J815" t="s">
        <v>3013</v>
      </c>
      <c r="K815" t="s">
        <v>9416</v>
      </c>
      <c r="L815" t="s">
        <v>9417</v>
      </c>
      <c r="M815" t="s">
        <v>11079</v>
      </c>
      <c r="N815" t="s">
        <v>10892</v>
      </c>
      <c r="O815" t="s">
        <v>7760</v>
      </c>
      <c r="P815" t="s">
        <v>9623</v>
      </c>
      <c r="Q815" t="s">
        <v>9421</v>
      </c>
      <c r="R815" t="s">
        <v>24</v>
      </c>
      <c r="S815" t="s">
        <v>3042</v>
      </c>
      <c r="T815" t="s">
        <v>3044</v>
      </c>
    </row>
    <row r="816" spans="1:20">
      <c r="A816" t="s">
        <v>7527</v>
      </c>
      <c r="B816" t="s">
        <v>9409</v>
      </c>
      <c r="C816" t="s">
        <v>7530</v>
      </c>
      <c r="D816" t="s">
        <v>9410</v>
      </c>
      <c r="E816" t="s">
        <v>11080</v>
      </c>
      <c r="F816" t="s">
        <v>9412</v>
      </c>
      <c r="G816" t="s">
        <v>9413</v>
      </c>
      <c r="H816" t="s">
        <v>10876</v>
      </c>
      <c r="I816" t="s">
        <v>9729</v>
      </c>
      <c r="J816" t="s">
        <v>2861</v>
      </c>
      <c r="K816" t="s">
        <v>9416</v>
      </c>
      <c r="L816" t="s">
        <v>9417</v>
      </c>
      <c r="M816" t="s">
        <v>10899</v>
      </c>
      <c r="N816" t="s">
        <v>10900</v>
      </c>
      <c r="O816" t="s">
        <v>7528</v>
      </c>
      <c r="P816" t="s">
        <v>9623</v>
      </c>
      <c r="Q816" t="s">
        <v>9421</v>
      </c>
      <c r="R816" t="s">
        <v>24</v>
      </c>
      <c r="S816" t="s">
        <v>7527</v>
      </c>
      <c r="T816" t="s">
        <v>11081</v>
      </c>
    </row>
    <row r="817" spans="1:20">
      <c r="A817" t="s">
        <v>2276</v>
      </c>
      <c r="B817" t="s">
        <v>62</v>
      </c>
      <c r="C817" t="s">
        <v>6949</v>
      </c>
      <c r="D817" t="s">
        <v>9448</v>
      </c>
      <c r="E817" t="s">
        <v>11082</v>
      </c>
      <c r="F817" t="s">
        <v>9412</v>
      </c>
      <c r="G817" t="s">
        <v>9413</v>
      </c>
      <c r="H817" t="s">
        <v>10876</v>
      </c>
      <c r="I817" t="s">
        <v>9637</v>
      </c>
      <c r="J817" t="s">
        <v>2232</v>
      </c>
      <c r="K817" t="s">
        <v>9416</v>
      </c>
      <c r="L817" t="s">
        <v>9417</v>
      </c>
      <c r="M817" t="s">
        <v>10882</v>
      </c>
      <c r="N817" t="s">
        <v>9446</v>
      </c>
      <c r="O817" t="s">
        <v>6947</v>
      </c>
      <c r="P817" t="s">
        <v>9651</v>
      </c>
      <c r="Q817" t="s">
        <v>9421</v>
      </c>
      <c r="R817" t="s">
        <v>56</v>
      </c>
      <c r="S817" t="s">
        <v>2277</v>
      </c>
      <c r="T817" t="s">
        <v>2279</v>
      </c>
    </row>
    <row r="818" spans="1:20">
      <c r="A818" t="s">
        <v>3046</v>
      </c>
      <c r="B818" t="s">
        <v>62</v>
      </c>
      <c r="C818" t="s">
        <v>7764</v>
      </c>
      <c r="D818" t="s">
        <v>9448</v>
      </c>
      <c r="E818" t="s">
        <v>11083</v>
      </c>
      <c r="F818" t="s">
        <v>9412</v>
      </c>
      <c r="G818" t="s">
        <v>9413</v>
      </c>
      <c r="H818" t="s">
        <v>10876</v>
      </c>
      <c r="I818" t="s">
        <v>9826</v>
      </c>
      <c r="J818" t="s">
        <v>3013</v>
      </c>
      <c r="K818" t="s">
        <v>9416</v>
      </c>
      <c r="L818" t="s">
        <v>9417</v>
      </c>
      <c r="M818" t="s">
        <v>10894</v>
      </c>
      <c r="N818" t="s">
        <v>10892</v>
      </c>
      <c r="O818" t="s">
        <v>7766</v>
      </c>
      <c r="P818" t="s">
        <v>9420</v>
      </c>
      <c r="Q818" t="s">
        <v>9421</v>
      </c>
      <c r="R818" t="s">
        <v>17</v>
      </c>
      <c r="S818" t="s">
        <v>3046</v>
      </c>
      <c r="T818" t="s">
        <v>3048</v>
      </c>
    </row>
    <row r="819" spans="1:20">
      <c r="A819" t="s">
        <v>11084</v>
      </c>
      <c r="B819" t="s">
        <v>9409</v>
      </c>
      <c r="C819" t="s">
        <v>11085</v>
      </c>
      <c r="D819" t="s">
        <v>9410</v>
      </c>
      <c r="E819" t="s">
        <v>11086</v>
      </c>
      <c r="F819" t="s">
        <v>9412</v>
      </c>
      <c r="G819" t="s">
        <v>9413</v>
      </c>
      <c r="H819" t="s">
        <v>10876</v>
      </c>
      <c r="I819" t="s">
        <v>10066</v>
      </c>
      <c r="J819" t="s">
        <v>2861</v>
      </c>
      <c r="K819" t="s">
        <v>9416</v>
      </c>
      <c r="L819" t="s">
        <v>9417</v>
      </c>
      <c r="M819" t="s">
        <v>10913</v>
      </c>
      <c r="N819" t="s">
        <v>10900</v>
      </c>
      <c r="O819" t="s">
        <v>11087</v>
      </c>
      <c r="P819" t="s">
        <v>9429</v>
      </c>
      <c r="Q819" t="s">
        <v>9421</v>
      </c>
      <c r="R819" t="s">
        <v>52</v>
      </c>
      <c r="S819" t="s">
        <v>11088</v>
      </c>
      <c r="T819" t="s">
        <v>11089</v>
      </c>
    </row>
    <row r="820" spans="1:20">
      <c r="A820" t="s">
        <v>11084</v>
      </c>
      <c r="B820" t="s">
        <v>9409</v>
      </c>
      <c r="C820" t="s">
        <v>11085</v>
      </c>
      <c r="D820" t="s">
        <v>9410</v>
      </c>
      <c r="E820" t="s">
        <v>11086</v>
      </c>
      <c r="F820" t="s">
        <v>9412</v>
      </c>
      <c r="G820" t="s">
        <v>9413</v>
      </c>
      <c r="H820" t="s">
        <v>10876</v>
      </c>
      <c r="I820" t="s">
        <v>10066</v>
      </c>
      <c r="J820" t="s">
        <v>2861</v>
      </c>
      <c r="K820" t="s">
        <v>9416</v>
      </c>
      <c r="L820" t="s">
        <v>9417</v>
      </c>
      <c r="M820" t="s">
        <v>10913</v>
      </c>
      <c r="N820" t="s">
        <v>9430</v>
      </c>
      <c r="O820" t="s">
        <v>7536</v>
      </c>
      <c r="P820" t="s">
        <v>9524</v>
      </c>
      <c r="Q820" t="s">
        <v>9421</v>
      </c>
      <c r="R820" t="s">
        <v>43</v>
      </c>
      <c r="S820" t="s">
        <v>2889</v>
      </c>
      <c r="T820" t="s">
        <v>2891</v>
      </c>
    </row>
    <row r="821" spans="1:20">
      <c r="A821" t="s">
        <v>11084</v>
      </c>
      <c r="B821" t="s">
        <v>9409</v>
      </c>
      <c r="C821" t="s">
        <v>11085</v>
      </c>
      <c r="D821" t="s">
        <v>9410</v>
      </c>
      <c r="E821" t="s">
        <v>11086</v>
      </c>
      <c r="F821" t="s">
        <v>9412</v>
      </c>
      <c r="G821" t="s">
        <v>9413</v>
      </c>
      <c r="H821" t="s">
        <v>10876</v>
      </c>
      <c r="I821" t="s">
        <v>10066</v>
      </c>
      <c r="J821" t="s">
        <v>2861</v>
      </c>
      <c r="K821" t="s">
        <v>9416</v>
      </c>
      <c r="L821" t="s">
        <v>9417</v>
      </c>
      <c r="M821" t="s">
        <v>10913</v>
      </c>
      <c r="N821" t="s">
        <v>9430</v>
      </c>
      <c r="O821" t="s">
        <v>11090</v>
      </c>
      <c r="P821" t="s">
        <v>9651</v>
      </c>
      <c r="Q821" t="s">
        <v>9421</v>
      </c>
      <c r="R821" t="s">
        <v>56</v>
      </c>
      <c r="S821" t="s">
        <v>11091</v>
      </c>
      <c r="T821" t="s">
        <v>11092</v>
      </c>
    </row>
    <row r="822" spans="1:20">
      <c r="A822" t="s">
        <v>2884</v>
      </c>
      <c r="B822" t="s">
        <v>62</v>
      </c>
      <c r="C822" t="s">
        <v>7532</v>
      </c>
      <c r="D822" t="s">
        <v>9448</v>
      </c>
      <c r="E822" t="s">
        <v>11093</v>
      </c>
      <c r="F822" t="s">
        <v>9412</v>
      </c>
      <c r="G822" t="s">
        <v>9413</v>
      </c>
      <c r="H822" t="s">
        <v>10876</v>
      </c>
      <c r="I822" t="s">
        <v>10010</v>
      </c>
      <c r="J822" t="s">
        <v>2861</v>
      </c>
      <c r="K822" t="s">
        <v>9416</v>
      </c>
      <c r="L822" t="s">
        <v>9417</v>
      </c>
      <c r="M822" t="s">
        <v>10913</v>
      </c>
      <c r="N822" t="s">
        <v>10900</v>
      </c>
      <c r="O822" t="s">
        <v>7534</v>
      </c>
      <c r="P822" t="s">
        <v>9420</v>
      </c>
      <c r="Q822" t="s">
        <v>9421</v>
      </c>
      <c r="R822" t="s">
        <v>17</v>
      </c>
      <c r="S822" t="s">
        <v>2885</v>
      </c>
      <c r="T822" t="s">
        <v>2887</v>
      </c>
    </row>
    <row r="823" spans="1:20">
      <c r="A823" t="s">
        <v>2884</v>
      </c>
      <c r="B823" t="s">
        <v>62</v>
      </c>
      <c r="C823" t="s">
        <v>7532</v>
      </c>
      <c r="D823" t="s">
        <v>9448</v>
      </c>
      <c r="E823" t="s">
        <v>11093</v>
      </c>
      <c r="F823" t="s">
        <v>9412</v>
      </c>
      <c r="G823" t="s">
        <v>9413</v>
      </c>
      <c r="H823" t="s">
        <v>10876</v>
      </c>
      <c r="I823" t="s">
        <v>10010</v>
      </c>
      <c r="J823" t="s">
        <v>2861</v>
      </c>
      <c r="K823" t="s">
        <v>9445</v>
      </c>
      <c r="L823" t="s">
        <v>9417</v>
      </c>
      <c r="M823" t="s">
        <v>10913</v>
      </c>
      <c r="N823" t="s">
        <v>9430</v>
      </c>
      <c r="O823" t="s">
        <v>9446</v>
      </c>
      <c r="P823" t="s">
        <v>9524</v>
      </c>
      <c r="Q823" t="s">
        <v>9421</v>
      </c>
      <c r="R823" t="s">
        <v>43</v>
      </c>
      <c r="S823" t="s">
        <v>2889</v>
      </c>
      <c r="T823" t="s">
        <v>2891</v>
      </c>
    </row>
    <row r="824" spans="1:20">
      <c r="A824" t="s">
        <v>2884</v>
      </c>
      <c r="B824" t="s">
        <v>62</v>
      </c>
      <c r="C824" t="s">
        <v>7532</v>
      </c>
      <c r="D824" t="s">
        <v>9448</v>
      </c>
      <c r="E824" t="s">
        <v>11093</v>
      </c>
      <c r="F824" t="s">
        <v>9412</v>
      </c>
      <c r="G824" t="s">
        <v>9413</v>
      </c>
      <c r="H824" t="s">
        <v>10876</v>
      </c>
      <c r="I824" t="s">
        <v>10010</v>
      </c>
      <c r="J824" t="s">
        <v>2861</v>
      </c>
      <c r="K824" t="s">
        <v>9445</v>
      </c>
      <c r="L824" t="s">
        <v>9417</v>
      </c>
      <c r="M824" t="s">
        <v>10913</v>
      </c>
      <c r="N824" t="s">
        <v>9426</v>
      </c>
      <c r="O824" t="s">
        <v>9446</v>
      </c>
      <c r="P824" t="s">
        <v>9479</v>
      </c>
      <c r="Q824" t="s">
        <v>9421</v>
      </c>
      <c r="R824" t="s">
        <v>43</v>
      </c>
      <c r="S824" t="s">
        <v>2392</v>
      </c>
      <c r="T824" t="s">
        <v>2394</v>
      </c>
    </row>
    <row r="825" spans="1:20">
      <c r="A825" t="s">
        <v>7538</v>
      </c>
      <c r="B825" t="s">
        <v>9409</v>
      </c>
      <c r="C825" t="s">
        <v>7541</v>
      </c>
      <c r="D825" t="s">
        <v>9410</v>
      </c>
      <c r="E825" t="s">
        <v>11094</v>
      </c>
      <c r="F825" t="s">
        <v>9412</v>
      </c>
      <c r="G825" t="s">
        <v>9413</v>
      </c>
      <c r="H825" t="s">
        <v>10876</v>
      </c>
      <c r="I825" t="s">
        <v>9819</v>
      </c>
      <c r="J825" t="s">
        <v>2861</v>
      </c>
      <c r="K825" t="s">
        <v>9416</v>
      </c>
      <c r="L825" t="s">
        <v>9417</v>
      </c>
      <c r="M825" t="s">
        <v>10913</v>
      </c>
      <c r="N825" t="s">
        <v>10900</v>
      </c>
      <c r="O825" t="s">
        <v>7539</v>
      </c>
      <c r="P825" t="s">
        <v>9420</v>
      </c>
      <c r="Q825" t="s">
        <v>9421</v>
      </c>
      <c r="R825" t="s">
        <v>17</v>
      </c>
      <c r="S825" t="s">
        <v>7538</v>
      </c>
      <c r="T825" t="s">
        <v>11095</v>
      </c>
    </row>
    <row r="826" spans="1:20">
      <c r="A826" t="s">
        <v>7538</v>
      </c>
      <c r="B826" t="s">
        <v>9409</v>
      </c>
      <c r="C826" t="s">
        <v>7541</v>
      </c>
      <c r="D826" t="s">
        <v>9410</v>
      </c>
      <c r="E826" t="s">
        <v>11094</v>
      </c>
      <c r="F826" t="s">
        <v>9412</v>
      </c>
      <c r="G826" t="s">
        <v>9413</v>
      </c>
      <c r="H826" t="s">
        <v>10876</v>
      </c>
      <c r="I826" t="s">
        <v>9819</v>
      </c>
      <c r="J826" t="s">
        <v>2861</v>
      </c>
      <c r="K826" t="s">
        <v>9445</v>
      </c>
      <c r="L826" t="s">
        <v>9417</v>
      </c>
      <c r="M826" t="s">
        <v>10913</v>
      </c>
      <c r="N826" t="s">
        <v>9426</v>
      </c>
      <c r="O826" t="s">
        <v>9446</v>
      </c>
      <c r="P826" t="s">
        <v>9479</v>
      </c>
      <c r="Q826" t="s">
        <v>9421</v>
      </c>
      <c r="R826" t="s">
        <v>43</v>
      </c>
      <c r="S826" t="s">
        <v>2392</v>
      </c>
      <c r="T826" t="s">
        <v>2394</v>
      </c>
    </row>
    <row r="827" spans="1:20">
      <c r="A827" t="s">
        <v>11096</v>
      </c>
      <c r="B827" t="s">
        <v>9409</v>
      </c>
      <c r="C827" t="s">
        <v>11097</v>
      </c>
      <c r="D827" t="s">
        <v>9410</v>
      </c>
      <c r="E827" t="s">
        <v>11098</v>
      </c>
      <c r="F827" t="s">
        <v>9412</v>
      </c>
      <c r="G827" t="s">
        <v>9413</v>
      </c>
      <c r="H827" t="s">
        <v>10876</v>
      </c>
      <c r="I827" t="s">
        <v>9518</v>
      </c>
      <c r="J827" t="s">
        <v>2314</v>
      </c>
      <c r="K827" t="s">
        <v>9416</v>
      </c>
      <c r="L827" t="s">
        <v>9417</v>
      </c>
      <c r="M827" t="s">
        <v>10997</v>
      </c>
      <c r="N827" t="s">
        <v>10879</v>
      </c>
      <c r="O827" t="s">
        <v>11099</v>
      </c>
      <c r="P827" t="s">
        <v>9429</v>
      </c>
      <c r="Q827" t="s">
        <v>9421</v>
      </c>
      <c r="R827" t="s">
        <v>52</v>
      </c>
      <c r="S827" t="s">
        <v>11096</v>
      </c>
      <c r="T827" t="s">
        <v>11100</v>
      </c>
    </row>
    <row r="828" spans="1:20">
      <c r="A828" t="s">
        <v>2892</v>
      </c>
      <c r="B828" t="s">
        <v>20</v>
      </c>
      <c r="C828" t="s">
        <v>7545</v>
      </c>
      <c r="D828" t="s">
        <v>10052</v>
      </c>
      <c r="E828" t="s">
        <v>11101</v>
      </c>
      <c r="F828" t="s">
        <v>9412</v>
      </c>
      <c r="G828" t="s">
        <v>9413</v>
      </c>
      <c r="H828" t="s">
        <v>10876</v>
      </c>
      <c r="I828" t="s">
        <v>11102</v>
      </c>
      <c r="J828" t="s">
        <v>2861</v>
      </c>
      <c r="K828" t="s">
        <v>9416</v>
      </c>
      <c r="L828" t="s">
        <v>9417</v>
      </c>
      <c r="M828" t="s">
        <v>10913</v>
      </c>
      <c r="N828" t="s">
        <v>9446</v>
      </c>
      <c r="O828" t="s">
        <v>7543</v>
      </c>
      <c r="P828" t="s">
        <v>9655</v>
      </c>
      <c r="Q828" t="s">
        <v>9421</v>
      </c>
      <c r="R828" t="s">
        <v>56</v>
      </c>
      <c r="S828" t="s">
        <v>2893</v>
      </c>
      <c r="T828" t="s">
        <v>2895</v>
      </c>
    </row>
    <row r="829" spans="1:20">
      <c r="A829" t="s">
        <v>11103</v>
      </c>
      <c r="B829" t="s">
        <v>9409</v>
      </c>
      <c r="C829" t="s">
        <v>11104</v>
      </c>
      <c r="D829" t="s">
        <v>9410</v>
      </c>
      <c r="E829" t="s">
        <v>11105</v>
      </c>
      <c r="F829" t="s">
        <v>9412</v>
      </c>
      <c r="G829" t="s">
        <v>9413</v>
      </c>
      <c r="H829" t="s">
        <v>10876</v>
      </c>
      <c r="I829" t="s">
        <v>9477</v>
      </c>
      <c r="J829" t="s">
        <v>2861</v>
      </c>
      <c r="K829" t="s">
        <v>9445</v>
      </c>
      <c r="L829" t="s">
        <v>9417</v>
      </c>
      <c r="M829" t="s">
        <v>10913</v>
      </c>
      <c r="N829" t="s">
        <v>9426</v>
      </c>
      <c r="O829" t="s">
        <v>9446</v>
      </c>
      <c r="P829" t="s">
        <v>9567</v>
      </c>
      <c r="Q829" t="s">
        <v>9421</v>
      </c>
      <c r="R829" t="s">
        <v>43</v>
      </c>
      <c r="S829" t="s">
        <v>2323</v>
      </c>
      <c r="T829" t="s">
        <v>2325</v>
      </c>
    </row>
    <row r="830" spans="1:20">
      <c r="A830" t="s">
        <v>11103</v>
      </c>
      <c r="B830" t="s">
        <v>9409</v>
      </c>
      <c r="C830" t="s">
        <v>11104</v>
      </c>
      <c r="D830" t="s">
        <v>9410</v>
      </c>
      <c r="E830" t="s">
        <v>11105</v>
      </c>
      <c r="F830" t="s">
        <v>9412</v>
      </c>
      <c r="G830" t="s">
        <v>9413</v>
      </c>
      <c r="H830" t="s">
        <v>10876</v>
      </c>
      <c r="I830" t="s">
        <v>9477</v>
      </c>
      <c r="J830" t="s">
        <v>2861</v>
      </c>
      <c r="K830" t="s">
        <v>9416</v>
      </c>
      <c r="L830" t="s">
        <v>9417</v>
      </c>
      <c r="M830" t="s">
        <v>10913</v>
      </c>
      <c r="N830" t="s">
        <v>10900</v>
      </c>
      <c r="O830" t="s">
        <v>11106</v>
      </c>
      <c r="P830" t="s">
        <v>9623</v>
      </c>
      <c r="Q830" t="s">
        <v>9421</v>
      </c>
      <c r="R830" t="s">
        <v>24</v>
      </c>
      <c r="S830" t="s">
        <v>11103</v>
      </c>
      <c r="T830" t="s">
        <v>11107</v>
      </c>
    </row>
    <row r="831" spans="1:20">
      <c r="A831" t="s">
        <v>6951</v>
      </c>
      <c r="B831" t="s">
        <v>9409</v>
      </c>
      <c r="C831" t="s">
        <v>6954</v>
      </c>
      <c r="D831" t="s">
        <v>9410</v>
      </c>
      <c r="E831" t="s">
        <v>11108</v>
      </c>
      <c r="F831" t="s">
        <v>9412</v>
      </c>
      <c r="G831" t="s">
        <v>9413</v>
      </c>
      <c r="H831" t="s">
        <v>10876</v>
      </c>
      <c r="I831" t="s">
        <v>9929</v>
      </c>
      <c r="J831" t="s">
        <v>2232</v>
      </c>
      <c r="K831" t="s">
        <v>9416</v>
      </c>
      <c r="L831" t="s">
        <v>9417</v>
      </c>
      <c r="M831" t="s">
        <v>10882</v>
      </c>
      <c r="N831" t="s">
        <v>10919</v>
      </c>
      <c r="O831" t="s">
        <v>6952</v>
      </c>
      <c r="P831" t="s">
        <v>9420</v>
      </c>
      <c r="Q831" t="s">
        <v>9421</v>
      </c>
      <c r="R831" t="s">
        <v>17</v>
      </c>
      <c r="S831" t="s">
        <v>6951</v>
      </c>
      <c r="T831" t="s">
        <v>11109</v>
      </c>
    </row>
    <row r="832" spans="1:20">
      <c r="A832" t="s">
        <v>7037</v>
      </c>
      <c r="B832" t="s">
        <v>20</v>
      </c>
      <c r="C832" t="s">
        <v>7040</v>
      </c>
      <c r="D832" t="s">
        <v>9460</v>
      </c>
      <c r="E832" t="s">
        <v>11110</v>
      </c>
      <c r="F832" t="s">
        <v>9412</v>
      </c>
      <c r="G832" t="s">
        <v>9413</v>
      </c>
      <c r="H832" t="s">
        <v>10876</v>
      </c>
      <c r="I832" t="s">
        <v>9469</v>
      </c>
      <c r="J832" t="s">
        <v>2314</v>
      </c>
      <c r="K832" t="s">
        <v>9416</v>
      </c>
      <c r="L832" t="s">
        <v>9417</v>
      </c>
      <c r="M832" t="s">
        <v>11021</v>
      </c>
      <c r="N832" t="s">
        <v>10879</v>
      </c>
      <c r="O832" t="s">
        <v>11111</v>
      </c>
      <c r="P832" t="s">
        <v>9429</v>
      </c>
      <c r="Q832" t="s">
        <v>9421</v>
      </c>
      <c r="R832" t="s">
        <v>52</v>
      </c>
      <c r="S832" t="s">
        <v>11112</v>
      </c>
      <c r="T832" t="s">
        <v>11113</v>
      </c>
    </row>
    <row r="833" spans="1:20">
      <c r="A833" t="s">
        <v>7037</v>
      </c>
      <c r="B833" t="s">
        <v>20</v>
      </c>
      <c r="C833" t="s">
        <v>7040</v>
      </c>
      <c r="D833" t="s">
        <v>9460</v>
      </c>
      <c r="E833" t="s">
        <v>11110</v>
      </c>
      <c r="F833" t="s">
        <v>9412</v>
      </c>
      <c r="G833" t="s">
        <v>9413</v>
      </c>
      <c r="H833" t="s">
        <v>10876</v>
      </c>
      <c r="I833" t="s">
        <v>9469</v>
      </c>
      <c r="J833" t="s">
        <v>2314</v>
      </c>
      <c r="K833" t="s">
        <v>9416</v>
      </c>
      <c r="L833" t="s">
        <v>9417</v>
      </c>
      <c r="M833" t="s">
        <v>11021</v>
      </c>
      <c r="N833" t="s">
        <v>10879</v>
      </c>
      <c r="O833" t="s">
        <v>7038</v>
      </c>
      <c r="P833" t="s">
        <v>9420</v>
      </c>
      <c r="Q833" t="s">
        <v>9421</v>
      </c>
      <c r="R833" t="s">
        <v>17</v>
      </c>
      <c r="S833" t="s">
        <v>7037</v>
      </c>
      <c r="T833" t="s">
        <v>11114</v>
      </c>
    </row>
    <row r="834" spans="1:20">
      <c r="A834" t="s">
        <v>7547</v>
      </c>
      <c r="B834" t="s">
        <v>9409</v>
      </c>
      <c r="C834" t="s">
        <v>7550</v>
      </c>
      <c r="D834" t="s">
        <v>9410</v>
      </c>
      <c r="E834" t="s">
        <v>11115</v>
      </c>
      <c r="F834" t="s">
        <v>9412</v>
      </c>
      <c r="G834" t="s">
        <v>9413</v>
      </c>
      <c r="H834" t="s">
        <v>10876</v>
      </c>
      <c r="I834" t="s">
        <v>9482</v>
      </c>
      <c r="J834" t="s">
        <v>2861</v>
      </c>
      <c r="K834" t="s">
        <v>9416</v>
      </c>
      <c r="L834" t="s">
        <v>9417</v>
      </c>
      <c r="M834" t="s">
        <v>10899</v>
      </c>
      <c r="N834" t="s">
        <v>10900</v>
      </c>
      <c r="O834" t="s">
        <v>7548</v>
      </c>
      <c r="P834" t="s">
        <v>10789</v>
      </c>
      <c r="Q834" t="s">
        <v>9421</v>
      </c>
      <c r="R834" t="s">
        <v>553</v>
      </c>
      <c r="S834" t="s">
        <v>7547</v>
      </c>
      <c r="T834" t="s">
        <v>11116</v>
      </c>
    </row>
    <row r="835" spans="1:20">
      <c r="A835" t="s">
        <v>2731</v>
      </c>
      <c r="B835" t="s">
        <v>20</v>
      </c>
      <c r="C835" t="s">
        <v>7393</v>
      </c>
      <c r="D835" t="s">
        <v>10052</v>
      </c>
      <c r="E835" t="s">
        <v>11117</v>
      </c>
      <c r="F835" t="s">
        <v>9412</v>
      </c>
      <c r="G835" t="s">
        <v>9413</v>
      </c>
      <c r="H835" t="s">
        <v>10876</v>
      </c>
      <c r="I835" t="s">
        <v>10099</v>
      </c>
      <c r="J835" t="s">
        <v>2693</v>
      </c>
      <c r="K835" t="s">
        <v>9416</v>
      </c>
      <c r="L835" t="s">
        <v>9417</v>
      </c>
      <c r="M835" t="s">
        <v>11070</v>
      </c>
      <c r="N835" t="s">
        <v>9430</v>
      </c>
      <c r="O835" t="s">
        <v>7397</v>
      </c>
      <c r="P835" t="s">
        <v>10949</v>
      </c>
      <c r="Q835" t="s">
        <v>9421</v>
      </c>
      <c r="R835" t="s">
        <v>17</v>
      </c>
      <c r="S835" t="s">
        <v>2739</v>
      </c>
      <c r="T835" t="s">
        <v>2741</v>
      </c>
    </row>
    <row r="836" spans="1:20">
      <c r="A836" t="s">
        <v>2731</v>
      </c>
      <c r="B836" t="s">
        <v>20</v>
      </c>
      <c r="C836" t="s">
        <v>7393</v>
      </c>
      <c r="D836" t="s">
        <v>10052</v>
      </c>
      <c r="E836" t="s">
        <v>11117</v>
      </c>
      <c r="F836" t="s">
        <v>9412</v>
      </c>
      <c r="G836" t="s">
        <v>9413</v>
      </c>
      <c r="H836" t="s">
        <v>10876</v>
      </c>
      <c r="I836" t="s">
        <v>10099</v>
      </c>
      <c r="J836" t="s">
        <v>2693</v>
      </c>
      <c r="K836" t="s">
        <v>9416</v>
      </c>
      <c r="L836" t="s">
        <v>9417</v>
      </c>
      <c r="M836" t="s">
        <v>11070</v>
      </c>
      <c r="N836" t="s">
        <v>9430</v>
      </c>
      <c r="O836" t="s">
        <v>7395</v>
      </c>
      <c r="P836" t="s">
        <v>9647</v>
      </c>
      <c r="Q836" t="s">
        <v>9421</v>
      </c>
      <c r="R836" t="s">
        <v>84</v>
      </c>
      <c r="S836" t="s">
        <v>2736</v>
      </c>
      <c r="T836" t="s">
        <v>2738</v>
      </c>
    </row>
    <row r="837" spans="1:20">
      <c r="A837" t="s">
        <v>2731</v>
      </c>
      <c r="B837" t="s">
        <v>20</v>
      </c>
      <c r="C837" t="s">
        <v>7393</v>
      </c>
      <c r="D837" t="s">
        <v>10052</v>
      </c>
      <c r="E837" t="s">
        <v>11117</v>
      </c>
      <c r="F837" t="s">
        <v>9412</v>
      </c>
      <c r="G837" t="s">
        <v>9413</v>
      </c>
      <c r="H837" t="s">
        <v>10876</v>
      </c>
      <c r="I837" t="s">
        <v>10099</v>
      </c>
      <c r="J837" t="s">
        <v>2693</v>
      </c>
      <c r="K837" t="s">
        <v>9416</v>
      </c>
      <c r="L837" t="s">
        <v>9417</v>
      </c>
      <c r="M837" t="s">
        <v>11070</v>
      </c>
      <c r="N837" t="s">
        <v>10904</v>
      </c>
      <c r="O837" t="s">
        <v>7391</v>
      </c>
      <c r="P837" t="s">
        <v>9420</v>
      </c>
      <c r="Q837" t="s">
        <v>9421</v>
      </c>
      <c r="R837" t="s">
        <v>17</v>
      </c>
      <c r="S837" t="s">
        <v>2732</v>
      </c>
      <c r="T837" t="s">
        <v>2734</v>
      </c>
    </row>
    <row r="838" spans="1:20">
      <c r="A838" t="s">
        <v>2359</v>
      </c>
      <c r="B838" t="s">
        <v>62</v>
      </c>
      <c r="C838" t="s">
        <v>11118</v>
      </c>
      <c r="D838" t="s">
        <v>445</v>
      </c>
      <c r="E838" t="s">
        <v>11119</v>
      </c>
      <c r="F838" t="s">
        <v>9412</v>
      </c>
      <c r="G838" t="s">
        <v>9413</v>
      </c>
      <c r="H838" t="s">
        <v>10876</v>
      </c>
      <c r="I838" t="s">
        <v>10492</v>
      </c>
      <c r="J838" t="s">
        <v>2314</v>
      </c>
      <c r="K838" t="s">
        <v>9445</v>
      </c>
      <c r="L838" t="s">
        <v>9417</v>
      </c>
      <c r="M838" t="s">
        <v>11047</v>
      </c>
      <c r="N838" t="s">
        <v>9426</v>
      </c>
      <c r="O838" t="s">
        <v>9446</v>
      </c>
      <c r="P838" t="s">
        <v>9567</v>
      </c>
      <c r="Q838" t="s">
        <v>9421</v>
      </c>
      <c r="R838" t="s">
        <v>43</v>
      </c>
      <c r="S838" t="s">
        <v>2323</v>
      </c>
      <c r="T838" t="s">
        <v>2325</v>
      </c>
    </row>
    <row r="839" spans="1:20">
      <c r="A839" t="s">
        <v>2359</v>
      </c>
      <c r="B839" t="s">
        <v>62</v>
      </c>
      <c r="C839" t="s">
        <v>11118</v>
      </c>
      <c r="D839" t="s">
        <v>445</v>
      </c>
      <c r="E839" t="s">
        <v>11119</v>
      </c>
      <c r="F839" t="s">
        <v>9412</v>
      </c>
      <c r="G839" t="s">
        <v>9413</v>
      </c>
      <c r="H839" t="s">
        <v>10876</v>
      </c>
      <c r="I839" t="s">
        <v>10492</v>
      </c>
      <c r="J839" t="s">
        <v>2314</v>
      </c>
      <c r="K839" t="s">
        <v>9416</v>
      </c>
      <c r="L839" t="s">
        <v>9417</v>
      </c>
      <c r="M839" t="s">
        <v>11047</v>
      </c>
      <c r="N839" t="s">
        <v>10879</v>
      </c>
      <c r="O839" t="s">
        <v>7042</v>
      </c>
      <c r="P839" t="s">
        <v>9429</v>
      </c>
      <c r="Q839" t="s">
        <v>9421</v>
      </c>
      <c r="R839" t="s">
        <v>52</v>
      </c>
      <c r="S839" t="s">
        <v>2359</v>
      </c>
      <c r="T839" t="s">
        <v>2361</v>
      </c>
    </row>
    <row r="840" spans="1:20">
      <c r="A840" t="s">
        <v>11120</v>
      </c>
      <c r="B840" t="s">
        <v>9409</v>
      </c>
      <c r="C840" t="s">
        <v>11121</v>
      </c>
      <c r="D840" t="s">
        <v>9410</v>
      </c>
      <c r="E840" t="s">
        <v>11122</v>
      </c>
      <c r="F840" t="s">
        <v>9412</v>
      </c>
      <c r="G840" t="s">
        <v>9413</v>
      </c>
      <c r="H840" t="s">
        <v>10876</v>
      </c>
      <c r="I840" t="s">
        <v>9819</v>
      </c>
      <c r="J840" t="s">
        <v>3013</v>
      </c>
      <c r="K840" t="s">
        <v>9445</v>
      </c>
      <c r="L840" t="s">
        <v>9417</v>
      </c>
      <c r="M840" t="s">
        <v>10999</v>
      </c>
      <c r="N840" t="s">
        <v>9430</v>
      </c>
      <c r="O840" t="s">
        <v>9446</v>
      </c>
      <c r="P840" t="s">
        <v>9431</v>
      </c>
      <c r="Q840" t="s">
        <v>9421</v>
      </c>
      <c r="R840" t="s">
        <v>43</v>
      </c>
      <c r="S840" t="s">
        <v>3031</v>
      </c>
      <c r="T840" t="s">
        <v>3033</v>
      </c>
    </row>
    <row r="841" spans="1:20">
      <c r="A841" t="s">
        <v>11120</v>
      </c>
      <c r="B841" t="s">
        <v>9409</v>
      </c>
      <c r="C841" t="s">
        <v>11121</v>
      </c>
      <c r="D841" t="s">
        <v>9410</v>
      </c>
      <c r="E841" t="s">
        <v>11122</v>
      </c>
      <c r="F841" t="s">
        <v>9412</v>
      </c>
      <c r="G841" t="s">
        <v>9413</v>
      </c>
      <c r="H841" t="s">
        <v>10876</v>
      </c>
      <c r="I841" t="s">
        <v>9819</v>
      </c>
      <c r="J841" t="s">
        <v>3013</v>
      </c>
      <c r="K841" t="s">
        <v>9416</v>
      </c>
      <c r="L841" t="s">
        <v>9417</v>
      </c>
      <c r="M841" t="s">
        <v>10999</v>
      </c>
      <c r="N841" t="s">
        <v>10892</v>
      </c>
      <c r="O841" t="s">
        <v>11123</v>
      </c>
      <c r="P841" t="s">
        <v>9420</v>
      </c>
      <c r="Q841" t="s">
        <v>9421</v>
      </c>
      <c r="R841" t="s">
        <v>17</v>
      </c>
      <c r="S841" t="s">
        <v>11120</v>
      </c>
      <c r="T841" t="s">
        <v>11124</v>
      </c>
    </row>
    <row r="842" spans="1:20">
      <c r="A842" t="s">
        <v>2363</v>
      </c>
      <c r="B842" t="s">
        <v>20</v>
      </c>
      <c r="C842" t="s">
        <v>2366</v>
      </c>
      <c r="D842" t="s">
        <v>9460</v>
      </c>
      <c r="E842" t="s">
        <v>11125</v>
      </c>
      <c r="F842" t="s">
        <v>9412</v>
      </c>
      <c r="G842" t="s">
        <v>9413</v>
      </c>
      <c r="H842" t="s">
        <v>2233</v>
      </c>
      <c r="I842" t="s">
        <v>9576</v>
      </c>
      <c r="J842" t="s">
        <v>2314</v>
      </c>
      <c r="K842" t="s">
        <v>9416</v>
      </c>
      <c r="L842" t="s">
        <v>9417</v>
      </c>
      <c r="M842" t="s">
        <v>11126</v>
      </c>
      <c r="N842" t="s">
        <v>10879</v>
      </c>
      <c r="O842" t="s">
        <v>7047</v>
      </c>
      <c r="P842" t="s">
        <v>9420</v>
      </c>
      <c r="Q842" t="s">
        <v>9421</v>
      </c>
      <c r="R842" t="s">
        <v>17</v>
      </c>
      <c r="S842" t="s">
        <v>2363</v>
      </c>
      <c r="T842" t="s">
        <v>2365</v>
      </c>
    </row>
    <row r="843" spans="1:20">
      <c r="A843" t="s">
        <v>2897</v>
      </c>
      <c r="B843" t="s">
        <v>20</v>
      </c>
      <c r="C843" t="s">
        <v>7554</v>
      </c>
      <c r="D843" t="s">
        <v>9464</v>
      </c>
      <c r="E843" t="s">
        <v>11127</v>
      </c>
      <c r="F843" t="s">
        <v>9412</v>
      </c>
      <c r="G843" t="s">
        <v>9413</v>
      </c>
      <c r="H843" t="s">
        <v>10876</v>
      </c>
      <c r="I843" t="s">
        <v>9469</v>
      </c>
      <c r="J843" t="s">
        <v>2861</v>
      </c>
      <c r="K843" t="s">
        <v>9445</v>
      </c>
      <c r="L843" t="s">
        <v>9417</v>
      </c>
      <c r="M843" t="s">
        <v>10913</v>
      </c>
      <c r="N843" t="s">
        <v>9426</v>
      </c>
      <c r="O843" t="s">
        <v>9446</v>
      </c>
      <c r="P843" t="s">
        <v>9567</v>
      </c>
      <c r="Q843" t="s">
        <v>9421</v>
      </c>
      <c r="R843" t="s">
        <v>43</v>
      </c>
      <c r="S843" t="s">
        <v>2323</v>
      </c>
      <c r="T843" t="s">
        <v>2325</v>
      </c>
    </row>
    <row r="844" spans="1:20">
      <c r="A844" t="s">
        <v>2897</v>
      </c>
      <c r="B844" t="s">
        <v>20</v>
      </c>
      <c r="C844" t="s">
        <v>7554</v>
      </c>
      <c r="D844" t="s">
        <v>9464</v>
      </c>
      <c r="E844" t="s">
        <v>11127</v>
      </c>
      <c r="F844" t="s">
        <v>9412</v>
      </c>
      <c r="G844" t="s">
        <v>9413</v>
      </c>
      <c r="H844" t="s">
        <v>10876</v>
      </c>
      <c r="I844" t="s">
        <v>9469</v>
      </c>
      <c r="J844" t="s">
        <v>2861</v>
      </c>
      <c r="K844" t="s">
        <v>9416</v>
      </c>
      <c r="L844" t="s">
        <v>9417</v>
      </c>
      <c r="M844" t="s">
        <v>10913</v>
      </c>
      <c r="N844" t="s">
        <v>10900</v>
      </c>
      <c r="O844" t="s">
        <v>7552</v>
      </c>
      <c r="P844" t="s">
        <v>9431</v>
      </c>
      <c r="Q844" t="s">
        <v>9421</v>
      </c>
      <c r="R844" t="s">
        <v>24</v>
      </c>
      <c r="S844" t="s">
        <v>2898</v>
      </c>
      <c r="T844" t="s">
        <v>2900</v>
      </c>
    </row>
    <row r="845" spans="1:20">
      <c r="A845" t="s">
        <v>2897</v>
      </c>
      <c r="B845" t="s">
        <v>20</v>
      </c>
      <c r="C845" t="s">
        <v>7554</v>
      </c>
      <c r="D845" t="s">
        <v>9464</v>
      </c>
      <c r="E845" t="s">
        <v>11127</v>
      </c>
      <c r="F845" t="s">
        <v>9412</v>
      </c>
      <c r="G845" t="s">
        <v>9413</v>
      </c>
      <c r="H845" t="s">
        <v>10876</v>
      </c>
      <c r="I845" t="s">
        <v>9469</v>
      </c>
      <c r="J845" t="s">
        <v>2861</v>
      </c>
      <c r="K845" t="s">
        <v>9416</v>
      </c>
      <c r="L845" t="s">
        <v>9417</v>
      </c>
      <c r="M845" t="s">
        <v>10913</v>
      </c>
      <c r="N845" t="s">
        <v>10900</v>
      </c>
      <c r="O845" t="s">
        <v>7556</v>
      </c>
      <c r="P845" t="s">
        <v>9647</v>
      </c>
      <c r="Q845" t="s">
        <v>9421</v>
      </c>
      <c r="R845" t="s">
        <v>84</v>
      </c>
      <c r="S845" t="s">
        <v>2902</v>
      </c>
      <c r="T845" t="s">
        <v>2904</v>
      </c>
    </row>
    <row r="846" spans="1:20">
      <c r="A846" t="s">
        <v>2742</v>
      </c>
      <c r="B846" t="s">
        <v>62</v>
      </c>
      <c r="C846" t="s">
        <v>7401</v>
      </c>
      <c r="D846" t="s">
        <v>9448</v>
      </c>
      <c r="E846" t="s">
        <v>11128</v>
      </c>
      <c r="F846" t="s">
        <v>9412</v>
      </c>
      <c r="G846" t="s">
        <v>9413</v>
      </c>
      <c r="H846" t="s">
        <v>10876</v>
      </c>
      <c r="I846" t="s">
        <v>10177</v>
      </c>
      <c r="J846" t="s">
        <v>2693</v>
      </c>
      <c r="K846" t="s">
        <v>9416</v>
      </c>
      <c r="L846" t="s">
        <v>9417</v>
      </c>
      <c r="M846" t="s">
        <v>11009</v>
      </c>
      <c r="N846" t="s">
        <v>10904</v>
      </c>
      <c r="O846" t="s">
        <v>7405</v>
      </c>
      <c r="P846" t="s">
        <v>9524</v>
      </c>
      <c r="Q846" t="s">
        <v>9421</v>
      </c>
      <c r="R846" t="s">
        <v>24</v>
      </c>
      <c r="S846" t="s">
        <v>2750</v>
      </c>
      <c r="T846" t="s">
        <v>2752</v>
      </c>
    </row>
    <row r="847" spans="1:20">
      <c r="A847" t="s">
        <v>2742</v>
      </c>
      <c r="B847" t="s">
        <v>62</v>
      </c>
      <c r="C847" t="s">
        <v>7401</v>
      </c>
      <c r="D847" t="s">
        <v>9448</v>
      </c>
      <c r="E847" t="s">
        <v>11128</v>
      </c>
      <c r="F847" t="s">
        <v>9412</v>
      </c>
      <c r="G847" t="s">
        <v>9413</v>
      </c>
      <c r="H847" t="s">
        <v>10876</v>
      </c>
      <c r="I847" t="s">
        <v>10177</v>
      </c>
      <c r="J847" t="s">
        <v>2693</v>
      </c>
      <c r="K847" t="s">
        <v>9416</v>
      </c>
      <c r="L847" t="s">
        <v>9417</v>
      </c>
      <c r="M847" t="s">
        <v>11009</v>
      </c>
      <c r="N847" t="s">
        <v>10904</v>
      </c>
      <c r="O847" t="s">
        <v>7399</v>
      </c>
      <c r="P847" t="s">
        <v>9429</v>
      </c>
      <c r="Q847" t="s">
        <v>9421</v>
      </c>
      <c r="R847" t="s">
        <v>52</v>
      </c>
      <c r="S847" t="s">
        <v>2743</v>
      </c>
      <c r="T847" t="s">
        <v>2745</v>
      </c>
    </row>
    <row r="848" spans="1:20">
      <c r="A848" t="s">
        <v>2742</v>
      </c>
      <c r="B848" t="s">
        <v>62</v>
      </c>
      <c r="C848" t="s">
        <v>7401</v>
      </c>
      <c r="D848" t="s">
        <v>9448</v>
      </c>
      <c r="E848" t="s">
        <v>11128</v>
      </c>
      <c r="F848" t="s">
        <v>9412</v>
      </c>
      <c r="G848" t="s">
        <v>9413</v>
      </c>
      <c r="H848" t="s">
        <v>10876</v>
      </c>
      <c r="I848" t="s">
        <v>10177</v>
      </c>
      <c r="J848" t="s">
        <v>2693</v>
      </c>
      <c r="K848" t="s">
        <v>9416</v>
      </c>
      <c r="L848" t="s">
        <v>9417</v>
      </c>
      <c r="M848" t="s">
        <v>11009</v>
      </c>
      <c r="N848" t="s">
        <v>10904</v>
      </c>
      <c r="O848" t="s">
        <v>7403</v>
      </c>
      <c r="P848" t="s">
        <v>9429</v>
      </c>
      <c r="Q848" t="s">
        <v>9421</v>
      </c>
      <c r="R848" t="s">
        <v>52</v>
      </c>
      <c r="S848" t="s">
        <v>2747</v>
      </c>
      <c r="T848" t="s">
        <v>2749</v>
      </c>
    </row>
    <row r="849" spans="1:20">
      <c r="A849" t="s">
        <v>7558</v>
      </c>
      <c r="B849" t="s">
        <v>9409</v>
      </c>
      <c r="C849" t="s">
        <v>7562</v>
      </c>
      <c r="D849" t="s">
        <v>9410</v>
      </c>
      <c r="E849" t="s">
        <v>11129</v>
      </c>
      <c r="F849" t="s">
        <v>9412</v>
      </c>
      <c r="G849" t="s">
        <v>9413</v>
      </c>
      <c r="H849" t="s">
        <v>10876</v>
      </c>
      <c r="I849" t="s">
        <v>9457</v>
      </c>
      <c r="J849" t="s">
        <v>2861</v>
      </c>
      <c r="K849" t="s">
        <v>9445</v>
      </c>
      <c r="L849" t="s">
        <v>9417</v>
      </c>
      <c r="M849" t="s">
        <v>10913</v>
      </c>
      <c r="N849" t="s">
        <v>9430</v>
      </c>
      <c r="O849" t="s">
        <v>9446</v>
      </c>
      <c r="P849" t="s">
        <v>11130</v>
      </c>
      <c r="Q849" t="s">
        <v>9421</v>
      </c>
      <c r="R849" t="s">
        <v>43</v>
      </c>
      <c r="S849" t="s">
        <v>11131</v>
      </c>
      <c r="T849" t="s">
        <v>11132</v>
      </c>
    </row>
    <row r="850" spans="1:20">
      <c r="A850" t="s">
        <v>7558</v>
      </c>
      <c r="B850" t="s">
        <v>9409</v>
      </c>
      <c r="C850" t="s">
        <v>7562</v>
      </c>
      <c r="D850" t="s">
        <v>9410</v>
      </c>
      <c r="E850" t="s">
        <v>11129</v>
      </c>
      <c r="F850" t="s">
        <v>9412</v>
      </c>
      <c r="G850" t="s">
        <v>9413</v>
      </c>
      <c r="H850" t="s">
        <v>10876</v>
      </c>
      <c r="I850" t="s">
        <v>9457</v>
      </c>
      <c r="J850" t="s">
        <v>2861</v>
      </c>
      <c r="K850" t="s">
        <v>9416</v>
      </c>
      <c r="L850" t="s">
        <v>9417</v>
      </c>
      <c r="M850" t="s">
        <v>10913</v>
      </c>
      <c r="N850" t="s">
        <v>10900</v>
      </c>
      <c r="O850" t="s">
        <v>7560</v>
      </c>
      <c r="P850" t="s">
        <v>9420</v>
      </c>
      <c r="Q850" t="s">
        <v>9421</v>
      </c>
      <c r="R850" t="s">
        <v>17</v>
      </c>
      <c r="S850" t="s">
        <v>7559</v>
      </c>
      <c r="T850" t="s">
        <v>11133</v>
      </c>
    </row>
    <row r="851" spans="1:20">
      <c r="A851" t="s">
        <v>11134</v>
      </c>
      <c r="B851" t="s">
        <v>9409</v>
      </c>
      <c r="C851" t="s">
        <v>11135</v>
      </c>
      <c r="D851" t="s">
        <v>9410</v>
      </c>
      <c r="E851" t="s">
        <v>11136</v>
      </c>
      <c r="F851" t="s">
        <v>9412</v>
      </c>
      <c r="G851" t="s">
        <v>9413</v>
      </c>
      <c r="H851" t="s">
        <v>10876</v>
      </c>
      <c r="I851" t="s">
        <v>10265</v>
      </c>
      <c r="J851" t="s">
        <v>2926</v>
      </c>
      <c r="K851" t="s">
        <v>9416</v>
      </c>
      <c r="L851" t="s">
        <v>9417</v>
      </c>
      <c r="M851" t="s">
        <v>11076</v>
      </c>
      <c r="N851" t="s">
        <v>9430</v>
      </c>
      <c r="O851" t="s">
        <v>7671</v>
      </c>
      <c r="P851" t="s">
        <v>9524</v>
      </c>
      <c r="Q851" t="s">
        <v>9421</v>
      </c>
      <c r="R851" t="s">
        <v>24</v>
      </c>
      <c r="S851" t="s">
        <v>2971</v>
      </c>
      <c r="T851" t="s">
        <v>2973</v>
      </c>
    </row>
    <row r="852" spans="1:20">
      <c r="A852" t="s">
        <v>11134</v>
      </c>
      <c r="B852" t="s">
        <v>9409</v>
      </c>
      <c r="C852" t="s">
        <v>11135</v>
      </c>
      <c r="D852" t="s">
        <v>9410</v>
      </c>
      <c r="E852" t="s">
        <v>11136</v>
      </c>
      <c r="F852" t="s">
        <v>9412</v>
      </c>
      <c r="G852" t="s">
        <v>9413</v>
      </c>
      <c r="H852" t="s">
        <v>10876</v>
      </c>
      <c r="I852" t="s">
        <v>10265</v>
      </c>
      <c r="J852" t="s">
        <v>2926</v>
      </c>
      <c r="K852" t="s">
        <v>9416</v>
      </c>
      <c r="L852" t="s">
        <v>9417</v>
      </c>
      <c r="M852" t="s">
        <v>11076</v>
      </c>
      <c r="N852" t="s">
        <v>10908</v>
      </c>
      <c r="O852" t="s">
        <v>11137</v>
      </c>
      <c r="P852" t="s">
        <v>9623</v>
      </c>
      <c r="Q852" t="s">
        <v>9421</v>
      </c>
      <c r="R852" t="s">
        <v>24</v>
      </c>
      <c r="S852" t="s">
        <v>11134</v>
      </c>
      <c r="T852" t="s">
        <v>11138</v>
      </c>
    </row>
    <row r="853" spans="1:20">
      <c r="A853" t="s">
        <v>2367</v>
      </c>
      <c r="B853" t="s">
        <v>20</v>
      </c>
      <c r="C853" t="s">
        <v>7053</v>
      </c>
      <c r="D853" t="s">
        <v>9464</v>
      </c>
      <c r="E853" t="s">
        <v>11139</v>
      </c>
      <c r="F853" t="s">
        <v>9412</v>
      </c>
      <c r="G853" t="s">
        <v>9413</v>
      </c>
      <c r="H853" t="s">
        <v>10876</v>
      </c>
      <c r="I853" t="s">
        <v>10474</v>
      </c>
      <c r="J853" t="s">
        <v>2314</v>
      </c>
      <c r="K853" t="s">
        <v>9416</v>
      </c>
      <c r="L853" t="s">
        <v>9417</v>
      </c>
      <c r="M853" t="s">
        <v>10882</v>
      </c>
      <c r="N853" t="s">
        <v>10879</v>
      </c>
      <c r="O853" t="s">
        <v>7051</v>
      </c>
      <c r="P853" t="s">
        <v>10928</v>
      </c>
      <c r="Q853" t="s">
        <v>9421</v>
      </c>
      <c r="R853" t="s">
        <v>17</v>
      </c>
      <c r="S853" t="s">
        <v>2367</v>
      </c>
      <c r="T853" t="s">
        <v>2369</v>
      </c>
    </row>
    <row r="854" spans="1:20">
      <c r="A854" t="s">
        <v>2957</v>
      </c>
      <c r="B854" t="s">
        <v>20</v>
      </c>
      <c r="C854" t="s">
        <v>7649</v>
      </c>
      <c r="D854" t="s">
        <v>10052</v>
      </c>
      <c r="E854" t="s">
        <v>11140</v>
      </c>
      <c r="F854" t="s">
        <v>9412</v>
      </c>
      <c r="G854" t="s">
        <v>9413</v>
      </c>
      <c r="H854" t="s">
        <v>10876</v>
      </c>
      <c r="I854" t="s">
        <v>10066</v>
      </c>
      <c r="J854" t="s">
        <v>2926</v>
      </c>
      <c r="K854" t="s">
        <v>9416</v>
      </c>
      <c r="L854" t="s">
        <v>9417</v>
      </c>
      <c r="M854" t="s">
        <v>10954</v>
      </c>
      <c r="N854" t="s">
        <v>9430</v>
      </c>
      <c r="O854" t="s">
        <v>7647</v>
      </c>
      <c r="P854" t="s">
        <v>9431</v>
      </c>
      <c r="Q854" t="s">
        <v>9421</v>
      </c>
      <c r="R854" t="s">
        <v>43</v>
      </c>
      <c r="S854" t="s">
        <v>2964</v>
      </c>
      <c r="T854" t="s">
        <v>2966</v>
      </c>
    </row>
    <row r="855" spans="1:20">
      <c r="A855" t="s">
        <v>2957</v>
      </c>
      <c r="B855" t="s">
        <v>20</v>
      </c>
      <c r="C855" t="s">
        <v>7643</v>
      </c>
      <c r="D855" t="s">
        <v>10052</v>
      </c>
      <c r="E855" t="s">
        <v>11140</v>
      </c>
      <c r="F855" t="s">
        <v>9412</v>
      </c>
      <c r="G855" t="s">
        <v>9413</v>
      </c>
      <c r="H855" t="s">
        <v>10876</v>
      </c>
      <c r="I855" t="s">
        <v>10066</v>
      </c>
      <c r="J855" t="s">
        <v>2926</v>
      </c>
      <c r="K855" t="s">
        <v>9416</v>
      </c>
      <c r="L855" t="s">
        <v>9417</v>
      </c>
      <c r="M855" t="s">
        <v>10954</v>
      </c>
      <c r="N855" t="s">
        <v>10908</v>
      </c>
      <c r="O855" t="s">
        <v>7641</v>
      </c>
      <c r="P855" t="s">
        <v>9420</v>
      </c>
      <c r="Q855" t="s">
        <v>9421</v>
      </c>
      <c r="R855" t="s">
        <v>17</v>
      </c>
      <c r="S855" t="s">
        <v>2957</v>
      </c>
      <c r="T855" t="s">
        <v>2959</v>
      </c>
    </row>
    <row r="856" spans="1:20">
      <c r="A856" t="s">
        <v>2957</v>
      </c>
      <c r="B856" t="s">
        <v>20</v>
      </c>
      <c r="C856" t="s">
        <v>7643</v>
      </c>
      <c r="D856" t="s">
        <v>10052</v>
      </c>
      <c r="E856" t="s">
        <v>11140</v>
      </c>
      <c r="F856" t="s">
        <v>9412</v>
      </c>
      <c r="G856" t="s">
        <v>9413</v>
      </c>
      <c r="H856" t="s">
        <v>10876</v>
      </c>
      <c r="I856" t="s">
        <v>10066</v>
      </c>
      <c r="J856" t="s">
        <v>2926</v>
      </c>
      <c r="K856" t="s">
        <v>9416</v>
      </c>
      <c r="L856" t="s">
        <v>9417</v>
      </c>
      <c r="M856" t="s">
        <v>10954</v>
      </c>
      <c r="N856" t="s">
        <v>10908</v>
      </c>
      <c r="O856" t="s">
        <v>7645</v>
      </c>
      <c r="P856" t="s">
        <v>9647</v>
      </c>
      <c r="Q856" t="s">
        <v>9421</v>
      </c>
      <c r="R856" t="s">
        <v>84</v>
      </c>
      <c r="S856" t="s">
        <v>2961</v>
      </c>
      <c r="T856" t="s">
        <v>2963</v>
      </c>
    </row>
    <row r="857" spans="1:20">
      <c r="A857" t="s">
        <v>11141</v>
      </c>
      <c r="B857" t="s">
        <v>9409</v>
      </c>
      <c r="C857" t="s">
        <v>11142</v>
      </c>
      <c r="D857" t="s">
        <v>9410</v>
      </c>
      <c r="E857" t="s">
        <v>11143</v>
      </c>
      <c r="F857" t="s">
        <v>9412</v>
      </c>
      <c r="G857" t="s">
        <v>9413</v>
      </c>
      <c r="H857" t="s">
        <v>10876</v>
      </c>
      <c r="I857" t="s">
        <v>9441</v>
      </c>
      <c r="J857" t="s">
        <v>2314</v>
      </c>
      <c r="K857" t="s">
        <v>9416</v>
      </c>
      <c r="L857" t="s">
        <v>9417</v>
      </c>
      <c r="M857" t="s">
        <v>10878</v>
      </c>
      <c r="N857" t="s">
        <v>10879</v>
      </c>
      <c r="O857" t="s">
        <v>11144</v>
      </c>
      <c r="P857" t="s">
        <v>9623</v>
      </c>
      <c r="Q857" t="s">
        <v>9421</v>
      </c>
      <c r="R857" t="s">
        <v>24</v>
      </c>
      <c r="S857" t="s">
        <v>11141</v>
      </c>
      <c r="T857" t="s">
        <v>11145</v>
      </c>
    </row>
    <row r="858" spans="1:20">
      <c r="A858" t="s">
        <v>3053</v>
      </c>
      <c r="B858" t="s">
        <v>20</v>
      </c>
      <c r="C858" t="s">
        <v>7770</v>
      </c>
      <c r="D858" t="s">
        <v>10052</v>
      </c>
      <c r="E858" t="s">
        <v>11146</v>
      </c>
      <c r="F858" t="s">
        <v>9412</v>
      </c>
      <c r="G858" t="s">
        <v>9413</v>
      </c>
      <c r="H858" t="s">
        <v>10876</v>
      </c>
      <c r="I858" t="s">
        <v>10281</v>
      </c>
      <c r="J858" t="s">
        <v>3013</v>
      </c>
      <c r="K858" t="s">
        <v>9416</v>
      </c>
      <c r="L858" t="s">
        <v>9417</v>
      </c>
      <c r="M858" t="s">
        <v>10891</v>
      </c>
      <c r="N858" t="s">
        <v>10892</v>
      </c>
      <c r="O858" t="s">
        <v>7772</v>
      </c>
      <c r="P858" t="s">
        <v>9420</v>
      </c>
      <c r="Q858" t="s">
        <v>9421</v>
      </c>
      <c r="R858" t="s">
        <v>17</v>
      </c>
      <c r="S858" t="s">
        <v>3057</v>
      </c>
      <c r="T858" t="s">
        <v>3059</v>
      </c>
    </row>
    <row r="859" spans="1:20">
      <c r="A859" t="s">
        <v>3053</v>
      </c>
      <c r="B859" t="s">
        <v>20</v>
      </c>
      <c r="C859" t="s">
        <v>7770</v>
      </c>
      <c r="D859" t="s">
        <v>10052</v>
      </c>
      <c r="E859" t="s">
        <v>11146</v>
      </c>
      <c r="F859" t="s">
        <v>9412</v>
      </c>
      <c r="G859" t="s">
        <v>9413</v>
      </c>
      <c r="H859" t="s">
        <v>10876</v>
      </c>
      <c r="I859" t="s">
        <v>10281</v>
      </c>
      <c r="J859" t="s">
        <v>3013</v>
      </c>
      <c r="K859" t="s">
        <v>9416</v>
      </c>
      <c r="L859" t="s">
        <v>9417</v>
      </c>
      <c r="M859" t="s">
        <v>10891</v>
      </c>
      <c r="N859" t="s">
        <v>10892</v>
      </c>
      <c r="O859" t="s">
        <v>7768</v>
      </c>
      <c r="P859" t="s">
        <v>9420</v>
      </c>
      <c r="Q859" t="s">
        <v>9421</v>
      </c>
      <c r="R859" t="s">
        <v>17</v>
      </c>
      <c r="S859" t="s">
        <v>3053</v>
      </c>
      <c r="T859" t="s">
        <v>3055</v>
      </c>
    </row>
    <row r="860" spans="1:20">
      <c r="A860" t="s">
        <v>11147</v>
      </c>
      <c r="B860" t="s">
        <v>9409</v>
      </c>
      <c r="C860" t="s">
        <v>11148</v>
      </c>
      <c r="D860" t="s">
        <v>9410</v>
      </c>
      <c r="E860" t="s">
        <v>11149</v>
      </c>
      <c r="F860" t="s">
        <v>9412</v>
      </c>
      <c r="G860" t="s">
        <v>9413</v>
      </c>
      <c r="H860" t="s">
        <v>10876</v>
      </c>
      <c r="I860" t="s">
        <v>9469</v>
      </c>
      <c r="J860" t="s">
        <v>2926</v>
      </c>
      <c r="K860" t="s">
        <v>9416</v>
      </c>
      <c r="L860" t="s">
        <v>9417</v>
      </c>
      <c r="M860" t="s">
        <v>10954</v>
      </c>
      <c r="N860" t="s">
        <v>10908</v>
      </c>
      <c r="O860" t="s">
        <v>11150</v>
      </c>
      <c r="P860" t="s">
        <v>9420</v>
      </c>
      <c r="Q860" t="s">
        <v>9421</v>
      </c>
      <c r="R860" t="s">
        <v>17</v>
      </c>
      <c r="S860" t="s">
        <v>11147</v>
      </c>
      <c r="T860" t="s">
        <v>11151</v>
      </c>
    </row>
    <row r="861" spans="1:20">
      <c r="A861" t="s">
        <v>11147</v>
      </c>
      <c r="B861" t="s">
        <v>9409</v>
      </c>
      <c r="C861" t="s">
        <v>11148</v>
      </c>
      <c r="D861" t="s">
        <v>9410</v>
      </c>
      <c r="E861" t="s">
        <v>11149</v>
      </c>
      <c r="F861" t="s">
        <v>9412</v>
      </c>
      <c r="G861" t="s">
        <v>9413</v>
      </c>
      <c r="H861" t="s">
        <v>10876</v>
      </c>
      <c r="I861" t="s">
        <v>9469</v>
      </c>
      <c r="J861" t="s">
        <v>2926</v>
      </c>
      <c r="K861" t="s">
        <v>9416</v>
      </c>
      <c r="L861" t="s">
        <v>9417</v>
      </c>
      <c r="M861" t="s">
        <v>10954</v>
      </c>
      <c r="N861" t="s">
        <v>10908</v>
      </c>
      <c r="O861" t="s">
        <v>11152</v>
      </c>
      <c r="P861" t="s">
        <v>9429</v>
      </c>
      <c r="Q861" t="s">
        <v>9421</v>
      </c>
      <c r="R861" t="s">
        <v>52</v>
      </c>
      <c r="S861" t="s">
        <v>11153</v>
      </c>
      <c r="T861" t="s">
        <v>11154</v>
      </c>
    </row>
    <row r="862" spans="1:20">
      <c r="A862" t="s">
        <v>2371</v>
      </c>
      <c r="B862" t="s">
        <v>62</v>
      </c>
      <c r="C862" t="s">
        <v>7057</v>
      </c>
      <c r="D862" t="s">
        <v>9448</v>
      </c>
      <c r="E862" t="s">
        <v>11155</v>
      </c>
      <c r="F862" t="s">
        <v>9412</v>
      </c>
      <c r="G862" t="s">
        <v>9413</v>
      </c>
      <c r="H862" t="s">
        <v>10876</v>
      </c>
      <c r="I862" t="s">
        <v>9495</v>
      </c>
      <c r="J862" t="s">
        <v>2314</v>
      </c>
      <c r="K862" t="s">
        <v>9416</v>
      </c>
      <c r="L862" t="s">
        <v>9417</v>
      </c>
      <c r="M862" t="s">
        <v>11156</v>
      </c>
      <c r="N862" t="s">
        <v>10879</v>
      </c>
      <c r="O862" t="s">
        <v>7055</v>
      </c>
      <c r="P862" t="s">
        <v>9420</v>
      </c>
      <c r="Q862" t="s">
        <v>9421</v>
      </c>
      <c r="R862" t="s">
        <v>17</v>
      </c>
      <c r="S862" t="s">
        <v>2371</v>
      </c>
      <c r="T862" t="s">
        <v>2373</v>
      </c>
    </row>
    <row r="863" spans="1:20">
      <c r="A863" t="s">
        <v>2375</v>
      </c>
      <c r="B863" t="s">
        <v>62</v>
      </c>
      <c r="C863" t="s">
        <v>7060</v>
      </c>
      <c r="D863" t="s">
        <v>9448</v>
      </c>
      <c r="E863" t="s">
        <v>11157</v>
      </c>
      <c r="F863" t="s">
        <v>9412</v>
      </c>
      <c r="G863" t="s">
        <v>9413</v>
      </c>
      <c r="H863" t="s">
        <v>10876</v>
      </c>
      <c r="I863" t="s">
        <v>10764</v>
      </c>
      <c r="J863" t="s">
        <v>2314</v>
      </c>
      <c r="K863" t="s">
        <v>9416</v>
      </c>
      <c r="L863" t="s">
        <v>9417</v>
      </c>
      <c r="M863" t="s">
        <v>10882</v>
      </c>
      <c r="N863" t="s">
        <v>9446</v>
      </c>
      <c r="O863" t="s">
        <v>7062</v>
      </c>
      <c r="P863" t="s">
        <v>9655</v>
      </c>
      <c r="Q863" t="s">
        <v>9421</v>
      </c>
      <c r="R863" t="s">
        <v>56</v>
      </c>
      <c r="S863" t="s">
        <v>2379</v>
      </c>
      <c r="T863" t="s">
        <v>2381</v>
      </c>
    </row>
    <row r="864" spans="1:20">
      <c r="A864" t="s">
        <v>2375</v>
      </c>
      <c r="B864" t="s">
        <v>62</v>
      </c>
      <c r="C864" t="s">
        <v>7060</v>
      </c>
      <c r="D864" t="s">
        <v>9448</v>
      </c>
      <c r="E864" t="s">
        <v>11157</v>
      </c>
      <c r="F864" t="s">
        <v>9412</v>
      </c>
      <c r="G864" t="s">
        <v>9413</v>
      </c>
      <c r="H864" t="s">
        <v>10876</v>
      </c>
      <c r="I864" t="s">
        <v>10764</v>
      </c>
      <c r="J864" t="s">
        <v>2314</v>
      </c>
      <c r="K864" t="s">
        <v>9416</v>
      </c>
      <c r="L864" t="s">
        <v>9417</v>
      </c>
      <c r="M864" t="s">
        <v>10882</v>
      </c>
      <c r="N864" t="s">
        <v>9446</v>
      </c>
      <c r="O864" t="s">
        <v>7064</v>
      </c>
      <c r="P864" t="s">
        <v>9651</v>
      </c>
      <c r="Q864" t="s">
        <v>9421</v>
      </c>
      <c r="R864" t="s">
        <v>56</v>
      </c>
      <c r="S864" t="s">
        <v>2382</v>
      </c>
      <c r="T864" t="s">
        <v>2384</v>
      </c>
    </row>
    <row r="865" spans="1:20">
      <c r="A865" t="s">
        <v>2375</v>
      </c>
      <c r="B865" t="s">
        <v>62</v>
      </c>
      <c r="C865" t="s">
        <v>7060</v>
      </c>
      <c r="D865" t="s">
        <v>9448</v>
      </c>
      <c r="E865" t="s">
        <v>11157</v>
      </c>
      <c r="F865" t="s">
        <v>9412</v>
      </c>
      <c r="G865" t="s">
        <v>9413</v>
      </c>
      <c r="H865" t="s">
        <v>10876</v>
      </c>
      <c r="I865" t="s">
        <v>10764</v>
      </c>
      <c r="J865" t="s">
        <v>2314</v>
      </c>
      <c r="K865" t="s">
        <v>9416</v>
      </c>
      <c r="L865" t="s">
        <v>9417</v>
      </c>
      <c r="M865" t="s">
        <v>10882</v>
      </c>
      <c r="N865" t="s">
        <v>10879</v>
      </c>
      <c r="O865" t="s">
        <v>7059</v>
      </c>
      <c r="P865" t="s">
        <v>9429</v>
      </c>
      <c r="Q865" t="s">
        <v>9421</v>
      </c>
      <c r="R865" t="s">
        <v>52</v>
      </c>
      <c r="S865" t="s">
        <v>2375</v>
      </c>
      <c r="T865" t="s">
        <v>2377</v>
      </c>
    </row>
    <row r="866" spans="1:20">
      <c r="A866" t="s">
        <v>7774</v>
      </c>
      <c r="B866" t="s">
        <v>9409</v>
      </c>
      <c r="C866" t="s">
        <v>7778</v>
      </c>
      <c r="D866" t="s">
        <v>9410</v>
      </c>
      <c r="E866" t="s">
        <v>11158</v>
      </c>
      <c r="F866" t="s">
        <v>9412</v>
      </c>
      <c r="G866" t="s">
        <v>9413</v>
      </c>
      <c r="H866" t="s">
        <v>10876</v>
      </c>
      <c r="I866" t="s">
        <v>9869</v>
      </c>
      <c r="J866" t="s">
        <v>3013</v>
      </c>
      <c r="K866" t="s">
        <v>9416</v>
      </c>
      <c r="L866" t="s">
        <v>9417</v>
      </c>
      <c r="M866" t="s">
        <v>10999</v>
      </c>
      <c r="N866" t="s">
        <v>10892</v>
      </c>
      <c r="O866" t="s">
        <v>7780</v>
      </c>
      <c r="P866" t="s">
        <v>9459</v>
      </c>
      <c r="Q866" t="s">
        <v>9421</v>
      </c>
      <c r="R866" t="s">
        <v>17</v>
      </c>
      <c r="S866" t="s">
        <v>7774</v>
      </c>
      <c r="T866" t="s">
        <v>11159</v>
      </c>
    </row>
    <row r="867" spans="1:20">
      <c r="A867" t="s">
        <v>7774</v>
      </c>
      <c r="B867" t="s">
        <v>9409</v>
      </c>
      <c r="C867" t="s">
        <v>7778</v>
      </c>
      <c r="D867" t="s">
        <v>9410</v>
      </c>
      <c r="E867" t="s">
        <v>11158</v>
      </c>
      <c r="F867" t="s">
        <v>9412</v>
      </c>
      <c r="G867" t="s">
        <v>9413</v>
      </c>
      <c r="H867" t="s">
        <v>10876</v>
      </c>
      <c r="I867" t="s">
        <v>9869</v>
      </c>
      <c r="J867" t="s">
        <v>3013</v>
      </c>
      <c r="K867" t="s">
        <v>9416</v>
      </c>
      <c r="L867" t="s">
        <v>9417</v>
      </c>
      <c r="M867" t="s">
        <v>10999</v>
      </c>
      <c r="N867" t="s">
        <v>10892</v>
      </c>
      <c r="O867" t="s">
        <v>7776</v>
      </c>
      <c r="P867" t="s">
        <v>9459</v>
      </c>
      <c r="Q867" t="s">
        <v>9421</v>
      </c>
      <c r="R867" t="s">
        <v>17</v>
      </c>
      <c r="S867" t="s">
        <v>7775</v>
      </c>
      <c r="T867" t="s">
        <v>11160</v>
      </c>
    </row>
    <row r="868" spans="1:20">
      <c r="A868" t="s">
        <v>7650</v>
      </c>
      <c r="B868" t="s">
        <v>9409</v>
      </c>
      <c r="C868" t="s">
        <v>7653</v>
      </c>
      <c r="D868" t="s">
        <v>9410</v>
      </c>
      <c r="E868" t="s">
        <v>11161</v>
      </c>
      <c r="F868" t="s">
        <v>9412</v>
      </c>
      <c r="G868" t="s">
        <v>9413</v>
      </c>
      <c r="H868" t="s">
        <v>10876</v>
      </c>
      <c r="I868" t="s">
        <v>10116</v>
      </c>
      <c r="J868" t="s">
        <v>2926</v>
      </c>
      <c r="K868" t="s">
        <v>9416</v>
      </c>
      <c r="L868" t="s">
        <v>9417</v>
      </c>
      <c r="M868" t="s">
        <v>11162</v>
      </c>
      <c r="N868" t="s">
        <v>10908</v>
      </c>
      <c r="O868" t="s">
        <v>7651</v>
      </c>
      <c r="P868" t="s">
        <v>9420</v>
      </c>
      <c r="Q868" t="s">
        <v>9421</v>
      </c>
      <c r="R868" t="s">
        <v>17</v>
      </c>
      <c r="S868" t="s">
        <v>7650</v>
      </c>
      <c r="T868" t="s">
        <v>11163</v>
      </c>
    </row>
    <row r="869" spans="1:20">
      <c r="A869" t="s">
        <v>2281</v>
      </c>
      <c r="B869" t="s">
        <v>62</v>
      </c>
      <c r="C869" t="s">
        <v>6958</v>
      </c>
      <c r="D869" t="s">
        <v>9448</v>
      </c>
      <c r="E869" t="s">
        <v>11164</v>
      </c>
      <c r="F869" t="s">
        <v>9412</v>
      </c>
      <c r="G869" t="s">
        <v>9413</v>
      </c>
      <c r="H869" t="s">
        <v>10876</v>
      </c>
      <c r="I869" t="s">
        <v>9628</v>
      </c>
      <c r="J869" t="s">
        <v>2232</v>
      </c>
      <c r="K869" t="s">
        <v>9416</v>
      </c>
      <c r="L869" t="s">
        <v>9417</v>
      </c>
      <c r="M869" t="s">
        <v>10882</v>
      </c>
      <c r="N869" t="s">
        <v>10919</v>
      </c>
      <c r="O869" t="s">
        <v>6956</v>
      </c>
      <c r="P869" t="s">
        <v>9420</v>
      </c>
      <c r="Q869" t="s">
        <v>9421</v>
      </c>
      <c r="R869" t="s">
        <v>17</v>
      </c>
      <c r="S869" t="s">
        <v>2281</v>
      </c>
      <c r="T869" t="s">
        <v>2283</v>
      </c>
    </row>
    <row r="870" spans="1:20">
      <c r="A870" t="s">
        <v>11165</v>
      </c>
      <c r="B870" t="s">
        <v>9409</v>
      </c>
      <c r="C870" t="s">
        <v>11166</v>
      </c>
      <c r="D870" t="s">
        <v>9410</v>
      </c>
      <c r="E870" t="s">
        <v>11167</v>
      </c>
      <c r="F870" t="s">
        <v>9412</v>
      </c>
      <c r="G870" t="s">
        <v>9413</v>
      </c>
      <c r="H870" t="s">
        <v>10876</v>
      </c>
      <c r="I870" t="s">
        <v>10066</v>
      </c>
      <c r="J870" t="s">
        <v>2926</v>
      </c>
      <c r="K870" t="s">
        <v>9416</v>
      </c>
      <c r="L870" t="s">
        <v>9417</v>
      </c>
      <c r="M870" t="s">
        <v>11076</v>
      </c>
      <c r="N870" t="s">
        <v>10908</v>
      </c>
      <c r="O870" t="s">
        <v>11168</v>
      </c>
      <c r="P870" t="s">
        <v>9647</v>
      </c>
      <c r="Q870" t="s">
        <v>9421</v>
      </c>
      <c r="R870" t="s">
        <v>84</v>
      </c>
      <c r="S870" t="s">
        <v>11169</v>
      </c>
      <c r="T870" t="s">
        <v>11170</v>
      </c>
    </row>
    <row r="871" spans="1:20">
      <c r="A871" t="s">
        <v>11165</v>
      </c>
      <c r="B871" t="s">
        <v>9409</v>
      </c>
      <c r="C871" t="s">
        <v>11166</v>
      </c>
      <c r="D871" t="s">
        <v>9410</v>
      </c>
      <c r="E871" t="s">
        <v>11167</v>
      </c>
      <c r="F871" t="s">
        <v>9412</v>
      </c>
      <c r="G871" t="s">
        <v>9413</v>
      </c>
      <c r="H871" t="s">
        <v>10876</v>
      </c>
      <c r="I871" t="s">
        <v>10066</v>
      </c>
      <c r="J871" t="s">
        <v>2926</v>
      </c>
      <c r="K871" t="s">
        <v>9416</v>
      </c>
      <c r="L871" t="s">
        <v>9417</v>
      </c>
      <c r="M871" t="s">
        <v>11076</v>
      </c>
      <c r="N871" t="s">
        <v>9446</v>
      </c>
      <c r="O871" t="s">
        <v>11171</v>
      </c>
      <c r="P871" t="s">
        <v>9655</v>
      </c>
      <c r="Q871" t="s">
        <v>9421</v>
      </c>
      <c r="R871" t="s">
        <v>56</v>
      </c>
      <c r="S871" t="s">
        <v>11172</v>
      </c>
      <c r="T871" t="s">
        <v>11173</v>
      </c>
    </row>
    <row r="872" spans="1:20">
      <c r="A872" t="s">
        <v>2285</v>
      </c>
      <c r="B872" t="s">
        <v>62</v>
      </c>
      <c r="C872" t="s">
        <v>6962</v>
      </c>
      <c r="D872" t="s">
        <v>9448</v>
      </c>
      <c r="E872" t="s">
        <v>11174</v>
      </c>
      <c r="F872" t="s">
        <v>9412</v>
      </c>
      <c r="G872" t="s">
        <v>9413</v>
      </c>
      <c r="H872" t="s">
        <v>10876</v>
      </c>
      <c r="I872" t="s">
        <v>9441</v>
      </c>
      <c r="J872" t="s">
        <v>2232</v>
      </c>
      <c r="K872" t="s">
        <v>9416</v>
      </c>
      <c r="L872" t="s">
        <v>9417</v>
      </c>
      <c r="M872" t="s">
        <v>10882</v>
      </c>
      <c r="N872" t="s">
        <v>10919</v>
      </c>
      <c r="O872" t="s">
        <v>6960</v>
      </c>
      <c r="P872" t="s">
        <v>9623</v>
      </c>
      <c r="Q872" t="s">
        <v>9421</v>
      </c>
      <c r="R872" t="s">
        <v>24</v>
      </c>
      <c r="S872" t="s">
        <v>2286</v>
      </c>
      <c r="T872" t="s">
        <v>2288</v>
      </c>
    </row>
    <row r="873" spans="1:20">
      <c r="A873" t="s">
        <v>6964</v>
      </c>
      <c r="B873" t="s">
        <v>9409</v>
      </c>
      <c r="C873" t="s">
        <v>6967</v>
      </c>
      <c r="D873" t="s">
        <v>9410</v>
      </c>
      <c r="E873" t="s">
        <v>11175</v>
      </c>
      <c r="F873" t="s">
        <v>9412</v>
      </c>
      <c r="G873" t="s">
        <v>9413</v>
      </c>
      <c r="H873" t="s">
        <v>10876</v>
      </c>
      <c r="I873" t="s">
        <v>10265</v>
      </c>
      <c r="J873" t="s">
        <v>2232</v>
      </c>
      <c r="K873" t="s">
        <v>9416</v>
      </c>
      <c r="L873" t="s">
        <v>9417</v>
      </c>
      <c r="M873" t="s">
        <v>10882</v>
      </c>
      <c r="N873" t="s">
        <v>10919</v>
      </c>
      <c r="O873" t="s">
        <v>6965</v>
      </c>
      <c r="P873" t="s">
        <v>9623</v>
      </c>
      <c r="Q873" t="s">
        <v>9421</v>
      </c>
      <c r="R873" t="s">
        <v>24</v>
      </c>
      <c r="S873" t="s">
        <v>6964</v>
      </c>
      <c r="T873" t="s">
        <v>11176</v>
      </c>
    </row>
    <row r="874" spans="1:20">
      <c r="A874" t="s">
        <v>2290</v>
      </c>
      <c r="B874" t="s">
        <v>20</v>
      </c>
      <c r="C874" t="s">
        <v>6971</v>
      </c>
      <c r="D874" t="s">
        <v>9666</v>
      </c>
      <c r="E874" t="s">
        <v>11177</v>
      </c>
      <c r="F874" t="s">
        <v>9412</v>
      </c>
      <c r="G874" t="s">
        <v>9413</v>
      </c>
      <c r="H874" t="s">
        <v>10876</v>
      </c>
      <c r="I874" t="s">
        <v>10474</v>
      </c>
      <c r="J874" t="s">
        <v>2232</v>
      </c>
      <c r="K874" t="s">
        <v>9416</v>
      </c>
      <c r="L874" t="s">
        <v>9417</v>
      </c>
      <c r="M874" t="s">
        <v>10882</v>
      </c>
      <c r="N874" t="s">
        <v>10919</v>
      </c>
      <c r="O874" t="s">
        <v>6969</v>
      </c>
      <c r="P874" t="s">
        <v>9420</v>
      </c>
      <c r="Q874" t="s">
        <v>9421</v>
      </c>
      <c r="R874" t="s">
        <v>17</v>
      </c>
      <c r="S874" t="s">
        <v>2290</v>
      </c>
      <c r="T874" t="s">
        <v>2292</v>
      </c>
    </row>
    <row r="875" spans="1:20">
      <c r="A875" t="s">
        <v>2290</v>
      </c>
      <c r="B875" t="s">
        <v>20</v>
      </c>
      <c r="C875" t="s">
        <v>6971</v>
      </c>
      <c r="D875" t="s">
        <v>9666</v>
      </c>
      <c r="E875" t="s">
        <v>11177</v>
      </c>
      <c r="F875" t="s">
        <v>9412</v>
      </c>
      <c r="G875" t="s">
        <v>9413</v>
      </c>
      <c r="H875" t="s">
        <v>10876</v>
      </c>
      <c r="I875" t="s">
        <v>10474</v>
      </c>
      <c r="J875" t="s">
        <v>2232</v>
      </c>
      <c r="K875" t="s">
        <v>9416</v>
      </c>
      <c r="L875" t="s">
        <v>9417</v>
      </c>
      <c r="M875" t="s">
        <v>10882</v>
      </c>
      <c r="N875" t="s">
        <v>9430</v>
      </c>
      <c r="O875" t="s">
        <v>6973</v>
      </c>
      <c r="P875" t="s">
        <v>9526</v>
      </c>
      <c r="Q875" t="s">
        <v>9421</v>
      </c>
      <c r="R875" t="s">
        <v>17</v>
      </c>
      <c r="S875" t="s">
        <v>2294</v>
      </c>
      <c r="T875" t="s">
        <v>2296</v>
      </c>
    </row>
    <row r="876" spans="1:20">
      <c r="A876" t="s">
        <v>3060</v>
      </c>
      <c r="B876" t="s">
        <v>20</v>
      </c>
      <c r="C876" t="s">
        <v>11178</v>
      </c>
      <c r="D876" t="s">
        <v>10052</v>
      </c>
      <c r="E876" t="s">
        <v>11179</v>
      </c>
      <c r="F876" t="s">
        <v>9412</v>
      </c>
      <c r="G876" t="s">
        <v>9413</v>
      </c>
      <c r="H876" t="s">
        <v>10876</v>
      </c>
      <c r="I876" t="s">
        <v>9415</v>
      </c>
      <c r="J876" t="s">
        <v>3013</v>
      </c>
      <c r="K876" t="s">
        <v>9416</v>
      </c>
      <c r="L876" t="s">
        <v>9417</v>
      </c>
      <c r="M876" t="s">
        <v>10999</v>
      </c>
      <c r="N876" t="s">
        <v>10892</v>
      </c>
      <c r="O876" t="s">
        <v>7782</v>
      </c>
      <c r="P876" t="s">
        <v>9429</v>
      </c>
      <c r="Q876" t="s">
        <v>9421</v>
      </c>
      <c r="R876" t="s">
        <v>52</v>
      </c>
      <c r="S876" t="s">
        <v>3060</v>
      </c>
      <c r="T876" t="s">
        <v>3062</v>
      </c>
    </row>
    <row r="877" spans="1:20">
      <c r="A877" t="s">
        <v>3060</v>
      </c>
      <c r="B877" t="s">
        <v>20</v>
      </c>
      <c r="C877" t="s">
        <v>11178</v>
      </c>
      <c r="D877" t="s">
        <v>10052</v>
      </c>
      <c r="E877" t="s">
        <v>11179</v>
      </c>
      <c r="F877" t="s">
        <v>9412</v>
      </c>
      <c r="G877" t="s">
        <v>9413</v>
      </c>
      <c r="H877" t="s">
        <v>10876</v>
      </c>
      <c r="I877" t="s">
        <v>9415</v>
      </c>
      <c r="J877" t="s">
        <v>3013</v>
      </c>
      <c r="K877" t="s">
        <v>9416</v>
      </c>
      <c r="L877" t="s">
        <v>9417</v>
      </c>
      <c r="M877" t="s">
        <v>10999</v>
      </c>
      <c r="N877" t="s">
        <v>9446</v>
      </c>
      <c r="O877" t="s">
        <v>7786</v>
      </c>
      <c r="P877" t="s">
        <v>9567</v>
      </c>
      <c r="Q877" t="s">
        <v>9421</v>
      </c>
      <c r="R877" t="s">
        <v>43</v>
      </c>
      <c r="S877" t="s">
        <v>3064</v>
      </c>
      <c r="T877" t="s">
        <v>3066</v>
      </c>
    </row>
    <row r="878" spans="1:20">
      <c r="A878" t="s">
        <v>2753</v>
      </c>
      <c r="B878" t="s">
        <v>20</v>
      </c>
      <c r="C878" t="s">
        <v>7409</v>
      </c>
      <c r="D878" t="s">
        <v>9460</v>
      </c>
      <c r="E878" t="s">
        <v>11180</v>
      </c>
      <c r="F878" t="s">
        <v>9412</v>
      </c>
      <c r="G878" t="s">
        <v>9413</v>
      </c>
      <c r="H878" t="s">
        <v>10876</v>
      </c>
      <c r="I878" t="s">
        <v>10265</v>
      </c>
      <c r="J878" t="s">
        <v>2693</v>
      </c>
      <c r="K878" t="s">
        <v>9416</v>
      </c>
      <c r="L878" t="s">
        <v>9417</v>
      </c>
      <c r="M878" t="s">
        <v>10954</v>
      </c>
      <c r="N878" t="s">
        <v>9430</v>
      </c>
      <c r="O878" t="s">
        <v>7411</v>
      </c>
      <c r="P878" t="s">
        <v>9431</v>
      </c>
      <c r="Q878" t="s">
        <v>9421</v>
      </c>
      <c r="R878" t="s">
        <v>24</v>
      </c>
      <c r="S878" t="s">
        <v>2758</v>
      </c>
      <c r="T878" t="s">
        <v>2760</v>
      </c>
    </row>
    <row r="879" spans="1:20">
      <c r="A879" t="s">
        <v>2753</v>
      </c>
      <c r="B879" t="s">
        <v>20</v>
      </c>
      <c r="C879" t="s">
        <v>7409</v>
      </c>
      <c r="D879" t="s">
        <v>9460</v>
      </c>
      <c r="E879" t="s">
        <v>11180</v>
      </c>
      <c r="F879" t="s">
        <v>9412</v>
      </c>
      <c r="G879" t="s">
        <v>9413</v>
      </c>
      <c r="H879" t="s">
        <v>10876</v>
      </c>
      <c r="I879" t="s">
        <v>10265</v>
      </c>
      <c r="J879" t="s">
        <v>2693</v>
      </c>
      <c r="K879" t="s">
        <v>9416</v>
      </c>
      <c r="L879" t="s">
        <v>9417</v>
      </c>
      <c r="M879" t="s">
        <v>10954</v>
      </c>
      <c r="N879" t="s">
        <v>10904</v>
      </c>
      <c r="O879" t="s">
        <v>7407</v>
      </c>
      <c r="P879" t="s">
        <v>9420</v>
      </c>
      <c r="Q879" t="s">
        <v>9421</v>
      </c>
      <c r="R879" t="s">
        <v>17</v>
      </c>
      <c r="S879" t="s">
        <v>2754</v>
      </c>
      <c r="T879" t="s">
        <v>2756</v>
      </c>
    </row>
    <row r="880" spans="1:20">
      <c r="A880" t="s">
        <v>2761</v>
      </c>
      <c r="B880" t="s">
        <v>20</v>
      </c>
      <c r="C880" t="s">
        <v>2764</v>
      </c>
      <c r="D880" t="s">
        <v>9460</v>
      </c>
      <c r="E880" t="s">
        <v>11181</v>
      </c>
      <c r="F880" t="s">
        <v>9412</v>
      </c>
      <c r="G880" t="s">
        <v>9413</v>
      </c>
      <c r="H880" t="s">
        <v>2233</v>
      </c>
      <c r="I880" t="s">
        <v>10281</v>
      </c>
      <c r="J880" t="s">
        <v>2693</v>
      </c>
      <c r="K880" t="s">
        <v>9416</v>
      </c>
      <c r="L880" t="s">
        <v>9417</v>
      </c>
      <c r="M880" t="s">
        <v>11009</v>
      </c>
      <c r="N880" t="s">
        <v>10904</v>
      </c>
      <c r="O880" t="s">
        <v>11182</v>
      </c>
      <c r="P880" t="s">
        <v>9429</v>
      </c>
      <c r="Q880" t="s">
        <v>9421</v>
      </c>
      <c r="R880" t="s">
        <v>52</v>
      </c>
      <c r="S880" t="s">
        <v>2765</v>
      </c>
      <c r="T880" t="s">
        <v>2767</v>
      </c>
    </row>
    <row r="881" spans="1:20">
      <c r="A881" t="s">
        <v>2761</v>
      </c>
      <c r="B881" t="s">
        <v>20</v>
      </c>
      <c r="C881" t="s">
        <v>2764</v>
      </c>
      <c r="D881" t="s">
        <v>9460</v>
      </c>
      <c r="E881" t="s">
        <v>11181</v>
      </c>
      <c r="F881" t="s">
        <v>9412</v>
      </c>
      <c r="G881" t="s">
        <v>9413</v>
      </c>
      <c r="H881" t="s">
        <v>2233</v>
      </c>
      <c r="I881" t="s">
        <v>10281</v>
      </c>
      <c r="J881" t="s">
        <v>2693</v>
      </c>
      <c r="K881" t="s">
        <v>9416</v>
      </c>
      <c r="L881" t="s">
        <v>9417</v>
      </c>
      <c r="M881" t="s">
        <v>11009</v>
      </c>
      <c r="N881" t="s">
        <v>10904</v>
      </c>
      <c r="O881" t="s">
        <v>7413</v>
      </c>
      <c r="P881" t="s">
        <v>9420</v>
      </c>
      <c r="Q881" t="s">
        <v>9421</v>
      </c>
      <c r="R881" t="s">
        <v>17</v>
      </c>
      <c r="S881" t="s">
        <v>2761</v>
      </c>
      <c r="T881" t="s">
        <v>2763</v>
      </c>
    </row>
    <row r="882" spans="1:20">
      <c r="A882" t="s">
        <v>2905</v>
      </c>
      <c r="B882" t="s">
        <v>20</v>
      </c>
      <c r="C882" t="s">
        <v>7566</v>
      </c>
      <c r="D882" t="s">
        <v>9455</v>
      </c>
      <c r="E882" t="s">
        <v>11183</v>
      </c>
      <c r="F882" t="s">
        <v>9412</v>
      </c>
      <c r="G882" t="s">
        <v>9413</v>
      </c>
      <c r="H882" t="s">
        <v>10876</v>
      </c>
      <c r="I882" t="s">
        <v>9415</v>
      </c>
      <c r="J882" t="s">
        <v>2861</v>
      </c>
      <c r="K882" t="s">
        <v>9445</v>
      </c>
      <c r="L882" t="s">
        <v>9417</v>
      </c>
      <c r="M882" t="s">
        <v>10913</v>
      </c>
      <c r="N882" t="s">
        <v>9426</v>
      </c>
      <c r="O882" t="s">
        <v>9446</v>
      </c>
      <c r="P882" t="s">
        <v>9479</v>
      </c>
      <c r="Q882" t="s">
        <v>9421</v>
      </c>
      <c r="R882" t="s">
        <v>43</v>
      </c>
      <c r="S882" t="s">
        <v>2392</v>
      </c>
      <c r="T882" t="s">
        <v>2394</v>
      </c>
    </row>
    <row r="883" spans="1:20">
      <c r="A883" t="s">
        <v>2905</v>
      </c>
      <c r="B883" t="s">
        <v>20</v>
      </c>
      <c r="C883" t="s">
        <v>7566</v>
      </c>
      <c r="D883" t="s">
        <v>9455</v>
      </c>
      <c r="E883" t="s">
        <v>11183</v>
      </c>
      <c r="F883" t="s">
        <v>9412</v>
      </c>
      <c r="G883" t="s">
        <v>9413</v>
      </c>
      <c r="H883" t="s">
        <v>10876</v>
      </c>
      <c r="I883" t="s">
        <v>9415</v>
      </c>
      <c r="J883" t="s">
        <v>2861</v>
      </c>
      <c r="K883" t="s">
        <v>9416</v>
      </c>
      <c r="L883" t="s">
        <v>9417</v>
      </c>
      <c r="M883" t="s">
        <v>10913</v>
      </c>
      <c r="N883" t="s">
        <v>10900</v>
      </c>
      <c r="O883" t="s">
        <v>7564</v>
      </c>
      <c r="P883" t="s">
        <v>9420</v>
      </c>
      <c r="Q883" t="s">
        <v>9421</v>
      </c>
      <c r="R883" t="s">
        <v>17</v>
      </c>
      <c r="S883" t="s">
        <v>2905</v>
      </c>
      <c r="T883" t="s">
        <v>2907</v>
      </c>
    </row>
    <row r="884" spans="1:20">
      <c r="A884" t="s">
        <v>2768</v>
      </c>
      <c r="B884" t="s">
        <v>20</v>
      </c>
      <c r="C884" t="s">
        <v>2771</v>
      </c>
      <c r="D884" t="s">
        <v>9464</v>
      </c>
      <c r="E884" t="s">
        <v>11184</v>
      </c>
      <c r="F884" t="s">
        <v>9412</v>
      </c>
      <c r="G884" t="s">
        <v>9413</v>
      </c>
      <c r="H884" t="s">
        <v>2233</v>
      </c>
      <c r="I884" t="s">
        <v>9482</v>
      </c>
      <c r="J884" t="s">
        <v>2693</v>
      </c>
      <c r="K884" t="s">
        <v>9445</v>
      </c>
      <c r="L884" t="s">
        <v>9417</v>
      </c>
      <c r="M884" t="s">
        <v>11070</v>
      </c>
      <c r="N884" t="s">
        <v>9426</v>
      </c>
      <c r="O884" t="s">
        <v>9446</v>
      </c>
      <c r="P884" t="s">
        <v>9567</v>
      </c>
      <c r="Q884" t="s">
        <v>9421</v>
      </c>
      <c r="R884" t="s">
        <v>24</v>
      </c>
      <c r="S884" t="s">
        <v>2772</v>
      </c>
      <c r="T884" t="s">
        <v>2774</v>
      </c>
    </row>
    <row r="885" spans="1:20">
      <c r="A885" t="s">
        <v>2768</v>
      </c>
      <c r="B885" t="s">
        <v>20</v>
      </c>
      <c r="C885" t="s">
        <v>2771</v>
      </c>
      <c r="D885" t="s">
        <v>9464</v>
      </c>
      <c r="E885" t="s">
        <v>11184</v>
      </c>
      <c r="F885" t="s">
        <v>9412</v>
      </c>
      <c r="G885" t="s">
        <v>9413</v>
      </c>
      <c r="H885" t="s">
        <v>2233</v>
      </c>
      <c r="I885" t="s">
        <v>9482</v>
      </c>
      <c r="J885" t="s">
        <v>2693</v>
      </c>
      <c r="K885" t="s">
        <v>9416</v>
      </c>
      <c r="L885" t="s">
        <v>9417</v>
      </c>
      <c r="M885" t="s">
        <v>11070</v>
      </c>
      <c r="N885" t="s">
        <v>9430</v>
      </c>
      <c r="O885" t="s">
        <v>7248</v>
      </c>
      <c r="P885" t="s">
        <v>9479</v>
      </c>
      <c r="Q885" t="s">
        <v>9421</v>
      </c>
      <c r="R885" t="s">
        <v>43</v>
      </c>
      <c r="S885" t="s">
        <v>2575</v>
      </c>
      <c r="T885" t="s">
        <v>2577</v>
      </c>
    </row>
    <row r="886" spans="1:20">
      <c r="A886" t="s">
        <v>2768</v>
      </c>
      <c r="B886" t="s">
        <v>20</v>
      </c>
      <c r="C886" t="s">
        <v>2771</v>
      </c>
      <c r="D886" t="s">
        <v>9464</v>
      </c>
      <c r="E886" t="s">
        <v>11184</v>
      </c>
      <c r="F886" t="s">
        <v>9412</v>
      </c>
      <c r="G886" t="s">
        <v>9413</v>
      </c>
      <c r="H886" t="s">
        <v>2233</v>
      </c>
      <c r="I886" t="s">
        <v>9482</v>
      </c>
      <c r="J886" t="s">
        <v>2693</v>
      </c>
      <c r="K886" t="s">
        <v>9445</v>
      </c>
      <c r="L886" t="s">
        <v>9417</v>
      </c>
      <c r="M886" t="s">
        <v>11070</v>
      </c>
      <c r="N886" t="s">
        <v>10904</v>
      </c>
      <c r="O886" t="s">
        <v>9446</v>
      </c>
      <c r="P886" t="s">
        <v>9623</v>
      </c>
      <c r="Q886" t="s">
        <v>9421</v>
      </c>
      <c r="R886" t="s">
        <v>24</v>
      </c>
      <c r="S886" t="s">
        <v>2768</v>
      </c>
      <c r="T886" t="s">
        <v>2770</v>
      </c>
    </row>
    <row r="887" spans="1:20">
      <c r="A887" t="s">
        <v>3067</v>
      </c>
      <c r="B887" t="s">
        <v>20</v>
      </c>
      <c r="C887" t="s">
        <v>7790</v>
      </c>
      <c r="D887" t="s">
        <v>9455</v>
      </c>
      <c r="E887" t="s">
        <v>11185</v>
      </c>
      <c r="F887" t="s">
        <v>9412</v>
      </c>
      <c r="G887" t="s">
        <v>9413</v>
      </c>
      <c r="H887" t="s">
        <v>10876</v>
      </c>
      <c r="I887" t="s">
        <v>10186</v>
      </c>
      <c r="J887" t="s">
        <v>3013</v>
      </c>
      <c r="K887" t="s">
        <v>9416</v>
      </c>
      <c r="L887" t="s">
        <v>9417</v>
      </c>
      <c r="M887" t="s">
        <v>11186</v>
      </c>
      <c r="N887" t="s">
        <v>10892</v>
      </c>
      <c r="O887" t="s">
        <v>7788</v>
      </c>
      <c r="P887" t="s">
        <v>9420</v>
      </c>
      <c r="Q887" t="s">
        <v>9421</v>
      </c>
      <c r="R887" t="s">
        <v>17</v>
      </c>
      <c r="S887" t="s">
        <v>3067</v>
      </c>
      <c r="T887" t="s">
        <v>3069</v>
      </c>
    </row>
    <row r="888" spans="1:20">
      <c r="A888" t="s">
        <v>3071</v>
      </c>
      <c r="B888" t="s">
        <v>20</v>
      </c>
      <c r="C888" t="s">
        <v>7794</v>
      </c>
      <c r="D888" t="s">
        <v>9677</v>
      </c>
      <c r="E888" t="s">
        <v>11187</v>
      </c>
      <c r="F888" t="s">
        <v>9412</v>
      </c>
      <c r="G888" t="s">
        <v>9413</v>
      </c>
      <c r="H888" t="s">
        <v>10876</v>
      </c>
      <c r="I888" t="s">
        <v>9472</v>
      </c>
      <c r="J888" t="s">
        <v>3013</v>
      </c>
      <c r="K888" t="s">
        <v>9416</v>
      </c>
      <c r="L888" t="s">
        <v>9417</v>
      </c>
      <c r="M888" t="s">
        <v>11079</v>
      </c>
      <c r="N888" t="s">
        <v>10892</v>
      </c>
      <c r="O888" t="s">
        <v>7796</v>
      </c>
      <c r="P888" t="s">
        <v>9420</v>
      </c>
      <c r="Q888" t="s">
        <v>9421</v>
      </c>
      <c r="R888" t="s">
        <v>17</v>
      </c>
      <c r="S888" t="s">
        <v>3075</v>
      </c>
      <c r="T888" t="s">
        <v>3077</v>
      </c>
    </row>
    <row r="889" spans="1:20">
      <c r="A889" t="s">
        <v>3071</v>
      </c>
      <c r="B889" t="s">
        <v>20</v>
      </c>
      <c r="C889" t="s">
        <v>7794</v>
      </c>
      <c r="D889" t="s">
        <v>9677</v>
      </c>
      <c r="E889" t="s">
        <v>11187</v>
      </c>
      <c r="F889" t="s">
        <v>9412</v>
      </c>
      <c r="G889" t="s">
        <v>9413</v>
      </c>
      <c r="H889" t="s">
        <v>10876</v>
      </c>
      <c r="I889" t="s">
        <v>9472</v>
      </c>
      <c r="J889" t="s">
        <v>3013</v>
      </c>
      <c r="K889" t="s">
        <v>9416</v>
      </c>
      <c r="L889" t="s">
        <v>9417</v>
      </c>
      <c r="M889" t="s">
        <v>11079</v>
      </c>
      <c r="N889" t="s">
        <v>10892</v>
      </c>
      <c r="O889" t="s">
        <v>7792</v>
      </c>
      <c r="P889" t="s">
        <v>9420</v>
      </c>
      <c r="Q889" t="s">
        <v>9421</v>
      </c>
      <c r="R889" t="s">
        <v>17</v>
      </c>
      <c r="S889" t="s">
        <v>3071</v>
      </c>
      <c r="T889" t="s">
        <v>3073</v>
      </c>
    </row>
    <row r="890" spans="1:20">
      <c r="A890" t="s">
        <v>7655</v>
      </c>
      <c r="B890" t="s">
        <v>9409</v>
      </c>
      <c r="C890" t="s">
        <v>7658</v>
      </c>
      <c r="D890" t="s">
        <v>9410</v>
      </c>
      <c r="E890" t="s">
        <v>11188</v>
      </c>
      <c r="F890" t="s">
        <v>9412</v>
      </c>
      <c r="G890" t="s">
        <v>9413</v>
      </c>
      <c r="H890" t="s">
        <v>10876</v>
      </c>
      <c r="I890" t="s">
        <v>9729</v>
      </c>
      <c r="J890" t="s">
        <v>2926</v>
      </c>
      <c r="K890" t="s">
        <v>9416</v>
      </c>
      <c r="L890" t="s">
        <v>9417</v>
      </c>
      <c r="M890" t="s">
        <v>10954</v>
      </c>
      <c r="N890" t="s">
        <v>10908</v>
      </c>
      <c r="O890" t="s">
        <v>7656</v>
      </c>
      <c r="P890" t="s">
        <v>9420</v>
      </c>
      <c r="Q890" t="s">
        <v>9421</v>
      </c>
      <c r="R890" t="s">
        <v>17</v>
      </c>
      <c r="S890" t="s">
        <v>7655</v>
      </c>
      <c r="T890" t="s">
        <v>11189</v>
      </c>
    </row>
    <row r="891" spans="1:20">
      <c r="A891" t="s">
        <v>7568</v>
      </c>
      <c r="B891" t="s">
        <v>9409</v>
      </c>
      <c r="C891" t="s">
        <v>7571</v>
      </c>
      <c r="D891" t="s">
        <v>9410</v>
      </c>
      <c r="E891" t="s">
        <v>11190</v>
      </c>
      <c r="F891" t="s">
        <v>9412</v>
      </c>
      <c r="G891" t="s">
        <v>9413</v>
      </c>
      <c r="H891" t="s">
        <v>10876</v>
      </c>
      <c r="I891" t="s">
        <v>10281</v>
      </c>
      <c r="J891" t="s">
        <v>2861</v>
      </c>
      <c r="K891" t="s">
        <v>9445</v>
      </c>
      <c r="L891" t="s">
        <v>9417</v>
      </c>
      <c r="M891" t="s">
        <v>10899</v>
      </c>
      <c r="N891" t="s">
        <v>9426</v>
      </c>
      <c r="O891" t="s">
        <v>9446</v>
      </c>
      <c r="P891" t="s">
        <v>9567</v>
      </c>
      <c r="Q891" t="s">
        <v>9421</v>
      </c>
      <c r="R891" t="s">
        <v>24</v>
      </c>
      <c r="S891" t="s">
        <v>2772</v>
      </c>
      <c r="T891" t="s">
        <v>2774</v>
      </c>
    </row>
    <row r="892" spans="1:20">
      <c r="A892" t="s">
        <v>7568</v>
      </c>
      <c r="B892" t="s">
        <v>9409</v>
      </c>
      <c r="C892" t="s">
        <v>7571</v>
      </c>
      <c r="D892" t="s">
        <v>9410</v>
      </c>
      <c r="E892" t="s">
        <v>11190</v>
      </c>
      <c r="F892" t="s">
        <v>9412</v>
      </c>
      <c r="G892" t="s">
        <v>9413</v>
      </c>
      <c r="H892" t="s">
        <v>10876</v>
      </c>
      <c r="I892" t="s">
        <v>10281</v>
      </c>
      <c r="J892" t="s">
        <v>2861</v>
      </c>
      <c r="K892" t="s">
        <v>9416</v>
      </c>
      <c r="L892" t="s">
        <v>9417</v>
      </c>
      <c r="M892" t="s">
        <v>10899</v>
      </c>
      <c r="N892" t="s">
        <v>10900</v>
      </c>
      <c r="O892" t="s">
        <v>7574</v>
      </c>
      <c r="P892" t="s">
        <v>9429</v>
      </c>
      <c r="Q892" t="s">
        <v>9421</v>
      </c>
      <c r="R892" t="s">
        <v>52</v>
      </c>
      <c r="S892" t="s">
        <v>7573</v>
      </c>
      <c r="T892" t="s">
        <v>11191</v>
      </c>
    </row>
    <row r="893" spans="1:20">
      <c r="A893" t="s">
        <v>7568</v>
      </c>
      <c r="B893" t="s">
        <v>9409</v>
      </c>
      <c r="C893" t="s">
        <v>7571</v>
      </c>
      <c r="D893" t="s">
        <v>9410</v>
      </c>
      <c r="E893" t="s">
        <v>11190</v>
      </c>
      <c r="F893" t="s">
        <v>9412</v>
      </c>
      <c r="G893" t="s">
        <v>9413</v>
      </c>
      <c r="H893" t="s">
        <v>10876</v>
      </c>
      <c r="I893" t="s">
        <v>10281</v>
      </c>
      <c r="J893" t="s">
        <v>2861</v>
      </c>
      <c r="K893" t="s">
        <v>9416</v>
      </c>
      <c r="L893" t="s">
        <v>9417</v>
      </c>
      <c r="M893" t="s">
        <v>10899</v>
      </c>
      <c r="N893" t="s">
        <v>10900</v>
      </c>
      <c r="O893" t="s">
        <v>7569</v>
      </c>
      <c r="P893" t="s">
        <v>9420</v>
      </c>
      <c r="Q893" t="s">
        <v>9421</v>
      </c>
      <c r="R893" t="s">
        <v>17</v>
      </c>
      <c r="S893" t="s">
        <v>7568</v>
      </c>
      <c r="T893" t="s">
        <v>11192</v>
      </c>
    </row>
    <row r="894" spans="1:20">
      <c r="A894" t="s">
        <v>2385</v>
      </c>
      <c r="B894" t="s">
        <v>20</v>
      </c>
      <c r="C894" t="s">
        <v>7068</v>
      </c>
      <c r="D894" t="s">
        <v>9455</v>
      </c>
      <c r="E894" t="s">
        <v>11193</v>
      </c>
      <c r="F894" t="s">
        <v>9412</v>
      </c>
      <c r="G894" t="s">
        <v>9413</v>
      </c>
      <c r="H894" t="s">
        <v>10876</v>
      </c>
      <c r="I894" t="s">
        <v>10877</v>
      </c>
      <c r="J894" t="s">
        <v>2314</v>
      </c>
      <c r="K894" t="s">
        <v>9416</v>
      </c>
      <c r="L894" t="s">
        <v>9417</v>
      </c>
      <c r="M894" t="s">
        <v>11194</v>
      </c>
      <c r="N894" t="s">
        <v>10879</v>
      </c>
      <c r="O894" t="s">
        <v>7070</v>
      </c>
      <c r="P894" t="s">
        <v>9429</v>
      </c>
      <c r="Q894" t="s">
        <v>9421</v>
      </c>
      <c r="R894" t="s">
        <v>52</v>
      </c>
      <c r="S894" t="s">
        <v>2389</v>
      </c>
      <c r="T894" t="s">
        <v>2391</v>
      </c>
    </row>
    <row r="895" spans="1:20">
      <c r="A895" t="s">
        <v>2385</v>
      </c>
      <c r="B895" t="s">
        <v>20</v>
      </c>
      <c r="C895" t="s">
        <v>7068</v>
      </c>
      <c r="D895" t="s">
        <v>9455</v>
      </c>
      <c r="E895" t="s">
        <v>11193</v>
      </c>
      <c r="F895" t="s">
        <v>9412</v>
      </c>
      <c r="G895" t="s">
        <v>9413</v>
      </c>
      <c r="H895" t="s">
        <v>10876</v>
      </c>
      <c r="I895" t="s">
        <v>10877</v>
      </c>
      <c r="J895" t="s">
        <v>2314</v>
      </c>
      <c r="K895" t="s">
        <v>9416</v>
      </c>
      <c r="L895" t="s">
        <v>9417</v>
      </c>
      <c r="M895" t="s">
        <v>11194</v>
      </c>
      <c r="N895" t="s">
        <v>10879</v>
      </c>
      <c r="O895" t="s">
        <v>7066</v>
      </c>
      <c r="P895" t="s">
        <v>9420</v>
      </c>
      <c r="Q895" t="s">
        <v>9421</v>
      </c>
      <c r="R895" t="s">
        <v>17</v>
      </c>
      <c r="S895" t="s">
        <v>2385</v>
      </c>
      <c r="T895" t="s">
        <v>2387</v>
      </c>
    </row>
    <row r="896" spans="1:20">
      <c r="A896" t="s">
        <v>7662</v>
      </c>
      <c r="B896" t="s">
        <v>20</v>
      </c>
      <c r="C896" t="s">
        <v>7665</v>
      </c>
      <c r="D896" t="s">
        <v>9460</v>
      </c>
      <c r="E896" t="s">
        <v>11195</v>
      </c>
      <c r="F896" t="s">
        <v>9412</v>
      </c>
      <c r="G896" t="s">
        <v>9413</v>
      </c>
      <c r="H896" t="s">
        <v>10876</v>
      </c>
      <c r="I896" t="s">
        <v>9874</v>
      </c>
      <c r="J896" t="s">
        <v>2926</v>
      </c>
      <c r="K896" t="s">
        <v>9416</v>
      </c>
      <c r="L896" t="s">
        <v>9417</v>
      </c>
      <c r="M896" t="s">
        <v>10954</v>
      </c>
      <c r="N896" t="s">
        <v>10908</v>
      </c>
      <c r="O896" t="s">
        <v>7663</v>
      </c>
      <c r="P896" t="s">
        <v>9524</v>
      </c>
      <c r="Q896" t="s">
        <v>9421</v>
      </c>
      <c r="R896" t="s">
        <v>24</v>
      </c>
      <c r="S896" t="s">
        <v>7662</v>
      </c>
      <c r="T896" t="s">
        <v>11196</v>
      </c>
    </row>
    <row r="897" spans="1:20">
      <c r="A897" t="s">
        <v>2775</v>
      </c>
      <c r="B897" t="s">
        <v>20</v>
      </c>
      <c r="C897" t="s">
        <v>2778</v>
      </c>
      <c r="D897" t="s">
        <v>9475</v>
      </c>
      <c r="E897" t="s">
        <v>11197</v>
      </c>
      <c r="F897" t="s">
        <v>9412</v>
      </c>
      <c r="G897" t="s">
        <v>9413</v>
      </c>
      <c r="H897" t="s">
        <v>2233</v>
      </c>
      <c r="I897" t="s">
        <v>9469</v>
      </c>
      <c r="J897" t="s">
        <v>2693</v>
      </c>
      <c r="K897" t="s">
        <v>9416</v>
      </c>
      <c r="L897" t="s">
        <v>9417</v>
      </c>
      <c r="M897" t="s">
        <v>11009</v>
      </c>
      <c r="N897" t="s">
        <v>10904</v>
      </c>
      <c r="O897" t="s">
        <v>7423</v>
      </c>
      <c r="P897" t="s">
        <v>9420</v>
      </c>
      <c r="Q897" t="s">
        <v>9421</v>
      </c>
      <c r="R897" t="s">
        <v>17</v>
      </c>
      <c r="S897" t="s">
        <v>2775</v>
      </c>
      <c r="T897" t="s">
        <v>2777</v>
      </c>
    </row>
    <row r="898" spans="1:20">
      <c r="A898" t="s">
        <v>11198</v>
      </c>
      <c r="B898" t="s">
        <v>9409</v>
      </c>
      <c r="C898" t="s">
        <v>11199</v>
      </c>
      <c r="D898" t="s">
        <v>9410</v>
      </c>
      <c r="E898" t="s">
        <v>11200</v>
      </c>
      <c r="F898" t="s">
        <v>9412</v>
      </c>
      <c r="G898" t="s">
        <v>9413</v>
      </c>
      <c r="H898" t="s">
        <v>10876</v>
      </c>
      <c r="I898" t="s">
        <v>9466</v>
      </c>
      <c r="J898" t="s">
        <v>3013</v>
      </c>
      <c r="K898" t="s">
        <v>9416</v>
      </c>
      <c r="L898" t="s">
        <v>9417</v>
      </c>
      <c r="M898" t="s">
        <v>10891</v>
      </c>
      <c r="N898" t="s">
        <v>10892</v>
      </c>
      <c r="O898" t="s">
        <v>11201</v>
      </c>
      <c r="P898" t="s">
        <v>9429</v>
      </c>
      <c r="Q898" t="s">
        <v>9421</v>
      </c>
      <c r="R898" t="s">
        <v>52</v>
      </c>
      <c r="S898" t="s">
        <v>2986</v>
      </c>
      <c r="T898" t="s">
        <v>11202</v>
      </c>
    </row>
    <row r="899" spans="1:20">
      <c r="A899" t="s">
        <v>11198</v>
      </c>
      <c r="B899" t="s">
        <v>9409</v>
      </c>
      <c r="C899" t="s">
        <v>11199</v>
      </c>
      <c r="D899" t="s">
        <v>9410</v>
      </c>
      <c r="E899" t="s">
        <v>11200</v>
      </c>
      <c r="F899" t="s">
        <v>9412</v>
      </c>
      <c r="G899" t="s">
        <v>9413</v>
      </c>
      <c r="H899" t="s">
        <v>10876</v>
      </c>
      <c r="I899" t="s">
        <v>9466</v>
      </c>
      <c r="J899" t="s">
        <v>3013</v>
      </c>
      <c r="K899" t="s">
        <v>9416</v>
      </c>
      <c r="L899" t="s">
        <v>9417</v>
      </c>
      <c r="M899" t="s">
        <v>10891</v>
      </c>
      <c r="N899" t="s">
        <v>10892</v>
      </c>
      <c r="O899" t="s">
        <v>11203</v>
      </c>
      <c r="P899" t="s">
        <v>9429</v>
      </c>
      <c r="Q899" t="s">
        <v>9421</v>
      </c>
      <c r="R899" t="s">
        <v>52</v>
      </c>
      <c r="S899" t="s">
        <v>11204</v>
      </c>
      <c r="T899" t="s">
        <v>11205</v>
      </c>
    </row>
    <row r="900" spans="1:20">
      <c r="A900" t="s">
        <v>2779</v>
      </c>
      <c r="B900" t="s">
        <v>20</v>
      </c>
      <c r="C900" t="s">
        <v>2782</v>
      </c>
      <c r="D900" t="s">
        <v>9764</v>
      </c>
      <c r="E900" t="s">
        <v>11206</v>
      </c>
      <c r="F900" t="s">
        <v>9412</v>
      </c>
      <c r="G900" t="s">
        <v>9413</v>
      </c>
      <c r="H900" t="s">
        <v>2233</v>
      </c>
      <c r="I900" t="s">
        <v>10877</v>
      </c>
      <c r="J900" t="s">
        <v>2693</v>
      </c>
      <c r="K900" t="s">
        <v>9416</v>
      </c>
      <c r="L900" t="s">
        <v>9417</v>
      </c>
      <c r="M900" t="s">
        <v>11009</v>
      </c>
      <c r="N900" t="s">
        <v>10904</v>
      </c>
      <c r="O900" t="s">
        <v>7427</v>
      </c>
      <c r="P900" t="s">
        <v>9420</v>
      </c>
      <c r="Q900" t="s">
        <v>9421</v>
      </c>
      <c r="R900" t="s">
        <v>17</v>
      </c>
      <c r="S900" t="s">
        <v>2779</v>
      </c>
      <c r="T900" t="s">
        <v>2781</v>
      </c>
    </row>
    <row r="901" spans="1:20">
      <c r="A901" t="s">
        <v>2779</v>
      </c>
      <c r="B901" t="s">
        <v>20</v>
      </c>
      <c r="C901" t="s">
        <v>2782</v>
      </c>
      <c r="D901" t="s">
        <v>9764</v>
      </c>
      <c r="E901" t="s">
        <v>11206</v>
      </c>
      <c r="F901" t="s">
        <v>9412</v>
      </c>
      <c r="G901" t="s">
        <v>9413</v>
      </c>
      <c r="H901" t="s">
        <v>2233</v>
      </c>
      <c r="I901" t="s">
        <v>10877</v>
      </c>
      <c r="J901" t="s">
        <v>2693</v>
      </c>
      <c r="K901" t="s">
        <v>9416</v>
      </c>
      <c r="L901" t="s">
        <v>9417</v>
      </c>
      <c r="M901" t="s">
        <v>11009</v>
      </c>
      <c r="N901" t="s">
        <v>10904</v>
      </c>
      <c r="O901" t="s">
        <v>11207</v>
      </c>
      <c r="P901" t="s">
        <v>9429</v>
      </c>
      <c r="Q901" t="s">
        <v>9421</v>
      </c>
      <c r="R901" t="s">
        <v>52</v>
      </c>
      <c r="S901" t="s">
        <v>2783</v>
      </c>
      <c r="T901" t="s">
        <v>2785</v>
      </c>
    </row>
    <row r="902" spans="1:20">
      <c r="A902" t="s">
        <v>2786</v>
      </c>
      <c r="B902" t="s">
        <v>62</v>
      </c>
      <c r="C902" t="s">
        <v>7433</v>
      </c>
      <c r="D902" t="s">
        <v>9448</v>
      </c>
      <c r="E902" t="s">
        <v>11208</v>
      </c>
      <c r="F902" t="s">
        <v>9412</v>
      </c>
      <c r="G902" t="s">
        <v>9413</v>
      </c>
      <c r="H902" t="s">
        <v>10876</v>
      </c>
      <c r="I902" t="s">
        <v>10877</v>
      </c>
      <c r="J902" t="s">
        <v>2693</v>
      </c>
      <c r="K902" t="s">
        <v>9416</v>
      </c>
      <c r="L902" t="s">
        <v>9417</v>
      </c>
      <c r="M902" t="s">
        <v>10903</v>
      </c>
      <c r="N902" t="s">
        <v>10904</v>
      </c>
      <c r="O902" t="s">
        <v>7431</v>
      </c>
      <c r="P902" t="s">
        <v>9459</v>
      </c>
      <c r="Q902" t="s">
        <v>9421</v>
      </c>
      <c r="R902" t="s">
        <v>17</v>
      </c>
      <c r="S902" t="s">
        <v>2786</v>
      </c>
      <c r="T902" t="s">
        <v>2788</v>
      </c>
    </row>
    <row r="903" spans="1:20">
      <c r="A903" t="s">
        <v>7072</v>
      </c>
      <c r="B903" t="s">
        <v>9409</v>
      </c>
      <c r="C903" t="s">
        <v>7075</v>
      </c>
      <c r="D903" t="s">
        <v>9410</v>
      </c>
      <c r="E903" t="s">
        <v>11209</v>
      </c>
      <c r="F903" t="s">
        <v>9412</v>
      </c>
      <c r="G903" t="s">
        <v>9413</v>
      </c>
      <c r="H903" t="s">
        <v>10876</v>
      </c>
      <c r="I903" t="s">
        <v>9518</v>
      </c>
      <c r="J903" t="s">
        <v>2314</v>
      </c>
      <c r="K903" t="s">
        <v>9416</v>
      </c>
      <c r="L903" t="s">
        <v>9417</v>
      </c>
      <c r="M903" t="s">
        <v>11210</v>
      </c>
      <c r="N903" t="s">
        <v>10879</v>
      </c>
      <c r="O903" t="s">
        <v>7073</v>
      </c>
      <c r="P903" t="s">
        <v>9429</v>
      </c>
      <c r="Q903" t="s">
        <v>9421</v>
      </c>
      <c r="R903" t="s">
        <v>52</v>
      </c>
      <c r="S903" t="s">
        <v>7072</v>
      </c>
      <c r="T903" t="s">
        <v>11211</v>
      </c>
    </row>
    <row r="904" spans="1:20">
      <c r="A904" t="s">
        <v>2392</v>
      </c>
      <c r="B904" t="s">
        <v>20</v>
      </c>
      <c r="C904" t="s">
        <v>2395</v>
      </c>
      <c r="D904" t="s">
        <v>9460</v>
      </c>
      <c r="E904" t="s">
        <v>11212</v>
      </c>
      <c r="F904" t="s">
        <v>9412</v>
      </c>
      <c r="G904" t="s">
        <v>9413</v>
      </c>
      <c r="H904" t="s">
        <v>2233</v>
      </c>
      <c r="I904" t="s">
        <v>10452</v>
      </c>
      <c r="J904" t="s">
        <v>2314</v>
      </c>
      <c r="K904" t="s">
        <v>9416</v>
      </c>
      <c r="L904" t="s">
        <v>9417</v>
      </c>
      <c r="M904" t="s">
        <v>11047</v>
      </c>
      <c r="N904" t="s">
        <v>9426</v>
      </c>
      <c r="O904" t="s">
        <v>7077</v>
      </c>
      <c r="P904" t="s">
        <v>9479</v>
      </c>
      <c r="Q904" t="s">
        <v>9421</v>
      </c>
      <c r="R904" t="s">
        <v>43</v>
      </c>
      <c r="S904" t="s">
        <v>2392</v>
      </c>
      <c r="T904" t="s">
        <v>2394</v>
      </c>
    </row>
    <row r="905" spans="1:20">
      <c r="A905" t="s">
        <v>7576</v>
      </c>
      <c r="B905" t="s">
        <v>9409</v>
      </c>
      <c r="C905" t="s">
        <v>7579</v>
      </c>
      <c r="D905" t="s">
        <v>9410</v>
      </c>
      <c r="E905" t="s">
        <v>11213</v>
      </c>
      <c r="F905" t="s">
        <v>9412</v>
      </c>
      <c r="G905" t="s">
        <v>9413</v>
      </c>
      <c r="H905" t="s">
        <v>10876</v>
      </c>
      <c r="I905" t="s">
        <v>9560</v>
      </c>
      <c r="J905" t="s">
        <v>2861</v>
      </c>
      <c r="K905" t="s">
        <v>9416</v>
      </c>
      <c r="L905" t="s">
        <v>9417</v>
      </c>
      <c r="M905" t="s">
        <v>10913</v>
      </c>
      <c r="N905" t="s">
        <v>10900</v>
      </c>
      <c r="O905" t="s">
        <v>7577</v>
      </c>
      <c r="P905" t="s">
        <v>9623</v>
      </c>
      <c r="Q905" t="s">
        <v>9421</v>
      </c>
      <c r="R905" t="s">
        <v>24</v>
      </c>
      <c r="S905" t="s">
        <v>7576</v>
      </c>
      <c r="T905" t="s">
        <v>11214</v>
      </c>
    </row>
    <row r="906" spans="1:20">
      <c r="A906" t="s">
        <v>3078</v>
      </c>
      <c r="B906" t="s">
        <v>20</v>
      </c>
      <c r="C906" t="s">
        <v>7800</v>
      </c>
      <c r="D906" t="s">
        <v>9666</v>
      </c>
      <c r="E906" t="s">
        <v>11215</v>
      </c>
      <c r="F906" t="s">
        <v>9412</v>
      </c>
      <c r="G906" t="s">
        <v>9413</v>
      </c>
      <c r="H906" t="s">
        <v>10876</v>
      </c>
      <c r="I906" t="s">
        <v>9576</v>
      </c>
      <c r="J906" t="s">
        <v>3013</v>
      </c>
      <c r="K906" t="s">
        <v>9416</v>
      </c>
      <c r="L906" t="s">
        <v>9417</v>
      </c>
      <c r="M906" t="s">
        <v>10999</v>
      </c>
      <c r="N906" t="s">
        <v>10892</v>
      </c>
      <c r="O906" t="s">
        <v>7798</v>
      </c>
      <c r="P906" t="s">
        <v>9623</v>
      </c>
      <c r="Q906" t="s">
        <v>9421</v>
      </c>
      <c r="R906" t="s">
        <v>17</v>
      </c>
      <c r="S906" t="s">
        <v>3078</v>
      </c>
      <c r="T906" t="s">
        <v>3080</v>
      </c>
    </row>
    <row r="907" spans="1:20">
      <c r="A907" t="s">
        <v>2967</v>
      </c>
      <c r="B907" t="s">
        <v>20</v>
      </c>
      <c r="C907" t="s">
        <v>7669</v>
      </c>
      <c r="D907" t="s">
        <v>9464</v>
      </c>
      <c r="E907" t="s">
        <v>11216</v>
      </c>
      <c r="F907" t="s">
        <v>9412</v>
      </c>
      <c r="G907" t="s">
        <v>9413</v>
      </c>
      <c r="H907" t="s">
        <v>10876</v>
      </c>
      <c r="I907" t="s">
        <v>9469</v>
      </c>
      <c r="J907" t="s">
        <v>2926</v>
      </c>
      <c r="K907" t="s">
        <v>9445</v>
      </c>
      <c r="L907" t="s">
        <v>9417</v>
      </c>
      <c r="M907" t="s">
        <v>11076</v>
      </c>
      <c r="N907" t="s">
        <v>9430</v>
      </c>
      <c r="O907" t="s">
        <v>9446</v>
      </c>
      <c r="P907" t="s">
        <v>9524</v>
      </c>
      <c r="Q907" t="s">
        <v>9421</v>
      </c>
      <c r="R907" t="s">
        <v>24</v>
      </c>
      <c r="S907" t="s">
        <v>2971</v>
      </c>
      <c r="T907" t="s">
        <v>2973</v>
      </c>
    </row>
    <row r="908" spans="1:20">
      <c r="A908" t="s">
        <v>2967</v>
      </c>
      <c r="B908" t="s">
        <v>20</v>
      </c>
      <c r="C908" t="s">
        <v>7669</v>
      </c>
      <c r="D908" t="s">
        <v>9464</v>
      </c>
      <c r="E908" t="s">
        <v>11216</v>
      </c>
      <c r="F908" t="s">
        <v>9412</v>
      </c>
      <c r="G908" t="s">
        <v>9413</v>
      </c>
      <c r="H908" t="s">
        <v>10876</v>
      </c>
      <c r="I908" t="s">
        <v>9469</v>
      </c>
      <c r="J908" t="s">
        <v>2926</v>
      </c>
      <c r="K908" t="s">
        <v>9416</v>
      </c>
      <c r="L908" t="s">
        <v>9417</v>
      </c>
      <c r="M908" t="s">
        <v>11076</v>
      </c>
      <c r="N908" t="s">
        <v>10908</v>
      </c>
      <c r="O908" t="s">
        <v>7667</v>
      </c>
      <c r="P908" t="s">
        <v>9420</v>
      </c>
      <c r="Q908" t="s">
        <v>9421</v>
      </c>
      <c r="R908" t="s">
        <v>17</v>
      </c>
      <c r="S908" t="s">
        <v>2967</v>
      </c>
      <c r="T908" t="s">
        <v>2969</v>
      </c>
    </row>
    <row r="909" spans="1:20">
      <c r="A909" t="s">
        <v>3085</v>
      </c>
      <c r="B909" t="s">
        <v>62</v>
      </c>
      <c r="C909" t="s">
        <v>7804</v>
      </c>
      <c r="D909" t="s">
        <v>445</v>
      </c>
      <c r="E909" t="s">
        <v>11217</v>
      </c>
      <c r="F909" t="s">
        <v>9412</v>
      </c>
      <c r="G909" t="s">
        <v>9413</v>
      </c>
      <c r="H909" t="s">
        <v>10876</v>
      </c>
      <c r="I909" t="s">
        <v>9522</v>
      </c>
      <c r="J909" t="s">
        <v>3013</v>
      </c>
      <c r="K909" t="s">
        <v>9416</v>
      </c>
      <c r="L909" t="s">
        <v>9417</v>
      </c>
      <c r="M909" t="s">
        <v>10894</v>
      </c>
      <c r="N909" t="s">
        <v>10892</v>
      </c>
      <c r="O909" t="s">
        <v>7806</v>
      </c>
      <c r="P909" t="s">
        <v>9526</v>
      </c>
      <c r="Q909" t="s">
        <v>9421</v>
      </c>
      <c r="R909" t="s">
        <v>17</v>
      </c>
      <c r="S909" t="s">
        <v>3090</v>
      </c>
      <c r="T909" t="s">
        <v>3092</v>
      </c>
    </row>
    <row r="910" spans="1:20">
      <c r="A910" t="s">
        <v>3085</v>
      </c>
      <c r="B910" t="s">
        <v>62</v>
      </c>
      <c r="C910" t="s">
        <v>7804</v>
      </c>
      <c r="D910" t="s">
        <v>445</v>
      </c>
      <c r="E910" t="s">
        <v>11217</v>
      </c>
      <c r="F910" t="s">
        <v>9412</v>
      </c>
      <c r="G910" t="s">
        <v>9413</v>
      </c>
      <c r="H910" t="s">
        <v>10876</v>
      </c>
      <c r="I910" t="s">
        <v>9522</v>
      </c>
      <c r="J910" t="s">
        <v>3013</v>
      </c>
      <c r="K910" t="s">
        <v>9416</v>
      </c>
      <c r="L910" t="s">
        <v>9417</v>
      </c>
      <c r="M910" t="s">
        <v>10894</v>
      </c>
      <c r="N910" t="s">
        <v>10892</v>
      </c>
      <c r="O910" t="s">
        <v>7802</v>
      </c>
      <c r="P910" t="s">
        <v>9524</v>
      </c>
      <c r="Q910" t="s">
        <v>9421</v>
      </c>
      <c r="R910" t="s">
        <v>24</v>
      </c>
      <c r="S910" t="s">
        <v>3086</v>
      </c>
      <c r="T910" t="s">
        <v>3088</v>
      </c>
    </row>
    <row r="911" spans="1:20">
      <c r="A911" t="s">
        <v>3093</v>
      </c>
      <c r="B911" t="s">
        <v>62</v>
      </c>
      <c r="C911" t="s">
        <v>7810</v>
      </c>
      <c r="D911" t="s">
        <v>445</v>
      </c>
      <c r="E911" t="s">
        <v>11218</v>
      </c>
      <c r="F911" t="s">
        <v>9412</v>
      </c>
      <c r="G911" t="s">
        <v>9413</v>
      </c>
      <c r="H911" t="s">
        <v>10876</v>
      </c>
      <c r="I911" t="s">
        <v>11219</v>
      </c>
      <c r="J911" t="s">
        <v>3013</v>
      </c>
      <c r="K911" t="s">
        <v>9416</v>
      </c>
      <c r="L911" t="s">
        <v>9417</v>
      </c>
      <c r="M911" t="s">
        <v>11186</v>
      </c>
      <c r="N911" t="s">
        <v>10892</v>
      </c>
      <c r="O911" t="s">
        <v>7808</v>
      </c>
      <c r="P911" t="s">
        <v>9459</v>
      </c>
      <c r="Q911" t="s">
        <v>9421</v>
      </c>
      <c r="R911" t="s">
        <v>17</v>
      </c>
      <c r="S911" t="s">
        <v>3093</v>
      </c>
      <c r="T911" t="s">
        <v>3095</v>
      </c>
    </row>
    <row r="912" spans="1:20">
      <c r="A912" t="s">
        <v>2790</v>
      </c>
      <c r="B912" t="s">
        <v>20</v>
      </c>
      <c r="C912" t="s">
        <v>11220</v>
      </c>
      <c r="D912" t="s">
        <v>9677</v>
      </c>
      <c r="E912" t="s">
        <v>11221</v>
      </c>
      <c r="F912" t="s">
        <v>9412</v>
      </c>
      <c r="G912" t="s">
        <v>9413</v>
      </c>
      <c r="H912" t="s">
        <v>10876</v>
      </c>
      <c r="I912" t="s">
        <v>9628</v>
      </c>
      <c r="J912" t="s">
        <v>2693</v>
      </c>
      <c r="K912" t="s">
        <v>9416</v>
      </c>
      <c r="L912" t="s">
        <v>9417</v>
      </c>
      <c r="M912" t="s">
        <v>10954</v>
      </c>
      <c r="N912" t="s">
        <v>10904</v>
      </c>
      <c r="O912" t="s">
        <v>7435</v>
      </c>
      <c r="P912" t="s">
        <v>9623</v>
      </c>
      <c r="Q912" t="s">
        <v>9421</v>
      </c>
      <c r="R912" t="s">
        <v>24</v>
      </c>
      <c r="S912" t="s">
        <v>2790</v>
      </c>
      <c r="T912" t="s">
        <v>2792</v>
      </c>
    </row>
    <row r="913" spans="1:20">
      <c r="A913" t="s">
        <v>2396</v>
      </c>
      <c r="B913" t="s">
        <v>20</v>
      </c>
      <c r="C913" t="s">
        <v>2399</v>
      </c>
      <c r="D913" t="s">
        <v>9475</v>
      </c>
      <c r="E913" t="s">
        <v>11222</v>
      </c>
      <c r="F913" t="s">
        <v>9412</v>
      </c>
      <c r="G913" t="s">
        <v>9413</v>
      </c>
      <c r="H913" t="s">
        <v>2233</v>
      </c>
      <c r="I913" t="s">
        <v>9787</v>
      </c>
      <c r="J913" t="s">
        <v>2314</v>
      </c>
      <c r="K913" t="s">
        <v>9416</v>
      </c>
      <c r="L913" t="s">
        <v>9417</v>
      </c>
      <c r="M913" t="s">
        <v>11223</v>
      </c>
      <c r="N913" t="s">
        <v>10879</v>
      </c>
      <c r="O913" t="s">
        <v>7081</v>
      </c>
      <c r="P913" t="s">
        <v>9420</v>
      </c>
      <c r="Q913" t="s">
        <v>9421</v>
      </c>
      <c r="R913" t="s">
        <v>17</v>
      </c>
      <c r="S913" t="s">
        <v>2396</v>
      </c>
      <c r="T913" t="s">
        <v>2398</v>
      </c>
    </row>
    <row r="914" spans="1:20">
      <c r="A914" t="s">
        <v>11224</v>
      </c>
      <c r="B914" t="s">
        <v>9409</v>
      </c>
      <c r="C914" t="s">
        <v>11225</v>
      </c>
      <c r="D914" t="s">
        <v>9410</v>
      </c>
      <c r="E914" t="s">
        <v>11226</v>
      </c>
      <c r="F914" t="s">
        <v>9412</v>
      </c>
      <c r="G914" t="s">
        <v>9413</v>
      </c>
      <c r="H914" t="s">
        <v>10876</v>
      </c>
      <c r="I914" t="s">
        <v>9482</v>
      </c>
      <c r="J914" t="s">
        <v>2693</v>
      </c>
      <c r="K914" t="s">
        <v>9416</v>
      </c>
      <c r="L914" t="s">
        <v>9417</v>
      </c>
      <c r="M914" t="s">
        <v>11070</v>
      </c>
      <c r="N914" t="s">
        <v>10904</v>
      </c>
      <c r="O914" t="s">
        <v>11227</v>
      </c>
      <c r="P914" t="s">
        <v>9420</v>
      </c>
      <c r="Q914" t="s">
        <v>9421</v>
      </c>
      <c r="R914" t="s">
        <v>17</v>
      </c>
      <c r="S914" t="s">
        <v>11224</v>
      </c>
      <c r="T914" t="s">
        <v>11228</v>
      </c>
    </row>
    <row r="915" spans="1:20">
      <c r="A915" t="s">
        <v>7812</v>
      </c>
      <c r="B915" t="s">
        <v>9409</v>
      </c>
      <c r="C915" t="s">
        <v>7815</v>
      </c>
      <c r="D915" t="s">
        <v>9410</v>
      </c>
      <c r="E915" t="s">
        <v>11229</v>
      </c>
      <c r="F915" t="s">
        <v>9412</v>
      </c>
      <c r="G915" t="s">
        <v>9413</v>
      </c>
      <c r="H915" t="s">
        <v>10876</v>
      </c>
      <c r="I915" t="s">
        <v>9466</v>
      </c>
      <c r="J915" t="s">
        <v>3013</v>
      </c>
      <c r="K915" t="s">
        <v>9416</v>
      </c>
      <c r="L915" t="s">
        <v>9417</v>
      </c>
      <c r="M915" t="s">
        <v>11186</v>
      </c>
      <c r="N915" t="s">
        <v>10892</v>
      </c>
      <c r="O915" t="s">
        <v>7813</v>
      </c>
      <c r="P915" t="s">
        <v>9623</v>
      </c>
      <c r="Q915" t="s">
        <v>9421</v>
      </c>
      <c r="R915" t="s">
        <v>24</v>
      </c>
      <c r="S915" t="s">
        <v>7812</v>
      </c>
      <c r="T915" t="s">
        <v>11230</v>
      </c>
    </row>
    <row r="916" spans="1:20">
      <c r="A916" t="s">
        <v>2297</v>
      </c>
      <c r="B916" t="s">
        <v>62</v>
      </c>
      <c r="C916" t="s">
        <v>6975</v>
      </c>
      <c r="D916" t="s">
        <v>9448</v>
      </c>
      <c r="E916" t="s">
        <v>11231</v>
      </c>
      <c r="F916" t="s">
        <v>9412</v>
      </c>
      <c r="G916" t="s">
        <v>9413</v>
      </c>
      <c r="H916" t="s">
        <v>11232</v>
      </c>
      <c r="I916" t="s">
        <v>9787</v>
      </c>
      <c r="J916" t="s">
        <v>2232</v>
      </c>
      <c r="K916" t="s">
        <v>9416</v>
      </c>
      <c r="L916" t="s">
        <v>9417</v>
      </c>
      <c r="M916" t="s">
        <v>10882</v>
      </c>
      <c r="N916" t="s">
        <v>10919</v>
      </c>
      <c r="O916" t="s">
        <v>6977</v>
      </c>
      <c r="P916" t="s">
        <v>9623</v>
      </c>
      <c r="Q916" t="s">
        <v>9421</v>
      </c>
      <c r="R916" t="s">
        <v>24</v>
      </c>
      <c r="S916" t="s">
        <v>2297</v>
      </c>
      <c r="T916" t="s">
        <v>2300</v>
      </c>
    </row>
    <row r="917" spans="1:20">
      <c r="A917" t="s">
        <v>2297</v>
      </c>
      <c r="B917" t="s">
        <v>62</v>
      </c>
      <c r="C917" t="s">
        <v>6975</v>
      </c>
      <c r="D917" t="s">
        <v>9448</v>
      </c>
      <c r="E917" t="s">
        <v>11231</v>
      </c>
      <c r="F917" t="s">
        <v>9412</v>
      </c>
      <c r="G917" t="s">
        <v>9413</v>
      </c>
      <c r="H917" t="s">
        <v>11232</v>
      </c>
      <c r="I917" t="s">
        <v>9787</v>
      </c>
      <c r="J917" t="s">
        <v>2232</v>
      </c>
      <c r="K917" t="s">
        <v>9445</v>
      </c>
      <c r="L917" t="s">
        <v>9417</v>
      </c>
      <c r="M917" t="s">
        <v>10882</v>
      </c>
      <c r="N917" t="s">
        <v>9426</v>
      </c>
      <c r="O917" t="s">
        <v>9446</v>
      </c>
      <c r="P917" t="s">
        <v>9479</v>
      </c>
      <c r="Q917" t="s">
        <v>9421</v>
      </c>
      <c r="R917" t="s">
        <v>43</v>
      </c>
      <c r="S917" t="s">
        <v>2238</v>
      </c>
      <c r="T917" t="s">
        <v>2240</v>
      </c>
    </row>
    <row r="918" spans="1:20">
      <c r="A918" t="s">
        <v>3097</v>
      </c>
      <c r="B918" t="s">
        <v>20</v>
      </c>
      <c r="C918" t="s">
        <v>7817</v>
      </c>
      <c r="D918" t="s">
        <v>9666</v>
      </c>
      <c r="E918" t="s">
        <v>11233</v>
      </c>
      <c r="F918" t="s">
        <v>9412</v>
      </c>
      <c r="G918" t="s">
        <v>9413</v>
      </c>
      <c r="H918" t="s">
        <v>10876</v>
      </c>
      <c r="I918" t="s">
        <v>9720</v>
      </c>
      <c r="J918" t="s">
        <v>3013</v>
      </c>
      <c r="K918" t="s">
        <v>9416</v>
      </c>
      <c r="L918" t="s">
        <v>9417</v>
      </c>
      <c r="M918" t="s">
        <v>11186</v>
      </c>
      <c r="N918" t="s">
        <v>10892</v>
      </c>
      <c r="O918" t="s">
        <v>7819</v>
      </c>
      <c r="P918" t="s">
        <v>9420</v>
      </c>
      <c r="Q918" t="s">
        <v>9421</v>
      </c>
      <c r="R918" t="s">
        <v>17</v>
      </c>
      <c r="S918" t="s">
        <v>3097</v>
      </c>
      <c r="T918" t="s">
        <v>3100</v>
      </c>
    </row>
    <row r="919" spans="1:20">
      <c r="A919" t="s">
        <v>3097</v>
      </c>
      <c r="B919" t="s">
        <v>20</v>
      </c>
      <c r="C919" t="s">
        <v>7817</v>
      </c>
      <c r="D919" t="s">
        <v>9666</v>
      </c>
      <c r="E919" t="s">
        <v>11233</v>
      </c>
      <c r="F919" t="s">
        <v>9412</v>
      </c>
      <c r="G919" t="s">
        <v>9413</v>
      </c>
      <c r="H919" t="s">
        <v>10876</v>
      </c>
      <c r="I919" t="s">
        <v>9720</v>
      </c>
      <c r="J919" t="s">
        <v>3013</v>
      </c>
      <c r="K919" t="s">
        <v>9445</v>
      </c>
      <c r="L919" t="s">
        <v>9417</v>
      </c>
      <c r="M919" t="s">
        <v>11186</v>
      </c>
      <c r="N919" t="s">
        <v>9426</v>
      </c>
      <c r="O919" t="s">
        <v>9446</v>
      </c>
      <c r="P919" t="s">
        <v>9567</v>
      </c>
      <c r="Q919" t="s">
        <v>9421</v>
      </c>
      <c r="R919" t="s">
        <v>43</v>
      </c>
      <c r="S919" t="s">
        <v>2323</v>
      </c>
      <c r="T919" t="s">
        <v>2325</v>
      </c>
    </row>
    <row r="920" spans="1:20">
      <c r="A920" t="s">
        <v>11234</v>
      </c>
      <c r="B920" t="s">
        <v>9409</v>
      </c>
      <c r="C920" t="s">
        <v>11235</v>
      </c>
      <c r="D920" t="s">
        <v>9410</v>
      </c>
      <c r="E920" t="s">
        <v>11236</v>
      </c>
      <c r="F920" t="s">
        <v>9412</v>
      </c>
      <c r="G920" t="s">
        <v>9413</v>
      </c>
      <c r="H920" t="s">
        <v>10876</v>
      </c>
      <c r="I920" t="s">
        <v>9922</v>
      </c>
      <c r="J920" t="s">
        <v>2314</v>
      </c>
      <c r="K920" t="s">
        <v>9416</v>
      </c>
      <c r="L920" t="s">
        <v>9417</v>
      </c>
      <c r="M920" t="s">
        <v>10896</v>
      </c>
      <c r="N920" t="s">
        <v>10879</v>
      </c>
      <c r="O920" t="s">
        <v>11237</v>
      </c>
      <c r="P920" t="s">
        <v>9420</v>
      </c>
      <c r="Q920" t="s">
        <v>9421</v>
      </c>
      <c r="R920" t="s">
        <v>17</v>
      </c>
      <c r="S920" t="s">
        <v>11238</v>
      </c>
      <c r="T920" t="s">
        <v>11239</v>
      </c>
    </row>
    <row r="921" spans="1:20">
      <c r="A921" t="s">
        <v>2794</v>
      </c>
      <c r="B921" t="s">
        <v>20</v>
      </c>
      <c r="C921" t="s">
        <v>7440</v>
      </c>
      <c r="D921" t="s">
        <v>9475</v>
      </c>
      <c r="E921" t="s">
        <v>11240</v>
      </c>
      <c r="F921" t="s">
        <v>9412</v>
      </c>
      <c r="G921" t="s">
        <v>9413</v>
      </c>
      <c r="H921" t="s">
        <v>10876</v>
      </c>
      <c r="I921" t="s">
        <v>9518</v>
      </c>
      <c r="J921" t="s">
        <v>2693</v>
      </c>
      <c r="K921" t="s">
        <v>9416</v>
      </c>
      <c r="L921" t="s">
        <v>9417</v>
      </c>
      <c r="M921" t="s">
        <v>11241</v>
      </c>
      <c r="N921" t="s">
        <v>10904</v>
      </c>
      <c r="O921" t="s">
        <v>7439</v>
      </c>
      <c r="P921" t="s">
        <v>9420</v>
      </c>
      <c r="Q921" t="s">
        <v>9421</v>
      </c>
      <c r="R921" t="s">
        <v>17</v>
      </c>
      <c r="S921" t="s">
        <v>2795</v>
      </c>
      <c r="T921" t="s">
        <v>2797</v>
      </c>
    </row>
    <row r="922" spans="1:20">
      <c r="A922" t="s">
        <v>11242</v>
      </c>
      <c r="B922" t="s">
        <v>9409</v>
      </c>
      <c r="C922" t="s">
        <v>11243</v>
      </c>
      <c r="D922" t="s">
        <v>9410</v>
      </c>
      <c r="E922" t="s">
        <v>11244</v>
      </c>
      <c r="F922" t="s">
        <v>9412</v>
      </c>
      <c r="G922" t="s">
        <v>9413</v>
      </c>
      <c r="H922" t="s">
        <v>10876</v>
      </c>
      <c r="I922" t="s">
        <v>9477</v>
      </c>
      <c r="J922" t="s">
        <v>3013</v>
      </c>
      <c r="K922" t="s">
        <v>9416</v>
      </c>
      <c r="L922" t="s">
        <v>9417</v>
      </c>
      <c r="M922" t="s">
        <v>11079</v>
      </c>
      <c r="N922" t="s">
        <v>10892</v>
      </c>
      <c r="O922" t="s">
        <v>11245</v>
      </c>
      <c r="P922" t="s">
        <v>9420</v>
      </c>
      <c r="Q922" t="s">
        <v>9421</v>
      </c>
      <c r="R922" t="s">
        <v>17</v>
      </c>
      <c r="S922" t="s">
        <v>11242</v>
      </c>
      <c r="T922" t="s">
        <v>11246</v>
      </c>
    </row>
    <row r="923" spans="1:20">
      <c r="A923" t="s">
        <v>11242</v>
      </c>
      <c r="B923" t="s">
        <v>9409</v>
      </c>
      <c r="C923" t="s">
        <v>11243</v>
      </c>
      <c r="D923" t="s">
        <v>9410</v>
      </c>
      <c r="E923" t="s">
        <v>11244</v>
      </c>
      <c r="F923" t="s">
        <v>9412</v>
      </c>
      <c r="G923" t="s">
        <v>9413</v>
      </c>
      <c r="H923" t="s">
        <v>10876</v>
      </c>
      <c r="I923" t="s">
        <v>9477</v>
      </c>
      <c r="J923" t="s">
        <v>3013</v>
      </c>
      <c r="K923" t="s">
        <v>9416</v>
      </c>
      <c r="L923" t="s">
        <v>9417</v>
      </c>
      <c r="M923" t="s">
        <v>11079</v>
      </c>
      <c r="N923" t="s">
        <v>10892</v>
      </c>
      <c r="O923" t="s">
        <v>11247</v>
      </c>
      <c r="P923" t="s">
        <v>9429</v>
      </c>
      <c r="Q923" t="s">
        <v>9421</v>
      </c>
      <c r="R923" t="s">
        <v>52</v>
      </c>
      <c r="S923" t="s">
        <v>11248</v>
      </c>
      <c r="T923" t="s">
        <v>11249</v>
      </c>
    </row>
    <row r="924" spans="1:20">
      <c r="A924" t="s">
        <v>7673</v>
      </c>
      <c r="B924" t="s">
        <v>9409</v>
      </c>
      <c r="C924" t="s">
        <v>7676</v>
      </c>
      <c r="D924" t="s">
        <v>9410</v>
      </c>
      <c r="E924" t="s">
        <v>11250</v>
      </c>
      <c r="F924" t="s">
        <v>9412</v>
      </c>
      <c r="G924" t="s">
        <v>9413</v>
      </c>
      <c r="H924" t="s">
        <v>10876</v>
      </c>
      <c r="I924" t="s">
        <v>10177</v>
      </c>
      <c r="J924" t="s">
        <v>2926</v>
      </c>
      <c r="K924" t="s">
        <v>9416</v>
      </c>
      <c r="L924" t="s">
        <v>9417</v>
      </c>
      <c r="M924" t="s">
        <v>11076</v>
      </c>
      <c r="N924" t="s">
        <v>10908</v>
      </c>
      <c r="O924" t="s">
        <v>7674</v>
      </c>
      <c r="P924" t="s">
        <v>9420</v>
      </c>
      <c r="Q924" t="s">
        <v>9421</v>
      </c>
      <c r="R924" t="s">
        <v>17</v>
      </c>
      <c r="S924" t="s">
        <v>7673</v>
      </c>
      <c r="T924" t="s">
        <v>11251</v>
      </c>
    </row>
    <row r="925" spans="1:20">
      <c r="A925" t="s">
        <v>7673</v>
      </c>
      <c r="B925" t="s">
        <v>9409</v>
      </c>
      <c r="C925" t="s">
        <v>7676</v>
      </c>
      <c r="D925" t="s">
        <v>9410</v>
      </c>
      <c r="E925" t="s">
        <v>11250</v>
      </c>
      <c r="F925" t="s">
        <v>9412</v>
      </c>
      <c r="G925" t="s">
        <v>9413</v>
      </c>
      <c r="H925" t="s">
        <v>10876</v>
      </c>
      <c r="I925" t="s">
        <v>10177</v>
      </c>
      <c r="J925" t="s">
        <v>2926</v>
      </c>
      <c r="K925" t="s">
        <v>9416</v>
      </c>
      <c r="L925" t="s">
        <v>9417</v>
      </c>
      <c r="M925" t="s">
        <v>11076</v>
      </c>
      <c r="N925" t="s">
        <v>9430</v>
      </c>
      <c r="O925" t="s">
        <v>7679</v>
      </c>
      <c r="P925" t="s">
        <v>10988</v>
      </c>
      <c r="Q925" t="s">
        <v>9421</v>
      </c>
      <c r="R925" t="s">
        <v>43</v>
      </c>
      <c r="S925" t="s">
        <v>7678</v>
      </c>
      <c r="T925" t="s">
        <v>11252</v>
      </c>
    </row>
    <row r="926" spans="1:20">
      <c r="A926" t="s">
        <v>2974</v>
      </c>
      <c r="B926" t="s">
        <v>62</v>
      </c>
      <c r="C926" t="s">
        <v>7683</v>
      </c>
      <c r="D926" t="s">
        <v>9448</v>
      </c>
      <c r="E926" t="s">
        <v>11253</v>
      </c>
      <c r="F926" t="s">
        <v>9412</v>
      </c>
      <c r="G926" t="s">
        <v>9413</v>
      </c>
      <c r="H926" t="s">
        <v>10876</v>
      </c>
      <c r="I926" t="s">
        <v>9472</v>
      </c>
      <c r="J926" t="s">
        <v>2926</v>
      </c>
      <c r="K926" t="s">
        <v>9445</v>
      </c>
      <c r="L926" t="s">
        <v>9417</v>
      </c>
      <c r="M926" t="s">
        <v>10954</v>
      </c>
      <c r="N926" t="s">
        <v>9430</v>
      </c>
      <c r="O926" t="s">
        <v>9446</v>
      </c>
      <c r="P926" t="s">
        <v>9431</v>
      </c>
      <c r="Q926" t="s">
        <v>9421</v>
      </c>
      <c r="R926" t="s">
        <v>43</v>
      </c>
      <c r="S926" t="s">
        <v>2964</v>
      </c>
      <c r="T926" t="s">
        <v>2966</v>
      </c>
    </row>
    <row r="927" spans="1:20">
      <c r="A927" t="s">
        <v>2974</v>
      </c>
      <c r="B927" t="s">
        <v>62</v>
      </c>
      <c r="C927" t="s">
        <v>7683</v>
      </c>
      <c r="D927" t="s">
        <v>9448</v>
      </c>
      <c r="E927" t="s">
        <v>11253</v>
      </c>
      <c r="F927" t="s">
        <v>9412</v>
      </c>
      <c r="G927" t="s">
        <v>9413</v>
      </c>
      <c r="H927" t="s">
        <v>10876</v>
      </c>
      <c r="I927" t="s">
        <v>9472</v>
      </c>
      <c r="J927" t="s">
        <v>2926</v>
      </c>
      <c r="K927" t="s">
        <v>9416</v>
      </c>
      <c r="L927" t="s">
        <v>9417</v>
      </c>
      <c r="M927" t="s">
        <v>10954</v>
      </c>
      <c r="N927" t="s">
        <v>9430</v>
      </c>
      <c r="O927" t="s">
        <v>7681</v>
      </c>
      <c r="P927" t="s">
        <v>9474</v>
      </c>
      <c r="Q927" t="s">
        <v>9421</v>
      </c>
      <c r="R927" t="s">
        <v>43</v>
      </c>
      <c r="S927" t="s">
        <v>2975</v>
      </c>
      <c r="T927" t="s">
        <v>2977</v>
      </c>
    </row>
    <row r="928" spans="1:20">
      <c r="A928" t="s">
        <v>2974</v>
      </c>
      <c r="B928" t="s">
        <v>62</v>
      </c>
      <c r="C928" t="s">
        <v>7683</v>
      </c>
      <c r="D928" t="s">
        <v>9448</v>
      </c>
      <c r="E928" t="s">
        <v>11253</v>
      </c>
      <c r="F928" t="s">
        <v>9412</v>
      </c>
      <c r="G928" t="s">
        <v>9413</v>
      </c>
      <c r="H928" t="s">
        <v>10876</v>
      </c>
      <c r="I928" t="s">
        <v>9472</v>
      </c>
      <c r="J928" t="s">
        <v>2926</v>
      </c>
      <c r="K928" t="s">
        <v>9416</v>
      </c>
      <c r="L928" t="s">
        <v>9417</v>
      </c>
      <c r="M928" t="s">
        <v>10954</v>
      </c>
      <c r="N928" t="s">
        <v>10908</v>
      </c>
      <c r="O928" t="s">
        <v>7660</v>
      </c>
      <c r="P928" t="s">
        <v>9429</v>
      </c>
      <c r="Q928" t="s">
        <v>9421</v>
      </c>
      <c r="R928" t="s">
        <v>52</v>
      </c>
      <c r="S928" t="s">
        <v>2979</v>
      </c>
      <c r="T928" t="s">
        <v>2981</v>
      </c>
    </row>
    <row r="929" spans="1:20">
      <c r="A929" t="s">
        <v>11254</v>
      </c>
      <c r="B929" t="s">
        <v>9409</v>
      </c>
      <c r="C929" t="s">
        <v>11255</v>
      </c>
      <c r="D929" t="s">
        <v>9410</v>
      </c>
      <c r="E929" t="s">
        <v>11256</v>
      </c>
      <c r="F929" t="s">
        <v>9412</v>
      </c>
      <c r="G929" t="s">
        <v>9413</v>
      </c>
      <c r="H929" t="s">
        <v>10876</v>
      </c>
      <c r="I929" t="s">
        <v>9518</v>
      </c>
      <c r="J929" t="s">
        <v>2926</v>
      </c>
      <c r="K929" t="s">
        <v>9416</v>
      </c>
      <c r="L929" t="s">
        <v>9417</v>
      </c>
      <c r="M929" t="s">
        <v>11162</v>
      </c>
      <c r="N929" t="s">
        <v>9430</v>
      </c>
      <c r="O929" t="s">
        <v>7637</v>
      </c>
      <c r="P929" t="s">
        <v>9550</v>
      </c>
      <c r="Q929" t="s">
        <v>9421</v>
      </c>
      <c r="R929" t="s">
        <v>84</v>
      </c>
      <c r="S929" t="s">
        <v>2951</v>
      </c>
      <c r="T929" t="s">
        <v>2953</v>
      </c>
    </row>
    <row r="930" spans="1:20">
      <c r="A930" t="s">
        <v>11254</v>
      </c>
      <c r="B930" t="s">
        <v>9409</v>
      </c>
      <c r="C930" t="s">
        <v>11255</v>
      </c>
      <c r="D930" t="s">
        <v>9410</v>
      </c>
      <c r="E930" t="s">
        <v>11256</v>
      </c>
      <c r="F930" t="s">
        <v>9412</v>
      </c>
      <c r="G930" t="s">
        <v>9413</v>
      </c>
      <c r="H930" t="s">
        <v>10876</v>
      </c>
      <c r="I930" t="s">
        <v>9518</v>
      </c>
      <c r="J930" t="s">
        <v>2926</v>
      </c>
      <c r="K930" t="s">
        <v>9416</v>
      </c>
      <c r="L930" t="s">
        <v>9417</v>
      </c>
      <c r="M930" t="s">
        <v>11162</v>
      </c>
      <c r="N930" t="s">
        <v>10908</v>
      </c>
      <c r="O930" t="s">
        <v>11257</v>
      </c>
      <c r="P930" t="s">
        <v>9420</v>
      </c>
      <c r="Q930" t="s">
        <v>9421</v>
      </c>
      <c r="R930" t="s">
        <v>17</v>
      </c>
      <c r="S930" t="s">
        <v>11254</v>
      </c>
      <c r="T930" t="s">
        <v>11258</v>
      </c>
    </row>
    <row r="931" spans="1:20">
      <c r="A931" t="s">
        <v>7085</v>
      </c>
      <c r="B931" t="s">
        <v>9409</v>
      </c>
      <c r="C931" t="s">
        <v>7089</v>
      </c>
      <c r="D931" t="s">
        <v>9410</v>
      </c>
      <c r="E931" t="s">
        <v>11259</v>
      </c>
      <c r="F931" t="s">
        <v>9412</v>
      </c>
      <c r="G931" t="s">
        <v>9413</v>
      </c>
      <c r="H931" t="s">
        <v>10876</v>
      </c>
      <c r="I931" t="s">
        <v>9628</v>
      </c>
      <c r="J931" t="s">
        <v>2314</v>
      </c>
      <c r="K931" t="s">
        <v>9416</v>
      </c>
      <c r="L931" t="s">
        <v>9417</v>
      </c>
      <c r="M931" t="s">
        <v>11047</v>
      </c>
      <c r="N931" t="s">
        <v>10879</v>
      </c>
      <c r="O931" t="s">
        <v>7087</v>
      </c>
      <c r="P931" t="s">
        <v>9526</v>
      </c>
      <c r="Q931" t="s">
        <v>9421</v>
      </c>
      <c r="R931" t="s">
        <v>17</v>
      </c>
      <c r="S931" t="s">
        <v>7086</v>
      </c>
      <c r="T931" t="s">
        <v>11260</v>
      </c>
    </row>
    <row r="932" spans="1:20">
      <c r="A932" t="s">
        <v>7085</v>
      </c>
      <c r="B932" t="s">
        <v>9409</v>
      </c>
      <c r="C932" t="s">
        <v>7089</v>
      </c>
      <c r="D932" t="s">
        <v>9410</v>
      </c>
      <c r="E932" t="s">
        <v>11259</v>
      </c>
      <c r="F932" t="s">
        <v>9412</v>
      </c>
      <c r="G932" t="s">
        <v>9413</v>
      </c>
      <c r="H932" t="s">
        <v>10876</v>
      </c>
      <c r="I932" t="s">
        <v>9628</v>
      </c>
      <c r="J932" t="s">
        <v>2314</v>
      </c>
      <c r="K932" t="s">
        <v>9416</v>
      </c>
      <c r="L932" t="s">
        <v>9417</v>
      </c>
      <c r="M932" t="s">
        <v>11047</v>
      </c>
      <c r="N932" t="s">
        <v>10879</v>
      </c>
      <c r="O932" t="s">
        <v>7091</v>
      </c>
      <c r="P932" t="s">
        <v>9420</v>
      </c>
      <c r="Q932" t="s">
        <v>9421</v>
      </c>
      <c r="R932" t="s">
        <v>17</v>
      </c>
      <c r="S932" t="s">
        <v>7085</v>
      </c>
      <c r="T932" t="s">
        <v>11261</v>
      </c>
    </row>
    <row r="933" spans="1:20">
      <c r="A933" t="s">
        <v>2799</v>
      </c>
      <c r="B933" t="s">
        <v>20</v>
      </c>
      <c r="C933" t="s">
        <v>7444</v>
      </c>
      <c r="D933" t="s">
        <v>9666</v>
      </c>
      <c r="E933" t="s">
        <v>11262</v>
      </c>
      <c r="F933" t="s">
        <v>9412</v>
      </c>
      <c r="G933" t="s">
        <v>9413</v>
      </c>
      <c r="H933" t="s">
        <v>10876</v>
      </c>
      <c r="I933" t="s">
        <v>10302</v>
      </c>
      <c r="J933" t="s">
        <v>2693</v>
      </c>
      <c r="K933" t="s">
        <v>9416</v>
      </c>
      <c r="L933" t="s">
        <v>9417</v>
      </c>
      <c r="M933" t="s">
        <v>11241</v>
      </c>
      <c r="N933" t="s">
        <v>10904</v>
      </c>
      <c r="O933" t="s">
        <v>7442</v>
      </c>
      <c r="P933" t="s">
        <v>9459</v>
      </c>
      <c r="Q933" t="s">
        <v>9421</v>
      </c>
      <c r="R933" t="s">
        <v>17</v>
      </c>
      <c r="S933" t="s">
        <v>2799</v>
      </c>
      <c r="T933" t="s">
        <v>2801</v>
      </c>
    </row>
    <row r="934" spans="1:20">
      <c r="A934" t="s">
        <v>2982</v>
      </c>
      <c r="B934" t="s">
        <v>62</v>
      </c>
      <c r="C934" t="s">
        <v>7687</v>
      </c>
      <c r="D934" t="s">
        <v>9448</v>
      </c>
      <c r="E934" t="s">
        <v>11263</v>
      </c>
      <c r="F934" t="s">
        <v>9412</v>
      </c>
      <c r="G934" t="s">
        <v>9413</v>
      </c>
      <c r="H934" t="s">
        <v>10876</v>
      </c>
      <c r="I934" t="s">
        <v>9766</v>
      </c>
      <c r="J934" t="s">
        <v>2926</v>
      </c>
      <c r="K934" t="s">
        <v>9445</v>
      </c>
      <c r="L934" t="s">
        <v>9417</v>
      </c>
      <c r="M934" t="s">
        <v>10907</v>
      </c>
      <c r="N934" t="s">
        <v>9426</v>
      </c>
      <c r="O934" t="s">
        <v>9446</v>
      </c>
      <c r="P934" t="s">
        <v>9567</v>
      </c>
      <c r="Q934" t="s">
        <v>9421</v>
      </c>
      <c r="R934" t="s">
        <v>24</v>
      </c>
      <c r="S934" t="s">
        <v>2772</v>
      </c>
      <c r="T934" t="s">
        <v>2774</v>
      </c>
    </row>
    <row r="935" spans="1:20">
      <c r="A935" t="s">
        <v>2982</v>
      </c>
      <c r="B935" t="s">
        <v>62</v>
      </c>
      <c r="C935" t="s">
        <v>7687</v>
      </c>
      <c r="D935" t="s">
        <v>9448</v>
      </c>
      <c r="E935" t="s">
        <v>11263</v>
      </c>
      <c r="F935" t="s">
        <v>9412</v>
      </c>
      <c r="G935" t="s">
        <v>9413</v>
      </c>
      <c r="H935" t="s">
        <v>10876</v>
      </c>
      <c r="I935" t="s">
        <v>9766</v>
      </c>
      <c r="J935" t="s">
        <v>2926</v>
      </c>
      <c r="K935" t="s">
        <v>9416</v>
      </c>
      <c r="L935" t="s">
        <v>9417</v>
      </c>
      <c r="M935" t="s">
        <v>10907</v>
      </c>
      <c r="N935" t="s">
        <v>10908</v>
      </c>
      <c r="O935" t="s">
        <v>7685</v>
      </c>
      <c r="P935" t="s">
        <v>9420</v>
      </c>
      <c r="Q935" t="s">
        <v>9421</v>
      </c>
      <c r="R935" t="s">
        <v>17</v>
      </c>
      <c r="S935" t="s">
        <v>2982</v>
      </c>
      <c r="T935" t="s">
        <v>2984</v>
      </c>
    </row>
    <row r="936" spans="1:20">
      <c r="A936" t="s">
        <v>7581</v>
      </c>
      <c r="B936" t="s">
        <v>9409</v>
      </c>
      <c r="C936" t="s">
        <v>7584</v>
      </c>
      <c r="D936" t="s">
        <v>9410</v>
      </c>
      <c r="E936" t="s">
        <v>11264</v>
      </c>
      <c r="F936" t="s">
        <v>9412</v>
      </c>
      <c r="G936" t="s">
        <v>9413</v>
      </c>
      <c r="H936" t="s">
        <v>10876</v>
      </c>
      <c r="I936" t="s">
        <v>9482</v>
      </c>
      <c r="J936" t="s">
        <v>2861</v>
      </c>
      <c r="K936" t="s">
        <v>9416</v>
      </c>
      <c r="L936" t="s">
        <v>9417</v>
      </c>
      <c r="M936" t="s">
        <v>10899</v>
      </c>
      <c r="N936" t="s">
        <v>10900</v>
      </c>
      <c r="O936" t="s">
        <v>7582</v>
      </c>
      <c r="P936" t="s">
        <v>11265</v>
      </c>
      <c r="Q936" t="s">
        <v>9421</v>
      </c>
      <c r="R936" t="s">
        <v>24</v>
      </c>
      <c r="S936" t="s">
        <v>7581</v>
      </c>
      <c r="T936" t="s">
        <v>11266</v>
      </c>
    </row>
    <row r="937" spans="1:20">
      <c r="A937" t="s">
        <v>2803</v>
      </c>
      <c r="B937" t="s">
        <v>20</v>
      </c>
      <c r="C937" t="s">
        <v>2804</v>
      </c>
      <c r="D937" t="s">
        <v>9464</v>
      </c>
      <c r="E937" t="s">
        <v>11267</v>
      </c>
      <c r="F937" t="s">
        <v>9412</v>
      </c>
      <c r="G937" t="s">
        <v>9413</v>
      </c>
      <c r="H937" t="s">
        <v>2233</v>
      </c>
      <c r="I937" t="s">
        <v>9482</v>
      </c>
      <c r="J937" t="s">
        <v>2693</v>
      </c>
      <c r="K937" t="s">
        <v>9416</v>
      </c>
      <c r="L937" t="s">
        <v>9417</v>
      </c>
      <c r="M937" t="s">
        <v>11070</v>
      </c>
      <c r="N937" t="s">
        <v>10904</v>
      </c>
      <c r="O937" t="s">
        <v>7417</v>
      </c>
      <c r="P937" t="s">
        <v>9623</v>
      </c>
      <c r="Q937" t="s">
        <v>9421</v>
      </c>
      <c r="R937" t="s">
        <v>24</v>
      </c>
      <c r="S937" t="s">
        <v>2768</v>
      </c>
      <c r="T937" t="s">
        <v>2770</v>
      </c>
    </row>
    <row r="938" spans="1:20">
      <c r="A938" t="s">
        <v>11268</v>
      </c>
      <c r="B938" t="s">
        <v>9409</v>
      </c>
      <c r="C938" t="s">
        <v>11269</v>
      </c>
      <c r="D938" t="s">
        <v>9410</v>
      </c>
      <c r="E938" t="s">
        <v>11270</v>
      </c>
      <c r="F938" t="s">
        <v>9412</v>
      </c>
      <c r="G938" t="s">
        <v>9413</v>
      </c>
      <c r="H938" t="s">
        <v>10876</v>
      </c>
      <c r="I938" t="s">
        <v>9482</v>
      </c>
      <c r="J938" t="s">
        <v>2693</v>
      </c>
      <c r="K938" t="s">
        <v>9445</v>
      </c>
      <c r="L938" t="s">
        <v>9417</v>
      </c>
      <c r="M938" t="s">
        <v>11070</v>
      </c>
      <c r="N938" t="s">
        <v>9426</v>
      </c>
      <c r="O938" t="s">
        <v>9446</v>
      </c>
      <c r="P938" t="s">
        <v>9567</v>
      </c>
      <c r="Q938" t="s">
        <v>9421</v>
      </c>
      <c r="R938" t="s">
        <v>43</v>
      </c>
      <c r="S938" t="s">
        <v>2504</v>
      </c>
      <c r="T938" t="s">
        <v>2506</v>
      </c>
    </row>
    <row r="939" spans="1:20">
      <c r="A939" t="s">
        <v>11268</v>
      </c>
      <c r="B939" t="s">
        <v>9409</v>
      </c>
      <c r="C939" t="s">
        <v>11269</v>
      </c>
      <c r="D939" t="s">
        <v>9410</v>
      </c>
      <c r="E939" t="s">
        <v>11270</v>
      </c>
      <c r="F939" t="s">
        <v>9412</v>
      </c>
      <c r="G939" t="s">
        <v>9413</v>
      </c>
      <c r="H939" t="s">
        <v>10876</v>
      </c>
      <c r="I939" t="s">
        <v>9482</v>
      </c>
      <c r="J939" t="s">
        <v>2693</v>
      </c>
      <c r="K939" t="s">
        <v>9416</v>
      </c>
      <c r="L939" t="s">
        <v>9417</v>
      </c>
      <c r="M939" t="s">
        <v>11070</v>
      </c>
      <c r="N939" t="s">
        <v>9430</v>
      </c>
      <c r="O939" t="s">
        <v>11271</v>
      </c>
      <c r="P939" t="s">
        <v>11272</v>
      </c>
      <c r="Q939" t="s">
        <v>9421</v>
      </c>
      <c r="R939" t="s">
        <v>17</v>
      </c>
      <c r="S939" t="s">
        <v>11273</v>
      </c>
      <c r="T939" t="s">
        <v>11274</v>
      </c>
    </row>
    <row r="940" spans="1:20">
      <c r="A940" t="s">
        <v>3101</v>
      </c>
      <c r="B940" t="s">
        <v>62</v>
      </c>
      <c r="C940" t="s">
        <v>7820</v>
      </c>
      <c r="D940" t="s">
        <v>9448</v>
      </c>
      <c r="E940" t="s">
        <v>11275</v>
      </c>
      <c r="F940" t="s">
        <v>9412</v>
      </c>
      <c r="G940" t="s">
        <v>9413</v>
      </c>
      <c r="H940" t="s">
        <v>10876</v>
      </c>
      <c r="I940" t="s">
        <v>11276</v>
      </c>
      <c r="J940" t="s">
        <v>3013</v>
      </c>
      <c r="K940" t="s">
        <v>9445</v>
      </c>
      <c r="L940" t="s">
        <v>9417</v>
      </c>
      <c r="M940" t="s">
        <v>11186</v>
      </c>
      <c r="N940" t="s">
        <v>9426</v>
      </c>
      <c r="O940" t="s">
        <v>9446</v>
      </c>
      <c r="P940" t="s">
        <v>9647</v>
      </c>
      <c r="Q940" t="s">
        <v>9421</v>
      </c>
      <c r="R940" t="s">
        <v>84</v>
      </c>
      <c r="S940" t="s">
        <v>2943</v>
      </c>
      <c r="T940" t="s">
        <v>2945</v>
      </c>
    </row>
    <row r="941" spans="1:20">
      <c r="A941" t="s">
        <v>3101</v>
      </c>
      <c r="B941" t="s">
        <v>62</v>
      </c>
      <c r="C941" t="s">
        <v>7820</v>
      </c>
      <c r="D941" t="s">
        <v>9448</v>
      </c>
      <c r="E941" t="s">
        <v>11275</v>
      </c>
      <c r="F941" t="s">
        <v>9412</v>
      </c>
      <c r="G941" t="s">
        <v>9413</v>
      </c>
      <c r="H941" t="s">
        <v>10876</v>
      </c>
      <c r="I941" t="s">
        <v>11276</v>
      </c>
      <c r="J941" t="s">
        <v>3013</v>
      </c>
      <c r="K941" t="s">
        <v>9416</v>
      </c>
      <c r="L941" t="s">
        <v>9417</v>
      </c>
      <c r="M941" t="s">
        <v>11186</v>
      </c>
      <c r="N941" t="s">
        <v>9446</v>
      </c>
      <c r="O941" t="s">
        <v>7822</v>
      </c>
      <c r="P941" t="s">
        <v>9647</v>
      </c>
      <c r="Q941" t="s">
        <v>9421</v>
      </c>
      <c r="R941" t="s">
        <v>84</v>
      </c>
      <c r="S941" t="s">
        <v>3102</v>
      </c>
      <c r="T941" t="s">
        <v>3104</v>
      </c>
    </row>
    <row r="942" spans="1:20">
      <c r="A942" t="s">
        <v>3101</v>
      </c>
      <c r="B942" t="s">
        <v>62</v>
      </c>
      <c r="C942" t="s">
        <v>7820</v>
      </c>
      <c r="D942" t="s">
        <v>9448</v>
      </c>
      <c r="E942" t="s">
        <v>11275</v>
      </c>
      <c r="F942" t="s">
        <v>9412</v>
      </c>
      <c r="G942" t="s">
        <v>9413</v>
      </c>
      <c r="H942" t="s">
        <v>10876</v>
      </c>
      <c r="I942" t="s">
        <v>11276</v>
      </c>
      <c r="J942" t="s">
        <v>3013</v>
      </c>
      <c r="K942" t="s">
        <v>9416</v>
      </c>
      <c r="L942" t="s">
        <v>9417</v>
      </c>
      <c r="M942" t="s">
        <v>11186</v>
      </c>
      <c r="N942" t="s">
        <v>10892</v>
      </c>
      <c r="O942" t="s">
        <v>7824</v>
      </c>
      <c r="P942" t="s">
        <v>9429</v>
      </c>
      <c r="Q942" t="s">
        <v>9421</v>
      </c>
      <c r="R942" t="s">
        <v>52</v>
      </c>
      <c r="S942" t="s">
        <v>3106</v>
      </c>
      <c r="T942" t="s">
        <v>3108</v>
      </c>
    </row>
    <row r="943" spans="1:20">
      <c r="A943" t="s">
        <v>2986</v>
      </c>
      <c r="B943" t="s">
        <v>20</v>
      </c>
      <c r="C943" t="s">
        <v>2990</v>
      </c>
      <c r="D943" t="s">
        <v>9460</v>
      </c>
      <c r="E943" t="s">
        <v>11277</v>
      </c>
      <c r="F943" t="s">
        <v>11278</v>
      </c>
      <c r="G943" t="s">
        <v>9413</v>
      </c>
      <c r="H943" t="s">
        <v>2233</v>
      </c>
      <c r="I943" t="s">
        <v>10099</v>
      </c>
      <c r="J943" t="s">
        <v>2926</v>
      </c>
      <c r="K943" t="s">
        <v>9416</v>
      </c>
      <c r="L943" t="s">
        <v>9417</v>
      </c>
      <c r="M943" t="s">
        <v>10954</v>
      </c>
      <c r="N943" t="s">
        <v>9430</v>
      </c>
      <c r="O943" t="s">
        <v>7689</v>
      </c>
      <c r="P943" t="s">
        <v>9526</v>
      </c>
      <c r="Q943" t="s">
        <v>9421</v>
      </c>
      <c r="R943" t="s">
        <v>17</v>
      </c>
      <c r="S943" t="s">
        <v>2987</v>
      </c>
      <c r="T943" t="s">
        <v>2989</v>
      </c>
    </row>
    <row r="944" spans="1:20">
      <c r="A944" t="s">
        <v>2400</v>
      </c>
      <c r="B944" t="s">
        <v>20</v>
      </c>
      <c r="C944" t="s">
        <v>7095</v>
      </c>
      <c r="D944" t="s">
        <v>9475</v>
      </c>
      <c r="E944" t="s">
        <v>11279</v>
      </c>
      <c r="F944" t="s">
        <v>9412</v>
      </c>
      <c r="G944" t="s">
        <v>9413</v>
      </c>
      <c r="H944" t="s">
        <v>10876</v>
      </c>
      <c r="I944" t="s">
        <v>11280</v>
      </c>
      <c r="J944" t="s">
        <v>2314</v>
      </c>
      <c r="K944" t="s">
        <v>9416</v>
      </c>
      <c r="L944" t="s">
        <v>9417</v>
      </c>
      <c r="M944" t="s">
        <v>11281</v>
      </c>
      <c r="N944" t="s">
        <v>10879</v>
      </c>
      <c r="O944" t="s">
        <v>7093</v>
      </c>
      <c r="P944" t="s">
        <v>9459</v>
      </c>
      <c r="Q944" t="s">
        <v>9421</v>
      </c>
      <c r="R944" t="s">
        <v>17</v>
      </c>
      <c r="S944" t="s">
        <v>2400</v>
      </c>
      <c r="T944" t="s">
        <v>2402</v>
      </c>
    </row>
    <row r="945" spans="1:20">
      <c r="A945" t="s">
        <v>3109</v>
      </c>
      <c r="B945" t="s">
        <v>62</v>
      </c>
      <c r="C945" t="s">
        <v>7828</v>
      </c>
      <c r="D945" t="s">
        <v>445</v>
      </c>
      <c r="E945" t="s">
        <v>11282</v>
      </c>
      <c r="F945" t="s">
        <v>9412</v>
      </c>
      <c r="G945" t="s">
        <v>9413</v>
      </c>
      <c r="H945" t="s">
        <v>10876</v>
      </c>
      <c r="I945" t="s">
        <v>10492</v>
      </c>
      <c r="J945" t="s">
        <v>3013</v>
      </c>
      <c r="K945" t="s">
        <v>9416</v>
      </c>
      <c r="L945" t="s">
        <v>9417</v>
      </c>
      <c r="M945" t="s">
        <v>10894</v>
      </c>
      <c r="N945" t="s">
        <v>10892</v>
      </c>
      <c r="O945" t="s">
        <v>7826</v>
      </c>
      <c r="P945" t="s">
        <v>9623</v>
      </c>
      <c r="Q945" t="s">
        <v>9421</v>
      </c>
      <c r="R945" t="s">
        <v>24</v>
      </c>
      <c r="S945" t="s">
        <v>3110</v>
      </c>
      <c r="T945" t="s">
        <v>3112</v>
      </c>
    </row>
    <row r="946" spans="1:20">
      <c r="A946" t="s">
        <v>2404</v>
      </c>
      <c r="B946" t="s">
        <v>62</v>
      </c>
      <c r="C946" t="s">
        <v>11283</v>
      </c>
      <c r="D946" t="s">
        <v>9448</v>
      </c>
      <c r="E946" t="s">
        <v>11284</v>
      </c>
      <c r="F946" t="s">
        <v>9412</v>
      </c>
      <c r="G946" t="s">
        <v>9413</v>
      </c>
      <c r="H946" t="s">
        <v>10876</v>
      </c>
      <c r="I946" t="s">
        <v>11285</v>
      </c>
      <c r="J946" t="s">
        <v>2314</v>
      </c>
      <c r="K946" t="s">
        <v>9416</v>
      </c>
      <c r="L946" t="s">
        <v>9417</v>
      </c>
      <c r="M946" t="s">
        <v>11223</v>
      </c>
      <c r="N946" t="s">
        <v>10879</v>
      </c>
      <c r="O946" t="s">
        <v>7097</v>
      </c>
      <c r="P946" t="s">
        <v>9459</v>
      </c>
      <c r="Q946" t="s">
        <v>9421</v>
      </c>
      <c r="R946" t="s">
        <v>17</v>
      </c>
      <c r="S946" t="s">
        <v>2404</v>
      </c>
      <c r="T946" t="s">
        <v>2406</v>
      </c>
    </row>
    <row r="947" spans="1:20">
      <c r="A947" t="s">
        <v>2408</v>
      </c>
      <c r="B947" t="s">
        <v>62</v>
      </c>
      <c r="C947" t="s">
        <v>7103</v>
      </c>
      <c r="D947" t="s">
        <v>445</v>
      </c>
      <c r="E947" t="s">
        <v>11286</v>
      </c>
      <c r="F947" t="s">
        <v>9412</v>
      </c>
      <c r="G947" t="s">
        <v>9413</v>
      </c>
      <c r="H947" t="s">
        <v>10876</v>
      </c>
      <c r="I947" t="s">
        <v>11276</v>
      </c>
      <c r="J947" t="s">
        <v>2314</v>
      </c>
      <c r="K947" t="s">
        <v>9416</v>
      </c>
      <c r="L947" t="s">
        <v>9417</v>
      </c>
      <c r="M947" t="s">
        <v>11287</v>
      </c>
      <c r="N947" t="s">
        <v>10879</v>
      </c>
      <c r="O947" t="s">
        <v>7101</v>
      </c>
      <c r="P947" t="s">
        <v>10267</v>
      </c>
      <c r="Q947" t="s">
        <v>9421</v>
      </c>
      <c r="R947" t="s">
        <v>24</v>
      </c>
      <c r="S947" t="s">
        <v>2409</v>
      </c>
      <c r="T947" t="s">
        <v>2411</v>
      </c>
    </row>
    <row r="948" spans="1:20">
      <c r="A948" t="s">
        <v>2413</v>
      </c>
      <c r="B948" t="s">
        <v>62</v>
      </c>
      <c r="C948" t="s">
        <v>7105</v>
      </c>
      <c r="D948" t="s">
        <v>445</v>
      </c>
      <c r="E948" t="s">
        <v>11288</v>
      </c>
      <c r="F948" t="s">
        <v>9601</v>
      </c>
      <c r="G948" t="s">
        <v>9413</v>
      </c>
      <c r="H948" t="s">
        <v>10876</v>
      </c>
      <c r="I948" t="s">
        <v>10400</v>
      </c>
      <c r="J948" t="s">
        <v>2314</v>
      </c>
      <c r="K948" t="s">
        <v>9416</v>
      </c>
      <c r="L948" t="s">
        <v>9417</v>
      </c>
      <c r="M948" t="s">
        <v>11289</v>
      </c>
      <c r="N948" t="s">
        <v>10879</v>
      </c>
      <c r="O948" t="s">
        <v>7107</v>
      </c>
      <c r="P948" t="s">
        <v>9623</v>
      </c>
      <c r="Q948" t="s">
        <v>9421</v>
      </c>
      <c r="R948" t="s">
        <v>24</v>
      </c>
      <c r="S948" t="s">
        <v>2413</v>
      </c>
      <c r="T948" t="s">
        <v>2416</v>
      </c>
    </row>
    <row r="949" spans="1:20">
      <c r="A949" t="s">
        <v>2413</v>
      </c>
      <c r="B949" t="s">
        <v>62</v>
      </c>
      <c r="C949" t="s">
        <v>7105</v>
      </c>
      <c r="D949" t="s">
        <v>445</v>
      </c>
      <c r="E949" t="s">
        <v>11288</v>
      </c>
      <c r="F949" t="s">
        <v>9601</v>
      </c>
      <c r="G949" t="s">
        <v>9413</v>
      </c>
      <c r="H949" t="s">
        <v>10876</v>
      </c>
      <c r="I949" t="s">
        <v>10400</v>
      </c>
      <c r="J949" t="s">
        <v>2314</v>
      </c>
      <c r="K949" t="s">
        <v>9416</v>
      </c>
      <c r="L949" t="s">
        <v>9417</v>
      </c>
      <c r="M949" t="s">
        <v>11289</v>
      </c>
      <c r="N949" t="s">
        <v>9426</v>
      </c>
      <c r="O949" t="s">
        <v>6912</v>
      </c>
      <c r="P949" t="s">
        <v>9479</v>
      </c>
      <c r="Q949" t="s">
        <v>9421</v>
      </c>
      <c r="R949" t="s">
        <v>43</v>
      </c>
      <c r="S949" t="s">
        <v>2238</v>
      </c>
      <c r="T949" t="s">
        <v>2240</v>
      </c>
    </row>
    <row r="950" spans="1:20">
      <c r="A950" t="s">
        <v>2546</v>
      </c>
      <c r="B950" t="s">
        <v>9409</v>
      </c>
      <c r="C950" t="s">
        <v>11290</v>
      </c>
      <c r="D950" t="s">
        <v>9410</v>
      </c>
      <c r="E950" t="s">
        <v>11291</v>
      </c>
      <c r="F950" t="s">
        <v>9412</v>
      </c>
      <c r="G950" t="s">
        <v>9413</v>
      </c>
      <c r="H950" t="s">
        <v>11232</v>
      </c>
      <c r="I950" t="s">
        <v>10492</v>
      </c>
      <c r="J950" t="s">
        <v>2926</v>
      </c>
      <c r="K950" t="s">
        <v>9445</v>
      </c>
      <c r="L950" t="s">
        <v>9417</v>
      </c>
      <c r="M950" t="s">
        <v>10954</v>
      </c>
      <c r="N950" t="s">
        <v>9430</v>
      </c>
      <c r="O950" t="s">
        <v>9446</v>
      </c>
      <c r="P950" t="s">
        <v>10988</v>
      </c>
      <c r="Q950" t="s">
        <v>9421</v>
      </c>
      <c r="R950" t="s">
        <v>43</v>
      </c>
      <c r="S950" t="s">
        <v>7678</v>
      </c>
      <c r="T950" t="s">
        <v>11252</v>
      </c>
    </row>
    <row r="951" spans="1:20">
      <c r="A951" t="s">
        <v>2546</v>
      </c>
      <c r="B951" t="s">
        <v>9409</v>
      </c>
      <c r="C951" t="s">
        <v>11290</v>
      </c>
      <c r="D951" t="s">
        <v>9410</v>
      </c>
      <c r="E951" t="s">
        <v>11291</v>
      </c>
      <c r="F951" t="s">
        <v>9412</v>
      </c>
      <c r="G951" t="s">
        <v>9413</v>
      </c>
      <c r="H951" t="s">
        <v>11232</v>
      </c>
      <c r="I951" t="s">
        <v>10492</v>
      </c>
      <c r="J951" t="s">
        <v>2926</v>
      </c>
      <c r="K951" t="s">
        <v>9445</v>
      </c>
      <c r="L951" t="s">
        <v>9417</v>
      </c>
      <c r="M951" t="s">
        <v>10954</v>
      </c>
      <c r="N951" t="s">
        <v>9430</v>
      </c>
      <c r="O951" t="s">
        <v>9446</v>
      </c>
      <c r="P951" t="s">
        <v>10988</v>
      </c>
      <c r="Q951" t="s">
        <v>9421</v>
      </c>
      <c r="R951" t="s">
        <v>43</v>
      </c>
      <c r="S951" t="s">
        <v>10989</v>
      </c>
      <c r="T951" t="s">
        <v>10990</v>
      </c>
    </row>
    <row r="952" spans="1:20">
      <c r="A952" t="s">
        <v>2417</v>
      </c>
      <c r="B952" t="s">
        <v>62</v>
      </c>
      <c r="C952" t="s">
        <v>2418</v>
      </c>
      <c r="D952" t="s">
        <v>445</v>
      </c>
      <c r="E952" t="s">
        <v>11292</v>
      </c>
      <c r="F952" t="s">
        <v>9412</v>
      </c>
      <c r="G952" t="s">
        <v>9413</v>
      </c>
      <c r="H952" t="s">
        <v>2233</v>
      </c>
      <c r="I952" t="s">
        <v>10407</v>
      </c>
      <c r="J952" t="s">
        <v>2314</v>
      </c>
      <c r="K952" t="s">
        <v>9445</v>
      </c>
      <c r="L952" t="s">
        <v>9417</v>
      </c>
      <c r="M952" t="s">
        <v>11126</v>
      </c>
      <c r="N952" t="s">
        <v>9426</v>
      </c>
      <c r="O952" t="s">
        <v>9446</v>
      </c>
      <c r="P952" t="s">
        <v>9479</v>
      </c>
      <c r="Q952" t="s">
        <v>9421</v>
      </c>
      <c r="R952" t="s">
        <v>43</v>
      </c>
      <c r="S952" t="s">
        <v>2238</v>
      </c>
      <c r="T952" t="s">
        <v>2240</v>
      </c>
    </row>
    <row r="953" spans="1:20">
      <c r="A953" t="s">
        <v>2417</v>
      </c>
      <c r="B953" t="s">
        <v>62</v>
      </c>
      <c r="C953" t="s">
        <v>2418</v>
      </c>
      <c r="D953" t="s">
        <v>445</v>
      </c>
      <c r="E953" t="s">
        <v>11292</v>
      </c>
      <c r="F953" t="s">
        <v>9412</v>
      </c>
      <c r="G953" t="s">
        <v>9413</v>
      </c>
      <c r="H953" t="s">
        <v>2233</v>
      </c>
      <c r="I953" t="s">
        <v>10407</v>
      </c>
      <c r="J953" t="s">
        <v>2314</v>
      </c>
      <c r="K953" t="s">
        <v>9416</v>
      </c>
      <c r="L953" t="s">
        <v>9417</v>
      </c>
      <c r="M953" t="s">
        <v>11126</v>
      </c>
      <c r="N953" t="s">
        <v>10879</v>
      </c>
      <c r="O953" t="s">
        <v>7111</v>
      </c>
      <c r="P953" t="s">
        <v>9420</v>
      </c>
      <c r="Q953" t="s">
        <v>9421</v>
      </c>
      <c r="R953" t="s">
        <v>17</v>
      </c>
      <c r="S953" t="s">
        <v>2417</v>
      </c>
      <c r="T953" t="s">
        <v>2420</v>
      </c>
    </row>
    <row r="954" spans="1:20">
      <c r="A954" t="s">
        <v>2421</v>
      </c>
      <c r="B954" t="s">
        <v>62</v>
      </c>
      <c r="C954" t="s">
        <v>7119</v>
      </c>
      <c r="D954" t="s">
        <v>9448</v>
      </c>
      <c r="E954" t="s">
        <v>11293</v>
      </c>
      <c r="F954" t="s">
        <v>9601</v>
      </c>
      <c r="G954" t="s">
        <v>9413</v>
      </c>
      <c r="H954" t="s">
        <v>10876</v>
      </c>
      <c r="I954" t="s">
        <v>9720</v>
      </c>
      <c r="J954" t="s">
        <v>2314</v>
      </c>
      <c r="K954" t="s">
        <v>9416</v>
      </c>
      <c r="L954" t="s">
        <v>9417</v>
      </c>
      <c r="M954" t="s">
        <v>11294</v>
      </c>
      <c r="N954" t="s">
        <v>9446</v>
      </c>
      <c r="O954" t="s">
        <v>7117</v>
      </c>
      <c r="P954" t="s">
        <v>9655</v>
      </c>
      <c r="Q954" t="s">
        <v>9421</v>
      </c>
      <c r="R954" t="s">
        <v>56</v>
      </c>
      <c r="S954" t="s">
        <v>2426</v>
      </c>
      <c r="T954" t="s">
        <v>2428</v>
      </c>
    </row>
    <row r="955" spans="1:20">
      <c r="A955" t="s">
        <v>2421</v>
      </c>
      <c r="B955" t="s">
        <v>62</v>
      </c>
      <c r="C955" t="s">
        <v>7115</v>
      </c>
      <c r="D955" t="s">
        <v>9448</v>
      </c>
      <c r="E955" t="s">
        <v>11293</v>
      </c>
      <c r="F955" t="s">
        <v>9601</v>
      </c>
      <c r="G955" t="s">
        <v>9413</v>
      </c>
      <c r="H955" t="s">
        <v>10876</v>
      </c>
      <c r="I955" t="s">
        <v>9720</v>
      </c>
      <c r="J955" t="s">
        <v>2314</v>
      </c>
      <c r="K955" t="s">
        <v>9416</v>
      </c>
      <c r="L955" t="s">
        <v>9417</v>
      </c>
      <c r="M955" t="s">
        <v>11294</v>
      </c>
      <c r="N955" t="s">
        <v>10879</v>
      </c>
      <c r="O955" t="s">
        <v>7120</v>
      </c>
      <c r="P955" t="s">
        <v>9429</v>
      </c>
      <c r="Q955" t="s">
        <v>9421</v>
      </c>
      <c r="R955" t="s">
        <v>52</v>
      </c>
      <c r="S955" t="s">
        <v>2429</v>
      </c>
      <c r="T955" t="s">
        <v>2431</v>
      </c>
    </row>
    <row r="956" spans="1:20">
      <c r="A956" t="s">
        <v>2421</v>
      </c>
      <c r="B956" t="s">
        <v>62</v>
      </c>
      <c r="C956" t="s">
        <v>7115</v>
      </c>
      <c r="D956" t="s">
        <v>9448</v>
      </c>
      <c r="E956" t="s">
        <v>11293</v>
      </c>
      <c r="F956" t="s">
        <v>9601</v>
      </c>
      <c r="G956" t="s">
        <v>9413</v>
      </c>
      <c r="H956" t="s">
        <v>10876</v>
      </c>
      <c r="I956" t="s">
        <v>9720</v>
      </c>
      <c r="J956" t="s">
        <v>2314</v>
      </c>
      <c r="K956" t="s">
        <v>9416</v>
      </c>
      <c r="L956" t="s">
        <v>9417</v>
      </c>
      <c r="M956" t="s">
        <v>11294</v>
      </c>
      <c r="N956" t="s">
        <v>9446</v>
      </c>
      <c r="O956" t="s">
        <v>7113</v>
      </c>
      <c r="P956" t="s">
        <v>9655</v>
      </c>
      <c r="Q956" t="s">
        <v>9421</v>
      </c>
      <c r="R956" t="s">
        <v>56</v>
      </c>
      <c r="S956" t="s">
        <v>2422</v>
      </c>
      <c r="T956" t="s">
        <v>2424</v>
      </c>
    </row>
    <row r="957" spans="1:20">
      <c r="A957" t="s">
        <v>2432</v>
      </c>
      <c r="B957" t="s">
        <v>62</v>
      </c>
      <c r="C957" t="s">
        <v>7123</v>
      </c>
      <c r="D957" t="s">
        <v>445</v>
      </c>
      <c r="E957" t="s">
        <v>11295</v>
      </c>
      <c r="F957" t="s">
        <v>9412</v>
      </c>
      <c r="G957" t="s">
        <v>9413</v>
      </c>
      <c r="H957" t="s">
        <v>10876</v>
      </c>
      <c r="I957" t="s">
        <v>10609</v>
      </c>
      <c r="J957" t="s">
        <v>2314</v>
      </c>
      <c r="K957" t="s">
        <v>9445</v>
      </c>
      <c r="L957" t="s">
        <v>9417</v>
      </c>
      <c r="M957" t="s">
        <v>10886</v>
      </c>
      <c r="N957" t="s">
        <v>9426</v>
      </c>
      <c r="O957" t="s">
        <v>9446</v>
      </c>
      <c r="P957" t="s">
        <v>9647</v>
      </c>
      <c r="Q957" t="s">
        <v>9421</v>
      </c>
      <c r="R957" t="s">
        <v>56</v>
      </c>
      <c r="S957" t="s">
        <v>2437</v>
      </c>
      <c r="T957" t="s">
        <v>2439</v>
      </c>
    </row>
    <row r="958" spans="1:20">
      <c r="A958" t="s">
        <v>2432</v>
      </c>
      <c r="B958" t="s">
        <v>62</v>
      </c>
      <c r="C958" t="s">
        <v>7123</v>
      </c>
      <c r="D958" t="s">
        <v>445</v>
      </c>
      <c r="E958" t="s">
        <v>11295</v>
      </c>
      <c r="F958" t="s">
        <v>9412</v>
      </c>
      <c r="G958" t="s">
        <v>9413</v>
      </c>
      <c r="H958" t="s">
        <v>10876</v>
      </c>
      <c r="I958" t="s">
        <v>10609</v>
      </c>
      <c r="J958" t="s">
        <v>2314</v>
      </c>
      <c r="K958" t="s">
        <v>9416</v>
      </c>
      <c r="L958" t="s">
        <v>9417</v>
      </c>
      <c r="M958" t="s">
        <v>10886</v>
      </c>
      <c r="N958" t="s">
        <v>10879</v>
      </c>
      <c r="O958" t="s">
        <v>7122</v>
      </c>
      <c r="P958" t="s">
        <v>9429</v>
      </c>
      <c r="Q958" t="s">
        <v>9421</v>
      </c>
      <c r="R958" t="s">
        <v>52</v>
      </c>
      <c r="S958" t="s">
        <v>2433</v>
      </c>
      <c r="T958" t="s">
        <v>2435</v>
      </c>
    </row>
    <row r="959" spans="1:20">
      <c r="A959" t="s">
        <v>2440</v>
      </c>
      <c r="B959" t="s">
        <v>62</v>
      </c>
      <c r="C959" t="s">
        <v>11296</v>
      </c>
      <c r="D959" t="s">
        <v>445</v>
      </c>
      <c r="E959" t="s">
        <v>11297</v>
      </c>
      <c r="F959" t="s">
        <v>9412</v>
      </c>
      <c r="G959" t="s">
        <v>9413</v>
      </c>
      <c r="H959" t="s">
        <v>10876</v>
      </c>
      <c r="I959" t="s">
        <v>10407</v>
      </c>
      <c r="J959" t="s">
        <v>2314</v>
      </c>
      <c r="K959" t="s">
        <v>9416</v>
      </c>
      <c r="L959" t="s">
        <v>9417</v>
      </c>
      <c r="M959" t="s">
        <v>10923</v>
      </c>
      <c r="N959" t="s">
        <v>10879</v>
      </c>
      <c r="O959" t="s">
        <v>7127</v>
      </c>
      <c r="P959" t="s">
        <v>9420</v>
      </c>
      <c r="Q959" t="s">
        <v>9421</v>
      </c>
      <c r="R959" t="s">
        <v>17</v>
      </c>
      <c r="S959" t="s">
        <v>2441</v>
      </c>
      <c r="T959" t="s">
        <v>2443</v>
      </c>
    </row>
    <row r="960" spans="1:20">
      <c r="A960" t="s">
        <v>2440</v>
      </c>
      <c r="B960" t="s">
        <v>62</v>
      </c>
      <c r="C960" t="s">
        <v>11296</v>
      </c>
      <c r="D960" t="s">
        <v>445</v>
      </c>
      <c r="E960" t="s">
        <v>11297</v>
      </c>
      <c r="F960" t="s">
        <v>9412</v>
      </c>
      <c r="G960" t="s">
        <v>9413</v>
      </c>
      <c r="H960" t="s">
        <v>10876</v>
      </c>
      <c r="I960" t="s">
        <v>10407</v>
      </c>
      <c r="J960" t="s">
        <v>2314</v>
      </c>
      <c r="K960" t="s">
        <v>9445</v>
      </c>
      <c r="L960" t="s">
        <v>9417</v>
      </c>
      <c r="M960" t="s">
        <v>10923</v>
      </c>
      <c r="N960" t="s">
        <v>9426</v>
      </c>
      <c r="O960" t="s">
        <v>9446</v>
      </c>
      <c r="P960" t="s">
        <v>9479</v>
      </c>
      <c r="Q960" t="s">
        <v>9421</v>
      </c>
      <c r="R960" t="s">
        <v>43</v>
      </c>
      <c r="S960" t="s">
        <v>2238</v>
      </c>
      <c r="T960" t="s">
        <v>2240</v>
      </c>
    </row>
    <row r="961" spans="1:20">
      <c r="A961" t="s">
        <v>2445</v>
      </c>
      <c r="B961" t="s">
        <v>62</v>
      </c>
      <c r="C961" t="s">
        <v>7131</v>
      </c>
      <c r="D961" t="s">
        <v>445</v>
      </c>
      <c r="E961" t="s">
        <v>11298</v>
      </c>
      <c r="F961" t="s">
        <v>9412</v>
      </c>
      <c r="G961" t="s">
        <v>9413</v>
      </c>
      <c r="H961" t="s">
        <v>11232</v>
      </c>
      <c r="I961" t="s">
        <v>10648</v>
      </c>
      <c r="J961" t="s">
        <v>2314</v>
      </c>
      <c r="K961" t="s">
        <v>9445</v>
      </c>
      <c r="L961" t="s">
        <v>9417</v>
      </c>
      <c r="M961" t="s">
        <v>10910</v>
      </c>
      <c r="N961" t="s">
        <v>9426</v>
      </c>
      <c r="O961" t="s">
        <v>9446</v>
      </c>
      <c r="P961" t="s">
        <v>9479</v>
      </c>
      <c r="Q961" t="s">
        <v>9421</v>
      </c>
      <c r="R961" t="s">
        <v>43</v>
      </c>
      <c r="S961" t="s">
        <v>2238</v>
      </c>
      <c r="T961" t="s">
        <v>2240</v>
      </c>
    </row>
    <row r="962" spans="1:20">
      <c r="A962" t="s">
        <v>2445</v>
      </c>
      <c r="B962" t="s">
        <v>62</v>
      </c>
      <c r="C962" t="s">
        <v>7135</v>
      </c>
      <c r="D962" t="s">
        <v>445</v>
      </c>
      <c r="E962" t="s">
        <v>11298</v>
      </c>
      <c r="F962" t="s">
        <v>9412</v>
      </c>
      <c r="G962" t="s">
        <v>9413</v>
      </c>
      <c r="H962" t="s">
        <v>10876</v>
      </c>
      <c r="I962" t="s">
        <v>10648</v>
      </c>
      <c r="J962" t="s">
        <v>2314</v>
      </c>
      <c r="K962" t="s">
        <v>9416</v>
      </c>
      <c r="L962" t="s">
        <v>9417</v>
      </c>
      <c r="M962" t="s">
        <v>10910</v>
      </c>
      <c r="N962" t="s">
        <v>10879</v>
      </c>
      <c r="O962" t="s">
        <v>7133</v>
      </c>
      <c r="P962" t="s">
        <v>9420</v>
      </c>
      <c r="Q962" t="s">
        <v>9421</v>
      </c>
      <c r="R962" t="s">
        <v>17</v>
      </c>
      <c r="S962" t="s">
        <v>2445</v>
      </c>
      <c r="T962" t="s">
        <v>2448</v>
      </c>
    </row>
    <row r="963" spans="1:20">
      <c r="A963" t="s">
        <v>2805</v>
      </c>
      <c r="B963" t="s">
        <v>62</v>
      </c>
      <c r="C963" t="s">
        <v>11299</v>
      </c>
      <c r="D963" t="s">
        <v>445</v>
      </c>
      <c r="E963" t="s">
        <v>11300</v>
      </c>
      <c r="F963" t="s">
        <v>9412</v>
      </c>
      <c r="G963" t="s">
        <v>9413</v>
      </c>
      <c r="H963" t="s">
        <v>11232</v>
      </c>
      <c r="I963" t="s">
        <v>10443</v>
      </c>
      <c r="J963" t="s">
        <v>2693</v>
      </c>
      <c r="K963" t="s">
        <v>9416</v>
      </c>
      <c r="L963" t="s">
        <v>9417</v>
      </c>
      <c r="M963" t="s">
        <v>11241</v>
      </c>
      <c r="N963" t="s">
        <v>10904</v>
      </c>
      <c r="O963" t="s">
        <v>7448</v>
      </c>
      <c r="P963" t="s">
        <v>9623</v>
      </c>
      <c r="Q963" t="s">
        <v>9421</v>
      </c>
      <c r="R963" t="s">
        <v>24</v>
      </c>
      <c r="S963" t="s">
        <v>2794</v>
      </c>
      <c r="T963" t="s">
        <v>2807</v>
      </c>
    </row>
    <row r="964" spans="1:20">
      <c r="A964" t="s">
        <v>2449</v>
      </c>
      <c r="B964" t="s">
        <v>62</v>
      </c>
      <c r="C964" t="s">
        <v>7138</v>
      </c>
      <c r="D964" t="s">
        <v>445</v>
      </c>
      <c r="E964" t="s">
        <v>11301</v>
      </c>
      <c r="F964" t="s">
        <v>9412</v>
      </c>
      <c r="G964" t="s">
        <v>9413</v>
      </c>
      <c r="H964" t="s">
        <v>10876</v>
      </c>
      <c r="I964" t="s">
        <v>10509</v>
      </c>
      <c r="J964" t="s">
        <v>2314</v>
      </c>
      <c r="K964" t="s">
        <v>9445</v>
      </c>
      <c r="L964" t="s">
        <v>9417</v>
      </c>
      <c r="M964" t="s">
        <v>10878</v>
      </c>
      <c r="N964" t="s">
        <v>10879</v>
      </c>
      <c r="O964" t="s">
        <v>9446</v>
      </c>
      <c r="P964" t="s">
        <v>9603</v>
      </c>
      <c r="Q964" t="s">
        <v>9421</v>
      </c>
      <c r="R964" t="s">
        <v>9604</v>
      </c>
      <c r="S964" t="s">
        <v>11302</v>
      </c>
      <c r="T964" t="s">
        <v>11303</v>
      </c>
    </row>
    <row r="965" spans="1:20">
      <c r="A965" t="s">
        <v>2449</v>
      </c>
      <c r="B965" t="s">
        <v>62</v>
      </c>
      <c r="C965" t="s">
        <v>7138</v>
      </c>
      <c r="D965" t="s">
        <v>445</v>
      </c>
      <c r="E965" t="s">
        <v>11301</v>
      </c>
      <c r="F965" t="s">
        <v>9412</v>
      </c>
      <c r="G965" t="s">
        <v>9413</v>
      </c>
      <c r="H965" t="s">
        <v>10876</v>
      </c>
      <c r="I965" t="s">
        <v>10509</v>
      </c>
      <c r="J965" t="s">
        <v>2314</v>
      </c>
      <c r="K965" t="s">
        <v>9416</v>
      </c>
      <c r="L965" t="s">
        <v>9417</v>
      </c>
      <c r="M965" t="s">
        <v>10878</v>
      </c>
      <c r="N965" t="s">
        <v>10879</v>
      </c>
      <c r="O965" t="s">
        <v>7136</v>
      </c>
      <c r="P965" t="s">
        <v>10928</v>
      </c>
      <c r="Q965" t="s">
        <v>9421</v>
      </c>
      <c r="R965" t="s">
        <v>17</v>
      </c>
      <c r="S965" t="s">
        <v>2449</v>
      </c>
      <c r="T965" t="s">
        <v>2451</v>
      </c>
    </row>
    <row r="966" spans="1:20">
      <c r="A966" t="s">
        <v>11153</v>
      </c>
      <c r="B966" t="s">
        <v>9409</v>
      </c>
      <c r="C966" t="s">
        <v>11304</v>
      </c>
      <c r="D966" t="s">
        <v>9410</v>
      </c>
      <c r="E966" t="s">
        <v>11305</v>
      </c>
      <c r="F966" t="s">
        <v>9601</v>
      </c>
      <c r="G966" t="s">
        <v>9413</v>
      </c>
      <c r="H966" t="s">
        <v>10876</v>
      </c>
      <c r="I966" t="s">
        <v>10562</v>
      </c>
      <c r="J966" t="s">
        <v>2926</v>
      </c>
      <c r="K966" t="s">
        <v>9416</v>
      </c>
      <c r="L966" t="s">
        <v>9417</v>
      </c>
      <c r="M966" t="s">
        <v>10907</v>
      </c>
      <c r="N966" t="s">
        <v>10908</v>
      </c>
      <c r="O966" t="s">
        <v>11306</v>
      </c>
      <c r="P966" t="s">
        <v>9459</v>
      </c>
      <c r="Q966" t="s">
        <v>9421</v>
      </c>
      <c r="R966" t="s">
        <v>17</v>
      </c>
      <c r="S966" t="s">
        <v>11307</v>
      </c>
      <c r="T966" t="s">
        <v>11308</v>
      </c>
    </row>
    <row r="967" spans="1:20">
      <c r="A967" t="s">
        <v>7830</v>
      </c>
      <c r="B967" t="s">
        <v>20</v>
      </c>
      <c r="C967" t="s">
        <v>11309</v>
      </c>
      <c r="D967" t="s">
        <v>9475</v>
      </c>
      <c r="E967" t="s">
        <v>11310</v>
      </c>
      <c r="F967" t="s">
        <v>9601</v>
      </c>
      <c r="G967" t="s">
        <v>9413</v>
      </c>
      <c r="H967" t="s">
        <v>10876</v>
      </c>
      <c r="I967" t="s">
        <v>10099</v>
      </c>
      <c r="J967" t="s">
        <v>3013</v>
      </c>
      <c r="K967" t="s">
        <v>9445</v>
      </c>
      <c r="L967" t="s">
        <v>9417</v>
      </c>
      <c r="M967" t="s">
        <v>11079</v>
      </c>
      <c r="N967" t="s">
        <v>9426</v>
      </c>
      <c r="O967" t="s">
        <v>9446</v>
      </c>
      <c r="P967" t="s">
        <v>9567</v>
      </c>
      <c r="Q967" t="s">
        <v>9421</v>
      </c>
      <c r="R967" t="s">
        <v>43</v>
      </c>
      <c r="S967" t="s">
        <v>2323</v>
      </c>
      <c r="T967" t="s">
        <v>2325</v>
      </c>
    </row>
    <row r="968" spans="1:20">
      <c r="A968" t="s">
        <v>11311</v>
      </c>
      <c r="B968" t="s">
        <v>9409</v>
      </c>
      <c r="C968" t="s">
        <v>11312</v>
      </c>
      <c r="D968" t="s">
        <v>9410</v>
      </c>
      <c r="E968" t="s">
        <v>11313</v>
      </c>
      <c r="F968" t="s">
        <v>9601</v>
      </c>
      <c r="G968" t="s">
        <v>9413</v>
      </c>
      <c r="H968" t="s">
        <v>2233</v>
      </c>
      <c r="I968" t="s">
        <v>9545</v>
      </c>
      <c r="J968" t="s">
        <v>3013</v>
      </c>
      <c r="K968" t="s">
        <v>9416</v>
      </c>
      <c r="L968" t="s">
        <v>9417</v>
      </c>
      <c r="M968" t="s">
        <v>11186</v>
      </c>
      <c r="N968" t="s">
        <v>9430</v>
      </c>
      <c r="O968" t="s">
        <v>11314</v>
      </c>
      <c r="P968" t="s">
        <v>11315</v>
      </c>
      <c r="Q968" t="s">
        <v>9421</v>
      </c>
      <c r="R968" t="s">
        <v>17</v>
      </c>
      <c r="S968" t="s">
        <v>11316</v>
      </c>
      <c r="T968" t="s">
        <v>11317</v>
      </c>
    </row>
    <row r="969" spans="1:20">
      <c r="A969" t="s">
        <v>11318</v>
      </c>
      <c r="B969" t="s">
        <v>9409</v>
      </c>
      <c r="C969" t="s">
        <v>11319</v>
      </c>
      <c r="D969" t="s">
        <v>9410</v>
      </c>
      <c r="E969" t="s">
        <v>11320</v>
      </c>
      <c r="F969" t="s">
        <v>9601</v>
      </c>
      <c r="G969" t="s">
        <v>9413</v>
      </c>
      <c r="H969" t="s">
        <v>2233</v>
      </c>
      <c r="I969" t="s">
        <v>9457</v>
      </c>
      <c r="J969" t="s">
        <v>2926</v>
      </c>
      <c r="K969" t="s">
        <v>9445</v>
      </c>
      <c r="L969" t="s">
        <v>9417</v>
      </c>
      <c r="M969" t="s">
        <v>10954</v>
      </c>
      <c r="N969" t="s">
        <v>9430</v>
      </c>
      <c r="O969" t="s">
        <v>9446</v>
      </c>
      <c r="P969" t="s">
        <v>11315</v>
      </c>
      <c r="Q969" t="s">
        <v>9421</v>
      </c>
      <c r="R969" t="s">
        <v>17</v>
      </c>
      <c r="S969" t="s">
        <v>11316</v>
      </c>
      <c r="T969" t="s">
        <v>11317</v>
      </c>
    </row>
    <row r="970" spans="1:20">
      <c r="A970" t="s">
        <v>11318</v>
      </c>
      <c r="B970" t="s">
        <v>9409</v>
      </c>
      <c r="C970" t="s">
        <v>11319</v>
      </c>
      <c r="D970" t="s">
        <v>9410</v>
      </c>
      <c r="E970" t="s">
        <v>11320</v>
      </c>
      <c r="F970" t="s">
        <v>9601</v>
      </c>
      <c r="G970" t="s">
        <v>9413</v>
      </c>
      <c r="H970" t="s">
        <v>2233</v>
      </c>
      <c r="I970" t="s">
        <v>9457</v>
      </c>
      <c r="J970" t="s">
        <v>2926</v>
      </c>
      <c r="K970" t="s">
        <v>9416</v>
      </c>
      <c r="L970" t="s">
        <v>9417</v>
      </c>
      <c r="M970" t="s">
        <v>10954</v>
      </c>
      <c r="N970" t="s">
        <v>9430</v>
      </c>
      <c r="O970" t="s">
        <v>11321</v>
      </c>
      <c r="P970" t="s">
        <v>11322</v>
      </c>
      <c r="Q970" t="s">
        <v>9421</v>
      </c>
      <c r="R970" t="s">
        <v>17</v>
      </c>
      <c r="S970" t="s">
        <v>11323</v>
      </c>
      <c r="T970" t="s">
        <v>11324</v>
      </c>
    </row>
    <row r="971" spans="1:20">
      <c r="A971" t="s">
        <v>7140</v>
      </c>
      <c r="B971" t="s">
        <v>62</v>
      </c>
      <c r="C971" t="s">
        <v>11325</v>
      </c>
      <c r="D971" t="s">
        <v>9448</v>
      </c>
      <c r="E971" t="s">
        <v>11326</v>
      </c>
      <c r="F971" t="s">
        <v>9412</v>
      </c>
      <c r="G971" t="s">
        <v>9413</v>
      </c>
      <c r="H971" t="s">
        <v>2233</v>
      </c>
      <c r="I971" t="s">
        <v>11327</v>
      </c>
      <c r="J971" t="s">
        <v>2926</v>
      </c>
      <c r="K971" t="s">
        <v>9445</v>
      </c>
      <c r="L971" t="s">
        <v>9417</v>
      </c>
      <c r="M971" t="s">
        <v>11223</v>
      </c>
      <c r="N971" t="s">
        <v>10879</v>
      </c>
      <c r="O971" t="s">
        <v>9446</v>
      </c>
      <c r="P971" t="s">
        <v>9420</v>
      </c>
      <c r="Q971" t="s">
        <v>9421</v>
      </c>
      <c r="R971" t="s">
        <v>17</v>
      </c>
      <c r="S971" t="s">
        <v>2396</v>
      </c>
      <c r="T971" t="s">
        <v>2398</v>
      </c>
    </row>
    <row r="972" spans="1:20">
      <c r="A972" t="s">
        <v>11302</v>
      </c>
      <c r="B972" t="s">
        <v>62</v>
      </c>
      <c r="C972" t="s">
        <v>11328</v>
      </c>
      <c r="D972" t="s">
        <v>9410</v>
      </c>
      <c r="E972" t="s">
        <v>11329</v>
      </c>
      <c r="F972" t="s">
        <v>9601</v>
      </c>
      <c r="G972" t="s">
        <v>9413</v>
      </c>
      <c r="H972" t="s">
        <v>10876</v>
      </c>
      <c r="I972" t="s">
        <v>9929</v>
      </c>
      <c r="J972" t="s">
        <v>2314</v>
      </c>
      <c r="K972" t="s">
        <v>9416</v>
      </c>
      <c r="L972" t="s">
        <v>9417</v>
      </c>
      <c r="M972" t="s">
        <v>11294</v>
      </c>
      <c r="N972" t="s">
        <v>10879</v>
      </c>
      <c r="O972" t="s">
        <v>11330</v>
      </c>
      <c r="P972" t="s">
        <v>9603</v>
      </c>
      <c r="Q972" t="s">
        <v>9421</v>
      </c>
      <c r="R972" t="s">
        <v>9604</v>
      </c>
      <c r="S972" t="s">
        <v>11302</v>
      </c>
      <c r="T972" t="s">
        <v>11303</v>
      </c>
    </row>
    <row r="973" spans="1:20">
      <c r="A973" t="s">
        <v>2909</v>
      </c>
      <c r="B973" t="s">
        <v>20</v>
      </c>
      <c r="C973" t="s">
        <v>7586</v>
      </c>
      <c r="D973" t="s">
        <v>10052</v>
      </c>
      <c r="E973" t="s">
        <v>11331</v>
      </c>
      <c r="F973" t="s">
        <v>9412</v>
      </c>
      <c r="G973" t="s">
        <v>9413</v>
      </c>
      <c r="H973" t="s">
        <v>10876</v>
      </c>
      <c r="I973" t="s">
        <v>9533</v>
      </c>
      <c r="J973" t="s">
        <v>2861</v>
      </c>
      <c r="K973" t="s">
        <v>9445</v>
      </c>
      <c r="L973" t="s">
        <v>9417</v>
      </c>
      <c r="M973" t="s">
        <v>10913</v>
      </c>
      <c r="N973" t="s">
        <v>9426</v>
      </c>
      <c r="O973" t="s">
        <v>9446</v>
      </c>
      <c r="P973" t="s">
        <v>9479</v>
      </c>
      <c r="Q973" t="s">
        <v>9421</v>
      </c>
      <c r="R973" t="s">
        <v>43</v>
      </c>
      <c r="S973" t="s">
        <v>2392</v>
      </c>
      <c r="T973" t="s">
        <v>2394</v>
      </c>
    </row>
    <row r="974" spans="1:20">
      <c r="A974" t="s">
        <v>2909</v>
      </c>
      <c r="B974" t="s">
        <v>20</v>
      </c>
      <c r="C974" t="s">
        <v>7586</v>
      </c>
      <c r="D974" t="s">
        <v>10052</v>
      </c>
      <c r="E974" t="s">
        <v>11331</v>
      </c>
      <c r="F974" t="s">
        <v>9412</v>
      </c>
      <c r="G974" t="s">
        <v>9413</v>
      </c>
      <c r="H974" t="s">
        <v>10876</v>
      </c>
      <c r="I974" t="s">
        <v>9533</v>
      </c>
      <c r="J974" t="s">
        <v>2861</v>
      </c>
      <c r="K974" t="s">
        <v>9416</v>
      </c>
      <c r="L974" t="s">
        <v>9417</v>
      </c>
      <c r="M974" t="s">
        <v>10913</v>
      </c>
      <c r="N974" t="s">
        <v>10900</v>
      </c>
      <c r="O974" t="s">
        <v>7590</v>
      </c>
      <c r="P974" t="s">
        <v>9429</v>
      </c>
      <c r="Q974" t="s">
        <v>9421</v>
      </c>
      <c r="R974" t="s">
        <v>52</v>
      </c>
      <c r="S974" t="s">
        <v>2913</v>
      </c>
      <c r="T974" t="s">
        <v>2915</v>
      </c>
    </row>
    <row r="975" spans="1:20">
      <c r="A975" t="s">
        <v>2909</v>
      </c>
      <c r="B975" t="s">
        <v>20</v>
      </c>
      <c r="C975" t="s">
        <v>7586</v>
      </c>
      <c r="D975" t="s">
        <v>10052</v>
      </c>
      <c r="E975" t="s">
        <v>11331</v>
      </c>
      <c r="F975" t="s">
        <v>9412</v>
      </c>
      <c r="G975" t="s">
        <v>9413</v>
      </c>
      <c r="H975" t="s">
        <v>10876</v>
      </c>
      <c r="I975" t="s">
        <v>9533</v>
      </c>
      <c r="J975" t="s">
        <v>2861</v>
      </c>
      <c r="K975" t="s">
        <v>9416</v>
      </c>
      <c r="L975" t="s">
        <v>9417</v>
      </c>
      <c r="M975" t="s">
        <v>10913</v>
      </c>
      <c r="N975" t="s">
        <v>9446</v>
      </c>
      <c r="O975" t="s">
        <v>7588</v>
      </c>
      <c r="P975" t="s">
        <v>9655</v>
      </c>
      <c r="Q975" t="s">
        <v>9421</v>
      </c>
      <c r="R975" t="s">
        <v>56</v>
      </c>
      <c r="S975" t="s">
        <v>2909</v>
      </c>
      <c r="T975" t="s">
        <v>2912</v>
      </c>
    </row>
    <row r="976" spans="1:20">
      <c r="A976" t="s">
        <v>2453</v>
      </c>
      <c r="B976" t="s">
        <v>20</v>
      </c>
      <c r="C976" t="s">
        <v>7145</v>
      </c>
      <c r="D976" t="s">
        <v>10052</v>
      </c>
      <c r="E976" t="s">
        <v>11332</v>
      </c>
      <c r="F976" t="s">
        <v>9412</v>
      </c>
      <c r="G976" t="s">
        <v>9413</v>
      </c>
      <c r="H976" t="s">
        <v>10876</v>
      </c>
      <c r="I976" t="s">
        <v>9709</v>
      </c>
      <c r="J976" t="s">
        <v>2314</v>
      </c>
      <c r="K976" t="s">
        <v>9445</v>
      </c>
      <c r="L976" t="s">
        <v>9417</v>
      </c>
      <c r="M976" t="s">
        <v>10910</v>
      </c>
      <c r="N976" t="s">
        <v>9426</v>
      </c>
      <c r="O976" t="s">
        <v>9446</v>
      </c>
      <c r="P976" t="s">
        <v>9647</v>
      </c>
      <c r="Q976" t="s">
        <v>9421</v>
      </c>
      <c r="R976" t="s">
        <v>56</v>
      </c>
      <c r="S976" t="s">
        <v>2437</v>
      </c>
      <c r="T976" t="s">
        <v>2439</v>
      </c>
    </row>
    <row r="977" spans="1:20">
      <c r="A977" t="s">
        <v>2453</v>
      </c>
      <c r="B977" t="s">
        <v>20</v>
      </c>
      <c r="C977" t="s">
        <v>7145</v>
      </c>
      <c r="D977" t="s">
        <v>10052</v>
      </c>
      <c r="E977" t="s">
        <v>11332</v>
      </c>
      <c r="F977" t="s">
        <v>9412</v>
      </c>
      <c r="G977" t="s">
        <v>9413</v>
      </c>
      <c r="H977" t="s">
        <v>10876</v>
      </c>
      <c r="I977" t="s">
        <v>9709</v>
      </c>
      <c r="J977" t="s">
        <v>2314</v>
      </c>
      <c r="K977" t="s">
        <v>9416</v>
      </c>
      <c r="L977" t="s">
        <v>9417</v>
      </c>
      <c r="M977" t="s">
        <v>10910</v>
      </c>
      <c r="N977" t="s">
        <v>9446</v>
      </c>
      <c r="O977" t="s">
        <v>7149</v>
      </c>
      <c r="P977" t="s">
        <v>9655</v>
      </c>
      <c r="Q977" t="s">
        <v>9421</v>
      </c>
      <c r="R977" t="s">
        <v>56</v>
      </c>
      <c r="S977" t="s">
        <v>2461</v>
      </c>
      <c r="T977" t="s">
        <v>2463</v>
      </c>
    </row>
    <row r="978" spans="1:20">
      <c r="A978" t="s">
        <v>2453</v>
      </c>
      <c r="B978" t="s">
        <v>20</v>
      </c>
      <c r="C978" t="s">
        <v>7145</v>
      </c>
      <c r="D978" t="s">
        <v>10052</v>
      </c>
      <c r="E978" t="s">
        <v>11332</v>
      </c>
      <c r="F978" t="s">
        <v>9412</v>
      </c>
      <c r="G978" t="s">
        <v>9413</v>
      </c>
      <c r="H978" t="s">
        <v>10876</v>
      </c>
      <c r="I978" t="s">
        <v>9709</v>
      </c>
      <c r="J978" t="s">
        <v>2314</v>
      </c>
      <c r="K978" t="s">
        <v>9416</v>
      </c>
      <c r="L978" t="s">
        <v>9417</v>
      </c>
      <c r="M978" t="s">
        <v>10910</v>
      </c>
      <c r="N978" t="s">
        <v>9446</v>
      </c>
      <c r="O978" t="s">
        <v>7155</v>
      </c>
      <c r="P978" t="s">
        <v>9655</v>
      </c>
      <c r="Q978" t="s">
        <v>9421</v>
      </c>
      <c r="R978" t="s">
        <v>56</v>
      </c>
      <c r="S978" t="s">
        <v>2470</v>
      </c>
      <c r="T978" t="s">
        <v>2472</v>
      </c>
    </row>
    <row r="979" spans="1:20">
      <c r="A979" t="s">
        <v>2453</v>
      </c>
      <c r="B979" t="s">
        <v>20</v>
      </c>
      <c r="C979" t="s">
        <v>7145</v>
      </c>
      <c r="D979" t="s">
        <v>10052</v>
      </c>
      <c r="E979" t="s">
        <v>11332</v>
      </c>
      <c r="F979" t="s">
        <v>9412</v>
      </c>
      <c r="G979" t="s">
        <v>9413</v>
      </c>
      <c r="H979" t="s">
        <v>10876</v>
      </c>
      <c r="I979" t="s">
        <v>9709</v>
      </c>
      <c r="J979" t="s">
        <v>2314</v>
      </c>
      <c r="K979" t="s">
        <v>9416</v>
      </c>
      <c r="L979" t="s">
        <v>9417</v>
      </c>
      <c r="M979" t="s">
        <v>10910</v>
      </c>
      <c r="N979" t="s">
        <v>9446</v>
      </c>
      <c r="O979" t="s">
        <v>7147</v>
      </c>
      <c r="P979" t="s">
        <v>9655</v>
      </c>
      <c r="Q979" t="s">
        <v>9421</v>
      </c>
      <c r="R979" t="s">
        <v>56</v>
      </c>
      <c r="S979" t="s">
        <v>2458</v>
      </c>
      <c r="T979" t="s">
        <v>2460</v>
      </c>
    </row>
    <row r="980" spans="1:20">
      <c r="A980" t="s">
        <v>2453</v>
      </c>
      <c r="B980" t="s">
        <v>20</v>
      </c>
      <c r="C980" t="s">
        <v>7145</v>
      </c>
      <c r="D980" t="s">
        <v>10052</v>
      </c>
      <c r="E980" t="s">
        <v>11332</v>
      </c>
      <c r="F980" t="s">
        <v>9412</v>
      </c>
      <c r="G980" t="s">
        <v>9413</v>
      </c>
      <c r="H980" t="s">
        <v>10876</v>
      </c>
      <c r="I980" t="s">
        <v>9709</v>
      </c>
      <c r="J980" t="s">
        <v>2314</v>
      </c>
      <c r="K980" t="s">
        <v>9416</v>
      </c>
      <c r="L980" t="s">
        <v>9417</v>
      </c>
      <c r="M980" t="s">
        <v>10910</v>
      </c>
      <c r="N980" t="s">
        <v>9446</v>
      </c>
      <c r="O980" t="s">
        <v>7151</v>
      </c>
      <c r="P980" t="s">
        <v>9647</v>
      </c>
      <c r="Q980" t="s">
        <v>9421</v>
      </c>
      <c r="R980" t="s">
        <v>84</v>
      </c>
      <c r="S980" t="s">
        <v>2464</v>
      </c>
      <c r="T980" t="s">
        <v>2466</v>
      </c>
    </row>
    <row r="981" spans="1:20">
      <c r="A981" t="s">
        <v>2453</v>
      </c>
      <c r="B981" t="s">
        <v>20</v>
      </c>
      <c r="C981" t="s">
        <v>7145</v>
      </c>
      <c r="D981" t="s">
        <v>10052</v>
      </c>
      <c r="E981" t="s">
        <v>11332</v>
      </c>
      <c r="F981" t="s">
        <v>9412</v>
      </c>
      <c r="G981" t="s">
        <v>9413</v>
      </c>
      <c r="H981" t="s">
        <v>10876</v>
      </c>
      <c r="I981" t="s">
        <v>9709</v>
      </c>
      <c r="J981" t="s">
        <v>2314</v>
      </c>
      <c r="K981" t="s">
        <v>9416</v>
      </c>
      <c r="L981" t="s">
        <v>9417</v>
      </c>
      <c r="M981" t="s">
        <v>10910</v>
      </c>
      <c r="N981" t="s">
        <v>9446</v>
      </c>
      <c r="O981" t="s">
        <v>7143</v>
      </c>
      <c r="P981" t="s">
        <v>9655</v>
      </c>
      <c r="Q981" t="s">
        <v>9421</v>
      </c>
      <c r="R981" t="s">
        <v>56</v>
      </c>
      <c r="S981" t="s">
        <v>2454</v>
      </c>
      <c r="T981" t="s">
        <v>2456</v>
      </c>
    </row>
    <row r="982" spans="1:20">
      <c r="A982" t="s">
        <v>2453</v>
      </c>
      <c r="B982" t="s">
        <v>20</v>
      </c>
      <c r="C982" t="s">
        <v>7145</v>
      </c>
      <c r="D982" t="s">
        <v>10052</v>
      </c>
      <c r="E982" t="s">
        <v>11332</v>
      </c>
      <c r="F982" t="s">
        <v>9412</v>
      </c>
      <c r="G982" t="s">
        <v>9413</v>
      </c>
      <c r="H982" t="s">
        <v>10876</v>
      </c>
      <c r="I982" t="s">
        <v>9709</v>
      </c>
      <c r="J982" t="s">
        <v>2314</v>
      </c>
      <c r="K982" t="s">
        <v>9416</v>
      </c>
      <c r="L982" t="s">
        <v>9417</v>
      </c>
      <c r="M982" t="s">
        <v>10910</v>
      </c>
      <c r="N982" t="s">
        <v>9446</v>
      </c>
      <c r="O982" t="s">
        <v>7153</v>
      </c>
      <c r="P982" t="s">
        <v>9655</v>
      </c>
      <c r="Q982" t="s">
        <v>9421</v>
      </c>
      <c r="R982" t="s">
        <v>56</v>
      </c>
      <c r="S982" t="s">
        <v>2467</v>
      </c>
      <c r="T982" t="s">
        <v>2469</v>
      </c>
    </row>
    <row r="983" spans="1:20">
      <c r="A983" t="s">
        <v>11333</v>
      </c>
      <c r="B983" t="s">
        <v>62</v>
      </c>
      <c r="C983" t="s">
        <v>11334</v>
      </c>
      <c r="D983" t="s">
        <v>445</v>
      </c>
      <c r="E983" t="s">
        <v>11335</v>
      </c>
      <c r="F983" t="s">
        <v>9601</v>
      </c>
      <c r="G983" t="s">
        <v>9413</v>
      </c>
      <c r="H983" t="s">
        <v>11336</v>
      </c>
      <c r="I983" t="s">
        <v>10509</v>
      </c>
      <c r="J983" t="s">
        <v>2314</v>
      </c>
      <c r="K983" t="s">
        <v>9445</v>
      </c>
      <c r="L983" t="s">
        <v>9417</v>
      </c>
      <c r="M983" t="s">
        <v>11021</v>
      </c>
      <c r="N983" t="s">
        <v>10879</v>
      </c>
      <c r="O983" t="s">
        <v>9446</v>
      </c>
      <c r="P983" t="s">
        <v>9603</v>
      </c>
      <c r="Q983" t="s">
        <v>9421</v>
      </c>
      <c r="R983" t="s">
        <v>9604</v>
      </c>
      <c r="S983" t="s">
        <v>11302</v>
      </c>
      <c r="T983" t="s">
        <v>11303</v>
      </c>
    </row>
    <row r="984" spans="1:20">
      <c r="A984" t="s">
        <v>7157</v>
      </c>
      <c r="B984" t="s">
        <v>9409</v>
      </c>
      <c r="C984" t="s">
        <v>7161</v>
      </c>
      <c r="D984" t="s">
        <v>9410</v>
      </c>
      <c r="E984" t="s">
        <v>11337</v>
      </c>
      <c r="F984" t="s">
        <v>9412</v>
      </c>
      <c r="G984" t="s">
        <v>9413</v>
      </c>
      <c r="H984" t="s">
        <v>10876</v>
      </c>
      <c r="I984" t="s">
        <v>9466</v>
      </c>
      <c r="J984" t="s">
        <v>2314</v>
      </c>
      <c r="K984" t="s">
        <v>9416</v>
      </c>
      <c r="L984" t="s">
        <v>9417</v>
      </c>
      <c r="M984" t="s">
        <v>10882</v>
      </c>
      <c r="N984" t="s">
        <v>9446</v>
      </c>
      <c r="O984" t="s">
        <v>7159</v>
      </c>
      <c r="P984" t="s">
        <v>9655</v>
      </c>
      <c r="Q984" t="s">
        <v>9421</v>
      </c>
      <c r="R984" t="s">
        <v>56</v>
      </c>
      <c r="S984" t="s">
        <v>7158</v>
      </c>
      <c r="T984" t="s">
        <v>11338</v>
      </c>
    </row>
    <row r="985" spans="1:20">
      <c r="A985" t="s">
        <v>7157</v>
      </c>
      <c r="B985" t="s">
        <v>9409</v>
      </c>
      <c r="C985" t="s">
        <v>7161</v>
      </c>
      <c r="D985" t="s">
        <v>9410</v>
      </c>
      <c r="E985" t="s">
        <v>11337</v>
      </c>
      <c r="F985" t="s">
        <v>9412</v>
      </c>
      <c r="G985" t="s">
        <v>9413</v>
      </c>
      <c r="H985" t="s">
        <v>10876</v>
      </c>
      <c r="I985" t="s">
        <v>9466</v>
      </c>
      <c r="J985" t="s">
        <v>2314</v>
      </c>
      <c r="K985" t="s">
        <v>9416</v>
      </c>
      <c r="L985" t="s">
        <v>9417</v>
      </c>
      <c r="M985" t="s">
        <v>10882</v>
      </c>
      <c r="N985" t="s">
        <v>9446</v>
      </c>
      <c r="O985" t="s">
        <v>7167</v>
      </c>
      <c r="P985" t="s">
        <v>9655</v>
      </c>
      <c r="Q985" t="s">
        <v>9421</v>
      </c>
      <c r="R985" t="s">
        <v>56</v>
      </c>
      <c r="S985" t="s">
        <v>7166</v>
      </c>
      <c r="T985" t="s">
        <v>11339</v>
      </c>
    </row>
    <row r="986" spans="1:20">
      <c r="A986" t="s">
        <v>7157</v>
      </c>
      <c r="B986" t="s">
        <v>9409</v>
      </c>
      <c r="C986" t="s">
        <v>7161</v>
      </c>
      <c r="D986" t="s">
        <v>9410</v>
      </c>
      <c r="E986" t="s">
        <v>11337</v>
      </c>
      <c r="F986" t="s">
        <v>9412</v>
      </c>
      <c r="G986" t="s">
        <v>9413</v>
      </c>
      <c r="H986" t="s">
        <v>10876</v>
      </c>
      <c r="I986" t="s">
        <v>9466</v>
      </c>
      <c r="J986" t="s">
        <v>2314</v>
      </c>
      <c r="K986" t="s">
        <v>9416</v>
      </c>
      <c r="L986" t="s">
        <v>9417</v>
      </c>
      <c r="M986" t="s">
        <v>10882</v>
      </c>
      <c r="N986" t="s">
        <v>9446</v>
      </c>
      <c r="O986" t="s">
        <v>7164</v>
      </c>
      <c r="P986" t="s">
        <v>9651</v>
      </c>
      <c r="Q986" t="s">
        <v>9421</v>
      </c>
      <c r="R986" t="s">
        <v>56</v>
      </c>
      <c r="S986" t="s">
        <v>7163</v>
      </c>
      <c r="T986" t="s">
        <v>11340</v>
      </c>
    </row>
    <row r="987" spans="1:20">
      <c r="A987" t="s">
        <v>7157</v>
      </c>
      <c r="B987" t="s">
        <v>9409</v>
      </c>
      <c r="C987" t="s">
        <v>7161</v>
      </c>
      <c r="D987" t="s">
        <v>9410</v>
      </c>
      <c r="E987" t="s">
        <v>11337</v>
      </c>
      <c r="F987" t="s">
        <v>9412</v>
      </c>
      <c r="G987" t="s">
        <v>9413</v>
      </c>
      <c r="H987" t="s">
        <v>10876</v>
      </c>
      <c r="I987" t="s">
        <v>9466</v>
      </c>
      <c r="J987" t="s">
        <v>2314</v>
      </c>
      <c r="K987" t="s">
        <v>9416</v>
      </c>
      <c r="L987" t="s">
        <v>9417</v>
      </c>
      <c r="M987" t="s">
        <v>10882</v>
      </c>
      <c r="N987" t="s">
        <v>9446</v>
      </c>
      <c r="O987" t="s">
        <v>7170</v>
      </c>
      <c r="P987" t="s">
        <v>9655</v>
      </c>
      <c r="Q987" t="s">
        <v>9421</v>
      </c>
      <c r="R987" t="s">
        <v>56</v>
      </c>
      <c r="S987" t="s">
        <v>7169</v>
      </c>
      <c r="T987" t="s">
        <v>11341</v>
      </c>
    </row>
    <row r="988" spans="1:20">
      <c r="A988" t="s">
        <v>7157</v>
      </c>
      <c r="B988" t="s">
        <v>9409</v>
      </c>
      <c r="C988" t="s">
        <v>7161</v>
      </c>
      <c r="D988" t="s">
        <v>9410</v>
      </c>
      <c r="E988" t="s">
        <v>11337</v>
      </c>
      <c r="F988" t="s">
        <v>9412</v>
      </c>
      <c r="G988" t="s">
        <v>9413</v>
      </c>
      <c r="H988" t="s">
        <v>10876</v>
      </c>
      <c r="I988" t="s">
        <v>9466</v>
      </c>
      <c r="J988" t="s">
        <v>2314</v>
      </c>
      <c r="K988" t="s">
        <v>9416</v>
      </c>
      <c r="L988" t="s">
        <v>9417</v>
      </c>
      <c r="M988" t="s">
        <v>10882</v>
      </c>
      <c r="N988" t="s">
        <v>9446</v>
      </c>
      <c r="O988" t="s">
        <v>7173</v>
      </c>
      <c r="P988" t="s">
        <v>9655</v>
      </c>
      <c r="Q988" t="s">
        <v>9421</v>
      </c>
      <c r="R988" t="s">
        <v>56</v>
      </c>
      <c r="S988" t="s">
        <v>7172</v>
      </c>
      <c r="T988" t="s">
        <v>11342</v>
      </c>
    </row>
    <row r="989" spans="1:20">
      <c r="A989" t="s">
        <v>2301</v>
      </c>
      <c r="B989" t="s">
        <v>20</v>
      </c>
      <c r="C989" t="s">
        <v>2305</v>
      </c>
      <c r="D989" t="s">
        <v>9464</v>
      </c>
      <c r="E989" t="s">
        <v>11343</v>
      </c>
      <c r="F989" t="s">
        <v>9412</v>
      </c>
      <c r="G989" t="s">
        <v>9413</v>
      </c>
      <c r="H989" t="s">
        <v>2233</v>
      </c>
      <c r="I989" t="s">
        <v>9787</v>
      </c>
      <c r="J989" t="s">
        <v>2232</v>
      </c>
      <c r="K989" t="s">
        <v>9416</v>
      </c>
      <c r="L989" t="s">
        <v>9417</v>
      </c>
      <c r="M989" t="s">
        <v>10882</v>
      </c>
      <c r="N989" t="s">
        <v>9446</v>
      </c>
      <c r="O989" t="s">
        <v>6979</v>
      </c>
      <c r="P989" t="s">
        <v>9655</v>
      </c>
      <c r="Q989" t="s">
        <v>9421</v>
      </c>
      <c r="R989" t="s">
        <v>56</v>
      </c>
      <c r="S989" t="s">
        <v>2302</v>
      </c>
      <c r="T989" t="s">
        <v>2304</v>
      </c>
    </row>
    <row r="990" spans="1:20">
      <c r="A990" t="s">
        <v>2473</v>
      </c>
      <c r="B990" t="s">
        <v>62</v>
      </c>
      <c r="C990" t="s">
        <v>7177</v>
      </c>
      <c r="D990" t="s">
        <v>9448</v>
      </c>
      <c r="E990" t="s">
        <v>11344</v>
      </c>
      <c r="F990" t="s">
        <v>9412</v>
      </c>
      <c r="G990" t="s">
        <v>9413</v>
      </c>
      <c r="H990" t="s">
        <v>10876</v>
      </c>
      <c r="I990" t="s">
        <v>9922</v>
      </c>
      <c r="J990" t="s">
        <v>2314</v>
      </c>
      <c r="K990" t="s">
        <v>9416</v>
      </c>
      <c r="L990" t="s">
        <v>9417</v>
      </c>
      <c r="M990" t="s">
        <v>10910</v>
      </c>
      <c r="N990" t="s">
        <v>9446</v>
      </c>
      <c r="O990" t="s">
        <v>7175</v>
      </c>
      <c r="P990" t="s">
        <v>9651</v>
      </c>
      <c r="Q990" t="s">
        <v>9421</v>
      </c>
      <c r="R990" t="s">
        <v>56</v>
      </c>
      <c r="S990" t="s">
        <v>2474</v>
      </c>
      <c r="T990" t="s">
        <v>2476</v>
      </c>
    </row>
    <row r="991" spans="1:20">
      <c r="A991" t="s">
        <v>11345</v>
      </c>
      <c r="B991" t="s">
        <v>9409</v>
      </c>
      <c r="C991" t="s">
        <v>11346</v>
      </c>
      <c r="D991" t="s">
        <v>9410</v>
      </c>
      <c r="E991" t="s">
        <v>11347</v>
      </c>
      <c r="F991" t="s">
        <v>9601</v>
      </c>
      <c r="G991" t="s">
        <v>9413</v>
      </c>
      <c r="H991" t="s">
        <v>10876</v>
      </c>
      <c r="I991" t="s">
        <v>10509</v>
      </c>
      <c r="J991" t="s">
        <v>2314</v>
      </c>
      <c r="K991" t="s">
        <v>9445</v>
      </c>
      <c r="L991" t="s">
        <v>9417</v>
      </c>
      <c r="M991" t="s">
        <v>11281</v>
      </c>
      <c r="N991" t="s">
        <v>10879</v>
      </c>
      <c r="O991" t="s">
        <v>9446</v>
      </c>
      <c r="P991" t="s">
        <v>9603</v>
      </c>
      <c r="Q991" t="s">
        <v>9421</v>
      </c>
      <c r="R991" t="s">
        <v>9604</v>
      </c>
      <c r="S991" t="s">
        <v>11302</v>
      </c>
      <c r="T991" t="s">
        <v>11303</v>
      </c>
    </row>
    <row r="992" spans="1:20">
      <c r="A992" t="s">
        <v>2478</v>
      </c>
      <c r="B992" t="s">
        <v>20</v>
      </c>
      <c r="C992" t="s">
        <v>7181</v>
      </c>
      <c r="D992" t="s">
        <v>9464</v>
      </c>
      <c r="E992" t="s">
        <v>11348</v>
      </c>
      <c r="F992" t="s">
        <v>9412</v>
      </c>
      <c r="G992" t="s">
        <v>9413</v>
      </c>
      <c r="H992" t="s">
        <v>10876</v>
      </c>
      <c r="I992" t="s">
        <v>10045</v>
      </c>
      <c r="J992" t="s">
        <v>2314</v>
      </c>
      <c r="K992" t="s">
        <v>9416</v>
      </c>
      <c r="L992" t="s">
        <v>9417</v>
      </c>
      <c r="M992" t="s">
        <v>10934</v>
      </c>
      <c r="N992" t="s">
        <v>9446</v>
      </c>
      <c r="O992" t="s">
        <v>7191</v>
      </c>
      <c r="P992" t="s">
        <v>9655</v>
      </c>
      <c r="Q992" t="s">
        <v>9421</v>
      </c>
      <c r="R992" t="s">
        <v>56</v>
      </c>
      <c r="S992" t="s">
        <v>2495</v>
      </c>
      <c r="T992" t="s">
        <v>2497</v>
      </c>
    </row>
    <row r="993" spans="1:20">
      <c r="A993" t="s">
        <v>2478</v>
      </c>
      <c r="B993" t="s">
        <v>20</v>
      </c>
      <c r="C993" t="s">
        <v>7181</v>
      </c>
      <c r="D993" t="s">
        <v>9464</v>
      </c>
      <c r="E993" t="s">
        <v>11348</v>
      </c>
      <c r="F993" t="s">
        <v>9412</v>
      </c>
      <c r="G993" t="s">
        <v>9413</v>
      </c>
      <c r="H993" t="s">
        <v>10876</v>
      </c>
      <c r="I993" t="s">
        <v>10045</v>
      </c>
      <c r="J993" t="s">
        <v>2314</v>
      </c>
      <c r="K993" t="s">
        <v>9416</v>
      </c>
      <c r="L993" t="s">
        <v>9417</v>
      </c>
      <c r="M993" t="s">
        <v>10934</v>
      </c>
      <c r="N993" t="s">
        <v>9446</v>
      </c>
      <c r="O993" t="s">
        <v>7187</v>
      </c>
      <c r="P993" t="s">
        <v>9651</v>
      </c>
      <c r="Q993" t="s">
        <v>9421</v>
      </c>
      <c r="R993" t="s">
        <v>56</v>
      </c>
      <c r="S993" t="s">
        <v>2489</v>
      </c>
      <c r="T993" t="s">
        <v>2491</v>
      </c>
    </row>
    <row r="994" spans="1:20">
      <c r="A994" t="s">
        <v>2478</v>
      </c>
      <c r="B994" t="s">
        <v>20</v>
      </c>
      <c r="C994" t="s">
        <v>7181</v>
      </c>
      <c r="D994" t="s">
        <v>9464</v>
      </c>
      <c r="E994" t="s">
        <v>11348</v>
      </c>
      <c r="F994" t="s">
        <v>9412</v>
      </c>
      <c r="G994" t="s">
        <v>9413</v>
      </c>
      <c r="H994" t="s">
        <v>10876</v>
      </c>
      <c r="I994" t="s">
        <v>10045</v>
      </c>
      <c r="J994" t="s">
        <v>2314</v>
      </c>
      <c r="K994" t="s">
        <v>9416</v>
      </c>
      <c r="L994" t="s">
        <v>9417</v>
      </c>
      <c r="M994" t="s">
        <v>10934</v>
      </c>
      <c r="N994" t="s">
        <v>9446</v>
      </c>
      <c r="O994" t="s">
        <v>7183</v>
      </c>
      <c r="P994" t="s">
        <v>9655</v>
      </c>
      <c r="Q994" t="s">
        <v>9421</v>
      </c>
      <c r="R994" t="s">
        <v>56</v>
      </c>
      <c r="S994" t="s">
        <v>2483</v>
      </c>
      <c r="T994" t="s">
        <v>2485</v>
      </c>
    </row>
    <row r="995" spans="1:20">
      <c r="A995" t="s">
        <v>2478</v>
      </c>
      <c r="B995" t="s">
        <v>20</v>
      </c>
      <c r="C995" t="s">
        <v>7181</v>
      </c>
      <c r="D995" t="s">
        <v>9464</v>
      </c>
      <c r="E995" t="s">
        <v>11348</v>
      </c>
      <c r="F995" t="s">
        <v>9412</v>
      </c>
      <c r="G995" t="s">
        <v>9413</v>
      </c>
      <c r="H995" t="s">
        <v>10876</v>
      </c>
      <c r="I995" t="s">
        <v>10045</v>
      </c>
      <c r="J995" t="s">
        <v>2314</v>
      </c>
      <c r="K995" t="s">
        <v>9416</v>
      </c>
      <c r="L995" t="s">
        <v>9417</v>
      </c>
      <c r="M995" t="s">
        <v>10934</v>
      </c>
      <c r="N995" t="s">
        <v>9446</v>
      </c>
      <c r="O995" t="s">
        <v>7185</v>
      </c>
      <c r="P995" t="s">
        <v>9655</v>
      </c>
      <c r="Q995" t="s">
        <v>9421</v>
      </c>
      <c r="R995" t="s">
        <v>56</v>
      </c>
      <c r="S995" t="s">
        <v>2486</v>
      </c>
      <c r="T995" t="s">
        <v>11349</v>
      </c>
    </row>
    <row r="996" spans="1:20">
      <c r="A996" t="s">
        <v>2478</v>
      </c>
      <c r="B996" t="s">
        <v>20</v>
      </c>
      <c r="C996" t="s">
        <v>7181</v>
      </c>
      <c r="D996" t="s">
        <v>9464</v>
      </c>
      <c r="E996" t="s">
        <v>11348</v>
      </c>
      <c r="F996" t="s">
        <v>9412</v>
      </c>
      <c r="G996" t="s">
        <v>9413</v>
      </c>
      <c r="H996" t="s">
        <v>10876</v>
      </c>
      <c r="I996" t="s">
        <v>10045</v>
      </c>
      <c r="J996" t="s">
        <v>2314</v>
      </c>
      <c r="K996" t="s">
        <v>9416</v>
      </c>
      <c r="L996" t="s">
        <v>9417</v>
      </c>
      <c r="M996" t="s">
        <v>10934</v>
      </c>
      <c r="N996" t="s">
        <v>9446</v>
      </c>
      <c r="O996" t="s">
        <v>7189</v>
      </c>
      <c r="P996" t="s">
        <v>9655</v>
      </c>
      <c r="Q996" t="s">
        <v>9421</v>
      </c>
      <c r="R996" t="s">
        <v>56</v>
      </c>
      <c r="S996" t="s">
        <v>2492</v>
      </c>
      <c r="T996" t="s">
        <v>2494</v>
      </c>
    </row>
    <row r="997" spans="1:20">
      <c r="A997" t="s">
        <v>2478</v>
      </c>
      <c r="B997" t="s">
        <v>20</v>
      </c>
      <c r="C997" t="s">
        <v>7181</v>
      </c>
      <c r="D997" t="s">
        <v>9464</v>
      </c>
      <c r="E997" t="s">
        <v>11348</v>
      </c>
      <c r="F997" t="s">
        <v>9412</v>
      </c>
      <c r="G997" t="s">
        <v>9413</v>
      </c>
      <c r="H997" t="s">
        <v>10876</v>
      </c>
      <c r="I997" t="s">
        <v>10045</v>
      </c>
      <c r="J997" t="s">
        <v>2314</v>
      </c>
      <c r="K997" t="s">
        <v>9416</v>
      </c>
      <c r="L997" t="s">
        <v>9417</v>
      </c>
      <c r="M997" t="s">
        <v>10934</v>
      </c>
      <c r="N997" t="s">
        <v>9430</v>
      </c>
      <c r="O997" t="s">
        <v>7179</v>
      </c>
      <c r="P997" t="s">
        <v>9524</v>
      </c>
      <c r="Q997" t="s">
        <v>9421</v>
      </c>
      <c r="R997" t="s">
        <v>24</v>
      </c>
      <c r="S997" t="s">
        <v>2479</v>
      </c>
      <c r="T997" t="s">
        <v>2481</v>
      </c>
    </row>
    <row r="998" spans="1:20">
      <c r="A998" t="s">
        <v>2498</v>
      </c>
      <c r="B998" t="s">
        <v>62</v>
      </c>
      <c r="C998" t="s">
        <v>2502</v>
      </c>
      <c r="D998" t="s">
        <v>445</v>
      </c>
      <c r="E998" t="s">
        <v>11350</v>
      </c>
      <c r="F998" t="s">
        <v>9412</v>
      </c>
      <c r="G998" t="s">
        <v>9413</v>
      </c>
      <c r="H998" t="s">
        <v>11336</v>
      </c>
      <c r="I998" t="s">
        <v>10632</v>
      </c>
      <c r="J998" t="s">
        <v>2314</v>
      </c>
      <c r="K998" t="s">
        <v>9416</v>
      </c>
      <c r="L998" t="s">
        <v>9417</v>
      </c>
      <c r="M998" t="s">
        <v>11351</v>
      </c>
      <c r="N998" t="s">
        <v>10879</v>
      </c>
      <c r="O998" t="s">
        <v>7193</v>
      </c>
      <c r="P998" t="s">
        <v>10928</v>
      </c>
      <c r="Q998" t="s">
        <v>9421</v>
      </c>
      <c r="R998" t="s">
        <v>17</v>
      </c>
      <c r="S998" t="s">
        <v>2499</v>
      </c>
      <c r="T998" t="s">
        <v>2501</v>
      </c>
    </row>
    <row r="999" spans="1:20">
      <c r="A999" t="s">
        <v>3114</v>
      </c>
      <c r="B999" t="s">
        <v>20</v>
      </c>
      <c r="C999" t="s">
        <v>7835</v>
      </c>
      <c r="D999" t="s">
        <v>10052</v>
      </c>
      <c r="E999" t="s">
        <v>11352</v>
      </c>
      <c r="F999" t="s">
        <v>9412</v>
      </c>
      <c r="G999" t="s">
        <v>9413</v>
      </c>
      <c r="H999" t="s">
        <v>10876</v>
      </c>
      <c r="I999" t="s">
        <v>10066</v>
      </c>
      <c r="J999" t="s">
        <v>3013</v>
      </c>
      <c r="K999" t="s">
        <v>9416</v>
      </c>
      <c r="L999" t="s">
        <v>9417</v>
      </c>
      <c r="M999" t="s">
        <v>11186</v>
      </c>
      <c r="N999" t="s">
        <v>10892</v>
      </c>
      <c r="O999" t="s">
        <v>7841</v>
      </c>
      <c r="P999" t="s">
        <v>9655</v>
      </c>
      <c r="Q999" t="s">
        <v>9421</v>
      </c>
      <c r="R999" t="s">
        <v>56</v>
      </c>
      <c r="S999" t="s">
        <v>3125</v>
      </c>
      <c r="T999" t="s">
        <v>3127</v>
      </c>
    </row>
    <row r="1000" spans="1:20">
      <c r="A1000" t="s">
        <v>3114</v>
      </c>
      <c r="B1000" t="s">
        <v>20</v>
      </c>
      <c r="C1000" t="s">
        <v>7835</v>
      </c>
      <c r="D1000" t="s">
        <v>10052</v>
      </c>
      <c r="E1000" t="s">
        <v>11352</v>
      </c>
      <c r="F1000" t="s">
        <v>9412</v>
      </c>
      <c r="G1000" t="s">
        <v>9413</v>
      </c>
      <c r="H1000" t="s">
        <v>10876</v>
      </c>
      <c r="I1000" t="s">
        <v>10066</v>
      </c>
      <c r="J1000" t="s">
        <v>3013</v>
      </c>
      <c r="K1000" t="s">
        <v>9416</v>
      </c>
      <c r="L1000" t="s">
        <v>9417</v>
      </c>
      <c r="M1000" t="s">
        <v>11186</v>
      </c>
      <c r="N1000" t="s">
        <v>10892</v>
      </c>
      <c r="O1000" t="s">
        <v>7833</v>
      </c>
      <c r="P1000" t="s">
        <v>9655</v>
      </c>
      <c r="Q1000" t="s">
        <v>9421</v>
      </c>
      <c r="R1000" t="s">
        <v>56</v>
      </c>
      <c r="S1000" t="s">
        <v>3115</v>
      </c>
      <c r="T1000" t="s">
        <v>3117</v>
      </c>
    </row>
    <row r="1001" spans="1:20">
      <c r="A1001" t="s">
        <v>3114</v>
      </c>
      <c r="B1001" t="s">
        <v>20</v>
      </c>
      <c r="C1001" t="s">
        <v>7835</v>
      </c>
      <c r="D1001" t="s">
        <v>10052</v>
      </c>
      <c r="E1001" t="s">
        <v>11352</v>
      </c>
      <c r="F1001" t="s">
        <v>9412</v>
      </c>
      <c r="G1001" t="s">
        <v>9413</v>
      </c>
      <c r="H1001" t="s">
        <v>10876</v>
      </c>
      <c r="I1001" t="s">
        <v>10066</v>
      </c>
      <c r="J1001" t="s">
        <v>3013</v>
      </c>
      <c r="K1001" t="s">
        <v>9416</v>
      </c>
      <c r="L1001" t="s">
        <v>9417</v>
      </c>
      <c r="M1001" t="s">
        <v>11186</v>
      </c>
      <c r="N1001" t="s">
        <v>10892</v>
      </c>
      <c r="O1001" t="s">
        <v>7837</v>
      </c>
      <c r="P1001" t="s">
        <v>9655</v>
      </c>
      <c r="Q1001" t="s">
        <v>9421</v>
      </c>
      <c r="R1001" t="s">
        <v>56</v>
      </c>
      <c r="S1001" t="s">
        <v>3119</v>
      </c>
      <c r="T1001" t="s">
        <v>3121</v>
      </c>
    </row>
    <row r="1002" spans="1:20">
      <c r="A1002" t="s">
        <v>3114</v>
      </c>
      <c r="B1002" t="s">
        <v>20</v>
      </c>
      <c r="C1002" t="s">
        <v>7835</v>
      </c>
      <c r="D1002" t="s">
        <v>10052</v>
      </c>
      <c r="E1002" t="s">
        <v>11352</v>
      </c>
      <c r="F1002" t="s">
        <v>9412</v>
      </c>
      <c r="G1002" t="s">
        <v>9413</v>
      </c>
      <c r="H1002" t="s">
        <v>10876</v>
      </c>
      <c r="I1002" t="s">
        <v>10066</v>
      </c>
      <c r="J1002" t="s">
        <v>3013</v>
      </c>
      <c r="K1002" t="s">
        <v>9416</v>
      </c>
      <c r="L1002" t="s">
        <v>9417</v>
      </c>
      <c r="M1002" t="s">
        <v>11186</v>
      </c>
      <c r="N1002" t="s">
        <v>10892</v>
      </c>
      <c r="O1002" t="s">
        <v>7839</v>
      </c>
      <c r="P1002" t="s">
        <v>9655</v>
      </c>
      <c r="Q1002" t="s">
        <v>9421</v>
      </c>
      <c r="R1002" t="s">
        <v>56</v>
      </c>
      <c r="S1002" t="s">
        <v>3122</v>
      </c>
      <c r="T1002" t="s">
        <v>3124</v>
      </c>
    </row>
    <row r="1003" spans="1:20">
      <c r="A1003" t="s">
        <v>2809</v>
      </c>
      <c r="B1003" t="s">
        <v>62</v>
      </c>
      <c r="C1003" t="s">
        <v>7454</v>
      </c>
      <c r="D1003" t="s">
        <v>9448</v>
      </c>
      <c r="E1003" t="s">
        <v>11353</v>
      </c>
      <c r="F1003" t="s">
        <v>9412</v>
      </c>
      <c r="G1003" t="s">
        <v>9413</v>
      </c>
      <c r="H1003" t="s">
        <v>10876</v>
      </c>
      <c r="I1003" t="s">
        <v>9415</v>
      </c>
      <c r="J1003" t="s">
        <v>2693</v>
      </c>
      <c r="K1003" t="s">
        <v>9416</v>
      </c>
      <c r="L1003" t="s">
        <v>9417</v>
      </c>
      <c r="M1003" t="s">
        <v>10903</v>
      </c>
      <c r="N1003" t="s">
        <v>9446</v>
      </c>
      <c r="O1003" t="s">
        <v>7456</v>
      </c>
      <c r="P1003" t="s">
        <v>9655</v>
      </c>
      <c r="Q1003" t="s">
        <v>9421</v>
      </c>
      <c r="R1003" t="s">
        <v>56</v>
      </c>
      <c r="S1003" t="s">
        <v>2814</v>
      </c>
      <c r="T1003" t="s">
        <v>2816</v>
      </c>
    </row>
    <row r="1004" spans="1:20">
      <c r="A1004" t="s">
        <v>2809</v>
      </c>
      <c r="B1004" t="s">
        <v>62</v>
      </c>
      <c r="C1004" t="s">
        <v>7454</v>
      </c>
      <c r="D1004" t="s">
        <v>9448</v>
      </c>
      <c r="E1004" t="s">
        <v>11353</v>
      </c>
      <c r="F1004" t="s">
        <v>9412</v>
      </c>
      <c r="G1004" t="s">
        <v>9413</v>
      </c>
      <c r="H1004" t="s">
        <v>10876</v>
      </c>
      <c r="I1004" t="s">
        <v>9415</v>
      </c>
      <c r="J1004" t="s">
        <v>2693</v>
      </c>
      <c r="K1004" t="s">
        <v>9416</v>
      </c>
      <c r="L1004" t="s">
        <v>9417</v>
      </c>
      <c r="M1004" t="s">
        <v>10903</v>
      </c>
      <c r="N1004" t="s">
        <v>9430</v>
      </c>
      <c r="O1004" t="s">
        <v>7462</v>
      </c>
      <c r="P1004" t="s">
        <v>9524</v>
      </c>
      <c r="Q1004" t="s">
        <v>9421</v>
      </c>
      <c r="R1004" t="s">
        <v>24</v>
      </c>
      <c r="S1004" t="s">
        <v>2602</v>
      </c>
      <c r="T1004" t="s">
        <v>2604</v>
      </c>
    </row>
    <row r="1005" spans="1:20">
      <c r="A1005" t="s">
        <v>2809</v>
      </c>
      <c r="B1005" t="s">
        <v>62</v>
      </c>
      <c r="C1005" t="s">
        <v>7454</v>
      </c>
      <c r="D1005" t="s">
        <v>9448</v>
      </c>
      <c r="E1005" t="s">
        <v>11353</v>
      </c>
      <c r="F1005" t="s">
        <v>9412</v>
      </c>
      <c r="G1005" t="s">
        <v>9413</v>
      </c>
      <c r="H1005" t="s">
        <v>10876</v>
      </c>
      <c r="I1005" t="s">
        <v>9415</v>
      </c>
      <c r="J1005" t="s">
        <v>2693</v>
      </c>
      <c r="K1005" t="s">
        <v>9416</v>
      </c>
      <c r="L1005" t="s">
        <v>9417</v>
      </c>
      <c r="M1005" t="s">
        <v>10903</v>
      </c>
      <c r="N1005" t="s">
        <v>9446</v>
      </c>
      <c r="O1005" t="s">
        <v>7458</v>
      </c>
      <c r="P1005" t="s">
        <v>10548</v>
      </c>
      <c r="Q1005" t="s">
        <v>9421</v>
      </c>
      <c r="R1005" t="s">
        <v>56</v>
      </c>
      <c r="S1005" t="s">
        <v>2817</v>
      </c>
      <c r="T1005" t="s">
        <v>2819</v>
      </c>
    </row>
    <row r="1006" spans="1:20">
      <c r="A1006" t="s">
        <v>2809</v>
      </c>
      <c r="B1006" t="s">
        <v>62</v>
      </c>
      <c r="C1006" t="s">
        <v>7454</v>
      </c>
      <c r="D1006" t="s">
        <v>9448</v>
      </c>
      <c r="E1006" t="s">
        <v>11353</v>
      </c>
      <c r="F1006" t="s">
        <v>9412</v>
      </c>
      <c r="G1006" t="s">
        <v>9413</v>
      </c>
      <c r="H1006" t="s">
        <v>10876</v>
      </c>
      <c r="I1006" t="s">
        <v>9415</v>
      </c>
      <c r="J1006" t="s">
        <v>2693</v>
      </c>
      <c r="K1006" t="s">
        <v>9416</v>
      </c>
      <c r="L1006" t="s">
        <v>9417</v>
      </c>
      <c r="M1006" t="s">
        <v>10903</v>
      </c>
      <c r="N1006" t="s">
        <v>9446</v>
      </c>
      <c r="O1006" t="s">
        <v>7452</v>
      </c>
      <c r="P1006" t="s">
        <v>9655</v>
      </c>
      <c r="Q1006" t="s">
        <v>9421</v>
      </c>
      <c r="R1006" t="s">
        <v>56</v>
      </c>
      <c r="S1006" t="s">
        <v>2810</v>
      </c>
      <c r="T1006" t="s">
        <v>2812</v>
      </c>
    </row>
    <row r="1007" spans="1:20">
      <c r="A1007" t="s">
        <v>2809</v>
      </c>
      <c r="B1007" t="s">
        <v>62</v>
      </c>
      <c r="C1007" t="s">
        <v>7454</v>
      </c>
      <c r="D1007" t="s">
        <v>9448</v>
      </c>
      <c r="E1007" t="s">
        <v>11353</v>
      </c>
      <c r="F1007" t="s">
        <v>9412</v>
      </c>
      <c r="G1007" t="s">
        <v>9413</v>
      </c>
      <c r="H1007" t="s">
        <v>10876</v>
      </c>
      <c r="I1007" t="s">
        <v>9415</v>
      </c>
      <c r="J1007" t="s">
        <v>2693</v>
      </c>
      <c r="K1007" t="s">
        <v>9416</v>
      </c>
      <c r="L1007" t="s">
        <v>9417</v>
      </c>
      <c r="M1007" t="s">
        <v>10903</v>
      </c>
      <c r="N1007" t="s">
        <v>9446</v>
      </c>
      <c r="O1007" t="s">
        <v>7460</v>
      </c>
      <c r="P1007" t="s">
        <v>9655</v>
      </c>
      <c r="Q1007" t="s">
        <v>9421</v>
      </c>
      <c r="R1007" t="s">
        <v>56</v>
      </c>
      <c r="S1007" t="s">
        <v>2820</v>
      </c>
      <c r="T1007" t="s">
        <v>2822</v>
      </c>
    </row>
    <row r="1008" spans="1:20">
      <c r="A1008" t="s">
        <v>11354</v>
      </c>
      <c r="B1008" t="s">
        <v>10645</v>
      </c>
      <c r="C1008" t="s">
        <v>11355</v>
      </c>
      <c r="D1008" t="s">
        <v>9410</v>
      </c>
      <c r="E1008" t="s">
        <v>11356</v>
      </c>
      <c r="F1008" t="s">
        <v>9601</v>
      </c>
      <c r="G1008" t="s">
        <v>9413</v>
      </c>
      <c r="H1008" t="s">
        <v>11232</v>
      </c>
      <c r="I1008" t="s">
        <v>10635</v>
      </c>
      <c r="J1008" t="s">
        <v>2314</v>
      </c>
      <c r="K1008" t="s">
        <v>9445</v>
      </c>
      <c r="L1008" t="s">
        <v>9417</v>
      </c>
      <c r="M1008" t="s">
        <v>11210</v>
      </c>
      <c r="N1008" t="s">
        <v>10879</v>
      </c>
      <c r="O1008" t="s">
        <v>9446</v>
      </c>
      <c r="P1008" t="s">
        <v>9603</v>
      </c>
      <c r="Q1008" t="s">
        <v>9421</v>
      </c>
      <c r="R1008" t="s">
        <v>9604</v>
      </c>
      <c r="S1008" t="s">
        <v>11302</v>
      </c>
      <c r="T1008" t="s">
        <v>11303</v>
      </c>
    </row>
    <row r="1009" spans="1:20">
      <c r="A1009" t="s">
        <v>11357</v>
      </c>
      <c r="B1009" t="s">
        <v>62</v>
      </c>
      <c r="C1009" t="s">
        <v>11358</v>
      </c>
      <c r="D1009" t="s">
        <v>9410</v>
      </c>
      <c r="E1009" t="s">
        <v>11359</v>
      </c>
      <c r="F1009" t="s">
        <v>9601</v>
      </c>
      <c r="G1009" t="s">
        <v>9413</v>
      </c>
      <c r="H1009" t="s">
        <v>10876</v>
      </c>
      <c r="I1009" t="s">
        <v>10609</v>
      </c>
      <c r="J1009" t="s">
        <v>2314</v>
      </c>
      <c r="K1009" t="s">
        <v>9445</v>
      </c>
      <c r="L1009" t="s">
        <v>9417</v>
      </c>
      <c r="M1009" t="s">
        <v>10882</v>
      </c>
      <c r="N1009" t="s">
        <v>10879</v>
      </c>
      <c r="O1009" t="s">
        <v>9446</v>
      </c>
      <c r="P1009" t="s">
        <v>9603</v>
      </c>
      <c r="Q1009" t="s">
        <v>9421</v>
      </c>
      <c r="R1009" t="s">
        <v>9604</v>
      </c>
      <c r="S1009" t="s">
        <v>11302</v>
      </c>
      <c r="T1009" t="s">
        <v>11303</v>
      </c>
    </row>
    <row r="1010" spans="1:20">
      <c r="A1010" t="s">
        <v>2508</v>
      </c>
      <c r="B1010" t="s">
        <v>9409</v>
      </c>
      <c r="C1010" t="s">
        <v>11360</v>
      </c>
      <c r="D1010" t="s">
        <v>9410</v>
      </c>
      <c r="E1010" t="s">
        <v>11361</v>
      </c>
      <c r="F1010" t="s">
        <v>9412</v>
      </c>
      <c r="G1010" t="s">
        <v>9413</v>
      </c>
      <c r="H1010" t="s">
        <v>2233</v>
      </c>
      <c r="I1010" t="s">
        <v>9792</v>
      </c>
      <c r="J1010" t="s">
        <v>2314</v>
      </c>
      <c r="K1010" t="s">
        <v>9416</v>
      </c>
      <c r="L1010" t="s">
        <v>9417</v>
      </c>
      <c r="M1010" t="s">
        <v>10934</v>
      </c>
      <c r="N1010" t="s">
        <v>9426</v>
      </c>
      <c r="O1010" t="s">
        <v>7012</v>
      </c>
      <c r="P1010" t="s">
        <v>9567</v>
      </c>
      <c r="Q1010" t="s">
        <v>9421</v>
      </c>
      <c r="R1010" t="s">
        <v>43</v>
      </c>
      <c r="S1010" t="s">
        <v>2504</v>
      </c>
      <c r="T1010" t="s">
        <v>2506</v>
      </c>
    </row>
    <row r="1011" spans="1:20">
      <c r="A1011" t="s">
        <v>2508</v>
      </c>
      <c r="B1011" t="s">
        <v>9409</v>
      </c>
      <c r="C1011" t="s">
        <v>11360</v>
      </c>
      <c r="D1011" t="s">
        <v>9410</v>
      </c>
      <c r="E1011" t="s">
        <v>11361</v>
      </c>
      <c r="F1011" t="s">
        <v>9412</v>
      </c>
      <c r="G1011" t="s">
        <v>9413</v>
      </c>
      <c r="H1011" t="s">
        <v>2233</v>
      </c>
      <c r="I1011" t="s">
        <v>9792</v>
      </c>
      <c r="J1011" t="s">
        <v>2314</v>
      </c>
      <c r="K1011" t="s">
        <v>9416</v>
      </c>
      <c r="L1011" t="s">
        <v>9417</v>
      </c>
      <c r="M1011" t="s">
        <v>10934</v>
      </c>
      <c r="N1011" t="s">
        <v>9446</v>
      </c>
      <c r="O1011" t="s">
        <v>11362</v>
      </c>
      <c r="P1011" t="s">
        <v>9655</v>
      </c>
      <c r="Q1011" t="s">
        <v>9421</v>
      </c>
      <c r="R1011" t="s">
        <v>56</v>
      </c>
      <c r="S1011" t="s">
        <v>11363</v>
      </c>
      <c r="T1011" t="s">
        <v>11364</v>
      </c>
    </row>
    <row r="1012" spans="1:20">
      <c r="A1012" t="s">
        <v>2508</v>
      </c>
      <c r="B1012" t="s">
        <v>9409</v>
      </c>
      <c r="C1012" t="s">
        <v>11360</v>
      </c>
      <c r="D1012" t="s">
        <v>9410</v>
      </c>
      <c r="E1012" t="s">
        <v>11361</v>
      </c>
      <c r="F1012" t="s">
        <v>9412</v>
      </c>
      <c r="G1012" t="s">
        <v>9413</v>
      </c>
      <c r="H1012" t="s">
        <v>2233</v>
      </c>
      <c r="I1012" t="s">
        <v>9792</v>
      </c>
      <c r="J1012" t="s">
        <v>2314</v>
      </c>
      <c r="K1012" t="s">
        <v>9416</v>
      </c>
      <c r="L1012" t="s">
        <v>9417</v>
      </c>
      <c r="M1012" t="s">
        <v>10934</v>
      </c>
      <c r="N1012" t="s">
        <v>9446</v>
      </c>
      <c r="O1012" t="s">
        <v>11365</v>
      </c>
      <c r="P1012" t="s">
        <v>9647</v>
      </c>
      <c r="Q1012" t="s">
        <v>9421</v>
      </c>
      <c r="R1012" t="s">
        <v>84</v>
      </c>
      <c r="S1012" t="s">
        <v>11366</v>
      </c>
      <c r="T1012" t="s">
        <v>11367</v>
      </c>
    </row>
    <row r="1013" spans="1:20">
      <c r="A1013" t="s">
        <v>2503</v>
      </c>
      <c r="B1013" t="s">
        <v>62</v>
      </c>
      <c r="C1013" t="s">
        <v>7196</v>
      </c>
      <c r="D1013" t="s">
        <v>445</v>
      </c>
      <c r="E1013" t="s">
        <v>11368</v>
      </c>
      <c r="F1013" t="s">
        <v>9412</v>
      </c>
      <c r="G1013" t="s">
        <v>9413</v>
      </c>
      <c r="H1013" t="s">
        <v>10876</v>
      </c>
      <c r="I1013" t="s">
        <v>11276</v>
      </c>
      <c r="J1013" t="s">
        <v>2314</v>
      </c>
      <c r="K1013" t="s">
        <v>9445</v>
      </c>
      <c r="L1013" t="s">
        <v>9417</v>
      </c>
      <c r="M1013" t="s">
        <v>11073</v>
      </c>
      <c r="N1013" t="s">
        <v>9426</v>
      </c>
      <c r="O1013" t="s">
        <v>9446</v>
      </c>
      <c r="P1013" t="s">
        <v>9567</v>
      </c>
      <c r="Q1013" t="s">
        <v>9421</v>
      </c>
      <c r="R1013" t="s">
        <v>43</v>
      </c>
      <c r="S1013" t="s">
        <v>2504</v>
      </c>
      <c r="T1013" t="s">
        <v>2506</v>
      </c>
    </row>
    <row r="1014" spans="1:20">
      <c r="A1014" t="s">
        <v>2503</v>
      </c>
      <c r="B1014" t="s">
        <v>62</v>
      </c>
      <c r="C1014" t="s">
        <v>7196</v>
      </c>
      <c r="D1014" t="s">
        <v>445</v>
      </c>
      <c r="E1014" t="s">
        <v>11368</v>
      </c>
      <c r="F1014" t="s">
        <v>9412</v>
      </c>
      <c r="G1014" t="s">
        <v>9413</v>
      </c>
      <c r="H1014" t="s">
        <v>10876</v>
      </c>
      <c r="I1014" t="s">
        <v>11276</v>
      </c>
      <c r="J1014" t="s">
        <v>2314</v>
      </c>
      <c r="K1014" t="s">
        <v>9416</v>
      </c>
      <c r="L1014" t="s">
        <v>9417</v>
      </c>
      <c r="M1014" t="s">
        <v>11073</v>
      </c>
      <c r="N1014" t="s">
        <v>9446</v>
      </c>
      <c r="O1014" t="s">
        <v>7198</v>
      </c>
      <c r="P1014" t="s">
        <v>9651</v>
      </c>
      <c r="Q1014" t="s">
        <v>9421</v>
      </c>
      <c r="R1014" t="s">
        <v>56</v>
      </c>
      <c r="S1014" t="s">
        <v>2508</v>
      </c>
      <c r="T1014" t="s">
        <v>2510</v>
      </c>
    </row>
    <row r="1015" spans="1:20">
      <c r="A1015" t="s">
        <v>2511</v>
      </c>
      <c r="B1015" t="s">
        <v>20</v>
      </c>
      <c r="C1015" t="s">
        <v>7202</v>
      </c>
      <c r="D1015" t="s">
        <v>9475</v>
      </c>
      <c r="E1015" t="s">
        <v>11369</v>
      </c>
      <c r="F1015" t="s">
        <v>9412</v>
      </c>
      <c r="G1015" t="s">
        <v>9413</v>
      </c>
      <c r="H1015" t="s">
        <v>10876</v>
      </c>
      <c r="I1015" t="s">
        <v>9826</v>
      </c>
      <c r="J1015" t="s">
        <v>2314</v>
      </c>
      <c r="K1015" t="s">
        <v>9416</v>
      </c>
      <c r="L1015" t="s">
        <v>9417</v>
      </c>
      <c r="M1015" t="s">
        <v>11223</v>
      </c>
      <c r="N1015" t="s">
        <v>10879</v>
      </c>
      <c r="O1015" t="s">
        <v>7200</v>
      </c>
      <c r="P1015" t="s">
        <v>9623</v>
      </c>
      <c r="Q1015" t="s">
        <v>9421</v>
      </c>
      <c r="R1015" t="s">
        <v>24</v>
      </c>
      <c r="S1015" t="s">
        <v>2512</v>
      </c>
      <c r="T1015" t="s">
        <v>2514</v>
      </c>
    </row>
    <row r="1016" spans="1:20">
      <c r="A1016" t="s">
        <v>2511</v>
      </c>
      <c r="B1016" t="s">
        <v>20</v>
      </c>
      <c r="C1016" t="s">
        <v>7202</v>
      </c>
      <c r="D1016" t="s">
        <v>9475</v>
      </c>
      <c r="E1016" t="s">
        <v>11369</v>
      </c>
      <c r="F1016" t="s">
        <v>9412</v>
      </c>
      <c r="G1016" t="s">
        <v>9413</v>
      </c>
      <c r="H1016" t="s">
        <v>10876</v>
      </c>
      <c r="I1016" t="s">
        <v>9826</v>
      </c>
      <c r="J1016" t="s">
        <v>2314</v>
      </c>
      <c r="K1016" t="s">
        <v>9416</v>
      </c>
      <c r="L1016" t="s">
        <v>9417</v>
      </c>
      <c r="M1016" t="s">
        <v>11223</v>
      </c>
      <c r="N1016" t="s">
        <v>9446</v>
      </c>
      <c r="O1016" t="s">
        <v>7208</v>
      </c>
      <c r="P1016" t="s">
        <v>9655</v>
      </c>
      <c r="Q1016" t="s">
        <v>9421</v>
      </c>
      <c r="R1016" t="s">
        <v>56</v>
      </c>
      <c r="S1016" t="s">
        <v>2522</v>
      </c>
      <c r="T1016" t="s">
        <v>2524</v>
      </c>
    </row>
    <row r="1017" spans="1:20">
      <c r="A1017" t="s">
        <v>2511</v>
      </c>
      <c r="B1017" t="s">
        <v>20</v>
      </c>
      <c r="C1017" t="s">
        <v>7202</v>
      </c>
      <c r="D1017" t="s">
        <v>9475</v>
      </c>
      <c r="E1017" t="s">
        <v>11369</v>
      </c>
      <c r="F1017" t="s">
        <v>9412</v>
      </c>
      <c r="G1017" t="s">
        <v>9413</v>
      </c>
      <c r="H1017" t="s">
        <v>10876</v>
      </c>
      <c r="I1017" t="s">
        <v>9826</v>
      </c>
      <c r="J1017" t="s">
        <v>2314</v>
      </c>
      <c r="K1017" t="s">
        <v>9445</v>
      </c>
      <c r="L1017" t="s">
        <v>9417</v>
      </c>
      <c r="M1017" t="s">
        <v>11223</v>
      </c>
      <c r="N1017" t="s">
        <v>9426</v>
      </c>
      <c r="O1017" t="s">
        <v>9446</v>
      </c>
      <c r="P1017" t="s">
        <v>9567</v>
      </c>
      <c r="Q1017" t="s">
        <v>9421</v>
      </c>
      <c r="R1017" t="s">
        <v>43</v>
      </c>
      <c r="S1017" t="s">
        <v>2504</v>
      </c>
      <c r="T1017" t="s">
        <v>2506</v>
      </c>
    </row>
    <row r="1018" spans="1:20">
      <c r="A1018" t="s">
        <v>2511</v>
      </c>
      <c r="B1018" t="s">
        <v>20</v>
      </c>
      <c r="C1018" t="s">
        <v>7202</v>
      </c>
      <c r="D1018" t="s">
        <v>9475</v>
      </c>
      <c r="E1018" t="s">
        <v>11369</v>
      </c>
      <c r="F1018" t="s">
        <v>9412</v>
      </c>
      <c r="G1018" t="s">
        <v>9413</v>
      </c>
      <c r="H1018" t="s">
        <v>10876</v>
      </c>
      <c r="I1018" t="s">
        <v>9826</v>
      </c>
      <c r="J1018" t="s">
        <v>2314</v>
      </c>
      <c r="K1018" t="s">
        <v>9416</v>
      </c>
      <c r="L1018" t="s">
        <v>9417</v>
      </c>
      <c r="M1018" t="s">
        <v>11223</v>
      </c>
      <c r="N1018" t="s">
        <v>9446</v>
      </c>
      <c r="O1018" t="s">
        <v>7206</v>
      </c>
      <c r="P1018" t="s">
        <v>9651</v>
      </c>
      <c r="Q1018" t="s">
        <v>9421</v>
      </c>
      <c r="R1018" t="s">
        <v>56</v>
      </c>
      <c r="S1018" t="s">
        <v>2519</v>
      </c>
      <c r="T1018" t="s">
        <v>2521</v>
      </c>
    </row>
    <row r="1019" spans="1:20">
      <c r="A1019" t="s">
        <v>2511</v>
      </c>
      <c r="B1019" t="s">
        <v>20</v>
      </c>
      <c r="C1019" t="s">
        <v>7202</v>
      </c>
      <c r="D1019" t="s">
        <v>9475</v>
      </c>
      <c r="E1019" t="s">
        <v>11369</v>
      </c>
      <c r="F1019" t="s">
        <v>9412</v>
      </c>
      <c r="G1019" t="s">
        <v>9413</v>
      </c>
      <c r="H1019" t="s">
        <v>10876</v>
      </c>
      <c r="I1019" t="s">
        <v>9826</v>
      </c>
      <c r="J1019" t="s">
        <v>2314</v>
      </c>
      <c r="K1019" t="s">
        <v>9416</v>
      </c>
      <c r="L1019" t="s">
        <v>9417</v>
      </c>
      <c r="M1019" t="s">
        <v>11223</v>
      </c>
      <c r="N1019" t="s">
        <v>9446</v>
      </c>
      <c r="O1019" t="s">
        <v>7204</v>
      </c>
      <c r="P1019" t="s">
        <v>9655</v>
      </c>
      <c r="Q1019" t="s">
        <v>9421</v>
      </c>
      <c r="R1019" t="s">
        <v>56</v>
      </c>
      <c r="S1019" t="s">
        <v>2516</v>
      </c>
      <c r="T1019" t="s">
        <v>2518</v>
      </c>
    </row>
    <row r="1020" spans="1:20">
      <c r="A1020" t="s">
        <v>2511</v>
      </c>
      <c r="B1020" t="s">
        <v>20</v>
      </c>
      <c r="C1020" t="s">
        <v>7202</v>
      </c>
      <c r="D1020" t="s">
        <v>9475</v>
      </c>
      <c r="E1020" t="s">
        <v>11369</v>
      </c>
      <c r="F1020" t="s">
        <v>9412</v>
      </c>
      <c r="G1020" t="s">
        <v>9413</v>
      </c>
      <c r="H1020" t="s">
        <v>10876</v>
      </c>
      <c r="I1020" t="s">
        <v>9826</v>
      </c>
      <c r="J1020" t="s">
        <v>2314</v>
      </c>
      <c r="K1020" t="s">
        <v>9416</v>
      </c>
      <c r="L1020" t="s">
        <v>9417</v>
      </c>
      <c r="M1020" t="s">
        <v>11223</v>
      </c>
      <c r="N1020" t="s">
        <v>9446</v>
      </c>
      <c r="O1020" t="s">
        <v>7210</v>
      </c>
      <c r="P1020" t="s">
        <v>9655</v>
      </c>
      <c r="Q1020" t="s">
        <v>9421</v>
      </c>
      <c r="R1020" t="s">
        <v>56</v>
      </c>
      <c r="S1020" t="s">
        <v>2525</v>
      </c>
      <c r="T1020" t="s">
        <v>2527</v>
      </c>
    </row>
    <row r="1021" spans="1:20">
      <c r="A1021" t="s">
        <v>7693</v>
      </c>
      <c r="B1021" t="s">
        <v>62</v>
      </c>
      <c r="C1021" t="s">
        <v>7697</v>
      </c>
      <c r="D1021" t="s">
        <v>445</v>
      </c>
      <c r="E1021" t="s">
        <v>11370</v>
      </c>
      <c r="F1021" t="s">
        <v>9601</v>
      </c>
      <c r="G1021" t="s">
        <v>9413</v>
      </c>
      <c r="H1021" t="s">
        <v>10876</v>
      </c>
      <c r="I1021" t="s">
        <v>10609</v>
      </c>
      <c r="J1021" t="s">
        <v>2926</v>
      </c>
      <c r="K1021" t="s">
        <v>9445</v>
      </c>
      <c r="L1021" t="s">
        <v>9417</v>
      </c>
      <c r="M1021" t="s">
        <v>10954</v>
      </c>
      <c r="N1021" t="s">
        <v>10908</v>
      </c>
      <c r="O1021" t="s">
        <v>9446</v>
      </c>
      <c r="P1021" t="s">
        <v>9623</v>
      </c>
      <c r="Q1021" t="s">
        <v>9421</v>
      </c>
      <c r="R1021" t="s">
        <v>24</v>
      </c>
      <c r="S1021" t="s">
        <v>7694</v>
      </c>
      <c r="T1021" t="s">
        <v>11371</v>
      </c>
    </row>
    <row r="1022" spans="1:20">
      <c r="A1022" t="s">
        <v>2823</v>
      </c>
      <c r="B1022" t="s">
        <v>62</v>
      </c>
      <c r="C1022" t="s">
        <v>2826</v>
      </c>
      <c r="D1022" t="s">
        <v>9448</v>
      </c>
      <c r="E1022" t="s">
        <v>11372</v>
      </c>
      <c r="F1022" t="s">
        <v>9412</v>
      </c>
      <c r="G1022" t="s">
        <v>9413</v>
      </c>
      <c r="H1022" t="s">
        <v>2233</v>
      </c>
      <c r="I1022" t="s">
        <v>10470</v>
      </c>
      <c r="J1022" t="s">
        <v>2693</v>
      </c>
      <c r="K1022" t="s">
        <v>9416</v>
      </c>
      <c r="L1022" t="s">
        <v>9417</v>
      </c>
      <c r="M1022" t="s">
        <v>11241</v>
      </c>
      <c r="N1022" t="s">
        <v>9446</v>
      </c>
      <c r="O1022" t="s">
        <v>7464</v>
      </c>
      <c r="P1022" t="s">
        <v>9655</v>
      </c>
      <c r="Q1022" t="s">
        <v>9421</v>
      </c>
      <c r="R1022" t="s">
        <v>56</v>
      </c>
      <c r="S1022" t="s">
        <v>2823</v>
      </c>
      <c r="T1022" t="s">
        <v>2825</v>
      </c>
    </row>
    <row r="1023" spans="1:20">
      <c r="A1023" t="s">
        <v>2528</v>
      </c>
      <c r="B1023" t="s">
        <v>20</v>
      </c>
      <c r="C1023" t="s">
        <v>7214</v>
      </c>
      <c r="D1023" t="s">
        <v>9460</v>
      </c>
      <c r="E1023" t="s">
        <v>11373</v>
      </c>
      <c r="F1023" t="s">
        <v>9412</v>
      </c>
      <c r="G1023" t="s">
        <v>9413</v>
      </c>
      <c r="H1023" t="s">
        <v>10876</v>
      </c>
      <c r="I1023" t="s">
        <v>11374</v>
      </c>
      <c r="J1023" t="s">
        <v>2314</v>
      </c>
      <c r="K1023" t="s">
        <v>9416</v>
      </c>
      <c r="L1023" t="s">
        <v>9417</v>
      </c>
      <c r="M1023" t="s">
        <v>10923</v>
      </c>
      <c r="N1023" t="s">
        <v>9446</v>
      </c>
      <c r="O1023" t="s">
        <v>7212</v>
      </c>
      <c r="P1023" t="s">
        <v>9655</v>
      </c>
      <c r="Q1023" t="s">
        <v>9421</v>
      </c>
      <c r="R1023" t="s">
        <v>56</v>
      </c>
      <c r="S1023" t="s">
        <v>2529</v>
      </c>
      <c r="T1023" t="s">
        <v>2531</v>
      </c>
    </row>
    <row r="1024" spans="1:20">
      <c r="A1024" t="s">
        <v>2533</v>
      </c>
      <c r="B1024" t="s">
        <v>62</v>
      </c>
      <c r="C1024" t="s">
        <v>2537</v>
      </c>
      <c r="D1024" t="s">
        <v>445</v>
      </c>
      <c r="E1024" t="s">
        <v>11375</v>
      </c>
      <c r="F1024" t="s">
        <v>9412</v>
      </c>
      <c r="G1024" t="s">
        <v>9413</v>
      </c>
      <c r="H1024" t="s">
        <v>2233</v>
      </c>
      <c r="I1024" t="s">
        <v>10286</v>
      </c>
      <c r="J1024" t="s">
        <v>2314</v>
      </c>
      <c r="K1024" t="s">
        <v>9416</v>
      </c>
      <c r="L1024" t="s">
        <v>9417</v>
      </c>
      <c r="M1024" t="s">
        <v>11376</v>
      </c>
      <c r="N1024" t="s">
        <v>10879</v>
      </c>
      <c r="O1024" t="s">
        <v>7216</v>
      </c>
      <c r="P1024" t="s">
        <v>9420</v>
      </c>
      <c r="Q1024" t="s">
        <v>9421</v>
      </c>
      <c r="R1024" t="s">
        <v>17</v>
      </c>
      <c r="S1024" t="s">
        <v>2534</v>
      </c>
      <c r="T1024" t="s">
        <v>2536</v>
      </c>
    </row>
    <row r="1025" spans="1:20">
      <c r="A1025" t="s">
        <v>2533</v>
      </c>
      <c r="B1025" t="s">
        <v>62</v>
      </c>
      <c r="C1025" t="s">
        <v>2537</v>
      </c>
      <c r="D1025" t="s">
        <v>445</v>
      </c>
      <c r="E1025" t="s">
        <v>11375</v>
      </c>
      <c r="F1025" t="s">
        <v>9412</v>
      </c>
      <c r="G1025" t="s">
        <v>9413</v>
      </c>
      <c r="H1025" t="s">
        <v>2233</v>
      </c>
      <c r="I1025" t="s">
        <v>10286</v>
      </c>
      <c r="J1025" t="s">
        <v>2314</v>
      </c>
      <c r="K1025" t="s">
        <v>9445</v>
      </c>
      <c r="L1025" t="s">
        <v>9417</v>
      </c>
      <c r="M1025" t="s">
        <v>11376</v>
      </c>
      <c r="N1025" t="s">
        <v>9426</v>
      </c>
      <c r="O1025" t="s">
        <v>9446</v>
      </c>
      <c r="P1025" t="s">
        <v>9479</v>
      </c>
      <c r="Q1025" t="s">
        <v>9421</v>
      </c>
      <c r="R1025" t="s">
        <v>43</v>
      </c>
      <c r="S1025" t="s">
        <v>2392</v>
      </c>
      <c r="T1025" t="s">
        <v>2394</v>
      </c>
    </row>
    <row r="1026" spans="1:20">
      <c r="A1026" t="s">
        <v>2533</v>
      </c>
      <c r="B1026" t="s">
        <v>62</v>
      </c>
      <c r="C1026" t="s">
        <v>2537</v>
      </c>
      <c r="D1026" t="s">
        <v>445</v>
      </c>
      <c r="E1026" t="s">
        <v>11375</v>
      </c>
      <c r="F1026" t="s">
        <v>9412</v>
      </c>
      <c r="G1026" t="s">
        <v>9413</v>
      </c>
      <c r="H1026" t="s">
        <v>2233</v>
      </c>
      <c r="I1026" t="s">
        <v>10286</v>
      </c>
      <c r="J1026" t="s">
        <v>2314</v>
      </c>
      <c r="K1026" t="s">
        <v>9416</v>
      </c>
      <c r="L1026" t="s">
        <v>9417</v>
      </c>
      <c r="M1026" t="s">
        <v>11376</v>
      </c>
      <c r="N1026" t="s">
        <v>9446</v>
      </c>
      <c r="O1026" t="s">
        <v>7220</v>
      </c>
      <c r="P1026" t="s">
        <v>9655</v>
      </c>
      <c r="Q1026" t="s">
        <v>9421</v>
      </c>
      <c r="R1026" t="s">
        <v>56</v>
      </c>
      <c r="S1026" t="s">
        <v>2538</v>
      </c>
      <c r="T1026" t="s">
        <v>2540</v>
      </c>
    </row>
    <row r="1027" spans="1:20">
      <c r="A1027" t="s">
        <v>2827</v>
      </c>
      <c r="B1027" t="s">
        <v>20</v>
      </c>
      <c r="C1027" t="s">
        <v>7470</v>
      </c>
      <c r="D1027" t="s">
        <v>9455</v>
      </c>
      <c r="E1027" t="s">
        <v>11377</v>
      </c>
      <c r="F1027" t="s">
        <v>9412</v>
      </c>
      <c r="G1027" t="s">
        <v>9413</v>
      </c>
      <c r="H1027" t="s">
        <v>10876</v>
      </c>
      <c r="I1027" t="s">
        <v>10434</v>
      </c>
      <c r="J1027" t="s">
        <v>2693</v>
      </c>
      <c r="K1027" t="s">
        <v>9416</v>
      </c>
      <c r="L1027" t="s">
        <v>9417</v>
      </c>
      <c r="M1027" t="s">
        <v>11241</v>
      </c>
      <c r="N1027" t="s">
        <v>9446</v>
      </c>
      <c r="O1027" t="s">
        <v>7474</v>
      </c>
      <c r="P1027" t="s">
        <v>9655</v>
      </c>
      <c r="Q1027" t="s">
        <v>9421</v>
      </c>
      <c r="R1027" t="s">
        <v>56</v>
      </c>
      <c r="S1027" t="s">
        <v>2838</v>
      </c>
      <c r="T1027" t="s">
        <v>2840</v>
      </c>
    </row>
    <row r="1028" spans="1:20">
      <c r="A1028" t="s">
        <v>2827</v>
      </c>
      <c r="B1028" t="s">
        <v>20</v>
      </c>
      <c r="C1028" t="s">
        <v>7470</v>
      </c>
      <c r="D1028" t="s">
        <v>9455</v>
      </c>
      <c r="E1028" t="s">
        <v>11377</v>
      </c>
      <c r="F1028" t="s">
        <v>9412</v>
      </c>
      <c r="G1028" t="s">
        <v>9413</v>
      </c>
      <c r="H1028" t="s">
        <v>10876</v>
      </c>
      <c r="I1028" t="s">
        <v>10434</v>
      </c>
      <c r="J1028" t="s">
        <v>2693</v>
      </c>
      <c r="K1028" t="s">
        <v>9416</v>
      </c>
      <c r="L1028" t="s">
        <v>9417</v>
      </c>
      <c r="M1028" t="s">
        <v>11241</v>
      </c>
      <c r="N1028" t="s">
        <v>9446</v>
      </c>
      <c r="O1028" t="s">
        <v>7468</v>
      </c>
      <c r="P1028" t="s">
        <v>9655</v>
      </c>
      <c r="Q1028" t="s">
        <v>9421</v>
      </c>
      <c r="R1028" t="s">
        <v>56</v>
      </c>
      <c r="S1028" t="s">
        <v>2832</v>
      </c>
      <c r="T1028" t="s">
        <v>2834</v>
      </c>
    </row>
    <row r="1029" spans="1:20">
      <c r="A1029" t="s">
        <v>2827</v>
      </c>
      <c r="B1029" t="s">
        <v>20</v>
      </c>
      <c r="C1029" t="s">
        <v>7470</v>
      </c>
      <c r="D1029" t="s">
        <v>9455</v>
      </c>
      <c r="E1029" t="s">
        <v>11377</v>
      </c>
      <c r="F1029" t="s">
        <v>9412</v>
      </c>
      <c r="G1029" t="s">
        <v>9413</v>
      </c>
      <c r="H1029" t="s">
        <v>10876</v>
      </c>
      <c r="I1029" t="s">
        <v>10434</v>
      </c>
      <c r="J1029" t="s">
        <v>2693</v>
      </c>
      <c r="K1029" t="s">
        <v>9416</v>
      </c>
      <c r="L1029" t="s">
        <v>9417</v>
      </c>
      <c r="M1029" t="s">
        <v>11241</v>
      </c>
      <c r="N1029" t="s">
        <v>9446</v>
      </c>
      <c r="O1029" t="s">
        <v>11378</v>
      </c>
      <c r="P1029" t="s">
        <v>9655</v>
      </c>
      <c r="Q1029" t="s">
        <v>9421</v>
      </c>
      <c r="R1029" t="s">
        <v>56</v>
      </c>
      <c r="S1029" t="s">
        <v>2828</v>
      </c>
      <c r="T1029" t="s">
        <v>2830</v>
      </c>
    </row>
    <row r="1030" spans="1:20">
      <c r="A1030" t="s">
        <v>2827</v>
      </c>
      <c r="B1030" t="s">
        <v>20</v>
      </c>
      <c r="C1030" t="s">
        <v>7470</v>
      </c>
      <c r="D1030" t="s">
        <v>9455</v>
      </c>
      <c r="E1030" t="s">
        <v>11377</v>
      </c>
      <c r="F1030" t="s">
        <v>9412</v>
      </c>
      <c r="G1030" t="s">
        <v>9413</v>
      </c>
      <c r="H1030" t="s">
        <v>10876</v>
      </c>
      <c r="I1030" t="s">
        <v>10434</v>
      </c>
      <c r="J1030" t="s">
        <v>2693</v>
      </c>
      <c r="K1030" t="s">
        <v>9416</v>
      </c>
      <c r="L1030" t="s">
        <v>9417</v>
      </c>
      <c r="M1030" t="s">
        <v>11241</v>
      </c>
      <c r="N1030" t="s">
        <v>9446</v>
      </c>
      <c r="O1030" t="s">
        <v>7472</v>
      </c>
      <c r="P1030" t="s">
        <v>9655</v>
      </c>
      <c r="Q1030" t="s">
        <v>9421</v>
      </c>
      <c r="R1030" t="s">
        <v>56</v>
      </c>
      <c r="S1030" t="s">
        <v>2835</v>
      </c>
      <c r="T1030" t="s">
        <v>2837</v>
      </c>
    </row>
    <row r="1031" spans="1:20">
      <c r="A1031" t="s">
        <v>2827</v>
      </c>
      <c r="B1031" t="s">
        <v>20</v>
      </c>
      <c r="C1031" t="s">
        <v>7470</v>
      </c>
      <c r="D1031" t="s">
        <v>9455</v>
      </c>
      <c r="E1031" t="s">
        <v>11377</v>
      </c>
      <c r="F1031" t="s">
        <v>9412</v>
      </c>
      <c r="G1031" t="s">
        <v>9413</v>
      </c>
      <c r="H1031" t="s">
        <v>10876</v>
      </c>
      <c r="I1031" t="s">
        <v>10434</v>
      </c>
      <c r="J1031" t="s">
        <v>2693</v>
      </c>
      <c r="K1031" t="s">
        <v>9416</v>
      </c>
      <c r="L1031" t="s">
        <v>9417</v>
      </c>
      <c r="M1031" t="s">
        <v>11241</v>
      </c>
      <c r="N1031" t="s">
        <v>9446</v>
      </c>
      <c r="O1031" t="s">
        <v>7476</v>
      </c>
      <c r="P1031" t="s">
        <v>9655</v>
      </c>
      <c r="Q1031" t="s">
        <v>9421</v>
      </c>
      <c r="R1031" t="s">
        <v>56</v>
      </c>
      <c r="S1031" t="s">
        <v>2841</v>
      </c>
      <c r="T1031" t="s">
        <v>2843</v>
      </c>
    </row>
    <row r="1032" spans="1:20">
      <c r="A1032" t="s">
        <v>2827</v>
      </c>
      <c r="B1032" t="s">
        <v>20</v>
      </c>
      <c r="C1032" t="s">
        <v>7470</v>
      </c>
      <c r="D1032" t="s">
        <v>9455</v>
      </c>
      <c r="E1032" t="s">
        <v>11377</v>
      </c>
      <c r="F1032" t="s">
        <v>9412</v>
      </c>
      <c r="G1032" t="s">
        <v>9413</v>
      </c>
      <c r="H1032" t="s">
        <v>10876</v>
      </c>
      <c r="I1032" t="s">
        <v>10434</v>
      </c>
      <c r="J1032" t="s">
        <v>2693</v>
      </c>
      <c r="K1032" t="s">
        <v>9445</v>
      </c>
      <c r="L1032" t="s">
        <v>9417</v>
      </c>
      <c r="M1032" t="s">
        <v>11241</v>
      </c>
      <c r="N1032" t="s">
        <v>10904</v>
      </c>
      <c r="O1032" t="s">
        <v>9446</v>
      </c>
      <c r="P1032" t="s">
        <v>9479</v>
      </c>
      <c r="Q1032" t="s">
        <v>9421</v>
      </c>
      <c r="R1032" t="s">
        <v>43</v>
      </c>
      <c r="S1032" t="s">
        <v>2844</v>
      </c>
      <c r="T1032" t="s">
        <v>2846</v>
      </c>
    </row>
    <row r="1033" spans="1:20">
      <c r="A1033" t="s">
        <v>11379</v>
      </c>
      <c r="B1033" t="s">
        <v>62</v>
      </c>
      <c r="C1033" t="s">
        <v>11380</v>
      </c>
      <c r="D1033" t="s">
        <v>9410</v>
      </c>
      <c r="E1033" t="s">
        <v>11381</v>
      </c>
      <c r="F1033" t="s">
        <v>9601</v>
      </c>
      <c r="G1033" t="s">
        <v>9413</v>
      </c>
      <c r="H1033" t="s">
        <v>11232</v>
      </c>
      <c r="I1033" t="s">
        <v>10609</v>
      </c>
      <c r="J1033" t="s">
        <v>2314</v>
      </c>
      <c r="K1033" t="s">
        <v>9445</v>
      </c>
      <c r="L1033" t="s">
        <v>9417</v>
      </c>
      <c r="M1033" t="s">
        <v>11047</v>
      </c>
      <c r="N1033" t="s">
        <v>10879</v>
      </c>
      <c r="O1033" t="s">
        <v>9446</v>
      </c>
      <c r="P1033" t="s">
        <v>9603</v>
      </c>
      <c r="Q1033" t="s">
        <v>9421</v>
      </c>
      <c r="R1033" t="s">
        <v>9604</v>
      </c>
      <c r="S1033" t="s">
        <v>11302</v>
      </c>
      <c r="T1033" t="s">
        <v>11303</v>
      </c>
    </row>
    <row r="1034" spans="1:20">
      <c r="A1034" t="s">
        <v>11382</v>
      </c>
      <c r="B1034" t="s">
        <v>9409</v>
      </c>
      <c r="C1034" t="s">
        <v>11383</v>
      </c>
      <c r="D1034" t="s">
        <v>9410</v>
      </c>
      <c r="E1034" t="s">
        <v>11384</v>
      </c>
      <c r="F1034" t="s">
        <v>9412</v>
      </c>
      <c r="G1034" t="s">
        <v>9413</v>
      </c>
      <c r="H1034" t="s">
        <v>10876</v>
      </c>
      <c r="I1034" t="s">
        <v>10186</v>
      </c>
      <c r="J1034" t="s">
        <v>2861</v>
      </c>
      <c r="K1034" t="s">
        <v>9416</v>
      </c>
      <c r="L1034" t="s">
        <v>9417</v>
      </c>
      <c r="M1034" t="s">
        <v>10913</v>
      </c>
      <c r="N1034" t="s">
        <v>9446</v>
      </c>
      <c r="O1034" t="s">
        <v>11385</v>
      </c>
      <c r="P1034" t="s">
        <v>9655</v>
      </c>
      <c r="Q1034" t="s">
        <v>9421</v>
      </c>
      <c r="R1034" t="s">
        <v>56</v>
      </c>
      <c r="S1034" t="s">
        <v>11382</v>
      </c>
      <c r="T1034" t="s">
        <v>11386</v>
      </c>
    </row>
    <row r="1035" spans="1:20">
      <c r="A1035" t="s">
        <v>2606</v>
      </c>
      <c r="B1035" t="s">
        <v>62</v>
      </c>
      <c r="C1035" t="s">
        <v>7701</v>
      </c>
      <c r="D1035" t="s">
        <v>9448</v>
      </c>
      <c r="E1035" t="s">
        <v>11387</v>
      </c>
      <c r="F1035" t="s">
        <v>9412</v>
      </c>
      <c r="G1035" t="s">
        <v>9413</v>
      </c>
      <c r="H1035" t="s">
        <v>10876</v>
      </c>
      <c r="I1035" t="s">
        <v>9441</v>
      </c>
      <c r="J1035" t="s">
        <v>2926</v>
      </c>
      <c r="K1035" t="s">
        <v>9416</v>
      </c>
      <c r="L1035" t="s">
        <v>9417</v>
      </c>
      <c r="M1035" t="s">
        <v>10899</v>
      </c>
      <c r="N1035" t="s">
        <v>9446</v>
      </c>
      <c r="O1035" t="s">
        <v>7699</v>
      </c>
      <c r="P1035" t="s">
        <v>9655</v>
      </c>
      <c r="Q1035" t="s">
        <v>9421</v>
      </c>
      <c r="R1035" t="s">
        <v>56</v>
      </c>
      <c r="S1035" t="s">
        <v>2991</v>
      </c>
      <c r="T1035" t="s">
        <v>2993</v>
      </c>
    </row>
    <row r="1036" spans="1:20">
      <c r="A1036" t="s">
        <v>2606</v>
      </c>
      <c r="B1036" t="s">
        <v>62</v>
      </c>
      <c r="C1036" t="s">
        <v>7701</v>
      </c>
      <c r="D1036" t="s">
        <v>9448</v>
      </c>
      <c r="E1036" t="s">
        <v>11387</v>
      </c>
      <c r="F1036" t="s">
        <v>9412</v>
      </c>
      <c r="G1036" t="s">
        <v>9413</v>
      </c>
      <c r="H1036" t="s">
        <v>10876</v>
      </c>
      <c r="I1036" t="s">
        <v>9441</v>
      </c>
      <c r="J1036" t="s">
        <v>2926</v>
      </c>
      <c r="K1036" t="s">
        <v>9445</v>
      </c>
      <c r="L1036" t="s">
        <v>9417</v>
      </c>
      <c r="M1036" t="s">
        <v>10899</v>
      </c>
      <c r="N1036" t="s">
        <v>9430</v>
      </c>
      <c r="O1036" t="s">
        <v>9446</v>
      </c>
      <c r="P1036" t="s">
        <v>9474</v>
      </c>
      <c r="Q1036" t="s">
        <v>9421</v>
      </c>
      <c r="R1036" t="s">
        <v>43</v>
      </c>
      <c r="S1036" t="s">
        <v>2995</v>
      </c>
      <c r="T1036" t="s">
        <v>2997</v>
      </c>
    </row>
    <row r="1037" spans="1:20">
      <c r="A1037" t="s">
        <v>2847</v>
      </c>
      <c r="B1037" t="s">
        <v>62</v>
      </c>
      <c r="C1037" t="s">
        <v>7482</v>
      </c>
      <c r="D1037" t="s">
        <v>445</v>
      </c>
      <c r="E1037" t="s">
        <v>11388</v>
      </c>
      <c r="F1037" t="s">
        <v>9412</v>
      </c>
      <c r="G1037" t="s">
        <v>9413</v>
      </c>
      <c r="H1037" t="s">
        <v>10876</v>
      </c>
      <c r="I1037" t="s">
        <v>9452</v>
      </c>
      <c r="J1037" t="s">
        <v>2693</v>
      </c>
      <c r="K1037" t="s">
        <v>9416</v>
      </c>
      <c r="L1037" t="s">
        <v>9417</v>
      </c>
      <c r="M1037" t="s">
        <v>11009</v>
      </c>
      <c r="N1037" t="s">
        <v>9446</v>
      </c>
      <c r="O1037" t="s">
        <v>7480</v>
      </c>
      <c r="P1037" t="s">
        <v>9647</v>
      </c>
      <c r="Q1037" t="s">
        <v>9421</v>
      </c>
      <c r="R1037" t="s">
        <v>84</v>
      </c>
      <c r="S1037" t="s">
        <v>2922</v>
      </c>
      <c r="T1037" t="s">
        <v>2924</v>
      </c>
    </row>
    <row r="1038" spans="1:20">
      <c r="A1038" t="s">
        <v>2306</v>
      </c>
      <c r="B1038" t="s">
        <v>20</v>
      </c>
      <c r="C1038" t="s">
        <v>2310</v>
      </c>
      <c r="D1038" t="s">
        <v>9475</v>
      </c>
      <c r="E1038" t="s">
        <v>11389</v>
      </c>
      <c r="F1038" t="s">
        <v>9412</v>
      </c>
      <c r="G1038" t="s">
        <v>9413</v>
      </c>
      <c r="H1038" t="s">
        <v>2233</v>
      </c>
      <c r="I1038" t="s">
        <v>9751</v>
      </c>
      <c r="J1038" t="s">
        <v>2232</v>
      </c>
      <c r="K1038" t="s">
        <v>9416</v>
      </c>
      <c r="L1038" t="s">
        <v>9417</v>
      </c>
      <c r="M1038" t="s">
        <v>10882</v>
      </c>
      <c r="N1038" t="s">
        <v>9446</v>
      </c>
      <c r="O1038" t="s">
        <v>6983</v>
      </c>
      <c r="P1038" t="s">
        <v>9651</v>
      </c>
      <c r="Q1038" t="s">
        <v>9421</v>
      </c>
      <c r="R1038" t="s">
        <v>56</v>
      </c>
      <c r="S1038" t="s">
        <v>2307</v>
      </c>
      <c r="T1038" t="s">
        <v>2309</v>
      </c>
    </row>
    <row r="1039" spans="1:20">
      <c r="A1039" t="s">
        <v>2306</v>
      </c>
      <c r="B1039" t="s">
        <v>20</v>
      </c>
      <c r="C1039" t="s">
        <v>2310</v>
      </c>
      <c r="D1039" t="s">
        <v>9475</v>
      </c>
      <c r="E1039" t="s">
        <v>11389</v>
      </c>
      <c r="F1039" t="s">
        <v>9412</v>
      </c>
      <c r="G1039" t="s">
        <v>9413</v>
      </c>
      <c r="H1039" t="s">
        <v>2233</v>
      </c>
      <c r="I1039" t="s">
        <v>9751</v>
      </c>
      <c r="J1039" t="s">
        <v>2232</v>
      </c>
      <c r="K1039" t="s">
        <v>9416</v>
      </c>
      <c r="L1039" t="s">
        <v>9417</v>
      </c>
      <c r="M1039" t="s">
        <v>10882</v>
      </c>
      <c r="N1039" t="s">
        <v>9446</v>
      </c>
      <c r="O1039" t="s">
        <v>6987</v>
      </c>
      <c r="P1039" t="s">
        <v>9651</v>
      </c>
      <c r="Q1039" t="s">
        <v>9421</v>
      </c>
      <c r="R1039" t="s">
        <v>56</v>
      </c>
      <c r="S1039" t="s">
        <v>2311</v>
      </c>
      <c r="T1039" t="s">
        <v>2313</v>
      </c>
    </row>
    <row r="1040" spans="1:20">
      <c r="A1040" t="s">
        <v>2541</v>
      </c>
      <c r="B1040" t="s">
        <v>62</v>
      </c>
      <c r="C1040" t="s">
        <v>7224</v>
      </c>
      <c r="D1040" t="s">
        <v>9448</v>
      </c>
      <c r="E1040" t="s">
        <v>11390</v>
      </c>
      <c r="F1040" t="s">
        <v>9412</v>
      </c>
      <c r="G1040" t="s">
        <v>9413</v>
      </c>
      <c r="H1040" t="s">
        <v>10876</v>
      </c>
      <c r="I1040" t="s">
        <v>9472</v>
      </c>
      <c r="J1040" t="s">
        <v>2314</v>
      </c>
      <c r="K1040" t="s">
        <v>9416</v>
      </c>
      <c r="L1040" t="s">
        <v>9417</v>
      </c>
      <c r="M1040" t="s">
        <v>10878</v>
      </c>
      <c r="N1040" t="s">
        <v>9446</v>
      </c>
      <c r="O1040" t="s">
        <v>7226</v>
      </c>
      <c r="P1040" t="s">
        <v>9655</v>
      </c>
      <c r="Q1040" t="s">
        <v>9421</v>
      </c>
      <c r="R1040" t="s">
        <v>56</v>
      </c>
      <c r="S1040" t="s">
        <v>2546</v>
      </c>
      <c r="T1040" t="s">
        <v>2548</v>
      </c>
    </row>
    <row r="1041" spans="1:20">
      <c r="A1041" t="s">
        <v>2541</v>
      </c>
      <c r="B1041" t="s">
        <v>62</v>
      </c>
      <c r="C1041" t="s">
        <v>7224</v>
      </c>
      <c r="D1041" t="s">
        <v>9448</v>
      </c>
      <c r="E1041" t="s">
        <v>11390</v>
      </c>
      <c r="F1041" t="s">
        <v>9412</v>
      </c>
      <c r="G1041" t="s">
        <v>9413</v>
      </c>
      <c r="H1041" t="s">
        <v>10876</v>
      </c>
      <c r="I1041" t="s">
        <v>9472</v>
      </c>
      <c r="J1041" t="s">
        <v>2314</v>
      </c>
      <c r="K1041" t="s">
        <v>9416</v>
      </c>
      <c r="L1041" t="s">
        <v>9417</v>
      </c>
      <c r="M1041" t="s">
        <v>10878</v>
      </c>
      <c r="N1041" t="s">
        <v>9446</v>
      </c>
      <c r="O1041" t="s">
        <v>7228</v>
      </c>
      <c r="P1041" t="s">
        <v>9655</v>
      </c>
      <c r="Q1041" t="s">
        <v>9421</v>
      </c>
      <c r="R1041" t="s">
        <v>56</v>
      </c>
      <c r="S1041" t="s">
        <v>2421</v>
      </c>
      <c r="T1041" t="s">
        <v>2550</v>
      </c>
    </row>
    <row r="1042" spans="1:20">
      <c r="A1042" t="s">
        <v>2541</v>
      </c>
      <c r="B1042" t="s">
        <v>62</v>
      </c>
      <c r="C1042" t="s">
        <v>7224</v>
      </c>
      <c r="D1042" t="s">
        <v>9448</v>
      </c>
      <c r="E1042" t="s">
        <v>11390</v>
      </c>
      <c r="F1042" t="s">
        <v>9412</v>
      </c>
      <c r="G1042" t="s">
        <v>9413</v>
      </c>
      <c r="H1042" t="s">
        <v>10876</v>
      </c>
      <c r="I1042" t="s">
        <v>9472</v>
      </c>
      <c r="J1042" t="s">
        <v>2314</v>
      </c>
      <c r="K1042" t="s">
        <v>9416</v>
      </c>
      <c r="L1042" t="s">
        <v>9417</v>
      </c>
      <c r="M1042" t="s">
        <v>10878</v>
      </c>
      <c r="N1042" t="s">
        <v>9446</v>
      </c>
      <c r="O1042" t="s">
        <v>7230</v>
      </c>
      <c r="P1042" t="s">
        <v>9655</v>
      </c>
      <c r="Q1042" t="s">
        <v>9421</v>
      </c>
      <c r="R1042" t="s">
        <v>56</v>
      </c>
      <c r="S1042" t="s">
        <v>2541</v>
      </c>
      <c r="T1042" t="s">
        <v>2552</v>
      </c>
    </row>
    <row r="1043" spans="1:20">
      <c r="A1043" t="s">
        <v>2541</v>
      </c>
      <c r="B1043" t="s">
        <v>62</v>
      </c>
      <c r="C1043" t="s">
        <v>7224</v>
      </c>
      <c r="D1043" t="s">
        <v>9448</v>
      </c>
      <c r="E1043" t="s">
        <v>11390</v>
      </c>
      <c r="F1043" t="s">
        <v>9412</v>
      </c>
      <c r="G1043" t="s">
        <v>9413</v>
      </c>
      <c r="H1043" t="s">
        <v>10876</v>
      </c>
      <c r="I1043" t="s">
        <v>9472</v>
      </c>
      <c r="J1043" t="s">
        <v>2314</v>
      </c>
      <c r="K1043" t="s">
        <v>9416</v>
      </c>
      <c r="L1043" t="s">
        <v>9417</v>
      </c>
      <c r="M1043" t="s">
        <v>10878</v>
      </c>
      <c r="N1043" t="s">
        <v>9446</v>
      </c>
      <c r="O1043" t="s">
        <v>7222</v>
      </c>
      <c r="P1043" t="s">
        <v>9655</v>
      </c>
      <c r="Q1043" t="s">
        <v>9421</v>
      </c>
      <c r="R1043" t="s">
        <v>56</v>
      </c>
      <c r="S1043" t="s">
        <v>2542</v>
      </c>
      <c r="T1043" t="s">
        <v>2544</v>
      </c>
    </row>
    <row r="1044" spans="1:20">
      <c r="A1044" t="s">
        <v>3128</v>
      </c>
      <c r="B1044" t="s">
        <v>20</v>
      </c>
      <c r="C1044" t="s">
        <v>7852</v>
      </c>
      <c r="D1044" t="s">
        <v>10052</v>
      </c>
      <c r="E1044" t="s">
        <v>11391</v>
      </c>
      <c r="F1044" t="s">
        <v>9412</v>
      </c>
      <c r="G1044" t="s">
        <v>9413</v>
      </c>
      <c r="H1044" t="s">
        <v>10876</v>
      </c>
      <c r="I1044" t="s">
        <v>10066</v>
      </c>
      <c r="J1044" t="s">
        <v>3013</v>
      </c>
      <c r="K1044" t="s">
        <v>9416</v>
      </c>
      <c r="L1044" t="s">
        <v>9417</v>
      </c>
      <c r="M1044" t="s">
        <v>10999</v>
      </c>
      <c r="N1044" t="s">
        <v>10892</v>
      </c>
      <c r="O1044" t="s">
        <v>7850</v>
      </c>
      <c r="P1044" t="s">
        <v>9429</v>
      </c>
      <c r="Q1044" t="s">
        <v>9421</v>
      </c>
      <c r="R1044" t="s">
        <v>52</v>
      </c>
      <c r="S1044" t="s">
        <v>3128</v>
      </c>
      <c r="T1044" t="s">
        <v>3130</v>
      </c>
    </row>
    <row r="1045" spans="1:20">
      <c r="A1045" t="s">
        <v>2553</v>
      </c>
      <c r="B1045" t="s">
        <v>20</v>
      </c>
      <c r="C1045" t="s">
        <v>11392</v>
      </c>
      <c r="D1045" t="s">
        <v>9475</v>
      </c>
      <c r="E1045" t="s">
        <v>11393</v>
      </c>
      <c r="F1045" t="s">
        <v>9412</v>
      </c>
      <c r="G1045" t="s">
        <v>9413</v>
      </c>
      <c r="H1045" t="s">
        <v>10876</v>
      </c>
      <c r="I1045" t="s">
        <v>10807</v>
      </c>
      <c r="J1045" t="s">
        <v>2314</v>
      </c>
      <c r="K1045" t="s">
        <v>9416</v>
      </c>
      <c r="L1045" t="s">
        <v>9417</v>
      </c>
      <c r="M1045" t="s">
        <v>11021</v>
      </c>
      <c r="N1045" t="s">
        <v>9446</v>
      </c>
      <c r="O1045" t="s">
        <v>7242</v>
      </c>
      <c r="P1045" t="s">
        <v>9655</v>
      </c>
      <c r="Q1045" t="s">
        <v>9421</v>
      </c>
      <c r="R1045" t="s">
        <v>56</v>
      </c>
      <c r="S1045" t="s">
        <v>2567</v>
      </c>
      <c r="T1045" t="s">
        <v>2569</v>
      </c>
    </row>
    <row r="1046" spans="1:20">
      <c r="A1046" t="s">
        <v>2553</v>
      </c>
      <c r="B1046" t="s">
        <v>20</v>
      </c>
      <c r="C1046" t="s">
        <v>11392</v>
      </c>
      <c r="D1046" t="s">
        <v>9475</v>
      </c>
      <c r="E1046" t="s">
        <v>11393</v>
      </c>
      <c r="F1046" t="s">
        <v>9412</v>
      </c>
      <c r="G1046" t="s">
        <v>9413</v>
      </c>
      <c r="H1046" t="s">
        <v>10876</v>
      </c>
      <c r="I1046" t="s">
        <v>10807</v>
      </c>
      <c r="J1046" t="s">
        <v>2314</v>
      </c>
      <c r="K1046" t="s">
        <v>9416</v>
      </c>
      <c r="L1046" t="s">
        <v>9417</v>
      </c>
      <c r="M1046" t="s">
        <v>11021</v>
      </c>
      <c r="N1046" t="s">
        <v>9446</v>
      </c>
      <c r="O1046" t="s">
        <v>7234</v>
      </c>
      <c r="P1046" t="s">
        <v>9655</v>
      </c>
      <c r="Q1046" t="s">
        <v>9421</v>
      </c>
      <c r="R1046" t="s">
        <v>56</v>
      </c>
      <c r="S1046" t="s">
        <v>2555</v>
      </c>
      <c r="T1046" t="s">
        <v>2557</v>
      </c>
    </row>
    <row r="1047" spans="1:20">
      <c r="A1047" t="s">
        <v>2553</v>
      </c>
      <c r="B1047" t="s">
        <v>20</v>
      </c>
      <c r="C1047" t="s">
        <v>11392</v>
      </c>
      <c r="D1047" t="s">
        <v>9475</v>
      </c>
      <c r="E1047" t="s">
        <v>11393</v>
      </c>
      <c r="F1047" t="s">
        <v>9412</v>
      </c>
      <c r="G1047" t="s">
        <v>9413</v>
      </c>
      <c r="H1047" t="s">
        <v>10876</v>
      </c>
      <c r="I1047" t="s">
        <v>10807</v>
      </c>
      <c r="J1047" t="s">
        <v>2314</v>
      </c>
      <c r="K1047" t="s">
        <v>9416</v>
      </c>
      <c r="L1047" t="s">
        <v>9417</v>
      </c>
      <c r="M1047" t="s">
        <v>11021</v>
      </c>
      <c r="N1047" t="s">
        <v>9446</v>
      </c>
      <c r="O1047" t="s">
        <v>7236</v>
      </c>
      <c r="P1047" t="s">
        <v>9655</v>
      </c>
      <c r="Q1047" t="s">
        <v>9421</v>
      </c>
      <c r="R1047" t="s">
        <v>56</v>
      </c>
      <c r="S1047" t="s">
        <v>2558</v>
      </c>
      <c r="T1047" t="s">
        <v>2560</v>
      </c>
    </row>
    <row r="1048" spans="1:20">
      <c r="A1048" t="s">
        <v>2553</v>
      </c>
      <c r="B1048" t="s">
        <v>20</v>
      </c>
      <c r="C1048" t="s">
        <v>11392</v>
      </c>
      <c r="D1048" t="s">
        <v>9475</v>
      </c>
      <c r="E1048" t="s">
        <v>11393</v>
      </c>
      <c r="F1048" t="s">
        <v>9412</v>
      </c>
      <c r="G1048" t="s">
        <v>9413</v>
      </c>
      <c r="H1048" t="s">
        <v>10876</v>
      </c>
      <c r="I1048" t="s">
        <v>10807</v>
      </c>
      <c r="J1048" t="s">
        <v>2314</v>
      </c>
      <c r="K1048" t="s">
        <v>9445</v>
      </c>
      <c r="L1048" t="s">
        <v>9417</v>
      </c>
      <c r="M1048" t="s">
        <v>11021</v>
      </c>
      <c r="N1048" t="s">
        <v>9426</v>
      </c>
      <c r="O1048" t="s">
        <v>9446</v>
      </c>
      <c r="P1048" t="s">
        <v>9567</v>
      </c>
      <c r="Q1048" t="s">
        <v>9421</v>
      </c>
      <c r="R1048" t="s">
        <v>43</v>
      </c>
      <c r="S1048" t="s">
        <v>2323</v>
      </c>
      <c r="T1048" t="s">
        <v>2325</v>
      </c>
    </row>
    <row r="1049" spans="1:20">
      <c r="A1049" t="s">
        <v>2553</v>
      </c>
      <c r="B1049" t="s">
        <v>20</v>
      </c>
      <c r="C1049" t="s">
        <v>11392</v>
      </c>
      <c r="D1049" t="s">
        <v>9475</v>
      </c>
      <c r="E1049" t="s">
        <v>11393</v>
      </c>
      <c r="F1049" t="s">
        <v>9412</v>
      </c>
      <c r="G1049" t="s">
        <v>9413</v>
      </c>
      <c r="H1049" t="s">
        <v>10876</v>
      </c>
      <c r="I1049" t="s">
        <v>10807</v>
      </c>
      <c r="J1049" t="s">
        <v>2314</v>
      </c>
      <c r="K1049" t="s">
        <v>9416</v>
      </c>
      <c r="L1049" t="s">
        <v>9417</v>
      </c>
      <c r="M1049" t="s">
        <v>11021</v>
      </c>
      <c r="N1049" t="s">
        <v>9446</v>
      </c>
      <c r="O1049" t="s">
        <v>7238</v>
      </c>
      <c r="P1049" t="s">
        <v>9655</v>
      </c>
      <c r="Q1049" t="s">
        <v>9421</v>
      </c>
      <c r="R1049" t="s">
        <v>56</v>
      </c>
      <c r="S1049" t="s">
        <v>2561</v>
      </c>
      <c r="T1049" t="s">
        <v>2563</v>
      </c>
    </row>
    <row r="1050" spans="1:20">
      <c r="A1050" t="s">
        <v>2553</v>
      </c>
      <c r="B1050" t="s">
        <v>20</v>
      </c>
      <c r="C1050" t="s">
        <v>11392</v>
      </c>
      <c r="D1050" t="s">
        <v>9475</v>
      </c>
      <c r="E1050" t="s">
        <v>11393</v>
      </c>
      <c r="F1050" t="s">
        <v>9412</v>
      </c>
      <c r="G1050" t="s">
        <v>9413</v>
      </c>
      <c r="H1050" t="s">
        <v>10876</v>
      </c>
      <c r="I1050" t="s">
        <v>10807</v>
      </c>
      <c r="J1050" t="s">
        <v>2314</v>
      </c>
      <c r="K1050" t="s">
        <v>9416</v>
      </c>
      <c r="L1050" t="s">
        <v>9417</v>
      </c>
      <c r="M1050" t="s">
        <v>11021</v>
      </c>
      <c r="N1050" t="s">
        <v>9446</v>
      </c>
      <c r="O1050" t="s">
        <v>7240</v>
      </c>
      <c r="P1050" t="s">
        <v>9655</v>
      </c>
      <c r="Q1050" t="s">
        <v>9421</v>
      </c>
      <c r="R1050" t="s">
        <v>56</v>
      </c>
      <c r="S1050" t="s">
        <v>2564</v>
      </c>
      <c r="T1050" t="s">
        <v>2566</v>
      </c>
    </row>
    <row r="1051" spans="1:20">
      <c r="A1051" t="s">
        <v>3132</v>
      </c>
      <c r="B1051" t="s">
        <v>20</v>
      </c>
      <c r="C1051" t="s">
        <v>7856</v>
      </c>
      <c r="D1051" t="s">
        <v>9666</v>
      </c>
      <c r="E1051" t="s">
        <v>11394</v>
      </c>
      <c r="F1051" t="s">
        <v>9412</v>
      </c>
      <c r="G1051" t="s">
        <v>9413</v>
      </c>
      <c r="H1051" t="s">
        <v>10876</v>
      </c>
      <c r="I1051" t="s">
        <v>9576</v>
      </c>
      <c r="J1051" t="s">
        <v>3013</v>
      </c>
      <c r="K1051" t="s">
        <v>9416</v>
      </c>
      <c r="L1051" t="s">
        <v>9417</v>
      </c>
      <c r="M1051" t="s">
        <v>11079</v>
      </c>
      <c r="N1051" t="s">
        <v>9446</v>
      </c>
      <c r="O1051" t="s">
        <v>7854</v>
      </c>
      <c r="P1051" t="s">
        <v>11395</v>
      </c>
      <c r="Q1051" t="s">
        <v>9421</v>
      </c>
      <c r="R1051" t="s">
        <v>56</v>
      </c>
      <c r="S1051" t="s">
        <v>3132</v>
      </c>
      <c r="T1051" t="s">
        <v>3134</v>
      </c>
    </row>
    <row r="1052" spans="1:20">
      <c r="A1052" t="s">
        <v>2570</v>
      </c>
      <c r="B1052" t="s">
        <v>62</v>
      </c>
      <c r="C1052" t="s">
        <v>7246</v>
      </c>
      <c r="D1052" t="s">
        <v>9448</v>
      </c>
      <c r="E1052" t="s">
        <v>11396</v>
      </c>
      <c r="F1052" t="s">
        <v>9412</v>
      </c>
      <c r="G1052" t="s">
        <v>9413</v>
      </c>
      <c r="H1052" t="s">
        <v>10876</v>
      </c>
      <c r="I1052" t="s">
        <v>10177</v>
      </c>
      <c r="J1052" t="s">
        <v>2314</v>
      </c>
      <c r="K1052" t="s">
        <v>9445</v>
      </c>
      <c r="L1052" t="s">
        <v>9417</v>
      </c>
      <c r="M1052" t="s">
        <v>10910</v>
      </c>
      <c r="N1052" t="s">
        <v>9426</v>
      </c>
      <c r="O1052" t="s">
        <v>9446</v>
      </c>
      <c r="P1052" t="s">
        <v>9647</v>
      </c>
      <c r="Q1052" t="s">
        <v>9421</v>
      </c>
      <c r="R1052" t="s">
        <v>56</v>
      </c>
      <c r="S1052" t="s">
        <v>2437</v>
      </c>
      <c r="T1052" t="s">
        <v>2439</v>
      </c>
    </row>
    <row r="1053" spans="1:20">
      <c r="A1053" t="s">
        <v>2570</v>
      </c>
      <c r="B1053" t="s">
        <v>62</v>
      </c>
      <c r="C1053" t="s">
        <v>7246</v>
      </c>
      <c r="D1053" t="s">
        <v>9448</v>
      </c>
      <c r="E1053" t="s">
        <v>11396</v>
      </c>
      <c r="F1053" t="s">
        <v>9412</v>
      </c>
      <c r="G1053" t="s">
        <v>9413</v>
      </c>
      <c r="H1053" t="s">
        <v>10876</v>
      </c>
      <c r="I1053" t="s">
        <v>10177</v>
      </c>
      <c r="J1053" t="s">
        <v>2314</v>
      </c>
      <c r="K1053" t="s">
        <v>9416</v>
      </c>
      <c r="L1053" t="s">
        <v>9417</v>
      </c>
      <c r="M1053" t="s">
        <v>10910</v>
      </c>
      <c r="N1053" t="s">
        <v>9446</v>
      </c>
      <c r="O1053" t="s">
        <v>7244</v>
      </c>
      <c r="P1053" t="s">
        <v>9655</v>
      </c>
      <c r="Q1053" t="s">
        <v>9421</v>
      </c>
      <c r="R1053" t="s">
        <v>56</v>
      </c>
      <c r="S1053" t="s">
        <v>2570</v>
      </c>
      <c r="T1053" t="s">
        <v>2572</v>
      </c>
    </row>
    <row r="1054" spans="1:20">
      <c r="A1054" t="s">
        <v>11397</v>
      </c>
      <c r="B1054" t="s">
        <v>9409</v>
      </c>
      <c r="C1054" t="s">
        <v>11398</v>
      </c>
      <c r="D1054" t="s">
        <v>9410</v>
      </c>
      <c r="E1054" t="s">
        <v>11399</v>
      </c>
      <c r="F1054" t="s">
        <v>9412</v>
      </c>
      <c r="G1054" t="s">
        <v>9413</v>
      </c>
      <c r="H1054" t="s">
        <v>10876</v>
      </c>
      <c r="I1054" t="s">
        <v>9869</v>
      </c>
      <c r="J1054" t="s">
        <v>2314</v>
      </c>
      <c r="K1054" t="s">
        <v>9445</v>
      </c>
      <c r="L1054" t="s">
        <v>9417</v>
      </c>
      <c r="M1054" t="s">
        <v>11156</v>
      </c>
      <c r="N1054" t="s">
        <v>9426</v>
      </c>
      <c r="O1054" t="s">
        <v>9446</v>
      </c>
      <c r="P1054" t="s">
        <v>9647</v>
      </c>
      <c r="Q1054" t="s">
        <v>9421</v>
      </c>
      <c r="R1054" t="s">
        <v>84</v>
      </c>
      <c r="S1054" t="s">
        <v>2333</v>
      </c>
      <c r="T1054" t="s">
        <v>2335</v>
      </c>
    </row>
    <row r="1055" spans="1:20">
      <c r="A1055" t="s">
        <v>11397</v>
      </c>
      <c r="B1055" t="s">
        <v>9409</v>
      </c>
      <c r="C1055" t="s">
        <v>11398</v>
      </c>
      <c r="D1055" t="s">
        <v>9410</v>
      </c>
      <c r="E1055" t="s">
        <v>11399</v>
      </c>
      <c r="F1055" t="s">
        <v>9412</v>
      </c>
      <c r="G1055" t="s">
        <v>9413</v>
      </c>
      <c r="H1055" t="s">
        <v>10876</v>
      </c>
      <c r="I1055" t="s">
        <v>9869</v>
      </c>
      <c r="J1055" t="s">
        <v>2314</v>
      </c>
      <c r="K1055" t="s">
        <v>9416</v>
      </c>
      <c r="L1055" t="s">
        <v>9417</v>
      </c>
      <c r="M1055" t="s">
        <v>11156</v>
      </c>
      <c r="N1055" t="s">
        <v>9446</v>
      </c>
      <c r="O1055" t="s">
        <v>11400</v>
      </c>
      <c r="P1055" t="s">
        <v>9651</v>
      </c>
      <c r="Q1055" t="s">
        <v>9421</v>
      </c>
      <c r="R1055" t="s">
        <v>56</v>
      </c>
      <c r="S1055" t="s">
        <v>11401</v>
      </c>
      <c r="T1055" t="s">
        <v>11402</v>
      </c>
    </row>
    <row r="1056" spans="1:20">
      <c r="A1056" t="s">
        <v>11397</v>
      </c>
      <c r="B1056" t="s">
        <v>9409</v>
      </c>
      <c r="C1056" t="s">
        <v>11398</v>
      </c>
      <c r="D1056" t="s">
        <v>9410</v>
      </c>
      <c r="E1056" t="s">
        <v>11399</v>
      </c>
      <c r="F1056" t="s">
        <v>9412</v>
      </c>
      <c r="G1056" t="s">
        <v>9413</v>
      </c>
      <c r="H1056" t="s">
        <v>10876</v>
      </c>
      <c r="I1056" t="s">
        <v>9869</v>
      </c>
      <c r="J1056" t="s">
        <v>2314</v>
      </c>
      <c r="K1056" t="s">
        <v>9416</v>
      </c>
      <c r="L1056" t="s">
        <v>9417</v>
      </c>
      <c r="M1056" t="s">
        <v>11156</v>
      </c>
      <c r="N1056" t="s">
        <v>9446</v>
      </c>
      <c r="O1056" t="s">
        <v>11403</v>
      </c>
      <c r="P1056" t="s">
        <v>9655</v>
      </c>
      <c r="Q1056" t="s">
        <v>9421</v>
      </c>
      <c r="R1056" t="s">
        <v>56</v>
      </c>
      <c r="S1056" t="s">
        <v>11397</v>
      </c>
      <c r="T1056" t="s">
        <v>11404</v>
      </c>
    </row>
    <row r="1057" spans="1:20">
      <c r="A1057" t="s">
        <v>2574</v>
      </c>
      <c r="B1057" t="s">
        <v>20</v>
      </c>
      <c r="C1057" t="s">
        <v>11405</v>
      </c>
      <c r="D1057" t="s">
        <v>9464</v>
      </c>
      <c r="E1057" t="s">
        <v>11406</v>
      </c>
      <c r="F1057" t="s">
        <v>9412</v>
      </c>
      <c r="G1057" t="s">
        <v>9413</v>
      </c>
      <c r="H1057" t="s">
        <v>10876</v>
      </c>
      <c r="I1057" t="s">
        <v>9472</v>
      </c>
      <c r="J1057" t="s">
        <v>2314</v>
      </c>
      <c r="K1057" t="s">
        <v>9416</v>
      </c>
      <c r="L1057" t="s">
        <v>9417</v>
      </c>
      <c r="M1057" t="s">
        <v>11126</v>
      </c>
      <c r="N1057" t="s">
        <v>9446</v>
      </c>
      <c r="O1057" t="s">
        <v>7254</v>
      </c>
      <c r="P1057" t="s">
        <v>9655</v>
      </c>
      <c r="Q1057" t="s">
        <v>9421</v>
      </c>
      <c r="R1057" t="s">
        <v>56</v>
      </c>
      <c r="S1057" t="s">
        <v>2582</v>
      </c>
      <c r="T1057" t="s">
        <v>2584</v>
      </c>
    </row>
    <row r="1058" spans="1:20">
      <c r="A1058" t="s">
        <v>2574</v>
      </c>
      <c r="B1058" t="s">
        <v>20</v>
      </c>
      <c r="C1058" t="s">
        <v>11405</v>
      </c>
      <c r="D1058" t="s">
        <v>9464</v>
      </c>
      <c r="E1058" t="s">
        <v>11406</v>
      </c>
      <c r="F1058" t="s">
        <v>9412</v>
      </c>
      <c r="G1058" t="s">
        <v>9413</v>
      </c>
      <c r="H1058" t="s">
        <v>10876</v>
      </c>
      <c r="I1058" t="s">
        <v>9472</v>
      </c>
      <c r="J1058" t="s">
        <v>2314</v>
      </c>
      <c r="K1058" t="s">
        <v>9445</v>
      </c>
      <c r="L1058" t="s">
        <v>9417</v>
      </c>
      <c r="M1058" t="s">
        <v>11126</v>
      </c>
      <c r="N1058" t="s">
        <v>9430</v>
      </c>
      <c r="O1058" t="s">
        <v>9446</v>
      </c>
      <c r="P1058" t="s">
        <v>9479</v>
      </c>
      <c r="Q1058" t="s">
        <v>9421</v>
      </c>
      <c r="R1058" t="s">
        <v>43</v>
      </c>
      <c r="S1058" t="s">
        <v>2575</v>
      </c>
      <c r="T1058" t="s">
        <v>2577</v>
      </c>
    </row>
    <row r="1059" spans="1:20">
      <c r="A1059" t="s">
        <v>2574</v>
      </c>
      <c r="B1059" t="s">
        <v>20</v>
      </c>
      <c r="C1059" t="s">
        <v>11405</v>
      </c>
      <c r="D1059" t="s">
        <v>9464</v>
      </c>
      <c r="E1059" t="s">
        <v>11406</v>
      </c>
      <c r="F1059" t="s">
        <v>9412</v>
      </c>
      <c r="G1059" t="s">
        <v>9413</v>
      </c>
      <c r="H1059" t="s">
        <v>10876</v>
      </c>
      <c r="I1059" t="s">
        <v>9472</v>
      </c>
      <c r="J1059" t="s">
        <v>2314</v>
      </c>
      <c r="K1059" t="s">
        <v>9416</v>
      </c>
      <c r="L1059" t="s">
        <v>9417</v>
      </c>
      <c r="M1059" t="s">
        <v>11126</v>
      </c>
      <c r="N1059" t="s">
        <v>9446</v>
      </c>
      <c r="O1059" t="s">
        <v>7252</v>
      </c>
      <c r="P1059" t="s">
        <v>9655</v>
      </c>
      <c r="Q1059" t="s">
        <v>9421</v>
      </c>
      <c r="R1059" t="s">
        <v>56</v>
      </c>
      <c r="S1059" t="s">
        <v>2579</v>
      </c>
      <c r="T1059" t="s">
        <v>2581</v>
      </c>
    </row>
    <row r="1060" spans="1:20">
      <c r="A1060" t="s">
        <v>2574</v>
      </c>
      <c r="B1060" t="s">
        <v>20</v>
      </c>
      <c r="C1060" t="s">
        <v>11405</v>
      </c>
      <c r="D1060" t="s">
        <v>9464</v>
      </c>
      <c r="E1060" t="s">
        <v>11406</v>
      </c>
      <c r="F1060" t="s">
        <v>9412</v>
      </c>
      <c r="G1060" t="s">
        <v>9413</v>
      </c>
      <c r="H1060" t="s">
        <v>10876</v>
      </c>
      <c r="I1060" t="s">
        <v>9472</v>
      </c>
      <c r="J1060" t="s">
        <v>2314</v>
      </c>
      <c r="K1060" t="s">
        <v>9416</v>
      </c>
      <c r="L1060" t="s">
        <v>9417</v>
      </c>
      <c r="M1060" t="s">
        <v>11126</v>
      </c>
      <c r="N1060" t="s">
        <v>9446</v>
      </c>
      <c r="O1060" t="s">
        <v>7256</v>
      </c>
      <c r="P1060" t="s">
        <v>9655</v>
      </c>
      <c r="Q1060" t="s">
        <v>9421</v>
      </c>
      <c r="R1060" t="s">
        <v>56</v>
      </c>
      <c r="S1060" t="s">
        <v>2585</v>
      </c>
      <c r="T1060" t="s">
        <v>2587</v>
      </c>
    </row>
    <row r="1061" spans="1:20">
      <c r="A1061" t="s">
        <v>2588</v>
      </c>
      <c r="B1061" t="s">
        <v>20</v>
      </c>
      <c r="C1061" t="s">
        <v>11407</v>
      </c>
      <c r="D1061" t="s">
        <v>9455</v>
      </c>
      <c r="E1061" t="s">
        <v>11408</v>
      </c>
      <c r="F1061" t="s">
        <v>9412</v>
      </c>
      <c r="G1061" t="s">
        <v>9413</v>
      </c>
      <c r="H1061" t="s">
        <v>10876</v>
      </c>
      <c r="I1061" t="s">
        <v>9469</v>
      </c>
      <c r="J1061" t="s">
        <v>2314</v>
      </c>
      <c r="K1061" t="s">
        <v>9416</v>
      </c>
      <c r="L1061" t="s">
        <v>9417</v>
      </c>
      <c r="M1061" t="s">
        <v>11021</v>
      </c>
      <c r="N1061" t="s">
        <v>9446</v>
      </c>
      <c r="O1061" t="s">
        <v>7258</v>
      </c>
      <c r="P1061" t="s">
        <v>9655</v>
      </c>
      <c r="Q1061" t="s">
        <v>9421</v>
      </c>
      <c r="R1061" t="s">
        <v>56</v>
      </c>
      <c r="S1061" t="s">
        <v>2589</v>
      </c>
      <c r="T1061" t="s">
        <v>2591</v>
      </c>
    </row>
    <row r="1062" spans="1:20">
      <c r="A1062" t="s">
        <v>2588</v>
      </c>
      <c r="B1062" t="s">
        <v>20</v>
      </c>
      <c r="C1062" t="s">
        <v>11407</v>
      </c>
      <c r="D1062" t="s">
        <v>9455</v>
      </c>
      <c r="E1062" t="s">
        <v>11408</v>
      </c>
      <c r="F1062" t="s">
        <v>9412</v>
      </c>
      <c r="G1062" t="s">
        <v>9413</v>
      </c>
      <c r="H1062" t="s">
        <v>10876</v>
      </c>
      <c r="I1062" t="s">
        <v>9469</v>
      </c>
      <c r="J1062" t="s">
        <v>2314</v>
      </c>
      <c r="K1062" t="s">
        <v>9416</v>
      </c>
      <c r="L1062" t="s">
        <v>9417</v>
      </c>
      <c r="M1062" t="s">
        <v>11021</v>
      </c>
      <c r="N1062" t="s">
        <v>9446</v>
      </c>
      <c r="O1062" t="s">
        <v>7266</v>
      </c>
      <c r="P1062" t="s">
        <v>9655</v>
      </c>
      <c r="Q1062" t="s">
        <v>9421</v>
      </c>
      <c r="R1062" t="s">
        <v>56</v>
      </c>
      <c r="S1062" t="s">
        <v>2599</v>
      </c>
      <c r="T1062" t="s">
        <v>2601</v>
      </c>
    </row>
    <row r="1063" spans="1:20">
      <c r="A1063" t="s">
        <v>2588</v>
      </c>
      <c r="B1063" t="s">
        <v>20</v>
      </c>
      <c r="C1063" t="s">
        <v>11407</v>
      </c>
      <c r="D1063" t="s">
        <v>9455</v>
      </c>
      <c r="E1063" t="s">
        <v>11408</v>
      </c>
      <c r="F1063" t="s">
        <v>9412</v>
      </c>
      <c r="G1063" t="s">
        <v>9413</v>
      </c>
      <c r="H1063" t="s">
        <v>10876</v>
      </c>
      <c r="I1063" t="s">
        <v>9469</v>
      </c>
      <c r="J1063" t="s">
        <v>2314</v>
      </c>
      <c r="K1063" t="s">
        <v>9445</v>
      </c>
      <c r="L1063" t="s">
        <v>9417</v>
      </c>
      <c r="M1063" t="s">
        <v>11021</v>
      </c>
      <c r="N1063" t="s">
        <v>9430</v>
      </c>
      <c r="O1063" t="s">
        <v>9446</v>
      </c>
      <c r="P1063" t="s">
        <v>9524</v>
      </c>
      <c r="Q1063" t="s">
        <v>9421</v>
      </c>
      <c r="R1063" t="s">
        <v>24</v>
      </c>
      <c r="S1063" t="s">
        <v>2602</v>
      </c>
      <c r="T1063" t="s">
        <v>2604</v>
      </c>
    </row>
    <row r="1064" spans="1:20">
      <c r="A1064" t="s">
        <v>2588</v>
      </c>
      <c r="B1064" t="s">
        <v>20</v>
      </c>
      <c r="C1064" t="s">
        <v>11407</v>
      </c>
      <c r="D1064" t="s">
        <v>9455</v>
      </c>
      <c r="E1064" t="s">
        <v>11408</v>
      </c>
      <c r="F1064" t="s">
        <v>9412</v>
      </c>
      <c r="G1064" t="s">
        <v>9413</v>
      </c>
      <c r="H1064" t="s">
        <v>10876</v>
      </c>
      <c r="I1064" t="s">
        <v>9469</v>
      </c>
      <c r="J1064" t="s">
        <v>2314</v>
      </c>
      <c r="K1064" t="s">
        <v>9416</v>
      </c>
      <c r="L1064" t="s">
        <v>9417</v>
      </c>
      <c r="M1064" t="s">
        <v>11021</v>
      </c>
      <c r="N1064" t="s">
        <v>9446</v>
      </c>
      <c r="O1064" t="s">
        <v>7264</v>
      </c>
      <c r="P1064" t="s">
        <v>9655</v>
      </c>
      <c r="Q1064" t="s">
        <v>9421</v>
      </c>
      <c r="R1064" t="s">
        <v>56</v>
      </c>
      <c r="S1064" t="s">
        <v>2596</v>
      </c>
      <c r="T1064" t="s">
        <v>2598</v>
      </c>
    </row>
    <row r="1065" spans="1:20">
      <c r="A1065" t="s">
        <v>2588</v>
      </c>
      <c r="B1065" t="s">
        <v>20</v>
      </c>
      <c r="C1065" t="s">
        <v>11407</v>
      </c>
      <c r="D1065" t="s">
        <v>9455</v>
      </c>
      <c r="E1065" t="s">
        <v>11408</v>
      </c>
      <c r="F1065" t="s">
        <v>9412</v>
      </c>
      <c r="G1065" t="s">
        <v>9413</v>
      </c>
      <c r="H1065" t="s">
        <v>10876</v>
      </c>
      <c r="I1065" t="s">
        <v>9469</v>
      </c>
      <c r="J1065" t="s">
        <v>2314</v>
      </c>
      <c r="K1065" t="s">
        <v>9416</v>
      </c>
      <c r="L1065" t="s">
        <v>9417</v>
      </c>
      <c r="M1065" t="s">
        <v>11021</v>
      </c>
      <c r="N1065" t="s">
        <v>9430</v>
      </c>
      <c r="O1065" t="s">
        <v>7262</v>
      </c>
      <c r="P1065" t="s">
        <v>10949</v>
      </c>
      <c r="Q1065" t="s">
        <v>9421</v>
      </c>
      <c r="R1065" t="s">
        <v>17</v>
      </c>
      <c r="S1065" t="s">
        <v>2593</v>
      </c>
      <c r="T1065" t="s">
        <v>2595</v>
      </c>
    </row>
    <row r="1066" spans="1:20">
      <c r="A1066" t="s">
        <v>2605</v>
      </c>
      <c r="B1066" t="s">
        <v>20</v>
      </c>
      <c r="C1066" t="s">
        <v>11409</v>
      </c>
      <c r="D1066" t="s">
        <v>9455</v>
      </c>
      <c r="E1066" t="s">
        <v>11410</v>
      </c>
      <c r="F1066" t="s">
        <v>9412</v>
      </c>
      <c r="G1066" t="s">
        <v>9413</v>
      </c>
      <c r="H1066" t="s">
        <v>2233</v>
      </c>
      <c r="I1066" t="s">
        <v>9506</v>
      </c>
      <c r="J1066" t="s">
        <v>2314</v>
      </c>
      <c r="K1066" t="s">
        <v>9416</v>
      </c>
      <c r="L1066" t="s">
        <v>9417</v>
      </c>
      <c r="M1066" t="s">
        <v>10886</v>
      </c>
      <c r="N1066" t="s">
        <v>9426</v>
      </c>
      <c r="O1066" t="s">
        <v>7019</v>
      </c>
      <c r="P1066" t="s">
        <v>9647</v>
      </c>
      <c r="Q1066" t="s">
        <v>9421</v>
      </c>
      <c r="R1066" t="s">
        <v>84</v>
      </c>
      <c r="S1066" t="s">
        <v>2333</v>
      </c>
      <c r="T1066" t="s">
        <v>2335</v>
      </c>
    </row>
    <row r="1067" spans="1:20">
      <c r="A1067" t="s">
        <v>2605</v>
      </c>
      <c r="B1067" t="s">
        <v>20</v>
      </c>
      <c r="C1067" t="s">
        <v>2609</v>
      </c>
      <c r="D1067" t="s">
        <v>9455</v>
      </c>
      <c r="E1067" t="s">
        <v>11410</v>
      </c>
      <c r="F1067" t="s">
        <v>9412</v>
      </c>
      <c r="G1067" t="s">
        <v>9413</v>
      </c>
      <c r="H1067" t="s">
        <v>2233</v>
      </c>
      <c r="I1067" t="s">
        <v>9506</v>
      </c>
      <c r="J1067" t="s">
        <v>2314</v>
      </c>
      <c r="K1067" t="s">
        <v>9416</v>
      </c>
      <c r="L1067" t="s">
        <v>9417</v>
      </c>
      <c r="M1067" t="s">
        <v>10886</v>
      </c>
      <c r="N1067" t="s">
        <v>9446</v>
      </c>
      <c r="O1067" t="s">
        <v>7268</v>
      </c>
      <c r="P1067" t="s">
        <v>10548</v>
      </c>
      <c r="Q1067" t="s">
        <v>9421</v>
      </c>
      <c r="R1067" t="s">
        <v>56</v>
      </c>
      <c r="S1067" t="s">
        <v>2610</v>
      </c>
      <c r="T1067" t="s">
        <v>2612</v>
      </c>
    </row>
    <row r="1068" spans="1:20">
      <c r="A1068" t="s">
        <v>2605</v>
      </c>
      <c r="B1068" t="s">
        <v>20</v>
      </c>
      <c r="C1068" t="s">
        <v>11409</v>
      </c>
      <c r="D1068" t="s">
        <v>9455</v>
      </c>
      <c r="E1068" t="s">
        <v>11410</v>
      </c>
      <c r="F1068" t="s">
        <v>9412</v>
      </c>
      <c r="G1068" t="s">
        <v>9413</v>
      </c>
      <c r="H1068" t="s">
        <v>2233</v>
      </c>
      <c r="I1068" t="s">
        <v>9506</v>
      </c>
      <c r="J1068" t="s">
        <v>2314</v>
      </c>
      <c r="K1068" t="s">
        <v>9445</v>
      </c>
      <c r="L1068" t="s">
        <v>9417</v>
      </c>
      <c r="M1068" t="s">
        <v>10886</v>
      </c>
      <c r="N1068" t="s">
        <v>9426</v>
      </c>
      <c r="O1068" t="s">
        <v>9446</v>
      </c>
      <c r="P1068" t="s">
        <v>10713</v>
      </c>
      <c r="Q1068" t="s">
        <v>9421</v>
      </c>
      <c r="R1068" t="s">
        <v>43</v>
      </c>
      <c r="S1068" t="s">
        <v>2606</v>
      </c>
      <c r="T1068" t="s">
        <v>2608</v>
      </c>
    </row>
    <row r="1069" spans="1:20">
      <c r="A1069" t="s">
        <v>11411</v>
      </c>
      <c r="B1069" t="s">
        <v>9409</v>
      </c>
      <c r="C1069" t="s">
        <v>11412</v>
      </c>
      <c r="D1069" t="s">
        <v>9410</v>
      </c>
      <c r="E1069" t="s">
        <v>11413</v>
      </c>
      <c r="F1069" t="s">
        <v>9412</v>
      </c>
      <c r="G1069" t="s">
        <v>9413</v>
      </c>
      <c r="H1069" t="s">
        <v>10876</v>
      </c>
      <c r="I1069" t="s">
        <v>9869</v>
      </c>
      <c r="J1069" t="s">
        <v>2314</v>
      </c>
      <c r="K1069" t="s">
        <v>9416</v>
      </c>
      <c r="L1069" t="s">
        <v>9417</v>
      </c>
      <c r="M1069" t="s">
        <v>11047</v>
      </c>
      <c r="N1069" t="s">
        <v>9446</v>
      </c>
      <c r="O1069" t="s">
        <v>11414</v>
      </c>
      <c r="P1069" t="s">
        <v>9655</v>
      </c>
      <c r="Q1069" t="s">
        <v>9421</v>
      </c>
      <c r="R1069" t="s">
        <v>56</v>
      </c>
      <c r="S1069" t="s">
        <v>11415</v>
      </c>
      <c r="T1069" t="s">
        <v>11416</v>
      </c>
    </row>
    <row r="1070" spans="1:20">
      <c r="A1070" t="s">
        <v>2916</v>
      </c>
      <c r="B1070" t="s">
        <v>62</v>
      </c>
      <c r="C1070" t="s">
        <v>2920</v>
      </c>
      <c r="D1070" t="s">
        <v>9448</v>
      </c>
      <c r="E1070" t="s">
        <v>11417</v>
      </c>
      <c r="F1070" t="s">
        <v>9412</v>
      </c>
      <c r="G1070" t="s">
        <v>9413</v>
      </c>
      <c r="H1070" t="s">
        <v>2233</v>
      </c>
      <c r="I1070" t="s">
        <v>9533</v>
      </c>
      <c r="J1070" t="s">
        <v>2861</v>
      </c>
      <c r="K1070" t="s">
        <v>9416</v>
      </c>
      <c r="L1070" t="s">
        <v>9417</v>
      </c>
      <c r="M1070" t="s">
        <v>11047</v>
      </c>
      <c r="N1070" t="s">
        <v>10900</v>
      </c>
      <c r="O1070" t="s">
        <v>7592</v>
      </c>
      <c r="P1070" t="s">
        <v>9655</v>
      </c>
      <c r="Q1070" t="s">
        <v>9421</v>
      </c>
      <c r="R1070" t="s">
        <v>56</v>
      </c>
      <c r="S1070" t="s">
        <v>2917</v>
      </c>
      <c r="T1070" t="s">
        <v>2919</v>
      </c>
    </row>
    <row r="1071" spans="1:20">
      <c r="A1071" t="s">
        <v>2613</v>
      </c>
      <c r="B1071" t="s">
        <v>20</v>
      </c>
      <c r="C1071" t="s">
        <v>7273</v>
      </c>
      <c r="D1071" t="s">
        <v>9666</v>
      </c>
      <c r="E1071" t="s">
        <v>11418</v>
      </c>
      <c r="F1071" t="s">
        <v>9412</v>
      </c>
      <c r="G1071" t="s">
        <v>9413</v>
      </c>
      <c r="H1071" t="s">
        <v>10876</v>
      </c>
      <c r="I1071" t="s">
        <v>9486</v>
      </c>
      <c r="J1071" t="s">
        <v>2314</v>
      </c>
      <c r="K1071" t="s">
        <v>9445</v>
      </c>
      <c r="L1071" t="s">
        <v>9417</v>
      </c>
      <c r="M1071" t="s">
        <v>10997</v>
      </c>
      <c r="N1071" t="s">
        <v>9426</v>
      </c>
      <c r="O1071" t="s">
        <v>9446</v>
      </c>
      <c r="P1071" t="s">
        <v>9567</v>
      </c>
      <c r="Q1071" t="s">
        <v>9421</v>
      </c>
      <c r="R1071" t="s">
        <v>43</v>
      </c>
      <c r="S1071" t="s">
        <v>2504</v>
      </c>
      <c r="T1071" t="s">
        <v>2506</v>
      </c>
    </row>
    <row r="1072" spans="1:20">
      <c r="A1072" t="s">
        <v>2613</v>
      </c>
      <c r="B1072" t="s">
        <v>20</v>
      </c>
      <c r="C1072" t="s">
        <v>7273</v>
      </c>
      <c r="D1072" t="s">
        <v>9666</v>
      </c>
      <c r="E1072" t="s">
        <v>11418</v>
      </c>
      <c r="F1072" t="s">
        <v>9412</v>
      </c>
      <c r="G1072" t="s">
        <v>9413</v>
      </c>
      <c r="H1072" t="s">
        <v>10876</v>
      </c>
      <c r="I1072" t="s">
        <v>9486</v>
      </c>
      <c r="J1072" t="s">
        <v>2314</v>
      </c>
      <c r="K1072" t="s">
        <v>9416</v>
      </c>
      <c r="L1072" t="s">
        <v>9417</v>
      </c>
      <c r="M1072" t="s">
        <v>10997</v>
      </c>
      <c r="N1072" t="s">
        <v>9446</v>
      </c>
      <c r="O1072" t="s">
        <v>7275</v>
      </c>
      <c r="P1072" t="s">
        <v>9647</v>
      </c>
      <c r="Q1072" t="s">
        <v>9421</v>
      </c>
      <c r="R1072" t="s">
        <v>84</v>
      </c>
      <c r="S1072" t="s">
        <v>2615</v>
      </c>
      <c r="T1072" t="s">
        <v>2617</v>
      </c>
    </row>
    <row r="1073" spans="1:20">
      <c r="A1073" t="s">
        <v>2618</v>
      </c>
      <c r="B1073" t="s">
        <v>20</v>
      </c>
      <c r="C1073" t="s">
        <v>7279</v>
      </c>
      <c r="D1073" t="s">
        <v>9460</v>
      </c>
      <c r="E1073" t="s">
        <v>11419</v>
      </c>
      <c r="F1073" t="s">
        <v>9412</v>
      </c>
      <c r="G1073" t="s">
        <v>9413</v>
      </c>
      <c r="H1073" t="s">
        <v>10876</v>
      </c>
      <c r="I1073" t="s">
        <v>9787</v>
      </c>
      <c r="J1073" t="s">
        <v>2314</v>
      </c>
      <c r="K1073" t="s">
        <v>9416</v>
      </c>
      <c r="L1073" t="s">
        <v>9417</v>
      </c>
      <c r="M1073" t="s">
        <v>10934</v>
      </c>
      <c r="N1073" t="s">
        <v>9446</v>
      </c>
      <c r="O1073" t="s">
        <v>7277</v>
      </c>
      <c r="P1073" t="s">
        <v>10522</v>
      </c>
      <c r="Q1073" t="s">
        <v>9421</v>
      </c>
      <c r="R1073" t="s">
        <v>56</v>
      </c>
      <c r="S1073" t="s">
        <v>2619</v>
      </c>
      <c r="T1073" t="s">
        <v>2621</v>
      </c>
    </row>
    <row r="1074" spans="1:20">
      <c r="A1074" t="s">
        <v>2437</v>
      </c>
      <c r="B1074" t="s">
        <v>9409</v>
      </c>
      <c r="C1074" t="s">
        <v>11420</v>
      </c>
      <c r="D1074" t="s">
        <v>9410</v>
      </c>
      <c r="E1074" t="s">
        <v>11421</v>
      </c>
      <c r="F1074" t="s">
        <v>9412</v>
      </c>
      <c r="G1074" t="s">
        <v>9413</v>
      </c>
      <c r="H1074" t="s">
        <v>10876</v>
      </c>
      <c r="I1074" t="s">
        <v>9846</v>
      </c>
      <c r="J1074" t="s">
        <v>2232</v>
      </c>
      <c r="K1074" t="s">
        <v>9416</v>
      </c>
      <c r="L1074" t="s">
        <v>9417</v>
      </c>
      <c r="M1074" t="s">
        <v>10934</v>
      </c>
      <c r="N1074" t="s">
        <v>9426</v>
      </c>
      <c r="O1074" t="s">
        <v>7125</v>
      </c>
      <c r="P1074" t="s">
        <v>9647</v>
      </c>
      <c r="Q1074" t="s">
        <v>9421</v>
      </c>
      <c r="R1074" t="s">
        <v>56</v>
      </c>
      <c r="S1074" t="s">
        <v>2437</v>
      </c>
      <c r="T1074" t="s">
        <v>2439</v>
      </c>
    </row>
    <row r="1075" spans="1:20">
      <c r="A1075" t="s">
        <v>2623</v>
      </c>
      <c r="B1075" t="s">
        <v>62</v>
      </c>
      <c r="C1075" t="s">
        <v>7283</v>
      </c>
      <c r="D1075" t="s">
        <v>9448</v>
      </c>
      <c r="E1075" t="s">
        <v>11422</v>
      </c>
      <c r="F1075" t="s">
        <v>9601</v>
      </c>
      <c r="G1075" t="s">
        <v>9413</v>
      </c>
      <c r="H1075" t="s">
        <v>10876</v>
      </c>
      <c r="I1075" t="s">
        <v>10010</v>
      </c>
      <c r="J1075" t="s">
        <v>2314</v>
      </c>
      <c r="K1075" t="s">
        <v>9445</v>
      </c>
      <c r="L1075" t="s">
        <v>9417</v>
      </c>
      <c r="M1075" t="s">
        <v>10934</v>
      </c>
      <c r="N1075" t="s">
        <v>9426</v>
      </c>
      <c r="O1075" t="s">
        <v>9446</v>
      </c>
      <c r="P1075" t="s">
        <v>9647</v>
      </c>
      <c r="Q1075" t="s">
        <v>9421</v>
      </c>
      <c r="R1075" t="s">
        <v>56</v>
      </c>
      <c r="S1075" t="s">
        <v>2437</v>
      </c>
      <c r="T1075" t="s">
        <v>2439</v>
      </c>
    </row>
    <row r="1076" spans="1:20">
      <c r="A1076" t="s">
        <v>2623</v>
      </c>
      <c r="B1076" t="s">
        <v>62</v>
      </c>
      <c r="C1076" t="s">
        <v>7283</v>
      </c>
      <c r="D1076" t="s">
        <v>9448</v>
      </c>
      <c r="E1076" t="s">
        <v>11422</v>
      </c>
      <c r="F1076" t="s">
        <v>9601</v>
      </c>
      <c r="G1076" t="s">
        <v>9413</v>
      </c>
      <c r="H1076" t="s">
        <v>10876</v>
      </c>
      <c r="I1076" t="s">
        <v>10010</v>
      </c>
      <c r="J1076" t="s">
        <v>2314</v>
      </c>
      <c r="K1076" t="s">
        <v>9416</v>
      </c>
      <c r="L1076" t="s">
        <v>9417</v>
      </c>
      <c r="M1076" t="s">
        <v>10934</v>
      </c>
      <c r="N1076" t="s">
        <v>9446</v>
      </c>
      <c r="O1076" t="s">
        <v>7281</v>
      </c>
      <c r="P1076" t="s">
        <v>9655</v>
      </c>
      <c r="Q1076" t="s">
        <v>9421</v>
      </c>
      <c r="R1076" t="s">
        <v>56</v>
      </c>
      <c r="S1076" t="s">
        <v>2624</v>
      </c>
      <c r="T1076" t="s">
        <v>2626</v>
      </c>
    </row>
    <row r="1077" spans="1:20">
      <c r="A1077" t="s">
        <v>3136</v>
      </c>
      <c r="B1077" t="s">
        <v>20</v>
      </c>
      <c r="C1077" t="s">
        <v>7860</v>
      </c>
      <c r="D1077" t="s">
        <v>9475</v>
      </c>
      <c r="E1077" t="s">
        <v>11423</v>
      </c>
      <c r="F1077" t="s">
        <v>9601</v>
      </c>
      <c r="G1077" t="s">
        <v>9413</v>
      </c>
      <c r="H1077" t="s">
        <v>10876</v>
      </c>
      <c r="I1077" t="s">
        <v>9457</v>
      </c>
      <c r="J1077" t="s">
        <v>3013</v>
      </c>
      <c r="K1077" t="s">
        <v>9416</v>
      </c>
      <c r="L1077" t="s">
        <v>9417</v>
      </c>
      <c r="M1077" t="s">
        <v>11079</v>
      </c>
      <c r="N1077" t="s">
        <v>9446</v>
      </c>
      <c r="O1077" t="s">
        <v>7858</v>
      </c>
      <c r="P1077" t="s">
        <v>9651</v>
      </c>
      <c r="Q1077" t="s">
        <v>9421</v>
      </c>
      <c r="R1077" t="s">
        <v>56</v>
      </c>
      <c r="S1077" t="s">
        <v>3137</v>
      </c>
      <c r="T1077" t="s">
        <v>3139</v>
      </c>
    </row>
    <row r="1078" spans="1:20">
      <c r="A1078" t="s">
        <v>3141</v>
      </c>
      <c r="B1078" t="s">
        <v>62</v>
      </c>
      <c r="C1078" t="s">
        <v>11424</v>
      </c>
      <c r="D1078" t="s">
        <v>445</v>
      </c>
      <c r="E1078" t="s">
        <v>11425</v>
      </c>
      <c r="F1078" t="s">
        <v>9412</v>
      </c>
      <c r="G1078" t="s">
        <v>9413</v>
      </c>
      <c r="H1078" t="s">
        <v>10876</v>
      </c>
      <c r="I1078" t="s">
        <v>10407</v>
      </c>
      <c r="J1078" t="s">
        <v>3013</v>
      </c>
      <c r="K1078" t="s">
        <v>9416</v>
      </c>
      <c r="L1078" t="s">
        <v>9417</v>
      </c>
      <c r="M1078" t="s">
        <v>10891</v>
      </c>
      <c r="N1078" t="s">
        <v>9446</v>
      </c>
      <c r="O1078" t="s">
        <v>7862</v>
      </c>
      <c r="P1078" t="s">
        <v>9647</v>
      </c>
      <c r="Q1078" t="s">
        <v>9421</v>
      </c>
      <c r="R1078" t="s">
        <v>84</v>
      </c>
      <c r="S1078" t="s">
        <v>3142</v>
      </c>
      <c r="T1078" t="s">
        <v>3144</v>
      </c>
    </row>
    <row r="1079" spans="1:20">
      <c r="A1079" t="s">
        <v>11426</v>
      </c>
      <c r="B1079" t="s">
        <v>9409</v>
      </c>
      <c r="C1079" t="s">
        <v>11427</v>
      </c>
      <c r="D1079" t="s">
        <v>9410</v>
      </c>
      <c r="E1079" t="s">
        <v>11428</v>
      </c>
      <c r="F1079" t="s">
        <v>9601</v>
      </c>
      <c r="G1079" t="s">
        <v>9413</v>
      </c>
      <c r="H1079" t="s">
        <v>10876</v>
      </c>
      <c r="I1079" t="s">
        <v>9922</v>
      </c>
      <c r="J1079" t="s">
        <v>2314</v>
      </c>
      <c r="K1079" t="s">
        <v>9416</v>
      </c>
      <c r="L1079" t="s">
        <v>9417</v>
      </c>
      <c r="M1079" t="s">
        <v>11047</v>
      </c>
      <c r="N1079" t="s">
        <v>10879</v>
      </c>
      <c r="O1079" t="s">
        <v>11429</v>
      </c>
      <c r="P1079" t="s">
        <v>9459</v>
      </c>
      <c r="Q1079" t="s">
        <v>9421</v>
      </c>
      <c r="R1079" t="s">
        <v>17</v>
      </c>
      <c r="S1079" t="s">
        <v>11430</v>
      </c>
      <c r="T1079" t="s">
        <v>11428</v>
      </c>
    </row>
    <row r="1080" spans="1:20">
      <c r="A1080" t="s">
        <v>2628</v>
      </c>
      <c r="B1080" t="s">
        <v>62</v>
      </c>
      <c r="C1080" t="s">
        <v>7285</v>
      </c>
      <c r="D1080" t="s">
        <v>9448</v>
      </c>
      <c r="E1080" t="s">
        <v>11431</v>
      </c>
      <c r="F1080" t="s">
        <v>9601</v>
      </c>
      <c r="G1080" t="s">
        <v>9413</v>
      </c>
      <c r="H1080" t="s">
        <v>10876</v>
      </c>
      <c r="I1080" t="s">
        <v>10186</v>
      </c>
      <c r="J1080" t="s">
        <v>2314</v>
      </c>
      <c r="K1080" t="s">
        <v>9445</v>
      </c>
      <c r="L1080" t="s">
        <v>9417</v>
      </c>
      <c r="M1080" t="s">
        <v>11294</v>
      </c>
      <c r="N1080" t="s">
        <v>9426</v>
      </c>
      <c r="O1080" t="s">
        <v>9446</v>
      </c>
      <c r="P1080" t="s">
        <v>9567</v>
      </c>
      <c r="Q1080" t="s">
        <v>9421</v>
      </c>
      <c r="R1080" t="s">
        <v>43</v>
      </c>
      <c r="S1080" t="s">
        <v>2504</v>
      </c>
      <c r="T1080" t="s">
        <v>2506</v>
      </c>
    </row>
    <row r="1081" spans="1:20">
      <c r="A1081" t="s">
        <v>2628</v>
      </c>
      <c r="B1081" t="s">
        <v>62</v>
      </c>
      <c r="C1081" t="s">
        <v>7285</v>
      </c>
      <c r="D1081" t="s">
        <v>9448</v>
      </c>
      <c r="E1081" t="s">
        <v>11431</v>
      </c>
      <c r="F1081" t="s">
        <v>9601</v>
      </c>
      <c r="G1081" t="s">
        <v>9413</v>
      </c>
      <c r="H1081" t="s">
        <v>10876</v>
      </c>
      <c r="I1081" t="s">
        <v>10186</v>
      </c>
      <c r="J1081" t="s">
        <v>2314</v>
      </c>
      <c r="K1081" t="s">
        <v>9416</v>
      </c>
      <c r="L1081" t="s">
        <v>9417</v>
      </c>
      <c r="M1081" t="s">
        <v>11294</v>
      </c>
      <c r="N1081" t="s">
        <v>9446</v>
      </c>
      <c r="O1081" t="s">
        <v>7287</v>
      </c>
      <c r="P1081" t="s">
        <v>9655</v>
      </c>
      <c r="Q1081" t="s">
        <v>9421</v>
      </c>
      <c r="R1081" t="s">
        <v>56</v>
      </c>
      <c r="S1081" t="s">
        <v>2630</v>
      </c>
      <c r="T1081" t="s">
        <v>2632</v>
      </c>
    </row>
    <row r="1082" spans="1:20">
      <c r="A1082" t="s">
        <v>2633</v>
      </c>
      <c r="B1082" t="s">
        <v>20</v>
      </c>
      <c r="C1082" t="s">
        <v>7294</v>
      </c>
      <c r="D1082" t="s">
        <v>9460</v>
      </c>
      <c r="E1082" t="s">
        <v>11432</v>
      </c>
      <c r="F1082" t="s">
        <v>9601</v>
      </c>
      <c r="G1082" t="s">
        <v>9413</v>
      </c>
      <c r="H1082" t="s">
        <v>10876</v>
      </c>
      <c r="I1082" t="s">
        <v>9469</v>
      </c>
      <c r="J1082" t="s">
        <v>2314</v>
      </c>
      <c r="K1082" t="s">
        <v>9416</v>
      </c>
      <c r="L1082" t="s">
        <v>9417</v>
      </c>
      <c r="M1082" t="s">
        <v>11351</v>
      </c>
      <c r="N1082" t="s">
        <v>9446</v>
      </c>
      <c r="O1082" t="s">
        <v>7292</v>
      </c>
      <c r="P1082" t="s">
        <v>9655</v>
      </c>
      <c r="Q1082" t="s">
        <v>9421</v>
      </c>
      <c r="R1082" t="s">
        <v>56</v>
      </c>
      <c r="S1082" t="s">
        <v>2634</v>
      </c>
      <c r="T1082" t="s">
        <v>2636</v>
      </c>
    </row>
    <row r="1083" spans="1:20">
      <c r="A1083" t="s">
        <v>2638</v>
      </c>
      <c r="B1083" t="s">
        <v>20</v>
      </c>
      <c r="C1083" t="s">
        <v>7298</v>
      </c>
      <c r="D1083" t="s">
        <v>9455</v>
      </c>
      <c r="E1083" t="s">
        <v>11433</v>
      </c>
      <c r="F1083" t="s">
        <v>9601</v>
      </c>
      <c r="G1083" t="s">
        <v>9413</v>
      </c>
      <c r="H1083" t="s">
        <v>10876</v>
      </c>
      <c r="I1083" t="s">
        <v>9826</v>
      </c>
      <c r="J1083" t="s">
        <v>2314</v>
      </c>
      <c r="K1083" t="s">
        <v>9416</v>
      </c>
      <c r="L1083" t="s">
        <v>9417</v>
      </c>
      <c r="M1083" t="s">
        <v>11021</v>
      </c>
      <c r="N1083" t="s">
        <v>9446</v>
      </c>
      <c r="O1083" t="s">
        <v>7296</v>
      </c>
      <c r="P1083" t="s">
        <v>9655</v>
      </c>
      <c r="Q1083" t="s">
        <v>9421</v>
      </c>
      <c r="R1083" t="s">
        <v>56</v>
      </c>
      <c r="S1083" t="s">
        <v>2639</v>
      </c>
      <c r="T1083" t="s">
        <v>2641</v>
      </c>
    </row>
    <row r="1084" spans="1:20">
      <c r="A1084" t="s">
        <v>2638</v>
      </c>
      <c r="B1084" t="s">
        <v>20</v>
      </c>
      <c r="C1084" t="s">
        <v>11434</v>
      </c>
      <c r="D1084" t="s">
        <v>9455</v>
      </c>
      <c r="E1084" t="s">
        <v>11433</v>
      </c>
      <c r="F1084" t="s">
        <v>9601</v>
      </c>
      <c r="G1084" t="s">
        <v>9413</v>
      </c>
      <c r="H1084" t="s">
        <v>10876</v>
      </c>
      <c r="I1084" t="s">
        <v>9826</v>
      </c>
      <c r="J1084" t="s">
        <v>2314</v>
      </c>
      <c r="K1084" t="s">
        <v>9416</v>
      </c>
      <c r="L1084" t="s">
        <v>9417</v>
      </c>
      <c r="M1084" t="s">
        <v>11021</v>
      </c>
      <c r="N1084" t="s">
        <v>9446</v>
      </c>
      <c r="O1084" t="s">
        <v>7300</v>
      </c>
      <c r="P1084" t="s">
        <v>9655</v>
      </c>
      <c r="Q1084" t="s">
        <v>9421</v>
      </c>
      <c r="R1084" t="s">
        <v>56</v>
      </c>
      <c r="S1084" t="s">
        <v>2643</v>
      </c>
      <c r="T1084" t="s">
        <v>2645</v>
      </c>
    </row>
    <row r="1085" spans="1:20">
      <c r="A1085" t="s">
        <v>2852</v>
      </c>
      <c r="B1085" t="s">
        <v>62</v>
      </c>
      <c r="C1085" t="s">
        <v>11435</v>
      </c>
      <c r="D1085" t="s">
        <v>445</v>
      </c>
      <c r="E1085" t="s">
        <v>11436</v>
      </c>
      <c r="F1085" t="s">
        <v>9601</v>
      </c>
      <c r="G1085" t="s">
        <v>9413</v>
      </c>
      <c r="H1085" t="s">
        <v>2233</v>
      </c>
      <c r="I1085" t="s">
        <v>9830</v>
      </c>
      <c r="J1085" t="s">
        <v>2693</v>
      </c>
      <c r="K1085" t="s">
        <v>9416</v>
      </c>
      <c r="L1085" t="s">
        <v>9417</v>
      </c>
      <c r="M1085" t="s">
        <v>11241</v>
      </c>
      <c r="N1085" t="s">
        <v>10904</v>
      </c>
      <c r="O1085" t="s">
        <v>7484</v>
      </c>
      <c r="P1085" t="s">
        <v>9647</v>
      </c>
      <c r="Q1085" t="s">
        <v>9421</v>
      </c>
      <c r="R1085" t="s">
        <v>84</v>
      </c>
      <c r="S1085" t="s">
        <v>2853</v>
      </c>
      <c r="T1085" t="s">
        <v>2855</v>
      </c>
    </row>
    <row r="1086" spans="1:20">
      <c r="A1086" t="s">
        <v>2857</v>
      </c>
      <c r="B1086" t="s">
        <v>62</v>
      </c>
      <c r="C1086" t="s">
        <v>2858</v>
      </c>
      <c r="D1086" t="s">
        <v>9448</v>
      </c>
      <c r="E1086" t="s">
        <v>11437</v>
      </c>
      <c r="F1086" t="s">
        <v>9412</v>
      </c>
      <c r="G1086" t="s">
        <v>9413</v>
      </c>
      <c r="H1086" t="s">
        <v>2233</v>
      </c>
      <c r="I1086" t="s">
        <v>9854</v>
      </c>
      <c r="J1086" t="s">
        <v>2693</v>
      </c>
      <c r="K1086" t="s">
        <v>9416</v>
      </c>
      <c r="L1086" t="s">
        <v>9417</v>
      </c>
      <c r="M1086" t="s">
        <v>10903</v>
      </c>
      <c r="N1086" t="s">
        <v>9426</v>
      </c>
      <c r="O1086" t="s">
        <v>7421</v>
      </c>
      <c r="P1086" t="s">
        <v>9567</v>
      </c>
      <c r="Q1086" t="s">
        <v>9421</v>
      </c>
      <c r="R1086" t="s">
        <v>24</v>
      </c>
      <c r="S1086" t="s">
        <v>2772</v>
      </c>
      <c r="T1086" t="s">
        <v>2774</v>
      </c>
    </row>
    <row r="1087" spans="1:20">
      <c r="A1087" t="s">
        <v>7303</v>
      </c>
      <c r="B1087" t="s">
        <v>62</v>
      </c>
      <c r="C1087" t="s">
        <v>11438</v>
      </c>
      <c r="D1087" t="s">
        <v>9448</v>
      </c>
      <c r="E1087" t="s">
        <v>11439</v>
      </c>
      <c r="F1087" t="s">
        <v>9601</v>
      </c>
      <c r="G1087" t="s">
        <v>9413</v>
      </c>
      <c r="H1087" t="s">
        <v>2233</v>
      </c>
      <c r="I1087" t="s">
        <v>11327</v>
      </c>
      <c r="J1087" t="s">
        <v>2314</v>
      </c>
      <c r="K1087" t="s">
        <v>9445</v>
      </c>
      <c r="L1087" t="s">
        <v>9417</v>
      </c>
      <c r="M1087" t="s">
        <v>11281</v>
      </c>
      <c r="N1087" t="s">
        <v>10879</v>
      </c>
      <c r="O1087" t="s">
        <v>9446</v>
      </c>
      <c r="P1087" t="s">
        <v>9459</v>
      </c>
      <c r="Q1087" t="s">
        <v>9421</v>
      </c>
      <c r="R1087" t="s">
        <v>17</v>
      </c>
      <c r="S1087" t="s">
        <v>2400</v>
      </c>
      <c r="T1087" t="s">
        <v>2402</v>
      </c>
    </row>
    <row r="1088" spans="1:20">
      <c r="A1088" t="s">
        <v>7306</v>
      </c>
      <c r="B1088" t="s">
        <v>62</v>
      </c>
      <c r="C1088" t="s">
        <v>11440</v>
      </c>
      <c r="D1088" t="s">
        <v>9448</v>
      </c>
      <c r="E1088" t="s">
        <v>11441</v>
      </c>
      <c r="F1088" t="s">
        <v>9412</v>
      </c>
      <c r="G1088" t="s">
        <v>9413</v>
      </c>
      <c r="H1088" t="s">
        <v>2233</v>
      </c>
      <c r="I1088" t="s">
        <v>10177</v>
      </c>
      <c r="J1088" t="s">
        <v>2314</v>
      </c>
      <c r="K1088" t="s">
        <v>9445</v>
      </c>
      <c r="L1088" t="s">
        <v>9417</v>
      </c>
      <c r="M1088" t="s">
        <v>10997</v>
      </c>
      <c r="N1088" t="s">
        <v>9426</v>
      </c>
      <c r="O1088" t="s">
        <v>9446</v>
      </c>
      <c r="P1088" t="s">
        <v>9647</v>
      </c>
      <c r="Q1088" t="s">
        <v>9421</v>
      </c>
      <c r="R1088" t="s">
        <v>84</v>
      </c>
      <c r="S1088" t="s">
        <v>2333</v>
      </c>
      <c r="T1088" t="s">
        <v>2335</v>
      </c>
    </row>
    <row r="1089" spans="1:20">
      <c r="A1089" t="s">
        <v>11442</v>
      </c>
      <c r="B1089" t="s">
        <v>9409</v>
      </c>
      <c r="C1089" t="s">
        <v>7764</v>
      </c>
      <c r="D1089" t="s">
        <v>9410</v>
      </c>
      <c r="E1089" t="s">
        <v>11443</v>
      </c>
      <c r="F1089" t="s">
        <v>9412</v>
      </c>
      <c r="G1089" t="s">
        <v>10760</v>
      </c>
      <c r="H1089" t="s">
        <v>10876</v>
      </c>
      <c r="I1089" t="s">
        <v>11444</v>
      </c>
      <c r="J1089" t="s">
        <v>3013</v>
      </c>
      <c r="K1089" t="s">
        <v>9445</v>
      </c>
      <c r="L1089" t="s">
        <v>9417</v>
      </c>
      <c r="M1089" t="s">
        <v>10894</v>
      </c>
      <c r="N1089" t="s">
        <v>10892</v>
      </c>
      <c r="O1089" t="s">
        <v>9446</v>
      </c>
      <c r="P1089" t="s">
        <v>9420</v>
      </c>
      <c r="Q1089" t="s">
        <v>9421</v>
      </c>
      <c r="R1089" t="s">
        <v>17</v>
      </c>
      <c r="S1089" t="s">
        <v>3046</v>
      </c>
      <c r="T1089" t="s">
        <v>3048</v>
      </c>
    </row>
    <row r="1090" spans="1:20">
      <c r="A1090" t="s">
        <v>11445</v>
      </c>
      <c r="B1090" t="s">
        <v>9409</v>
      </c>
      <c r="C1090" t="s">
        <v>11446</v>
      </c>
      <c r="D1090" t="s">
        <v>9410</v>
      </c>
      <c r="E1090" t="s">
        <v>11447</v>
      </c>
      <c r="F1090" t="s">
        <v>9412</v>
      </c>
      <c r="G1090" t="s">
        <v>10760</v>
      </c>
      <c r="H1090" t="s">
        <v>2233</v>
      </c>
      <c r="I1090" t="s">
        <v>9771</v>
      </c>
      <c r="J1090" t="s">
        <v>2926</v>
      </c>
      <c r="K1090" t="s">
        <v>9445</v>
      </c>
      <c r="L1090" t="s">
        <v>9417</v>
      </c>
      <c r="M1090" t="s">
        <v>10907</v>
      </c>
      <c r="N1090" t="s">
        <v>10908</v>
      </c>
      <c r="O1090" t="s">
        <v>9446</v>
      </c>
      <c r="P1090" t="s">
        <v>9623</v>
      </c>
      <c r="Q1090" t="s">
        <v>9421</v>
      </c>
      <c r="R1090" t="s">
        <v>24</v>
      </c>
      <c r="S1090" t="s">
        <v>10991</v>
      </c>
      <c r="T1090" t="s">
        <v>10995</v>
      </c>
    </row>
    <row r="1091" spans="1:20">
      <c r="A1091" t="s">
        <v>2646</v>
      </c>
      <c r="B1091" t="s">
        <v>20</v>
      </c>
      <c r="C1091" t="s">
        <v>7311</v>
      </c>
      <c r="D1091" t="s">
        <v>9455</v>
      </c>
      <c r="E1091" t="s">
        <v>11448</v>
      </c>
      <c r="F1091" t="s">
        <v>9601</v>
      </c>
      <c r="G1091" t="s">
        <v>9413</v>
      </c>
      <c r="H1091" t="s">
        <v>10876</v>
      </c>
      <c r="I1091" t="s">
        <v>9435</v>
      </c>
      <c r="J1091" t="s">
        <v>2314</v>
      </c>
      <c r="K1091" t="s">
        <v>9416</v>
      </c>
      <c r="L1091" t="s">
        <v>9417</v>
      </c>
      <c r="M1091" t="s">
        <v>11210</v>
      </c>
      <c r="N1091" t="s">
        <v>9446</v>
      </c>
      <c r="O1091" t="s">
        <v>7309</v>
      </c>
      <c r="P1091" t="s">
        <v>9655</v>
      </c>
      <c r="Q1091" t="s">
        <v>9421</v>
      </c>
      <c r="R1091" t="s">
        <v>56</v>
      </c>
      <c r="S1091" t="s">
        <v>2647</v>
      </c>
      <c r="T1091" t="s">
        <v>2649</v>
      </c>
    </row>
    <row r="1092" spans="1:20">
      <c r="A1092" t="s">
        <v>2844</v>
      </c>
      <c r="B1092" t="s">
        <v>9409</v>
      </c>
      <c r="C1092" t="s">
        <v>11449</v>
      </c>
      <c r="D1092" t="s">
        <v>9410</v>
      </c>
      <c r="E1092" t="s">
        <v>11450</v>
      </c>
      <c r="F1092" t="s">
        <v>9412</v>
      </c>
      <c r="G1092" t="s">
        <v>10760</v>
      </c>
      <c r="H1092" t="s">
        <v>10876</v>
      </c>
      <c r="I1092" t="s">
        <v>9771</v>
      </c>
      <c r="J1092" t="s">
        <v>3013</v>
      </c>
      <c r="K1092" t="s">
        <v>9445</v>
      </c>
      <c r="L1092" t="s">
        <v>9417</v>
      </c>
      <c r="M1092" t="s">
        <v>10891</v>
      </c>
      <c r="N1092" t="s">
        <v>9446</v>
      </c>
      <c r="O1092" t="s">
        <v>9446</v>
      </c>
      <c r="P1092" t="s">
        <v>9567</v>
      </c>
      <c r="Q1092" t="s">
        <v>9421</v>
      </c>
      <c r="R1092" t="s">
        <v>43</v>
      </c>
      <c r="S1092" t="s">
        <v>3064</v>
      </c>
      <c r="T1092" t="s">
        <v>3066</v>
      </c>
    </row>
    <row r="1093" spans="1:20">
      <c r="A1093" t="s">
        <v>2728</v>
      </c>
      <c r="B1093" t="s">
        <v>20</v>
      </c>
      <c r="C1093" t="s">
        <v>11451</v>
      </c>
      <c r="D1093" t="s">
        <v>9410</v>
      </c>
      <c r="E1093" t="s">
        <v>11452</v>
      </c>
      <c r="F1093" t="s">
        <v>9412</v>
      </c>
      <c r="G1093" t="s">
        <v>10580</v>
      </c>
      <c r="H1093" t="s">
        <v>10876</v>
      </c>
      <c r="I1093" t="s">
        <v>9819</v>
      </c>
      <c r="J1093" t="s">
        <v>2314</v>
      </c>
      <c r="K1093" t="s">
        <v>9445</v>
      </c>
      <c r="L1093" t="s">
        <v>9417</v>
      </c>
      <c r="M1093" t="s">
        <v>11281</v>
      </c>
      <c r="N1093" t="s">
        <v>10879</v>
      </c>
      <c r="O1093" t="s">
        <v>9446</v>
      </c>
      <c r="P1093" t="s">
        <v>9603</v>
      </c>
      <c r="Q1093" t="s">
        <v>9421</v>
      </c>
      <c r="R1093" t="s">
        <v>9604</v>
      </c>
      <c r="S1093" t="s">
        <v>11302</v>
      </c>
      <c r="T1093" t="s">
        <v>11303</v>
      </c>
    </row>
    <row r="1094" spans="1:20">
      <c r="A1094" t="s">
        <v>2651</v>
      </c>
      <c r="B1094" t="s">
        <v>62</v>
      </c>
      <c r="C1094" t="s">
        <v>11453</v>
      </c>
      <c r="D1094" t="s">
        <v>9448</v>
      </c>
      <c r="E1094" t="s">
        <v>11454</v>
      </c>
      <c r="F1094" t="s">
        <v>9412</v>
      </c>
      <c r="G1094" t="s">
        <v>9413</v>
      </c>
      <c r="H1094" t="s">
        <v>10876</v>
      </c>
      <c r="I1094" t="s">
        <v>10509</v>
      </c>
      <c r="J1094" t="s">
        <v>2314</v>
      </c>
      <c r="K1094" t="s">
        <v>9416</v>
      </c>
      <c r="L1094" t="s">
        <v>9417</v>
      </c>
      <c r="M1094" t="s">
        <v>10934</v>
      </c>
      <c r="N1094" t="s">
        <v>10879</v>
      </c>
      <c r="O1094" t="s">
        <v>7315</v>
      </c>
      <c r="P1094" t="s">
        <v>9647</v>
      </c>
      <c r="Q1094" t="s">
        <v>9421</v>
      </c>
      <c r="R1094" t="s">
        <v>84</v>
      </c>
      <c r="S1094" t="s">
        <v>2653</v>
      </c>
      <c r="T1094" t="s">
        <v>2655</v>
      </c>
    </row>
    <row r="1095" spans="1:20">
      <c r="A1095" t="s">
        <v>2651</v>
      </c>
      <c r="B1095" t="s">
        <v>62</v>
      </c>
      <c r="C1095" t="s">
        <v>11453</v>
      </c>
      <c r="D1095" t="s">
        <v>9448</v>
      </c>
      <c r="E1095" t="s">
        <v>11454</v>
      </c>
      <c r="F1095" t="s">
        <v>9412</v>
      </c>
      <c r="G1095" t="s">
        <v>9413</v>
      </c>
      <c r="H1095" t="s">
        <v>10876</v>
      </c>
      <c r="I1095" t="s">
        <v>10509</v>
      </c>
      <c r="J1095" t="s">
        <v>2314</v>
      </c>
      <c r="K1095" t="s">
        <v>9445</v>
      </c>
      <c r="L1095" t="s">
        <v>9417</v>
      </c>
      <c r="M1095" t="s">
        <v>10934</v>
      </c>
      <c r="N1095" t="s">
        <v>9426</v>
      </c>
      <c r="O1095" t="s">
        <v>9446</v>
      </c>
      <c r="P1095" t="s">
        <v>9479</v>
      </c>
      <c r="Q1095" t="s">
        <v>9421</v>
      </c>
      <c r="R1095" t="s">
        <v>43</v>
      </c>
      <c r="S1095" t="s">
        <v>2238</v>
      </c>
      <c r="T1095" t="s">
        <v>2240</v>
      </c>
    </row>
    <row r="1096" spans="1:20">
      <c r="A1096" t="s">
        <v>11455</v>
      </c>
      <c r="B1096" t="s">
        <v>9409</v>
      </c>
      <c r="C1096" t="s">
        <v>11456</v>
      </c>
      <c r="D1096" t="s">
        <v>9410</v>
      </c>
      <c r="E1096" t="s">
        <v>11457</v>
      </c>
      <c r="F1096" t="s">
        <v>9601</v>
      </c>
      <c r="G1096" t="s">
        <v>10580</v>
      </c>
      <c r="H1096" t="s">
        <v>10876</v>
      </c>
      <c r="I1096" t="s">
        <v>9560</v>
      </c>
      <c r="J1096" t="s">
        <v>2314</v>
      </c>
      <c r="K1096" t="s">
        <v>9445</v>
      </c>
      <c r="L1096" t="s">
        <v>9417</v>
      </c>
      <c r="M1096" t="s">
        <v>11294</v>
      </c>
      <c r="N1096" t="s">
        <v>9446</v>
      </c>
      <c r="O1096" t="s">
        <v>9446</v>
      </c>
      <c r="P1096" t="s">
        <v>9655</v>
      </c>
      <c r="Q1096" t="s">
        <v>9421</v>
      </c>
      <c r="R1096" t="s">
        <v>56</v>
      </c>
      <c r="S1096" t="s">
        <v>2662</v>
      </c>
      <c r="T1096" t="s">
        <v>2664</v>
      </c>
    </row>
    <row r="1097" spans="1:20">
      <c r="A1097" t="s">
        <v>11458</v>
      </c>
      <c r="B1097" t="s">
        <v>9409</v>
      </c>
      <c r="C1097" t="s">
        <v>11459</v>
      </c>
      <c r="D1097" t="s">
        <v>9410</v>
      </c>
      <c r="E1097" t="s">
        <v>11460</v>
      </c>
      <c r="F1097" t="s">
        <v>9601</v>
      </c>
      <c r="G1097" t="s">
        <v>9413</v>
      </c>
      <c r="H1097" t="s">
        <v>10876</v>
      </c>
      <c r="I1097" t="s">
        <v>9792</v>
      </c>
      <c r="J1097" t="s">
        <v>2314</v>
      </c>
      <c r="K1097" t="s">
        <v>9416</v>
      </c>
      <c r="L1097" t="s">
        <v>9417</v>
      </c>
      <c r="M1097" t="s">
        <v>10997</v>
      </c>
      <c r="N1097" t="s">
        <v>9446</v>
      </c>
      <c r="O1097" t="s">
        <v>11461</v>
      </c>
      <c r="P1097" t="s">
        <v>9655</v>
      </c>
      <c r="Q1097" t="s">
        <v>9421</v>
      </c>
      <c r="R1097" t="s">
        <v>56</v>
      </c>
      <c r="S1097" t="s">
        <v>11462</v>
      </c>
      <c r="T1097" t="s">
        <v>11463</v>
      </c>
    </row>
    <row r="1098" spans="1:20">
      <c r="A1098" t="s">
        <v>2656</v>
      </c>
      <c r="B1098" t="s">
        <v>62</v>
      </c>
      <c r="C1098" t="s">
        <v>7319</v>
      </c>
      <c r="D1098" t="s">
        <v>9448</v>
      </c>
      <c r="E1098" t="s">
        <v>11464</v>
      </c>
      <c r="F1098" t="s">
        <v>9601</v>
      </c>
      <c r="G1098" t="s">
        <v>9413</v>
      </c>
      <c r="H1098" t="s">
        <v>10876</v>
      </c>
      <c r="I1098" t="s">
        <v>10045</v>
      </c>
      <c r="J1098" t="s">
        <v>2314</v>
      </c>
      <c r="K1098" t="s">
        <v>9416</v>
      </c>
      <c r="L1098" t="s">
        <v>9417</v>
      </c>
      <c r="M1098" t="s">
        <v>10997</v>
      </c>
      <c r="N1098" t="s">
        <v>9446</v>
      </c>
      <c r="O1098" t="s">
        <v>7317</v>
      </c>
      <c r="P1098" t="s">
        <v>9651</v>
      </c>
      <c r="Q1098" t="s">
        <v>9421</v>
      </c>
      <c r="R1098" t="s">
        <v>56</v>
      </c>
      <c r="S1098" t="s">
        <v>2657</v>
      </c>
      <c r="T1098" t="s">
        <v>2659</v>
      </c>
    </row>
    <row r="1099" spans="1:20">
      <c r="A1099" t="s">
        <v>7321</v>
      </c>
      <c r="B1099" t="s">
        <v>20</v>
      </c>
      <c r="C1099" t="s">
        <v>7322</v>
      </c>
      <c r="D1099" t="s">
        <v>9460</v>
      </c>
      <c r="E1099" t="s">
        <v>11465</v>
      </c>
      <c r="F1099" t="s">
        <v>9601</v>
      </c>
      <c r="G1099" t="s">
        <v>9413</v>
      </c>
      <c r="H1099" t="s">
        <v>10876</v>
      </c>
      <c r="I1099" t="s">
        <v>9469</v>
      </c>
      <c r="J1099" t="s">
        <v>2314</v>
      </c>
      <c r="K1099" t="s">
        <v>9445</v>
      </c>
      <c r="L1099" t="s">
        <v>9417</v>
      </c>
      <c r="M1099" t="s">
        <v>10910</v>
      </c>
      <c r="N1099" t="s">
        <v>9426</v>
      </c>
      <c r="O1099" t="s">
        <v>9446</v>
      </c>
      <c r="P1099" t="s">
        <v>9567</v>
      </c>
      <c r="Q1099" t="s">
        <v>9421</v>
      </c>
      <c r="R1099" t="s">
        <v>43</v>
      </c>
      <c r="S1099" t="s">
        <v>2504</v>
      </c>
      <c r="T1099" t="s">
        <v>2506</v>
      </c>
    </row>
    <row r="1100" spans="1:20">
      <c r="A1100" t="s">
        <v>3146</v>
      </c>
      <c r="B1100" t="s">
        <v>62</v>
      </c>
      <c r="C1100" t="s">
        <v>11466</v>
      </c>
      <c r="D1100" t="s">
        <v>445</v>
      </c>
      <c r="E1100" t="s">
        <v>11467</v>
      </c>
      <c r="F1100" t="s">
        <v>9412</v>
      </c>
      <c r="G1100" t="s">
        <v>9413</v>
      </c>
      <c r="H1100" t="s">
        <v>10876</v>
      </c>
      <c r="I1100" t="s">
        <v>11276</v>
      </c>
      <c r="J1100" t="s">
        <v>3013</v>
      </c>
      <c r="K1100" t="s">
        <v>9416</v>
      </c>
      <c r="L1100" t="s">
        <v>9417</v>
      </c>
      <c r="M1100" t="s">
        <v>10891</v>
      </c>
      <c r="N1100" t="s">
        <v>9446</v>
      </c>
      <c r="O1100" t="s">
        <v>7866</v>
      </c>
      <c r="P1100" t="s">
        <v>9651</v>
      </c>
      <c r="Q1100" t="s">
        <v>9421</v>
      </c>
      <c r="R1100" t="s">
        <v>56</v>
      </c>
      <c r="S1100" t="s">
        <v>3147</v>
      </c>
      <c r="T1100" t="s">
        <v>3149</v>
      </c>
    </row>
    <row r="1101" spans="1:20">
      <c r="A1101" t="s">
        <v>2661</v>
      </c>
      <c r="B1101" t="s">
        <v>62</v>
      </c>
      <c r="C1101" t="s">
        <v>2665</v>
      </c>
      <c r="D1101" t="s">
        <v>445</v>
      </c>
      <c r="E1101" t="s">
        <v>11468</v>
      </c>
      <c r="F1101" t="s">
        <v>9601</v>
      </c>
      <c r="G1101" t="s">
        <v>9413</v>
      </c>
      <c r="H1101" t="s">
        <v>2233</v>
      </c>
      <c r="I1101" t="s">
        <v>9560</v>
      </c>
      <c r="J1101" t="s">
        <v>2314</v>
      </c>
      <c r="K1101" t="s">
        <v>9416</v>
      </c>
      <c r="L1101" t="s">
        <v>9417</v>
      </c>
      <c r="M1101" t="s">
        <v>11294</v>
      </c>
      <c r="N1101" t="s">
        <v>9446</v>
      </c>
      <c r="O1101" t="s">
        <v>7324</v>
      </c>
      <c r="P1101" t="s">
        <v>9655</v>
      </c>
      <c r="Q1101" t="s">
        <v>9421</v>
      </c>
      <c r="R1101" t="s">
        <v>56</v>
      </c>
      <c r="S1101" t="s">
        <v>2662</v>
      </c>
      <c r="T1101" t="s">
        <v>2664</v>
      </c>
    </row>
    <row r="1102" spans="1:20">
      <c r="A1102" t="s">
        <v>7328</v>
      </c>
      <c r="B1102" t="s">
        <v>9409</v>
      </c>
      <c r="C1102" t="s">
        <v>7332</v>
      </c>
      <c r="D1102" t="s">
        <v>9410</v>
      </c>
      <c r="E1102" t="s">
        <v>11469</v>
      </c>
      <c r="F1102" t="s">
        <v>9601</v>
      </c>
      <c r="G1102" t="s">
        <v>9413</v>
      </c>
      <c r="H1102" t="s">
        <v>10876</v>
      </c>
      <c r="I1102" t="s">
        <v>9466</v>
      </c>
      <c r="J1102" t="s">
        <v>2314</v>
      </c>
      <c r="K1102" t="s">
        <v>9445</v>
      </c>
      <c r="L1102" t="s">
        <v>9417</v>
      </c>
      <c r="M1102" t="s">
        <v>10910</v>
      </c>
      <c r="N1102" t="s">
        <v>9426</v>
      </c>
      <c r="O1102" t="s">
        <v>9446</v>
      </c>
      <c r="P1102" t="s">
        <v>9647</v>
      </c>
      <c r="Q1102" t="s">
        <v>9421</v>
      </c>
      <c r="R1102" t="s">
        <v>84</v>
      </c>
      <c r="S1102" t="s">
        <v>2333</v>
      </c>
      <c r="T1102" t="s">
        <v>2335</v>
      </c>
    </row>
    <row r="1103" spans="1:20">
      <c r="A1103" t="s">
        <v>7328</v>
      </c>
      <c r="B1103" t="s">
        <v>9409</v>
      </c>
      <c r="C1103" t="s">
        <v>7332</v>
      </c>
      <c r="D1103" t="s">
        <v>9410</v>
      </c>
      <c r="E1103" t="s">
        <v>11469</v>
      </c>
      <c r="F1103" t="s">
        <v>9601</v>
      </c>
      <c r="G1103" t="s">
        <v>9413</v>
      </c>
      <c r="H1103" t="s">
        <v>10876</v>
      </c>
      <c r="I1103" t="s">
        <v>9466</v>
      </c>
      <c r="J1103" t="s">
        <v>2314</v>
      </c>
      <c r="K1103" t="s">
        <v>9416</v>
      </c>
      <c r="L1103" t="s">
        <v>9417</v>
      </c>
      <c r="M1103" t="s">
        <v>10910</v>
      </c>
      <c r="N1103" t="s">
        <v>9446</v>
      </c>
      <c r="O1103" t="s">
        <v>7330</v>
      </c>
      <c r="P1103" t="s">
        <v>9655</v>
      </c>
      <c r="Q1103" t="s">
        <v>9421</v>
      </c>
      <c r="R1103" t="s">
        <v>56</v>
      </c>
      <c r="S1103" t="s">
        <v>7329</v>
      </c>
      <c r="T1103" t="s">
        <v>11470</v>
      </c>
    </row>
    <row r="1104" spans="1:20">
      <c r="A1104" t="s">
        <v>11471</v>
      </c>
      <c r="B1104" t="s">
        <v>62</v>
      </c>
      <c r="C1104" t="s">
        <v>11472</v>
      </c>
      <c r="D1104" t="s">
        <v>9448</v>
      </c>
      <c r="E1104" t="s">
        <v>11473</v>
      </c>
      <c r="F1104" t="s">
        <v>9601</v>
      </c>
      <c r="G1104" t="s">
        <v>9413</v>
      </c>
      <c r="H1104" t="s">
        <v>2233</v>
      </c>
      <c r="I1104" t="s">
        <v>9435</v>
      </c>
      <c r="J1104" t="s">
        <v>3013</v>
      </c>
      <c r="K1104" t="s">
        <v>9445</v>
      </c>
      <c r="L1104" t="s">
        <v>9417</v>
      </c>
      <c r="M1104" t="s">
        <v>10894</v>
      </c>
      <c r="N1104" t="s">
        <v>10892</v>
      </c>
      <c r="O1104" t="s">
        <v>9446</v>
      </c>
      <c r="P1104" t="s">
        <v>9524</v>
      </c>
      <c r="Q1104" t="s">
        <v>9421</v>
      </c>
      <c r="R1104" t="s">
        <v>24</v>
      </c>
      <c r="S1104" t="s">
        <v>3152</v>
      </c>
      <c r="T1104" t="s">
        <v>3154</v>
      </c>
    </row>
    <row r="1105" spans="1:20">
      <c r="A1105" t="s">
        <v>2666</v>
      </c>
      <c r="B1105" t="s">
        <v>62</v>
      </c>
      <c r="C1105" t="s">
        <v>7337</v>
      </c>
      <c r="D1105" t="s">
        <v>9448</v>
      </c>
      <c r="E1105" t="s">
        <v>11474</v>
      </c>
      <c r="F1105" t="s">
        <v>9601</v>
      </c>
      <c r="G1105" t="s">
        <v>9413</v>
      </c>
      <c r="H1105" t="s">
        <v>10876</v>
      </c>
      <c r="I1105" t="s">
        <v>10452</v>
      </c>
      <c r="J1105" t="s">
        <v>2314</v>
      </c>
      <c r="K1105" t="s">
        <v>9416</v>
      </c>
      <c r="L1105" t="s">
        <v>9417</v>
      </c>
      <c r="M1105" t="s">
        <v>11351</v>
      </c>
      <c r="N1105" t="s">
        <v>9446</v>
      </c>
      <c r="O1105" t="s">
        <v>7335</v>
      </c>
      <c r="P1105" t="s">
        <v>10738</v>
      </c>
      <c r="Q1105" t="s">
        <v>9421</v>
      </c>
      <c r="R1105" t="s">
        <v>56</v>
      </c>
      <c r="S1105" t="s">
        <v>7334</v>
      </c>
      <c r="T1105" t="s">
        <v>11475</v>
      </c>
    </row>
    <row r="1106" spans="1:20">
      <c r="A1106" t="s">
        <v>2666</v>
      </c>
      <c r="B1106" t="s">
        <v>62</v>
      </c>
      <c r="C1106" t="s">
        <v>7337</v>
      </c>
      <c r="D1106" t="s">
        <v>9448</v>
      </c>
      <c r="E1106" t="s">
        <v>11474</v>
      </c>
      <c r="F1106" t="s">
        <v>9601</v>
      </c>
      <c r="G1106" t="s">
        <v>9413</v>
      </c>
      <c r="H1106" t="s">
        <v>10876</v>
      </c>
      <c r="I1106" t="s">
        <v>10452</v>
      </c>
      <c r="J1106" t="s">
        <v>2314</v>
      </c>
      <c r="K1106" t="s">
        <v>9416</v>
      </c>
      <c r="L1106" t="s">
        <v>9417</v>
      </c>
      <c r="M1106" t="s">
        <v>11351</v>
      </c>
      <c r="N1106" t="s">
        <v>9446</v>
      </c>
      <c r="O1106" t="s">
        <v>7339</v>
      </c>
      <c r="P1106" t="s">
        <v>9655</v>
      </c>
      <c r="Q1106" t="s">
        <v>9421</v>
      </c>
      <c r="R1106" t="s">
        <v>56</v>
      </c>
      <c r="S1106" t="s">
        <v>2667</v>
      </c>
      <c r="T1106" t="s">
        <v>2669</v>
      </c>
    </row>
    <row r="1107" spans="1:20">
      <c r="A1107" t="s">
        <v>2921</v>
      </c>
      <c r="B1107" t="s">
        <v>62</v>
      </c>
      <c r="C1107" t="s">
        <v>2925</v>
      </c>
      <c r="D1107" t="s">
        <v>9448</v>
      </c>
      <c r="E1107" t="s">
        <v>11476</v>
      </c>
      <c r="F1107" t="s">
        <v>9601</v>
      </c>
      <c r="G1107" t="s">
        <v>9413</v>
      </c>
      <c r="H1107" t="s">
        <v>11336</v>
      </c>
      <c r="I1107" t="s">
        <v>9813</v>
      </c>
      <c r="J1107" t="s">
        <v>2861</v>
      </c>
      <c r="K1107" t="s">
        <v>9416</v>
      </c>
      <c r="L1107" t="s">
        <v>9417</v>
      </c>
      <c r="M1107" t="s">
        <v>10913</v>
      </c>
      <c r="N1107" t="s">
        <v>9446</v>
      </c>
      <c r="O1107" t="s">
        <v>7599</v>
      </c>
      <c r="P1107" t="s">
        <v>9655</v>
      </c>
      <c r="Q1107" t="s">
        <v>9421</v>
      </c>
      <c r="R1107" t="s">
        <v>56</v>
      </c>
      <c r="S1107" t="s">
        <v>2848</v>
      </c>
      <c r="T1107" t="s">
        <v>2850</v>
      </c>
    </row>
    <row r="1108" spans="1:20">
      <c r="A1108" t="s">
        <v>2429</v>
      </c>
      <c r="B1108" t="s">
        <v>20</v>
      </c>
      <c r="C1108" t="s">
        <v>7343</v>
      </c>
      <c r="D1108" t="s">
        <v>9666</v>
      </c>
      <c r="E1108" t="s">
        <v>11477</v>
      </c>
      <c r="F1108" t="s">
        <v>9601</v>
      </c>
      <c r="G1108" t="s">
        <v>9413</v>
      </c>
      <c r="H1108" t="s">
        <v>10876</v>
      </c>
      <c r="I1108" t="s">
        <v>11478</v>
      </c>
      <c r="J1108" t="s">
        <v>2314</v>
      </c>
      <c r="K1108" t="s">
        <v>9416</v>
      </c>
      <c r="L1108" t="s">
        <v>9417</v>
      </c>
      <c r="M1108" t="s">
        <v>10923</v>
      </c>
      <c r="N1108" t="s">
        <v>9446</v>
      </c>
      <c r="O1108" t="s">
        <v>7341</v>
      </c>
      <c r="P1108" t="s">
        <v>9655</v>
      </c>
      <c r="Q1108" t="s">
        <v>9421</v>
      </c>
      <c r="R1108" t="s">
        <v>56</v>
      </c>
      <c r="S1108" t="s">
        <v>2671</v>
      </c>
      <c r="T1108" t="s">
        <v>2673</v>
      </c>
    </row>
    <row r="1109" spans="1:20">
      <c r="A1109" t="s">
        <v>3151</v>
      </c>
      <c r="B1109" t="s">
        <v>62</v>
      </c>
      <c r="C1109" t="s">
        <v>3155</v>
      </c>
      <c r="D1109" t="s">
        <v>9448</v>
      </c>
      <c r="E1109" t="s">
        <v>11479</v>
      </c>
      <c r="F1109" t="s">
        <v>9601</v>
      </c>
      <c r="G1109" t="s">
        <v>9413</v>
      </c>
      <c r="H1109" t="s">
        <v>2233</v>
      </c>
      <c r="I1109" t="s">
        <v>9435</v>
      </c>
      <c r="J1109" t="s">
        <v>3013</v>
      </c>
      <c r="K1109" t="s">
        <v>9416</v>
      </c>
      <c r="L1109" t="s">
        <v>9417</v>
      </c>
      <c r="M1109" t="s">
        <v>10894</v>
      </c>
      <c r="N1109" t="s">
        <v>10892</v>
      </c>
      <c r="O1109" t="s">
        <v>7844</v>
      </c>
      <c r="P1109" t="s">
        <v>9524</v>
      </c>
      <c r="Q1109" t="s">
        <v>9421</v>
      </c>
      <c r="R1109" t="s">
        <v>24</v>
      </c>
      <c r="S1109" t="s">
        <v>3152</v>
      </c>
      <c r="T1109" t="s">
        <v>3154</v>
      </c>
    </row>
    <row r="1110" spans="1:20">
      <c r="A1110" t="s">
        <v>11480</v>
      </c>
      <c r="B1110" t="s">
        <v>9409</v>
      </c>
      <c r="C1110" t="s">
        <v>11481</v>
      </c>
      <c r="D1110" t="s">
        <v>9410</v>
      </c>
      <c r="E1110" t="s">
        <v>11482</v>
      </c>
      <c r="F1110" t="s">
        <v>9601</v>
      </c>
      <c r="G1110" t="s">
        <v>9413</v>
      </c>
      <c r="H1110" t="s">
        <v>10876</v>
      </c>
      <c r="I1110" t="s">
        <v>9792</v>
      </c>
      <c r="J1110" t="s">
        <v>2314</v>
      </c>
      <c r="K1110" t="s">
        <v>9416</v>
      </c>
      <c r="L1110" t="s">
        <v>9417</v>
      </c>
      <c r="M1110" t="s">
        <v>10934</v>
      </c>
      <c r="N1110" t="s">
        <v>10879</v>
      </c>
      <c r="O1110" t="s">
        <v>11483</v>
      </c>
      <c r="P1110" t="s">
        <v>11484</v>
      </c>
      <c r="Q1110" t="s">
        <v>9421</v>
      </c>
      <c r="R1110" t="s">
        <v>24</v>
      </c>
      <c r="S1110" t="s">
        <v>11485</v>
      </c>
      <c r="T1110" t="s">
        <v>11486</v>
      </c>
    </row>
    <row r="1111" spans="1:20">
      <c r="A1111" t="s">
        <v>2998</v>
      </c>
      <c r="B1111" t="s">
        <v>62</v>
      </c>
      <c r="C1111" t="s">
        <v>11487</v>
      </c>
      <c r="D1111" t="s">
        <v>445</v>
      </c>
      <c r="E1111" t="s">
        <v>11488</v>
      </c>
      <c r="F1111" t="s">
        <v>9412</v>
      </c>
      <c r="G1111" t="s">
        <v>9413</v>
      </c>
      <c r="H1111" t="s">
        <v>11232</v>
      </c>
      <c r="I1111" t="s">
        <v>10407</v>
      </c>
      <c r="J1111" t="s">
        <v>2926</v>
      </c>
      <c r="K1111" t="s">
        <v>9416</v>
      </c>
      <c r="L1111" t="s">
        <v>9417</v>
      </c>
      <c r="M1111" t="s">
        <v>10954</v>
      </c>
      <c r="N1111" t="s">
        <v>9430</v>
      </c>
      <c r="O1111" t="s">
        <v>7705</v>
      </c>
      <c r="P1111" t="s">
        <v>9474</v>
      </c>
      <c r="Q1111" t="s">
        <v>9421</v>
      </c>
      <c r="R1111" t="s">
        <v>43</v>
      </c>
      <c r="S1111" t="s">
        <v>2999</v>
      </c>
      <c r="T1111" t="s">
        <v>3001</v>
      </c>
    </row>
    <row r="1112" spans="1:20">
      <c r="A1112" t="s">
        <v>3003</v>
      </c>
      <c r="B1112" t="s">
        <v>20</v>
      </c>
      <c r="C1112" t="s">
        <v>3007</v>
      </c>
      <c r="D1112" t="s">
        <v>9460</v>
      </c>
      <c r="E1112" t="s">
        <v>11489</v>
      </c>
      <c r="F1112" t="s">
        <v>9412</v>
      </c>
      <c r="G1112" t="s">
        <v>9413</v>
      </c>
      <c r="H1112" t="s">
        <v>2233</v>
      </c>
      <c r="I1112" t="s">
        <v>9869</v>
      </c>
      <c r="J1112" t="s">
        <v>2926</v>
      </c>
      <c r="K1112" t="s">
        <v>9416</v>
      </c>
      <c r="L1112" t="s">
        <v>9417</v>
      </c>
      <c r="M1112" t="s">
        <v>10899</v>
      </c>
      <c r="N1112" t="s">
        <v>9446</v>
      </c>
      <c r="O1112" t="s">
        <v>7709</v>
      </c>
      <c r="P1112" t="s">
        <v>9655</v>
      </c>
      <c r="Q1112" t="s">
        <v>9421</v>
      </c>
      <c r="R1112" t="s">
        <v>56</v>
      </c>
      <c r="S1112" t="s">
        <v>3004</v>
      </c>
      <c r="T1112" t="s">
        <v>3006</v>
      </c>
    </row>
    <row r="1113" spans="1:20">
      <c r="A1113" t="s">
        <v>2675</v>
      </c>
      <c r="B1113" t="s">
        <v>62</v>
      </c>
      <c r="C1113" t="s">
        <v>11490</v>
      </c>
      <c r="D1113" t="s">
        <v>445</v>
      </c>
      <c r="E1113" t="s">
        <v>11491</v>
      </c>
      <c r="F1113" t="s">
        <v>9412</v>
      </c>
      <c r="G1113" t="s">
        <v>9413</v>
      </c>
      <c r="H1113" t="s">
        <v>11232</v>
      </c>
      <c r="I1113" t="s">
        <v>10407</v>
      </c>
      <c r="J1113" t="s">
        <v>2314</v>
      </c>
      <c r="K1113" t="s">
        <v>9416</v>
      </c>
      <c r="L1113" t="s">
        <v>9417</v>
      </c>
      <c r="M1113" t="s">
        <v>10923</v>
      </c>
      <c r="N1113" t="s">
        <v>9446</v>
      </c>
      <c r="O1113" t="s">
        <v>7348</v>
      </c>
      <c r="P1113" t="s">
        <v>9655</v>
      </c>
      <c r="Q1113" t="s">
        <v>9421</v>
      </c>
      <c r="R1113" t="s">
        <v>56</v>
      </c>
      <c r="S1113" t="s">
        <v>2680</v>
      </c>
      <c r="T1113" t="s">
        <v>2682</v>
      </c>
    </row>
    <row r="1114" spans="1:20">
      <c r="A1114" t="s">
        <v>2675</v>
      </c>
      <c r="B1114" t="s">
        <v>62</v>
      </c>
      <c r="C1114" t="s">
        <v>11490</v>
      </c>
      <c r="D1114" t="s">
        <v>445</v>
      </c>
      <c r="E1114" t="s">
        <v>11491</v>
      </c>
      <c r="F1114" t="s">
        <v>9412</v>
      </c>
      <c r="G1114" t="s">
        <v>9413</v>
      </c>
      <c r="H1114" t="s">
        <v>11232</v>
      </c>
      <c r="I1114" t="s">
        <v>10407</v>
      </c>
      <c r="J1114" t="s">
        <v>2314</v>
      </c>
      <c r="K1114" t="s">
        <v>9445</v>
      </c>
      <c r="L1114" t="s">
        <v>9417</v>
      </c>
      <c r="M1114" t="s">
        <v>10923</v>
      </c>
      <c r="N1114" t="s">
        <v>9426</v>
      </c>
      <c r="O1114" t="s">
        <v>9446</v>
      </c>
      <c r="P1114" t="s">
        <v>11022</v>
      </c>
      <c r="Q1114" t="s">
        <v>9421</v>
      </c>
      <c r="R1114" t="s">
        <v>43</v>
      </c>
      <c r="S1114" t="s">
        <v>2676</v>
      </c>
      <c r="T1114" t="s">
        <v>2678</v>
      </c>
    </row>
    <row r="1115" spans="1:20">
      <c r="A1115" t="s">
        <v>11492</v>
      </c>
      <c r="B1115" t="s">
        <v>62</v>
      </c>
      <c r="C1115" t="s">
        <v>11493</v>
      </c>
      <c r="D1115" t="s">
        <v>445</v>
      </c>
      <c r="E1115" t="s">
        <v>11494</v>
      </c>
      <c r="F1115" t="s">
        <v>9601</v>
      </c>
      <c r="G1115" t="s">
        <v>9413</v>
      </c>
      <c r="H1115" t="s">
        <v>2233</v>
      </c>
      <c r="I1115" t="s">
        <v>9830</v>
      </c>
      <c r="J1115" t="s">
        <v>2314</v>
      </c>
      <c r="K1115" t="s">
        <v>9445</v>
      </c>
      <c r="L1115" t="s">
        <v>9417</v>
      </c>
      <c r="M1115" t="s">
        <v>11294</v>
      </c>
      <c r="N1115" t="s">
        <v>9426</v>
      </c>
      <c r="O1115" t="s">
        <v>9446</v>
      </c>
      <c r="P1115" t="s">
        <v>11495</v>
      </c>
      <c r="Q1115" t="s">
        <v>9421</v>
      </c>
      <c r="R1115" t="s">
        <v>43</v>
      </c>
      <c r="S1115" t="s">
        <v>11496</v>
      </c>
      <c r="T1115" t="s">
        <v>11497</v>
      </c>
    </row>
    <row r="1116" spans="1:20">
      <c r="A1116" t="s">
        <v>7713</v>
      </c>
      <c r="B1116" t="s">
        <v>9409</v>
      </c>
      <c r="C1116" t="s">
        <v>7714</v>
      </c>
      <c r="D1116" t="s">
        <v>9410</v>
      </c>
      <c r="E1116" t="s">
        <v>11498</v>
      </c>
      <c r="F1116" t="s">
        <v>9601</v>
      </c>
      <c r="G1116" t="s">
        <v>9413</v>
      </c>
      <c r="H1116" t="s">
        <v>10876</v>
      </c>
      <c r="I1116" t="s">
        <v>11499</v>
      </c>
      <c r="J1116" t="s">
        <v>2926</v>
      </c>
      <c r="K1116" t="s">
        <v>9416</v>
      </c>
      <c r="L1116" t="s">
        <v>9417</v>
      </c>
      <c r="M1116" t="s">
        <v>10954</v>
      </c>
      <c r="N1116" t="s">
        <v>10908</v>
      </c>
      <c r="O1116" t="s">
        <v>7695</v>
      </c>
      <c r="P1116" t="s">
        <v>9623</v>
      </c>
      <c r="Q1116" t="s">
        <v>9421</v>
      </c>
      <c r="R1116" t="s">
        <v>24</v>
      </c>
      <c r="S1116" t="s">
        <v>7694</v>
      </c>
      <c r="T1116" t="s">
        <v>11371</v>
      </c>
    </row>
    <row r="1117" spans="1:20">
      <c r="A1117" t="s">
        <v>3156</v>
      </c>
      <c r="B1117" t="s">
        <v>62</v>
      </c>
      <c r="C1117" t="s">
        <v>11500</v>
      </c>
      <c r="D1117" t="s">
        <v>9448</v>
      </c>
      <c r="E1117" t="s">
        <v>11501</v>
      </c>
      <c r="F1117" t="s">
        <v>9601</v>
      </c>
      <c r="G1117" t="s">
        <v>9413</v>
      </c>
      <c r="H1117" t="s">
        <v>2233</v>
      </c>
      <c r="I1117" t="s">
        <v>10066</v>
      </c>
      <c r="J1117" t="s">
        <v>3013</v>
      </c>
      <c r="K1117" t="s">
        <v>9416</v>
      </c>
      <c r="L1117" t="s">
        <v>9417</v>
      </c>
      <c r="M1117" t="s">
        <v>10894</v>
      </c>
      <c r="N1117" t="s">
        <v>10892</v>
      </c>
      <c r="O1117" t="s">
        <v>7848</v>
      </c>
      <c r="P1117" t="s">
        <v>9524</v>
      </c>
      <c r="Q1117" t="s">
        <v>9421</v>
      </c>
      <c r="R1117" t="s">
        <v>24</v>
      </c>
      <c r="S1117" t="s">
        <v>3157</v>
      </c>
      <c r="T1117" t="s">
        <v>3159</v>
      </c>
    </row>
    <row r="1118" spans="1:20">
      <c r="A1118" t="s">
        <v>2683</v>
      </c>
      <c r="B1118" t="s">
        <v>20</v>
      </c>
      <c r="C1118" t="s">
        <v>2687</v>
      </c>
      <c r="D1118" t="s">
        <v>9455</v>
      </c>
      <c r="E1118" t="s">
        <v>11502</v>
      </c>
      <c r="F1118" t="s">
        <v>9601</v>
      </c>
      <c r="G1118" t="s">
        <v>9413</v>
      </c>
      <c r="H1118" t="s">
        <v>2233</v>
      </c>
      <c r="I1118" t="s">
        <v>10562</v>
      </c>
      <c r="J1118" t="s">
        <v>2314</v>
      </c>
      <c r="K1118" t="s">
        <v>9416</v>
      </c>
      <c r="L1118" t="s">
        <v>9417</v>
      </c>
      <c r="M1118" t="s">
        <v>10951</v>
      </c>
      <c r="N1118" t="s">
        <v>9446</v>
      </c>
      <c r="O1118" t="s">
        <v>7350</v>
      </c>
      <c r="P1118" t="s">
        <v>9655</v>
      </c>
      <c r="Q1118" t="s">
        <v>9421</v>
      </c>
      <c r="R1118" t="s">
        <v>56</v>
      </c>
      <c r="S1118" t="s">
        <v>2684</v>
      </c>
      <c r="T1118" t="s">
        <v>2686</v>
      </c>
    </row>
    <row r="1119" spans="1:20">
      <c r="A1119" t="s">
        <v>2859</v>
      </c>
      <c r="B1119" t="s">
        <v>20</v>
      </c>
      <c r="C1119" t="s">
        <v>7490</v>
      </c>
      <c r="D1119" t="s">
        <v>9666</v>
      </c>
      <c r="E1119" t="s">
        <v>11503</v>
      </c>
      <c r="F1119" t="s">
        <v>9601</v>
      </c>
      <c r="G1119" t="s">
        <v>9413</v>
      </c>
      <c r="H1119" t="s">
        <v>10876</v>
      </c>
      <c r="I1119" t="s">
        <v>10807</v>
      </c>
      <c r="J1119" t="s">
        <v>2693</v>
      </c>
      <c r="K1119" t="s">
        <v>9416</v>
      </c>
      <c r="L1119" t="s">
        <v>9417</v>
      </c>
      <c r="M1119" t="s">
        <v>11241</v>
      </c>
      <c r="N1119" t="s">
        <v>10904</v>
      </c>
      <c r="O1119" t="s">
        <v>7478</v>
      </c>
      <c r="P1119" t="s">
        <v>9479</v>
      </c>
      <c r="Q1119" t="s">
        <v>9421</v>
      </c>
      <c r="R1119" t="s">
        <v>43</v>
      </c>
      <c r="S1119" t="s">
        <v>2844</v>
      </c>
      <c r="T1119" t="s">
        <v>2846</v>
      </c>
    </row>
    <row r="1120" spans="1:20">
      <c r="A1120" t="s">
        <v>3008</v>
      </c>
      <c r="B1120" t="s">
        <v>62</v>
      </c>
      <c r="C1120" t="s">
        <v>11504</v>
      </c>
      <c r="D1120" t="s">
        <v>445</v>
      </c>
      <c r="E1120" t="s">
        <v>11505</v>
      </c>
      <c r="F1120" t="s">
        <v>9601</v>
      </c>
      <c r="G1120" t="s">
        <v>9413</v>
      </c>
      <c r="H1120" t="s">
        <v>10876</v>
      </c>
      <c r="I1120" t="s">
        <v>9826</v>
      </c>
      <c r="J1120" t="s">
        <v>2926</v>
      </c>
      <c r="K1120" t="s">
        <v>9416</v>
      </c>
      <c r="L1120" t="s">
        <v>9417</v>
      </c>
      <c r="M1120" t="s">
        <v>11076</v>
      </c>
      <c r="N1120" t="s">
        <v>10908</v>
      </c>
      <c r="O1120" t="s">
        <v>7716</v>
      </c>
      <c r="P1120" t="s">
        <v>9647</v>
      </c>
      <c r="Q1120" t="s">
        <v>9421</v>
      </c>
      <c r="R1120" t="s">
        <v>84</v>
      </c>
      <c r="S1120" t="s">
        <v>3009</v>
      </c>
      <c r="T1120" t="s">
        <v>3011</v>
      </c>
    </row>
    <row r="1121" spans="1:20">
      <c r="A1121" t="s">
        <v>2688</v>
      </c>
      <c r="B1121" t="s">
        <v>62</v>
      </c>
      <c r="C1121" t="s">
        <v>7354</v>
      </c>
      <c r="D1121" t="s">
        <v>445</v>
      </c>
      <c r="E1121" t="s">
        <v>11506</v>
      </c>
      <c r="F1121" t="s">
        <v>9412</v>
      </c>
      <c r="G1121" t="s">
        <v>9413</v>
      </c>
      <c r="H1121" t="s">
        <v>10876</v>
      </c>
      <c r="I1121" t="s">
        <v>11507</v>
      </c>
      <c r="J1121" t="s">
        <v>2314</v>
      </c>
      <c r="K1121" t="s">
        <v>9416</v>
      </c>
      <c r="L1121" t="s">
        <v>9417</v>
      </c>
      <c r="M1121" t="s">
        <v>10878</v>
      </c>
      <c r="N1121" t="s">
        <v>10879</v>
      </c>
      <c r="O1121" t="s">
        <v>7356</v>
      </c>
      <c r="P1121" t="s">
        <v>9623</v>
      </c>
      <c r="Q1121" t="s">
        <v>9421</v>
      </c>
      <c r="R1121" t="s">
        <v>24</v>
      </c>
      <c r="S1121" t="s">
        <v>2690</v>
      </c>
      <c r="T1121" t="s">
        <v>2692</v>
      </c>
    </row>
    <row r="1122" spans="1:20">
      <c r="A1122" t="s">
        <v>2688</v>
      </c>
      <c r="B1122" t="s">
        <v>62</v>
      </c>
      <c r="C1122" t="s">
        <v>7354</v>
      </c>
      <c r="D1122" t="s">
        <v>445</v>
      </c>
      <c r="E1122" t="s">
        <v>11506</v>
      </c>
      <c r="F1122" t="s">
        <v>9412</v>
      </c>
      <c r="G1122" t="s">
        <v>9413</v>
      </c>
      <c r="H1122" t="s">
        <v>10876</v>
      </c>
      <c r="I1122" t="s">
        <v>11507</v>
      </c>
      <c r="J1122" t="s">
        <v>2314</v>
      </c>
      <c r="K1122" t="s">
        <v>9445</v>
      </c>
      <c r="L1122" t="s">
        <v>9417</v>
      </c>
      <c r="M1122" t="s">
        <v>10878</v>
      </c>
      <c r="N1122" t="s">
        <v>9426</v>
      </c>
      <c r="O1122" t="s">
        <v>9446</v>
      </c>
      <c r="P1122" t="s">
        <v>9479</v>
      </c>
      <c r="Q1122" t="s">
        <v>9421</v>
      </c>
      <c r="R1122" t="s">
        <v>43</v>
      </c>
      <c r="S1122" t="s">
        <v>2238</v>
      </c>
      <c r="T1122" t="s">
        <v>2240</v>
      </c>
    </row>
    <row r="1123" spans="1:20">
      <c r="A1123" t="s">
        <v>4052</v>
      </c>
      <c r="B1123" t="s">
        <v>62</v>
      </c>
      <c r="C1123" t="s">
        <v>4055</v>
      </c>
      <c r="D1123" t="s">
        <v>10271</v>
      </c>
      <c r="E1123" t="s">
        <v>11508</v>
      </c>
      <c r="F1123" t="s">
        <v>9412</v>
      </c>
      <c r="G1123" t="s">
        <v>9413</v>
      </c>
      <c r="H1123" t="s">
        <v>3162</v>
      </c>
      <c r="I1123" t="s">
        <v>10975</v>
      </c>
      <c r="J1123" t="s">
        <v>4051</v>
      </c>
      <c r="K1123" t="s">
        <v>9416</v>
      </c>
      <c r="L1123" t="s">
        <v>9417</v>
      </c>
      <c r="M1123" t="s">
        <v>11509</v>
      </c>
      <c r="N1123" t="s">
        <v>11510</v>
      </c>
      <c r="O1123" t="s">
        <v>8892</v>
      </c>
      <c r="P1123" t="s">
        <v>9420</v>
      </c>
      <c r="Q1123" t="s">
        <v>9421</v>
      </c>
      <c r="R1123" t="s">
        <v>17</v>
      </c>
      <c r="S1123" t="s">
        <v>4052</v>
      </c>
      <c r="T1123" t="s">
        <v>4054</v>
      </c>
    </row>
    <row r="1124" spans="1:20">
      <c r="A1124" t="s">
        <v>3809</v>
      </c>
      <c r="B1124" t="s">
        <v>62</v>
      </c>
      <c r="C1124" t="s">
        <v>11511</v>
      </c>
      <c r="D1124" t="s">
        <v>445</v>
      </c>
      <c r="E1124" t="s">
        <v>11512</v>
      </c>
      <c r="F1124" t="s">
        <v>9412</v>
      </c>
      <c r="G1124" t="s">
        <v>9413</v>
      </c>
      <c r="H1124" t="s">
        <v>3162</v>
      </c>
      <c r="I1124" t="s">
        <v>9495</v>
      </c>
      <c r="J1124" t="s">
        <v>3808</v>
      </c>
      <c r="K1124" t="s">
        <v>9416</v>
      </c>
      <c r="L1124" t="s">
        <v>9417</v>
      </c>
      <c r="M1124" t="s">
        <v>11513</v>
      </c>
      <c r="N1124" t="s">
        <v>11514</v>
      </c>
      <c r="O1124" t="s">
        <v>8604</v>
      </c>
      <c r="P1124" t="s">
        <v>9420</v>
      </c>
      <c r="Q1124" t="s">
        <v>9421</v>
      </c>
      <c r="R1124" t="s">
        <v>17</v>
      </c>
      <c r="S1124" t="s">
        <v>3810</v>
      </c>
      <c r="T1124" t="s">
        <v>3812</v>
      </c>
    </row>
    <row r="1125" spans="1:20">
      <c r="A1125" t="s">
        <v>3163</v>
      </c>
      <c r="B1125" t="s">
        <v>62</v>
      </c>
      <c r="C1125" t="s">
        <v>7870</v>
      </c>
      <c r="D1125" t="s">
        <v>445</v>
      </c>
      <c r="E1125" t="s">
        <v>11515</v>
      </c>
      <c r="F1125" t="s">
        <v>9412</v>
      </c>
      <c r="G1125" t="s">
        <v>9413</v>
      </c>
      <c r="H1125" t="s">
        <v>11516</v>
      </c>
      <c r="I1125" t="s">
        <v>9528</v>
      </c>
      <c r="J1125" t="s">
        <v>3161</v>
      </c>
      <c r="K1125" t="s">
        <v>9416</v>
      </c>
      <c r="L1125" t="s">
        <v>9417</v>
      </c>
      <c r="M1125" t="s">
        <v>11517</v>
      </c>
      <c r="N1125" t="s">
        <v>11518</v>
      </c>
      <c r="O1125" t="s">
        <v>7872</v>
      </c>
      <c r="P1125" t="s">
        <v>9429</v>
      </c>
      <c r="Q1125" t="s">
        <v>9421</v>
      </c>
      <c r="R1125" t="s">
        <v>52</v>
      </c>
      <c r="S1125" t="s">
        <v>3163</v>
      </c>
      <c r="T1125" t="s">
        <v>3165</v>
      </c>
    </row>
    <row r="1126" spans="1:20">
      <c r="A1126" t="s">
        <v>3163</v>
      </c>
      <c r="B1126" t="s">
        <v>62</v>
      </c>
      <c r="C1126" t="s">
        <v>7870</v>
      </c>
      <c r="D1126" t="s">
        <v>445</v>
      </c>
      <c r="E1126" t="s">
        <v>11515</v>
      </c>
      <c r="F1126" t="s">
        <v>9412</v>
      </c>
      <c r="G1126" t="s">
        <v>9413</v>
      </c>
      <c r="H1126" t="s">
        <v>11516</v>
      </c>
      <c r="I1126" t="s">
        <v>9528</v>
      </c>
      <c r="J1126" t="s">
        <v>3161</v>
      </c>
      <c r="K1126" t="s">
        <v>9445</v>
      </c>
      <c r="L1126" t="s">
        <v>9417</v>
      </c>
      <c r="M1126" t="s">
        <v>11517</v>
      </c>
      <c r="N1126" t="s">
        <v>9426</v>
      </c>
      <c r="O1126" t="s">
        <v>9446</v>
      </c>
      <c r="P1126" t="s">
        <v>9524</v>
      </c>
      <c r="Q1126" t="s">
        <v>9421</v>
      </c>
      <c r="R1126" t="s">
        <v>24</v>
      </c>
      <c r="S1126" t="s">
        <v>3167</v>
      </c>
      <c r="T1126" t="s">
        <v>3169</v>
      </c>
    </row>
    <row r="1127" spans="1:20">
      <c r="A1127" t="s">
        <v>3170</v>
      </c>
      <c r="B1127" t="s">
        <v>62</v>
      </c>
      <c r="C1127" t="s">
        <v>3173</v>
      </c>
      <c r="D1127" t="s">
        <v>445</v>
      </c>
      <c r="E1127" t="s">
        <v>11519</v>
      </c>
      <c r="F1127" t="s">
        <v>9412</v>
      </c>
      <c r="G1127" t="s">
        <v>9413</v>
      </c>
      <c r="H1127" t="s">
        <v>3162</v>
      </c>
      <c r="I1127" t="s">
        <v>9424</v>
      </c>
      <c r="J1127" t="s">
        <v>3161</v>
      </c>
      <c r="K1127" t="s">
        <v>9416</v>
      </c>
      <c r="L1127" t="s">
        <v>9417</v>
      </c>
      <c r="M1127" t="s">
        <v>11517</v>
      </c>
      <c r="N1127" t="s">
        <v>11518</v>
      </c>
      <c r="O1127" t="s">
        <v>7875</v>
      </c>
      <c r="P1127" t="s">
        <v>9420</v>
      </c>
      <c r="Q1127" t="s">
        <v>9421</v>
      </c>
      <c r="R1127" t="s">
        <v>17</v>
      </c>
      <c r="S1127" t="s">
        <v>3170</v>
      </c>
      <c r="T1127" t="s">
        <v>3172</v>
      </c>
    </row>
    <row r="1128" spans="1:20">
      <c r="A1128" t="s">
        <v>3170</v>
      </c>
      <c r="B1128" t="s">
        <v>62</v>
      </c>
      <c r="C1128" t="s">
        <v>3173</v>
      </c>
      <c r="D1128" t="s">
        <v>445</v>
      </c>
      <c r="E1128" t="s">
        <v>11519</v>
      </c>
      <c r="F1128" t="s">
        <v>9412</v>
      </c>
      <c r="G1128" t="s">
        <v>9413</v>
      </c>
      <c r="H1128" t="s">
        <v>3162</v>
      </c>
      <c r="I1128" t="s">
        <v>9424</v>
      </c>
      <c r="J1128" t="s">
        <v>3161</v>
      </c>
      <c r="K1128" t="s">
        <v>9445</v>
      </c>
      <c r="L1128" t="s">
        <v>9417</v>
      </c>
      <c r="M1128" t="s">
        <v>11517</v>
      </c>
      <c r="N1128" t="s">
        <v>9426</v>
      </c>
      <c r="O1128" t="s">
        <v>9446</v>
      </c>
      <c r="P1128" t="s">
        <v>9479</v>
      </c>
      <c r="Q1128" t="s">
        <v>9421</v>
      </c>
      <c r="R1128" t="s">
        <v>43</v>
      </c>
      <c r="S1128" t="s">
        <v>3174</v>
      </c>
      <c r="T1128" t="s">
        <v>3176</v>
      </c>
    </row>
    <row r="1129" spans="1:20">
      <c r="A1129" t="s">
        <v>3814</v>
      </c>
      <c r="B1129" t="s">
        <v>20</v>
      </c>
      <c r="C1129" t="s">
        <v>8610</v>
      </c>
      <c r="D1129" t="s">
        <v>9464</v>
      </c>
      <c r="E1129" t="s">
        <v>11520</v>
      </c>
      <c r="F1129" t="s">
        <v>9412</v>
      </c>
      <c r="G1129" t="s">
        <v>9413</v>
      </c>
      <c r="H1129" t="s">
        <v>11516</v>
      </c>
      <c r="I1129" t="s">
        <v>10302</v>
      </c>
      <c r="J1129" t="s">
        <v>3808</v>
      </c>
      <c r="K1129" t="s">
        <v>9416</v>
      </c>
      <c r="L1129" t="s">
        <v>9417</v>
      </c>
      <c r="M1129" t="s">
        <v>11521</v>
      </c>
      <c r="N1129" t="s">
        <v>11514</v>
      </c>
      <c r="O1129" t="s">
        <v>8608</v>
      </c>
      <c r="P1129" t="s">
        <v>9429</v>
      </c>
      <c r="Q1129" t="s">
        <v>9421</v>
      </c>
      <c r="R1129" t="s">
        <v>52</v>
      </c>
      <c r="S1129" t="s">
        <v>3814</v>
      </c>
      <c r="T1129" t="s">
        <v>3816</v>
      </c>
    </row>
    <row r="1130" spans="1:20">
      <c r="A1130" t="s">
        <v>3814</v>
      </c>
      <c r="B1130" t="s">
        <v>20</v>
      </c>
      <c r="C1130" t="s">
        <v>8610</v>
      </c>
      <c r="D1130" t="s">
        <v>9464</v>
      </c>
      <c r="E1130" t="s">
        <v>11520</v>
      </c>
      <c r="F1130" t="s">
        <v>9412</v>
      </c>
      <c r="G1130" t="s">
        <v>9413</v>
      </c>
      <c r="H1130" t="s">
        <v>11516</v>
      </c>
      <c r="I1130" t="s">
        <v>10302</v>
      </c>
      <c r="J1130" t="s">
        <v>3808</v>
      </c>
      <c r="K1130" t="s">
        <v>9416</v>
      </c>
      <c r="L1130" t="s">
        <v>9417</v>
      </c>
      <c r="M1130" t="s">
        <v>11521</v>
      </c>
      <c r="N1130" t="s">
        <v>9446</v>
      </c>
      <c r="O1130" t="s">
        <v>8612</v>
      </c>
      <c r="P1130" t="s">
        <v>9647</v>
      </c>
      <c r="Q1130" t="s">
        <v>9421</v>
      </c>
      <c r="R1130" t="s">
        <v>84</v>
      </c>
      <c r="S1130" t="s">
        <v>3818</v>
      </c>
      <c r="T1130" t="s">
        <v>3820</v>
      </c>
    </row>
    <row r="1131" spans="1:20">
      <c r="A1131" t="s">
        <v>3814</v>
      </c>
      <c r="B1131" t="s">
        <v>20</v>
      </c>
      <c r="C1131" t="s">
        <v>8610</v>
      </c>
      <c r="D1131" t="s">
        <v>9464</v>
      </c>
      <c r="E1131" t="s">
        <v>11520</v>
      </c>
      <c r="F1131" t="s">
        <v>9412</v>
      </c>
      <c r="G1131" t="s">
        <v>9413</v>
      </c>
      <c r="H1131" t="s">
        <v>11516</v>
      </c>
      <c r="I1131" t="s">
        <v>10302</v>
      </c>
      <c r="J1131" t="s">
        <v>3808</v>
      </c>
      <c r="K1131" t="s">
        <v>9416</v>
      </c>
      <c r="L1131" t="s">
        <v>9417</v>
      </c>
      <c r="M1131" t="s">
        <v>11521</v>
      </c>
      <c r="N1131" t="s">
        <v>11514</v>
      </c>
      <c r="O1131" t="s">
        <v>8614</v>
      </c>
      <c r="P1131" t="s">
        <v>9429</v>
      </c>
      <c r="Q1131" t="s">
        <v>9421</v>
      </c>
      <c r="R1131" t="s">
        <v>52</v>
      </c>
      <c r="S1131" t="s">
        <v>3295</v>
      </c>
      <c r="T1131" t="s">
        <v>3822</v>
      </c>
    </row>
    <row r="1132" spans="1:20">
      <c r="A1132" t="s">
        <v>3167</v>
      </c>
      <c r="B1132" t="s">
        <v>9409</v>
      </c>
      <c r="C1132" t="s">
        <v>7880</v>
      </c>
      <c r="D1132" t="s">
        <v>9410</v>
      </c>
      <c r="E1132" t="s">
        <v>11522</v>
      </c>
      <c r="F1132" t="s">
        <v>9412</v>
      </c>
      <c r="G1132" t="s">
        <v>9413</v>
      </c>
      <c r="H1132" t="s">
        <v>11516</v>
      </c>
      <c r="I1132" t="s">
        <v>9457</v>
      </c>
      <c r="J1132" t="s">
        <v>3161</v>
      </c>
      <c r="K1132" t="s">
        <v>9416</v>
      </c>
      <c r="L1132" t="s">
        <v>9417</v>
      </c>
      <c r="M1132" t="s">
        <v>11523</v>
      </c>
      <c r="N1132" t="s">
        <v>9426</v>
      </c>
      <c r="O1132" t="s">
        <v>7874</v>
      </c>
      <c r="P1132" t="s">
        <v>9524</v>
      </c>
      <c r="Q1132" t="s">
        <v>9421</v>
      </c>
      <c r="R1132" t="s">
        <v>24</v>
      </c>
      <c r="S1132" t="s">
        <v>3167</v>
      </c>
      <c r="T1132" t="s">
        <v>3169</v>
      </c>
    </row>
    <row r="1133" spans="1:20">
      <c r="A1133" t="s">
        <v>4056</v>
      </c>
      <c r="B1133" t="s">
        <v>20</v>
      </c>
      <c r="C1133" t="s">
        <v>11524</v>
      </c>
      <c r="D1133" t="s">
        <v>9464</v>
      </c>
      <c r="E1133" t="s">
        <v>11525</v>
      </c>
      <c r="F1133" t="s">
        <v>9412</v>
      </c>
      <c r="G1133" t="s">
        <v>9413</v>
      </c>
      <c r="H1133" t="s">
        <v>3162</v>
      </c>
      <c r="I1133" t="s">
        <v>10150</v>
      </c>
      <c r="J1133" t="s">
        <v>4051</v>
      </c>
      <c r="K1133" t="s">
        <v>9416</v>
      </c>
      <c r="L1133" t="s">
        <v>9417</v>
      </c>
      <c r="M1133" t="s">
        <v>11526</v>
      </c>
      <c r="N1133" t="s">
        <v>11510</v>
      </c>
      <c r="O1133" t="s">
        <v>8896</v>
      </c>
      <c r="P1133" t="s">
        <v>9429</v>
      </c>
      <c r="Q1133" t="s">
        <v>9421</v>
      </c>
      <c r="R1133" t="s">
        <v>52</v>
      </c>
      <c r="S1133" t="s">
        <v>4056</v>
      </c>
      <c r="T1133" t="s">
        <v>4058</v>
      </c>
    </row>
    <row r="1134" spans="1:20">
      <c r="A1134" t="s">
        <v>4060</v>
      </c>
      <c r="B1134" t="s">
        <v>62</v>
      </c>
      <c r="C1134" t="s">
        <v>8902</v>
      </c>
      <c r="D1134" t="s">
        <v>445</v>
      </c>
      <c r="E1134" t="s">
        <v>11527</v>
      </c>
      <c r="F1134" t="s">
        <v>9412</v>
      </c>
      <c r="G1134" t="s">
        <v>9413</v>
      </c>
      <c r="H1134" t="s">
        <v>11516</v>
      </c>
      <c r="I1134" t="s">
        <v>9477</v>
      </c>
      <c r="J1134" t="s">
        <v>4051</v>
      </c>
      <c r="K1134" t="s">
        <v>9416</v>
      </c>
      <c r="L1134" t="s">
        <v>9417</v>
      </c>
      <c r="M1134" t="s">
        <v>11528</v>
      </c>
      <c r="N1134" t="s">
        <v>11510</v>
      </c>
      <c r="O1134" t="s">
        <v>8900</v>
      </c>
      <c r="P1134" t="s">
        <v>11529</v>
      </c>
      <c r="Q1134" t="s">
        <v>9421</v>
      </c>
      <c r="R1134" t="s">
        <v>17</v>
      </c>
      <c r="S1134" t="s">
        <v>4060</v>
      </c>
      <c r="T1134" t="s">
        <v>4062</v>
      </c>
    </row>
    <row r="1135" spans="1:20">
      <c r="A1135" t="s">
        <v>4060</v>
      </c>
      <c r="B1135" t="s">
        <v>62</v>
      </c>
      <c r="C1135" t="s">
        <v>8902</v>
      </c>
      <c r="D1135" t="s">
        <v>445</v>
      </c>
      <c r="E1135" t="s">
        <v>11527</v>
      </c>
      <c r="F1135" t="s">
        <v>9412</v>
      </c>
      <c r="G1135" t="s">
        <v>9413</v>
      </c>
      <c r="H1135" t="s">
        <v>11516</v>
      </c>
      <c r="I1135" t="s">
        <v>9477</v>
      </c>
      <c r="J1135" t="s">
        <v>4051</v>
      </c>
      <c r="K1135" t="s">
        <v>9445</v>
      </c>
      <c r="L1135" t="s">
        <v>9417</v>
      </c>
      <c r="M1135" t="s">
        <v>11528</v>
      </c>
      <c r="N1135" t="s">
        <v>9426</v>
      </c>
      <c r="O1135" t="s">
        <v>9446</v>
      </c>
      <c r="P1135" t="s">
        <v>9479</v>
      </c>
      <c r="Q1135" t="s">
        <v>9421</v>
      </c>
      <c r="R1135" t="s">
        <v>43</v>
      </c>
      <c r="S1135" t="s">
        <v>3174</v>
      </c>
      <c r="T1135" t="s">
        <v>3176</v>
      </c>
    </row>
    <row r="1136" spans="1:20">
      <c r="A1136" t="s">
        <v>3177</v>
      </c>
      <c r="B1136" t="s">
        <v>62</v>
      </c>
      <c r="C1136" t="s">
        <v>7884</v>
      </c>
      <c r="D1136" t="s">
        <v>9448</v>
      </c>
      <c r="E1136" t="s">
        <v>11530</v>
      </c>
      <c r="F1136" t="s">
        <v>9412</v>
      </c>
      <c r="G1136" t="s">
        <v>9413</v>
      </c>
      <c r="H1136" t="s">
        <v>11516</v>
      </c>
      <c r="I1136" t="s">
        <v>9813</v>
      </c>
      <c r="J1136" t="s">
        <v>3161</v>
      </c>
      <c r="K1136" t="s">
        <v>9416</v>
      </c>
      <c r="L1136" t="s">
        <v>9417</v>
      </c>
      <c r="M1136" t="s">
        <v>11528</v>
      </c>
      <c r="N1136" t="s">
        <v>11518</v>
      </c>
      <c r="O1136" t="s">
        <v>7882</v>
      </c>
      <c r="P1136" t="s">
        <v>9459</v>
      </c>
      <c r="Q1136" t="s">
        <v>9421</v>
      </c>
      <c r="R1136" t="s">
        <v>17</v>
      </c>
      <c r="S1136" t="s">
        <v>3177</v>
      </c>
      <c r="T1136" t="s">
        <v>3179</v>
      </c>
    </row>
    <row r="1137" spans="1:20">
      <c r="A1137" t="s">
        <v>3181</v>
      </c>
      <c r="B1137" t="s">
        <v>62</v>
      </c>
      <c r="C1137" t="s">
        <v>7888</v>
      </c>
      <c r="D1137" t="s">
        <v>9448</v>
      </c>
      <c r="E1137" t="s">
        <v>11531</v>
      </c>
      <c r="F1137" t="s">
        <v>9412</v>
      </c>
      <c r="G1137" t="s">
        <v>9413</v>
      </c>
      <c r="H1137" t="s">
        <v>11516</v>
      </c>
      <c r="I1137" t="s">
        <v>9709</v>
      </c>
      <c r="J1137" t="s">
        <v>3161</v>
      </c>
      <c r="K1137" t="s">
        <v>9416</v>
      </c>
      <c r="L1137" t="s">
        <v>9417</v>
      </c>
      <c r="M1137" t="s">
        <v>11517</v>
      </c>
      <c r="N1137" t="s">
        <v>11518</v>
      </c>
      <c r="O1137" t="s">
        <v>7886</v>
      </c>
      <c r="P1137" t="s">
        <v>9420</v>
      </c>
      <c r="Q1137" t="s">
        <v>9421</v>
      </c>
      <c r="R1137" t="s">
        <v>17</v>
      </c>
      <c r="S1137" t="s">
        <v>3181</v>
      </c>
      <c r="T1137" t="s">
        <v>3183</v>
      </c>
    </row>
    <row r="1138" spans="1:20">
      <c r="A1138" t="s">
        <v>3185</v>
      </c>
      <c r="B1138" t="s">
        <v>62</v>
      </c>
      <c r="C1138" t="s">
        <v>7892</v>
      </c>
      <c r="D1138" t="s">
        <v>9448</v>
      </c>
      <c r="E1138" t="s">
        <v>11532</v>
      </c>
      <c r="F1138" t="s">
        <v>9412</v>
      </c>
      <c r="G1138" t="s">
        <v>9413</v>
      </c>
      <c r="H1138" t="s">
        <v>11516</v>
      </c>
      <c r="I1138" t="s">
        <v>9637</v>
      </c>
      <c r="J1138" t="s">
        <v>3161</v>
      </c>
      <c r="K1138" t="s">
        <v>9416</v>
      </c>
      <c r="L1138" t="s">
        <v>9417</v>
      </c>
      <c r="M1138" t="s">
        <v>11533</v>
      </c>
      <c r="N1138" t="s">
        <v>11518</v>
      </c>
      <c r="O1138" t="s">
        <v>7890</v>
      </c>
      <c r="P1138" t="s">
        <v>9459</v>
      </c>
      <c r="Q1138" t="s">
        <v>9421</v>
      </c>
      <c r="R1138" t="s">
        <v>17</v>
      </c>
      <c r="S1138" t="s">
        <v>3185</v>
      </c>
      <c r="T1138" t="s">
        <v>3187</v>
      </c>
    </row>
    <row r="1139" spans="1:20">
      <c r="A1139" t="s">
        <v>3940</v>
      </c>
      <c r="B1139" t="s">
        <v>20</v>
      </c>
      <c r="C1139" t="s">
        <v>8765</v>
      </c>
      <c r="D1139" t="s">
        <v>9455</v>
      </c>
      <c r="E1139" t="s">
        <v>11534</v>
      </c>
      <c r="F1139" t="s">
        <v>9412</v>
      </c>
      <c r="G1139" t="s">
        <v>9413</v>
      </c>
      <c r="H1139" t="s">
        <v>11516</v>
      </c>
      <c r="I1139" t="s">
        <v>10150</v>
      </c>
      <c r="J1139" t="s">
        <v>3939</v>
      </c>
      <c r="K1139" t="s">
        <v>9416</v>
      </c>
      <c r="L1139" t="s">
        <v>9417</v>
      </c>
      <c r="M1139" t="s">
        <v>11535</v>
      </c>
      <c r="N1139" t="s">
        <v>11536</v>
      </c>
      <c r="O1139" t="s">
        <v>8763</v>
      </c>
      <c r="P1139" t="s">
        <v>9420</v>
      </c>
      <c r="Q1139" t="s">
        <v>9421</v>
      </c>
      <c r="R1139" t="s">
        <v>17</v>
      </c>
      <c r="S1139" t="s">
        <v>3940</v>
      </c>
      <c r="T1139" t="s">
        <v>3942</v>
      </c>
    </row>
    <row r="1140" spans="1:20">
      <c r="A1140" t="s">
        <v>4064</v>
      </c>
      <c r="B1140" t="s">
        <v>20</v>
      </c>
      <c r="C1140" t="s">
        <v>8906</v>
      </c>
      <c r="D1140" t="s">
        <v>9460</v>
      </c>
      <c r="E1140" t="s">
        <v>11537</v>
      </c>
      <c r="F1140" t="s">
        <v>9412</v>
      </c>
      <c r="G1140" t="s">
        <v>9413</v>
      </c>
      <c r="H1140" t="s">
        <v>11516</v>
      </c>
      <c r="I1140" t="s">
        <v>9781</v>
      </c>
      <c r="J1140" t="s">
        <v>4051</v>
      </c>
      <c r="K1140" t="s">
        <v>9416</v>
      </c>
      <c r="L1140" t="s">
        <v>9417</v>
      </c>
      <c r="M1140" t="s">
        <v>11538</v>
      </c>
      <c r="N1140" t="s">
        <v>11510</v>
      </c>
      <c r="O1140" t="s">
        <v>8904</v>
      </c>
      <c r="P1140" t="s">
        <v>9420</v>
      </c>
      <c r="Q1140" t="s">
        <v>9421</v>
      </c>
      <c r="R1140" t="s">
        <v>17</v>
      </c>
      <c r="S1140" t="s">
        <v>4064</v>
      </c>
      <c r="T1140" t="s">
        <v>4066</v>
      </c>
    </row>
    <row r="1141" spans="1:20">
      <c r="A1141" t="s">
        <v>4064</v>
      </c>
      <c r="B1141" t="s">
        <v>20</v>
      </c>
      <c r="C1141" t="s">
        <v>8906</v>
      </c>
      <c r="D1141" t="s">
        <v>9460</v>
      </c>
      <c r="E1141" t="s">
        <v>11537</v>
      </c>
      <c r="F1141" t="s">
        <v>9412</v>
      </c>
      <c r="G1141" t="s">
        <v>9413</v>
      </c>
      <c r="H1141" t="s">
        <v>11516</v>
      </c>
      <c r="I1141" t="s">
        <v>9781</v>
      </c>
      <c r="J1141" t="s">
        <v>4051</v>
      </c>
      <c r="K1141" t="s">
        <v>9416</v>
      </c>
      <c r="L1141" t="s">
        <v>9417</v>
      </c>
      <c r="M1141" t="s">
        <v>11538</v>
      </c>
      <c r="N1141" t="s">
        <v>11510</v>
      </c>
      <c r="O1141" t="s">
        <v>8908</v>
      </c>
      <c r="P1141" t="s">
        <v>9524</v>
      </c>
      <c r="Q1141" t="s">
        <v>9421</v>
      </c>
      <c r="R1141" t="s">
        <v>24</v>
      </c>
      <c r="S1141" t="s">
        <v>4068</v>
      </c>
      <c r="T1141" t="s">
        <v>4070</v>
      </c>
    </row>
    <row r="1142" spans="1:20">
      <c r="A1142" t="s">
        <v>11539</v>
      </c>
      <c r="B1142" t="s">
        <v>9409</v>
      </c>
      <c r="C1142" t="s">
        <v>11540</v>
      </c>
      <c r="D1142" t="s">
        <v>9410</v>
      </c>
      <c r="E1142" t="s">
        <v>11541</v>
      </c>
      <c r="F1142" t="s">
        <v>9412</v>
      </c>
      <c r="G1142" t="s">
        <v>9413</v>
      </c>
      <c r="H1142" t="s">
        <v>11516</v>
      </c>
      <c r="I1142" t="s">
        <v>9886</v>
      </c>
      <c r="J1142" t="s">
        <v>3506</v>
      </c>
      <c r="K1142" t="s">
        <v>9416</v>
      </c>
      <c r="L1142" t="s">
        <v>9417</v>
      </c>
      <c r="M1142" t="s">
        <v>11542</v>
      </c>
      <c r="N1142" t="s">
        <v>11543</v>
      </c>
      <c r="O1142" t="s">
        <v>11544</v>
      </c>
      <c r="P1142" t="s">
        <v>9420</v>
      </c>
      <c r="Q1142" t="s">
        <v>9421</v>
      </c>
      <c r="R1142" t="s">
        <v>17</v>
      </c>
      <c r="S1142" t="s">
        <v>11539</v>
      </c>
      <c r="T1142" t="s">
        <v>11545</v>
      </c>
    </row>
    <row r="1143" spans="1:20">
      <c r="A1143" t="s">
        <v>3189</v>
      </c>
      <c r="B1143" t="s">
        <v>62</v>
      </c>
      <c r="C1143" t="s">
        <v>11546</v>
      </c>
      <c r="D1143" t="s">
        <v>9448</v>
      </c>
      <c r="E1143" t="s">
        <v>11547</v>
      </c>
      <c r="F1143" t="s">
        <v>9412</v>
      </c>
      <c r="G1143" t="s">
        <v>9413</v>
      </c>
      <c r="H1143" t="s">
        <v>3162</v>
      </c>
      <c r="I1143" t="s">
        <v>9826</v>
      </c>
      <c r="J1143" t="s">
        <v>3161</v>
      </c>
      <c r="K1143" t="s">
        <v>9416</v>
      </c>
      <c r="L1143" t="s">
        <v>9417</v>
      </c>
      <c r="M1143" t="s">
        <v>11533</v>
      </c>
      <c r="N1143" t="s">
        <v>11518</v>
      </c>
      <c r="O1143" t="s">
        <v>7894</v>
      </c>
      <c r="P1143" t="s">
        <v>9420</v>
      </c>
      <c r="Q1143" t="s">
        <v>9421</v>
      </c>
      <c r="R1143" t="s">
        <v>17</v>
      </c>
      <c r="S1143" t="s">
        <v>3189</v>
      </c>
      <c r="T1143" t="s">
        <v>3191</v>
      </c>
    </row>
    <row r="1144" spans="1:20">
      <c r="A1144" t="s">
        <v>3400</v>
      </c>
      <c r="B1144" t="s">
        <v>62</v>
      </c>
      <c r="C1144" t="s">
        <v>8109</v>
      </c>
      <c r="D1144" t="s">
        <v>9448</v>
      </c>
      <c r="E1144" t="s">
        <v>11548</v>
      </c>
      <c r="F1144" t="s">
        <v>9412</v>
      </c>
      <c r="G1144" t="s">
        <v>9413</v>
      </c>
      <c r="H1144" t="s">
        <v>11516</v>
      </c>
      <c r="I1144" t="s">
        <v>10116</v>
      </c>
      <c r="J1144" t="s">
        <v>3399</v>
      </c>
      <c r="K1144" t="s">
        <v>9416</v>
      </c>
      <c r="L1144" t="s">
        <v>9417</v>
      </c>
      <c r="M1144" t="s">
        <v>11549</v>
      </c>
      <c r="N1144" t="s">
        <v>11550</v>
      </c>
      <c r="O1144" t="s">
        <v>8107</v>
      </c>
      <c r="P1144" t="s">
        <v>9420</v>
      </c>
      <c r="Q1144" t="s">
        <v>9421</v>
      </c>
      <c r="R1144" t="s">
        <v>17</v>
      </c>
      <c r="S1144" t="s">
        <v>3400</v>
      </c>
      <c r="T1144" t="s">
        <v>3402</v>
      </c>
    </row>
    <row r="1145" spans="1:20">
      <c r="A1145" t="s">
        <v>3404</v>
      </c>
      <c r="B1145" t="s">
        <v>62</v>
      </c>
      <c r="C1145" t="s">
        <v>8113</v>
      </c>
      <c r="D1145" t="s">
        <v>9448</v>
      </c>
      <c r="E1145" t="s">
        <v>11551</v>
      </c>
      <c r="F1145" t="s">
        <v>9412</v>
      </c>
      <c r="G1145" t="s">
        <v>9413</v>
      </c>
      <c r="H1145" t="s">
        <v>11516</v>
      </c>
      <c r="I1145" t="s">
        <v>9729</v>
      </c>
      <c r="J1145" t="s">
        <v>3399</v>
      </c>
      <c r="K1145" t="s">
        <v>9416</v>
      </c>
      <c r="L1145" t="s">
        <v>9417</v>
      </c>
      <c r="M1145" t="s">
        <v>11552</v>
      </c>
      <c r="N1145" t="s">
        <v>11550</v>
      </c>
      <c r="O1145" t="s">
        <v>8111</v>
      </c>
      <c r="P1145" t="s">
        <v>9420</v>
      </c>
      <c r="Q1145" t="s">
        <v>9421</v>
      </c>
      <c r="R1145" t="s">
        <v>17</v>
      </c>
      <c r="S1145" t="s">
        <v>3404</v>
      </c>
      <c r="T1145" t="s">
        <v>3406</v>
      </c>
    </row>
    <row r="1146" spans="1:20">
      <c r="A1146" t="s">
        <v>8115</v>
      </c>
      <c r="B1146" t="s">
        <v>9409</v>
      </c>
      <c r="C1146" t="s">
        <v>8118</v>
      </c>
      <c r="D1146" t="s">
        <v>9410</v>
      </c>
      <c r="E1146" t="s">
        <v>11553</v>
      </c>
      <c r="F1146" t="s">
        <v>9412</v>
      </c>
      <c r="G1146" t="s">
        <v>9413</v>
      </c>
      <c r="H1146" t="s">
        <v>11516</v>
      </c>
      <c r="I1146" t="s">
        <v>9441</v>
      </c>
      <c r="J1146" t="s">
        <v>3399</v>
      </c>
      <c r="K1146" t="s">
        <v>9416</v>
      </c>
      <c r="L1146" t="s">
        <v>9417</v>
      </c>
      <c r="M1146" t="s">
        <v>11549</v>
      </c>
      <c r="N1146" t="s">
        <v>11550</v>
      </c>
      <c r="O1146" t="s">
        <v>8116</v>
      </c>
      <c r="P1146" t="s">
        <v>9420</v>
      </c>
      <c r="Q1146" t="s">
        <v>9421</v>
      </c>
      <c r="R1146" t="s">
        <v>17</v>
      </c>
      <c r="S1146" t="s">
        <v>8115</v>
      </c>
      <c r="T1146" t="s">
        <v>11554</v>
      </c>
    </row>
    <row r="1147" spans="1:20">
      <c r="A1147" t="s">
        <v>8042</v>
      </c>
      <c r="B1147" t="s">
        <v>9409</v>
      </c>
      <c r="C1147" t="s">
        <v>11555</v>
      </c>
      <c r="D1147" t="s">
        <v>9410</v>
      </c>
      <c r="E1147" t="s">
        <v>11556</v>
      </c>
      <c r="F1147" t="s">
        <v>9412</v>
      </c>
      <c r="G1147" t="s">
        <v>9413</v>
      </c>
      <c r="H1147" t="s">
        <v>11516</v>
      </c>
      <c r="I1147" t="s">
        <v>10877</v>
      </c>
      <c r="J1147" t="s">
        <v>3399</v>
      </c>
      <c r="K1147" t="s">
        <v>9416</v>
      </c>
      <c r="L1147" t="s">
        <v>9417</v>
      </c>
      <c r="M1147" t="s">
        <v>11552</v>
      </c>
      <c r="N1147" t="s">
        <v>9446</v>
      </c>
      <c r="O1147" t="s">
        <v>11557</v>
      </c>
      <c r="P1147" t="s">
        <v>9655</v>
      </c>
      <c r="Q1147" t="s">
        <v>9421</v>
      </c>
      <c r="R1147" t="s">
        <v>56</v>
      </c>
      <c r="S1147" t="s">
        <v>11558</v>
      </c>
      <c r="T1147" t="s">
        <v>11559</v>
      </c>
    </row>
    <row r="1148" spans="1:20">
      <c r="A1148" t="s">
        <v>3408</v>
      </c>
      <c r="B1148" t="s">
        <v>62</v>
      </c>
      <c r="C1148" t="s">
        <v>8122</v>
      </c>
      <c r="D1148" t="s">
        <v>9448</v>
      </c>
      <c r="E1148" t="s">
        <v>11560</v>
      </c>
      <c r="F1148" t="s">
        <v>9412</v>
      </c>
      <c r="G1148" t="s">
        <v>9413</v>
      </c>
      <c r="H1148" t="s">
        <v>11516</v>
      </c>
      <c r="I1148" t="s">
        <v>10191</v>
      </c>
      <c r="J1148" t="s">
        <v>3399</v>
      </c>
      <c r="K1148" t="s">
        <v>9416</v>
      </c>
      <c r="L1148" t="s">
        <v>9417</v>
      </c>
      <c r="M1148" t="s">
        <v>11549</v>
      </c>
      <c r="N1148" t="s">
        <v>11550</v>
      </c>
      <c r="O1148" t="s">
        <v>8120</v>
      </c>
      <c r="P1148" t="s">
        <v>9420</v>
      </c>
      <c r="Q1148" t="s">
        <v>9421</v>
      </c>
      <c r="R1148" t="s">
        <v>17</v>
      </c>
      <c r="S1148" t="s">
        <v>3408</v>
      </c>
      <c r="T1148" t="s">
        <v>3410</v>
      </c>
    </row>
    <row r="1149" spans="1:20">
      <c r="A1149" t="s">
        <v>3412</v>
      </c>
      <c r="B1149" t="s">
        <v>62</v>
      </c>
      <c r="C1149" t="s">
        <v>8126</v>
      </c>
      <c r="D1149" t="s">
        <v>9448</v>
      </c>
      <c r="E1149" t="s">
        <v>11561</v>
      </c>
      <c r="F1149" t="s">
        <v>9412</v>
      </c>
      <c r="G1149" t="s">
        <v>9413</v>
      </c>
      <c r="H1149" t="s">
        <v>11516</v>
      </c>
      <c r="I1149" t="s">
        <v>9736</v>
      </c>
      <c r="J1149" t="s">
        <v>3399</v>
      </c>
      <c r="K1149" t="s">
        <v>9416</v>
      </c>
      <c r="L1149" t="s">
        <v>9417</v>
      </c>
      <c r="M1149" t="s">
        <v>11562</v>
      </c>
      <c r="N1149" t="s">
        <v>9446</v>
      </c>
      <c r="O1149" t="s">
        <v>8129</v>
      </c>
      <c r="P1149" t="s">
        <v>9647</v>
      </c>
      <c r="Q1149" t="s">
        <v>9421</v>
      </c>
      <c r="R1149" t="s">
        <v>84</v>
      </c>
      <c r="S1149" t="s">
        <v>3419</v>
      </c>
      <c r="T1149" t="s">
        <v>3421</v>
      </c>
    </row>
    <row r="1150" spans="1:20">
      <c r="A1150" t="s">
        <v>3412</v>
      </c>
      <c r="B1150" t="s">
        <v>62</v>
      </c>
      <c r="C1150" t="s">
        <v>8126</v>
      </c>
      <c r="D1150" t="s">
        <v>9448</v>
      </c>
      <c r="E1150" t="s">
        <v>11561</v>
      </c>
      <c r="F1150" t="s">
        <v>9412</v>
      </c>
      <c r="G1150" t="s">
        <v>9413</v>
      </c>
      <c r="H1150" t="s">
        <v>11516</v>
      </c>
      <c r="I1150" t="s">
        <v>9736</v>
      </c>
      <c r="J1150" t="s">
        <v>3399</v>
      </c>
      <c r="K1150" t="s">
        <v>9445</v>
      </c>
      <c r="L1150" t="s">
        <v>9417</v>
      </c>
      <c r="M1150" t="s">
        <v>11562</v>
      </c>
      <c r="N1150" t="s">
        <v>9426</v>
      </c>
      <c r="O1150" t="s">
        <v>9446</v>
      </c>
      <c r="P1150" t="s">
        <v>9479</v>
      </c>
      <c r="Q1150" t="s">
        <v>9421</v>
      </c>
      <c r="R1150" t="s">
        <v>43</v>
      </c>
      <c r="S1150" t="s">
        <v>3416</v>
      </c>
      <c r="T1150" t="s">
        <v>3418</v>
      </c>
    </row>
    <row r="1151" spans="1:20">
      <c r="A1151" t="s">
        <v>3412</v>
      </c>
      <c r="B1151" t="s">
        <v>62</v>
      </c>
      <c r="C1151" t="s">
        <v>8126</v>
      </c>
      <c r="D1151" t="s">
        <v>9448</v>
      </c>
      <c r="E1151" t="s">
        <v>11561</v>
      </c>
      <c r="F1151" t="s">
        <v>9412</v>
      </c>
      <c r="G1151" t="s">
        <v>9413</v>
      </c>
      <c r="H1151" t="s">
        <v>11516</v>
      </c>
      <c r="I1151" t="s">
        <v>9736</v>
      </c>
      <c r="J1151" t="s">
        <v>3399</v>
      </c>
      <c r="K1151" t="s">
        <v>9416</v>
      </c>
      <c r="L1151" t="s">
        <v>9417</v>
      </c>
      <c r="M1151" t="s">
        <v>11562</v>
      </c>
      <c r="N1151" t="s">
        <v>11550</v>
      </c>
      <c r="O1151" t="s">
        <v>8124</v>
      </c>
      <c r="P1151" t="s">
        <v>9429</v>
      </c>
      <c r="Q1151" t="s">
        <v>9421</v>
      </c>
      <c r="R1151" t="s">
        <v>52</v>
      </c>
      <c r="S1151" t="s">
        <v>3412</v>
      </c>
      <c r="T1151" t="s">
        <v>3414</v>
      </c>
    </row>
    <row r="1152" spans="1:20">
      <c r="A1152" t="s">
        <v>8256</v>
      </c>
      <c r="B1152" t="s">
        <v>9409</v>
      </c>
      <c r="C1152" t="s">
        <v>8259</v>
      </c>
      <c r="D1152" t="s">
        <v>9410</v>
      </c>
      <c r="E1152" t="s">
        <v>11563</v>
      </c>
      <c r="F1152" t="s">
        <v>9412</v>
      </c>
      <c r="G1152" t="s">
        <v>9413</v>
      </c>
      <c r="H1152" t="s">
        <v>11516</v>
      </c>
      <c r="I1152" t="s">
        <v>10116</v>
      </c>
      <c r="J1152" t="s">
        <v>3506</v>
      </c>
      <c r="K1152" t="s">
        <v>9445</v>
      </c>
      <c r="L1152" t="s">
        <v>9417</v>
      </c>
      <c r="M1152" t="s">
        <v>11564</v>
      </c>
      <c r="N1152" t="s">
        <v>9426</v>
      </c>
      <c r="O1152" t="s">
        <v>9446</v>
      </c>
      <c r="P1152" t="s">
        <v>9623</v>
      </c>
      <c r="Q1152" t="s">
        <v>9421</v>
      </c>
      <c r="R1152" t="s">
        <v>24</v>
      </c>
      <c r="S1152" t="s">
        <v>3552</v>
      </c>
      <c r="T1152" t="s">
        <v>3554</v>
      </c>
    </row>
    <row r="1153" spans="1:20">
      <c r="A1153" t="s">
        <v>8256</v>
      </c>
      <c r="B1153" t="s">
        <v>9409</v>
      </c>
      <c r="C1153" t="s">
        <v>8259</v>
      </c>
      <c r="D1153" t="s">
        <v>9410</v>
      </c>
      <c r="E1153" t="s">
        <v>11563</v>
      </c>
      <c r="F1153" t="s">
        <v>9412</v>
      </c>
      <c r="G1153" t="s">
        <v>9413</v>
      </c>
      <c r="H1153" t="s">
        <v>11516</v>
      </c>
      <c r="I1153" t="s">
        <v>10116</v>
      </c>
      <c r="J1153" t="s">
        <v>3506</v>
      </c>
      <c r="K1153" t="s">
        <v>9416</v>
      </c>
      <c r="L1153" t="s">
        <v>9417</v>
      </c>
      <c r="M1153" t="s">
        <v>11564</v>
      </c>
      <c r="N1153" t="s">
        <v>11543</v>
      </c>
      <c r="O1153" t="s">
        <v>8257</v>
      </c>
      <c r="P1153" t="s">
        <v>9420</v>
      </c>
      <c r="Q1153" t="s">
        <v>9421</v>
      </c>
      <c r="R1153" t="s">
        <v>17</v>
      </c>
      <c r="S1153" t="s">
        <v>8256</v>
      </c>
      <c r="T1153" t="s">
        <v>11565</v>
      </c>
    </row>
    <row r="1154" spans="1:20">
      <c r="A1154" t="s">
        <v>3193</v>
      </c>
      <c r="B1154" t="s">
        <v>62</v>
      </c>
      <c r="C1154" t="s">
        <v>7900</v>
      </c>
      <c r="D1154" t="s">
        <v>445</v>
      </c>
      <c r="E1154" t="s">
        <v>11566</v>
      </c>
      <c r="F1154" t="s">
        <v>9412</v>
      </c>
      <c r="G1154" t="s">
        <v>9413</v>
      </c>
      <c r="H1154" t="s">
        <v>11516</v>
      </c>
      <c r="I1154" t="s">
        <v>9734</v>
      </c>
      <c r="J1154" t="s">
        <v>3161</v>
      </c>
      <c r="K1154" t="s">
        <v>9416</v>
      </c>
      <c r="L1154" t="s">
        <v>9417</v>
      </c>
      <c r="M1154" t="s">
        <v>11533</v>
      </c>
      <c r="N1154" t="s">
        <v>11518</v>
      </c>
      <c r="O1154" t="s">
        <v>7898</v>
      </c>
      <c r="P1154" t="s">
        <v>10789</v>
      </c>
      <c r="Q1154" t="s">
        <v>9421</v>
      </c>
      <c r="R1154" t="s">
        <v>553</v>
      </c>
      <c r="S1154" t="s">
        <v>3193</v>
      </c>
      <c r="T1154" t="s">
        <v>3195</v>
      </c>
    </row>
    <row r="1155" spans="1:20">
      <c r="A1155" t="s">
        <v>3422</v>
      </c>
      <c r="B1155" t="s">
        <v>62</v>
      </c>
      <c r="C1155" t="s">
        <v>8133</v>
      </c>
      <c r="D1155" t="s">
        <v>9448</v>
      </c>
      <c r="E1155" t="s">
        <v>11567</v>
      </c>
      <c r="F1155" t="s">
        <v>9412</v>
      </c>
      <c r="G1155" t="s">
        <v>9413</v>
      </c>
      <c r="H1155" t="s">
        <v>11516</v>
      </c>
      <c r="I1155" t="s">
        <v>10186</v>
      </c>
      <c r="J1155" t="s">
        <v>3399</v>
      </c>
      <c r="K1155" t="s">
        <v>9416</v>
      </c>
      <c r="L1155" t="s">
        <v>9417</v>
      </c>
      <c r="M1155" t="s">
        <v>11568</v>
      </c>
      <c r="N1155" t="s">
        <v>11550</v>
      </c>
      <c r="O1155" t="s">
        <v>8131</v>
      </c>
      <c r="P1155" t="s">
        <v>9420</v>
      </c>
      <c r="Q1155" t="s">
        <v>9421</v>
      </c>
      <c r="R1155" t="s">
        <v>17</v>
      </c>
      <c r="S1155" t="s">
        <v>3422</v>
      </c>
      <c r="T1155" t="s">
        <v>3424</v>
      </c>
    </row>
    <row r="1156" spans="1:20">
      <c r="A1156" t="s">
        <v>11569</v>
      </c>
      <c r="B1156" t="s">
        <v>9409</v>
      </c>
      <c r="C1156" t="s">
        <v>11570</v>
      </c>
      <c r="D1156" t="s">
        <v>9410</v>
      </c>
      <c r="E1156" t="s">
        <v>11571</v>
      </c>
      <c r="F1156" t="s">
        <v>9412</v>
      </c>
      <c r="G1156" t="s">
        <v>9413</v>
      </c>
      <c r="H1156" t="s">
        <v>11516</v>
      </c>
      <c r="I1156" t="s">
        <v>9415</v>
      </c>
      <c r="J1156" t="s">
        <v>3808</v>
      </c>
      <c r="K1156" t="s">
        <v>9416</v>
      </c>
      <c r="L1156" t="s">
        <v>9417</v>
      </c>
      <c r="M1156" t="s">
        <v>11572</v>
      </c>
      <c r="N1156" t="s">
        <v>11514</v>
      </c>
      <c r="O1156" t="s">
        <v>11573</v>
      </c>
      <c r="P1156" t="s">
        <v>9420</v>
      </c>
      <c r="Q1156" t="s">
        <v>9421</v>
      </c>
      <c r="R1156" t="s">
        <v>17</v>
      </c>
      <c r="S1156" t="s">
        <v>11574</v>
      </c>
      <c r="T1156" t="s">
        <v>11575</v>
      </c>
    </row>
    <row r="1157" spans="1:20">
      <c r="A1157" t="s">
        <v>8262</v>
      </c>
      <c r="B1157" t="s">
        <v>9409</v>
      </c>
      <c r="C1157" t="s">
        <v>8265</v>
      </c>
      <c r="D1157" t="s">
        <v>9410</v>
      </c>
      <c r="E1157" t="s">
        <v>11576</v>
      </c>
      <c r="F1157" t="s">
        <v>9412</v>
      </c>
      <c r="G1157" t="s">
        <v>9413</v>
      </c>
      <c r="H1157" t="s">
        <v>11516</v>
      </c>
      <c r="I1157" t="s">
        <v>10177</v>
      </c>
      <c r="J1157" t="s">
        <v>3506</v>
      </c>
      <c r="K1157" t="s">
        <v>9416</v>
      </c>
      <c r="L1157" t="s">
        <v>9417</v>
      </c>
      <c r="M1157" t="s">
        <v>11577</v>
      </c>
      <c r="N1157" t="s">
        <v>11543</v>
      </c>
      <c r="O1157" t="s">
        <v>8263</v>
      </c>
      <c r="P1157" t="s">
        <v>9420</v>
      </c>
      <c r="Q1157" t="s">
        <v>9421</v>
      </c>
      <c r="R1157" t="s">
        <v>17</v>
      </c>
      <c r="S1157" t="s">
        <v>8262</v>
      </c>
      <c r="T1157" t="s">
        <v>11578</v>
      </c>
    </row>
    <row r="1158" spans="1:20">
      <c r="A1158" t="s">
        <v>8135</v>
      </c>
      <c r="B1158" t="s">
        <v>9409</v>
      </c>
      <c r="C1158" t="s">
        <v>11579</v>
      </c>
      <c r="D1158" t="s">
        <v>9410</v>
      </c>
      <c r="E1158" t="s">
        <v>11580</v>
      </c>
      <c r="F1158" t="s">
        <v>9412</v>
      </c>
      <c r="G1158" t="s">
        <v>9413</v>
      </c>
      <c r="H1158" t="s">
        <v>3162</v>
      </c>
      <c r="I1158" t="s">
        <v>10066</v>
      </c>
      <c r="J1158" t="s">
        <v>3399</v>
      </c>
      <c r="K1158" t="s">
        <v>9416</v>
      </c>
      <c r="L1158" t="s">
        <v>9417</v>
      </c>
      <c r="M1158" t="s">
        <v>11562</v>
      </c>
      <c r="N1158" t="s">
        <v>11550</v>
      </c>
      <c r="O1158" t="s">
        <v>8136</v>
      </c>
      <c r="P1158" t="s">
        <v>9459</v>
      </c>
      <c r="Q1158" t="s">
        <v>9421</v>
      </c>
      <c r="R1158" t="s">
        <v>17</v>
      </c>
      <c r="S1158" t="s">
        <v>8135</v>
      </c>
      <c r="T1158" t="s">
        <v>11581</v>
      </c>
    </row>
    <row r="1159" spans="1:20">
      <c r="A1159" t="s">
        <v>3944</v>
      </c>
      <c r="B1159" t="s">
        <v>20</v>
      </c>
      <c r="C1159" t="s">
        <v>8769</v>
      </c>
      <c r="D1159" t="s">
        <v>9666</v>
      </c>
      <c r="E1159" t="s">
        <v>11582</v>
      </c>
      <c r="F1159" t="s">
        <v>9412</v>
      </c>
      <c r="G1159" t="s">
        <v>9413</v>
      </c>
      <c r="H1159" t="s">
        <v>11516</v>
      </c>
      <c r="I1159" t="s">
        <v>10066</v>
      </c>
      <c r="J1159" t="s">
        <v>3939</v>
      </c>
      <c r="K1159" t="s">
        <v>9416</v>
      </c>
      <c r="L1159" t="s">
        <v>9417</v>
      </c>
      <c r="M1159" t="s">
        <v>11583</v>
      </c>
      <c r="N1159" t="s">
        <v>11536</v>
      </c>
      <c r="O1159" t="s">
        <v>8767</v>
      </c>
      <c r="P1159" t="s">
        <v>9420</v>
      </c>
      <c r="Q1159" t="s">
        <v>9421</v>
      </c>
      <c r="R1159" t="s">
        <v>17</v>
      </c>
      <c r="S1159" t="s">
        <v>3944</v>
      </c>
      <c r="T1159" t="s">
        <v>3946</v>
      </c>
    </row>
    <row r="1160" spans="1:20">
      <c r="A1160" t="s">
        <v>8771</v>
      </c>
      <c r="B1160" t="s">
        <v>9409</v>
      </c>
      <c r="C1160" t="s">
        <v>8774</v>
      </c>
      <c r="D1160" t="s">
        <v>9410</v>
      </c>
      <c r="E1160" t="s">
        <v>11584</v>
      </c>
      <c r="F1160" t="s">
        <v>9412</v>
      </c>
      <c r="G1160" t="s">
        <v>9413</v>
      </c>
      <c r="H1160" t="s">
        <v>11516</v>
      </c>
      <c r="I1160" t="s">
        <v>10877</v>
      </c>
      <c r="J1160" t="s">
        <v>3939</v>
      </c>
      <c r="K1160" t="s">
        <v>9416</v>
      </c>
      <c r="L1160" t="s">
        <v>9417</v>
      </c>
      <c r="M1160" t="s">
        <v>11585</v>
      </c>
      <c r="N1160" t="s">
        <v>11536</v>
      </c>
      <c r="O1160" t="s">
        <v>8772</v>
      </c>
      <c r="P1160" t="s">
        <v>9420</v>
      </c>
      <c r="Q1160" t="s">
        <v>9421</v>
      </c>
      <c r="R1160" t="s">
        <v>17</v>
      </c>
      <c r="S1160" t="s">
        <v>8771</v>
      </c>
      <c r="T1160" t="s">
        <v>11586</v>
      </c>
    </row>
    <row r="1161" spans="1:20">
      <c r="A1161" t="s">
        <v>3948</v>
      </c>
      <c r="B1161" t="s">
        <v>62</v>
      </c>
      <c r="C1161" t="s">
        <v>3951</v>
      </c>
      <c r="D1161" t="s">
        <v>445</v>
      </c>
      <c r="E1161" t="s">
        <v>11587</v>
      </c>
      <c r="F1161" t="s">
        <v>9412</v>
      </c>
      <c r="G1161" t="s">
        <v>9413</v>
      </c>
      <c r="H1161" t="s">
        <v>3162</v>
      </c>
      <c r="I1161" t="s">
        <v>9709</v>
      </c>
      <c r="J1161" t="s">
        <v>3939</v>
      </c>
      <c r="K1161" t="s">
        <v>9445</v>
      </c>
      <c r="L1161" t="s">
        <v>9417</v>
      </c>
      <c r="M1161" t="s">
        <v>11588</v>
      </c>
      <c r="N1161" t="s">
        <v>11536</v>
      </c>
      <c r="O1161" t="s">
        <v>9446</v>
      </c>
      <c r="P1161" t="s">
        <v>9459</v>
      </c>
      <c r="Q1161" t="s">
        <v>9421</v>
      </c>
      <c r="R1161" t="s">
        <v>17</v>
      </c>
      <c r="S1161" t="s">
        <v>3952</v>
      </c>
      <c r="T1161" t="s">
        <v>3954</v>
      </c>
    </row>
    <row r="1162" spans="1:20">
      <c r="A1162" t="s">
        <v>3948</v>
      </c>
      <c r="B1162" t="s">
        <v>62</v>
      </c>
      <c r="C1162" t="s">
        <v>11589</v>
      </c>
      <c r="D1162" t="s">
        <v>445</v>
      </c>
      <c r="E1162" t="s">
        <v>11587</v>
      </c>
      <c r="F1162" t="s">
        <v>9412</v>
      </c>
      <c r="G1162" t="s">
        <v>9413</v>
      </c>
      <c r="H1162" t="s">
        <v>3162</v>
      </c>
      <c r="I1162" t="s">
        <v>9709</v>
      </c>
      <c r="J1162" t="s">
        <v>3939</v>
      </c>
      <c r="K1162" t="s">
        <v>9416</v>
      </c>
      <c r="L1162" t="s">
        <v>9417</v>
      </c>
      <c r="M1162" t="s">
        <v>11588</v>
      </c>
      <c r="N1162" t="s">
        <v>11536</v>
      </c>
      <c r="O1162" t="s">
        <v>8776</v>
      </c>
      <c r="P1162" t="s">
        <v>9420</v>
      </c>
      <c r="Q1162" t="s">
        <v>9421</v>
      </c>
      <c r="R1162" t="s">
        <v>17</v>
      </c>
      <c r="S1162" t="s">
        <v>3948</v>
      </c>
      <c r="T1162" t="s">
        <v>3950</v>
      </c>
    </row>
    <row r="1163" spans="1:20">
      <c r="A1163" t="s">
        <v>8780</v>
      </c>
      <c r="B1163" t="s">
        <v>9409</v>
      </c>
      <c r="C1163" t="s">
        <v>8783</v>
      </c>
      <c r="D1163" t="s">
        <v>9410</v>
      </c>
      <c r="E1163" t="s">
        <v>11590</v>
      </c>
      <c r="F1163" t="s">
        <v>9412</v>
      </c>
      <c r="G1163" t="s">
        <v>9413</v>
      </c>
      <c r="H1163" t="s">
        <v>11516</v>
      </c>
      <c r="I1163" t="s">
        <v>9826</v>
      </c>
      <c r="J1163" t="s">
        <v>3939</v>
      </c>
      <c r="K1163" t="s">
        <v>9416</v>
      </c>
      <c r="L1163" t="s">
        <v>9417</v>
      </c>
      <c r="M1163" t="s">
        <v>11591</v>
      </c>
      <c r="N1163" t="s">
        <v>11536</v>
      </c>
      <c r="O1163" t="s">
        <v>8781</v>
      </c>
      <c r="P1163" t="s">
        <v>9420</v>
      </c>
      <c r="Q1163" t="s">
        <v>9421</v>
      </c>
      <c r="R1163" t="s">
        <v>17</v>
      </c>
      <c r="S1163" t="s">
        <v>8780</v>
      </c>
      <c r="T1163" t="s">
        <v>11592</v>
      </c>
    </row>
    <row r="1164" spans="1:20">
      <c r="A1164" t="s">
        <v>3955</v>
      </c>
      <c r="B1164" t="s">
        <v>20</v>
      </c>
      <c r="C1164" t="s">
        <v>3958</v>
      </c>
      <c r="D1164" t="s">
        <v>9460</v>
      </c>
      <c r="E1164" t="s">
        <v>11593</v>
      </c>
      <c r="F1164" t="s">
        <v>9412</v>
      </c>
      <c r="G1164" t="s">
        <v>9413</v>
      </c>
      <c r="H1164" t="s">
        <v>3162</v>
      </c>
      <c r="I1164" t="s">
        <v>10186</v>
      </c>
      <c r="J1164" t="s">
        <v>3939</v>
      </c>
      <c r="K1164" t="s">
        <v>9416</v>
      </c>
      <c r="L1164" t="s">
        <v>9417</v>
      </c>
      <c r="M1164" t="s">
        <v>11572</v>
      </c>
      <c r="N1164" t="s">
        <v>11536</v>
      </c>
      <c r="O1164" t="s">
        <v>8785</v>
      </c>
      <c r="P1164" t="s">
        <v>9420</v>
      </c>
      <c r="Q1164" t="s">
        <v>9421</v>
      </c>
      <c r="R1164" t="s">
        <v>17</v>
      </c>
      <c r="S1164" t="s">
        <v>3955</v>
      </c>
      <c r="T1164" t="s">
        <v>3957</v>
      </c>
    </row>
    <row r="1165" spans="1:20">
      <c r="A1165" t="s">
        <v>3955</v>
      </c>
      <c r="B1165" t="s">
        <v>20</v>
      </c>
      <c r="C1165" t="s">
        <v>3958</v>
      </c>
      <c r="D1165" t="s">
        <v>9460</v>
      </c>
      <c r="E1165" t="s">
        <v>11593</v>
      </c>
      <c r="F1165" t="s">
        <v>9412</v>
      </c>
      <c r="G1165" t="s">
        <v>9413</v>
      </c>
      <c r="H1165" t="s">
        <v>3162</v>
      </c>
      <c r="I1165" t="s">
        <v>10186</v>
      </c>
      <c r="J1165" t="s">
        <v>3939</v>
      </c>
      <c r="K1165" t="s">
        <v>9445</v>
      </c>
      <c r="L1165" t="s">
        <v>9417</v>
      </c>
      <c r="M1165" t="s">
        <v>11572</v>
      </c>
      <c r="N1165" t="s">
        <v>9426</v>
      </c>
      <c r="O1165" t="s">
        <v>9446</v>
      </c>
      <c r="P1165" t="s">
        <v>9479</v>
      </c>
      <c r="Q1165" t="s">
        <v>9421</v>
      </c>
      <c r="R1165" t="s">
        <v>43</v>
      </c>
      <c r="S1165" t="s">
        <v>3597</v>
      </c>
      <c r="T1165" t="s">
        <v>3599</v>
      </c>
    </row>
    <row r="1166" spans="1:20">
      <c r="A1166" t="s">
        <v>11594</v>
      </c>
      <c r="B1166" t="s">
        <v>9409</v>
      </c>
      <c r="C1166" t="s">
        <v>11595</v>
      </c>
      <c r="D1166" t="s">
        <v>9410</v>
      </c>
      <c r="E1166" t="s">
        <v>11596</v>
      </c>
      <c r="F1166" t="s">
        <v>9412</v>
      </c>
      <c r="G1166" t="s">
        <v>9413</v>
      </c>
      <c r="H1166" t="s">
        <v>11516</v>
      </c>
      <c r="I1166" t="s">
        <v>9576</v>
      </c>
      <c r="J1166" t="s">
        <v>3939</v>
      </c>
      <c r="K1166" t="s">
        <v>9416</v>
      </c>
      <c r="L1166" t="s">
        <v>9417</v>
      </c>
      <c r="M1166" t="s">
        <v>11597</v>
      </c>
      <c r="N1166" t="s">
        <v>11536</v>
      </c>
      <c r="O1166" t="s">
        <v>11598</v>
      </c>
      <c r="P1166" t="s">
        <v>9459</v>
      </c>
      <c r="Q1166" t="s">
        <v>9421</v>
      </c>
      <c r="R1166" t="s">
        <v>17</v>
      </c>
      <c r="S1166" t="s">
        <v>11594</v>
      </c>
      <c r="T1166" t="s">
        <v>11599</v>
      </c>
    </row>
    <row r="1167" spans="1:20">
      <c r="A1167" t="s">
        <v>3823</v>
      </c>
      <c r="B1167" t="s">
        <v>20</v>
      </c>
      <c r="C1167" t="s">
        <v>3826</v>
      </c>
      <c r="D1167" t="s">
        <v>9475</v>
      </c>
      <c r="E1167" t="s">
        <v>11600</v>
      </c>
      <c r="F1167" t="s">
        <v>9412</v>
      </c>
      <c r="G1167" t="s">
        <v>9413</v>
      </c>
      <c r="H1167" t="s">
        <v>3162</v>
      </c>
      <c r="I1167" t="s">
        <v>10016</v>
      </c>
      <c r="J1167" t="s">
        <v>3808</v>
      </c>
      <c r="K1167" t="s">
        <v>9416</v>
      </c>
      <c r="L1167" t="s">
        <v>9417</v>
      </c>
      <c r="M1167" t="s">
        <v>11521</v>
      </c>
      <c r="N1167" t="s">
        <v>11514</v>
      </c>
      <c r="O1167" t="s">
        <v>8620</v>
      </c>
      <c r="P1167" t="s">
        <v>9459</v>
      </c>
      <c r="Q1167" t="s">
        <v>9421</v>
      </c>
      <c r="R1167" t="s">
        <v>17</v>
      </c>
      <c r="S1167" t="s">
        <v>3827</v>
      </c>
      <c r="T1167" t="s">
        <v>3829</v>
      </c>
    </row>
    <row r="1168" spans="1:20">
      <c r="A1168" t="s">
        <v>3823</v>
      </c>
      <c r="B1168" t="s">
        <v>20</v>
      </c>
      <c r="C1168" t="s">
        <v>3826</v>
      </c>
      <c r="D1168" t="s">
        <v>9475</v>
      </c>
      <c r="E1168" t="s">
        <v>11600</v>
      </c>
      <c r="F1168" t="s">
        <v>9412</v>
      </c>
      <c r="G1168" t="s">
        <v>9413</v>
      </c>
      <c r="H1168" t="s">
        <v>3162</v>
      </c>
      <c r="I1168" t="s">
        <v>10016</v>
      </c>
      <c r="J1168" t="s">
        <v>3808</v>
      </c>
      <c r="K1168" t="s">
        <v>9416</v>
      </c>
      <c r="L1168" t="s">
        <v>9417</v>
      </c>
      <c r="M1168" t="s">
        <v>11521</v>
      </c>
      <c r="N1168" t="s">
        <v>11514</v>
      </c>
      <c r="O1168" t="s">
        <v>8616</v>
      </c>
      <c r="P1168" t="s">
        <v>9420</v>
      </c>
      <c r="Q1168" t="s">
        <v>9421</v>
      </c>
      <c r="R1168" t="s">
        <v>17</v>
      </c>
      <c r="S1168" t="s">
        <v>3823</v>
      </c>
      <c r="T1168" t="s">
        <v>3825</v>
      </c>
    </row>
    <row r="1169" spans="1:20">
      <c r="A1169" t="s">
        <v>3585</v>
      </c>
      <c r="B1169" t="s">
        <v>9409</v>
      </c>
      <c r="C1169" t="s">
        <v>11601</v>
      </c>
      <c r="D1169" t="s">
        <v>9410</v>
      </c>
      <c r="E1169" t="s">
        <v>11602</v>
      </c>
      <c r="F1169" t="s">
        <v>9412</v>
      </c>
      <c r="G1169" t="s">
        <v>9413</v>
      </c>
      <c r="H1169" t="s">
        <v>3162</v>
      </c>
      <c r="I1169" t="s">
        <v>9502</v>
      </c>
      <c r="J1169" t="s">
        <v>3506</v>
      </c>
      <c r="K1169" t="s">
        <v>9416</v>
      </c>
      <c r="L1169" t="s">
        <v>9417</v>
      </c>
      <c r="M1169" t="s">
        <v>11577</v>
      </c>
      <c r="N1169" t="s">
        <v>11543</v>
      </c>
      <c r="O1169" t="s">
        <v>8267</v>
      </c>
      <c r="P1169" t="s">
        <v>9459</v>
      </c>
      <c r="Q1169" t="s">
        <v>9421</v>
      </c>
      <c r="R1169" t="s">
        <v>17</v>
      </c>
      <c r="S1169" t="s">
        <v>3585</v>
      </c>
      <c r="T1169" t="s">
        <v>3587</v>
      </c>
    </row>
    <row r="1170" spans="1:20">
      <c r="A1170" t="s">
        <v>3585</v>
      </c>
      <c r="B1170" t="s">
        <v>9409</v>
      </c>
      <c r="C1170" t="s">
        <v>11601</v>
      </c>
      <c r="D1170" t="s">
        <v>9410</v>
      </c>
      <c r="E1170" t="s">
        <v>11602</v>
      </c>
      <c r="F1170" t="s">
        <v>9412</v>
      </c>
      <c r="G1170" t="s">
        <v>9413</v>
      </c>
      <c r="H1170" t="s">
        <v>3162</v>
      </c>
      <c r="I1170" t="s">
        <v>9502</v>
      </c>
      <c r="J1170" t="s">
        <v>3506</v>
      </c>
      <c r="K1170" t="s">
        <v>9445</v>
      </c>
      <c r="L1170" t="s">
        <v>9417</v>
      </c>
      <c r="M1170" t="s">
        <v>11577</v>
      </c>
      <c r="N1170" t="s">
        <v>9426</v>
      </c>
      <c r="O1170" t="s">
        <v>9446</v>
      </c>
      <c r="P1170" t="s">
        <v>9479</v>
      </c>
      <c r="Q1170" t="s">
        <v>9421</v>
      </c>
      <c r="R1170" t="s">
        <v>43</v>
      </c>
      <c r="S1170" t="s">
        <v>3498</v>
      </c>
      <c r="T1170" t="s">
        <v>3500</v>
      </c>
    </row>
    <row r="1171" spans="1:20">
      <c r="A1171" t="s">
        <v>3620</v>
      </c>
      <c r="B1171" t="s">
        <v>62</v>
      </c>
      <c r="C1171" t="s">
        <v>3623</v>
      </c>
      <c r="D1171" t="s">
        <v>10271</v>
      </c>
      <c r="E1171" t="s">
        <v>11603</v>
      </c>
      <c r="F1171" t="s">
        <v>9412</v>
      </c>
      <c r="G1171" t="s">
        <v>9413</v>
      </c>
      <c r="H1171" t="s">
        <v>3162</v>
      </c>
      <c r="I1171" t="s">
        <v>10066</v>
      </c>
      <c r="J1171" t="s">
        <v>3619</v>
      </c>
      <c r="K1171" t="s">
        <v>9445</v>
      </c>
      <c r="L1171" t="s">
        <v>9417</v>
      </c>
      <c r="M1171" t="s">
        <v>11604</v>
      </c>
      <c r="N1171" t="s">
        <v>9426</v>
      </c>
      <c r="O1171" t="s">
        <v>9446</v>
      </c>
      <c r="P1171" t="s">
        <v>9479</v>
      </c>
      <c r="Q1171" t="s">
        <v>9421</v>
      </c>
      <c r="R1171" t="s">
        <v>43</v>
      </c>
      <c r="S1171" t="s">
        <v>3416</v>
      </c>
      <c r="T1171" t="s">
        <v>3418</v>
      </c>
    </row>
    <row r="1172" spans="1:20">
      <c r="A1172" t="s">
        <v>3620</v>
      </c>
      <c r="B1172" t="s">
        <v>62</v>
      </c>
      <c r="C1172" t="s">
        <v>3623</v>
      </c>
      <c r="D1172" t="s">
        <v>10271</v>
      </c>
      <c r="E1172" t="s">
        <v>11603</v>
      </c>
      <c r="F1172" t="s">
        <v>9412</v>
      </c>
      <c r="G1172" t="s">
        <v>9413</v>
      </c>
      <c r="H1172" t="s">
        <v>3162</v>
      </c>
      <c r="I1172" t="s">
        <v>10066</v>
      </c>
      <c r="J1172" t="s">
        <v>3619</v>
      </c>
      <c r="K1172" t="s">
        <v>9416</v>
      </c>
      <c r="L1172" t="s">
        <v>9417</v>
      </c>
      <c r="M1172" t="s">
        <v>11604</v>
      </c>
      <c r="N1172" t="s">
        <v>11605</v>
      </c>
      <c r="O1172" t="s">
        <v>8404</v>
      </c>
      <c r="P1172" t="s">
        <v>9623</v>
      </c>
      <c r="Q1172" t="s">
        <v>9421</v>
      </c>
      <c r="R1172" t="s">
        <v>24</v>
      </c>
      <c r="S1172" t="s">
        <v>3620</v>
      </c>
      <c r="T1172" t="s">
        <v>3622</v>
      </c>
    </row>
    <row r="1173" spans="1:20">
      <c r="A1173" t="s">
        <v>3624</v>
      </c>
      <c r="B1173" t="s">
        <v>62</v>
      </c>
      <c r="C1173" t="s">
        <v>8409</v>
      </c>
      <c r="D1173" t="s">
        <v>445</v>
      </c>
      <c r="E1173" t="s">
        <v>11606</v>
      </c>
      <c r="F1173" t="s">
        <v>9412</v>
      </c>
      <c r="G1173" t="s">
        <v>9413</v>
      </c>
      <c r="H1173" t="s">
        <v>11516</v>
      </c>
      <c r="I1173" t="s">
        <v>9522</v>
      </c>
      <c r="J1173" t="s">
        <v>3619</v>
      </c>
      <c r="K1173" t="s">
        <v>9416</v>
      </c>
      <c r="L1173" t="s">
        <v>9417</v>
      </c>
      <c r="M1173" t="s">
        <v>11607</v>
      </c>
      <c r="N1173" t="s">
        <v>11605</v>
      </c>
      <c r="O1173" t="s">
        <v>8408</v>
      </c>
      <c r="P1173" t="s">
        <v>9623</v>
      </c>
      <c r="Q1173" t="s">
        <v>9421</v>
      </c>
      <c r="R1173" t="s">
        <v>24</v>
      </c>
      <c r="S1173" t="s">
        <v>3624</v>
      </c>
      <c r="T1173" t="s">
        <v>3626</v>
      </c>
    </row>
    <row r="1174" spans="1:20">
      <c r="A1174" t="s">
        <v>3624</v>
      </c>
      <c r="B1174" t="s">
        <v>62</v>
      </c>
      <c r="C1174" t="s">
        <v>8409</v>
      </c>
      <c r="D1174" t="s">
        <v>445</v>
      </c>
      <c r="E1174" t="s">
        <v>11606</v>
      </c>
      <c r="F1174" t="s">
        <v>9412</v>
      </c>
      <c r="G1174" t="s">
        <v>9413</v>
      </c>
      <c r="H1174" t="s">
        <v>11516</v>
      </c>
      <c r="I1174" t="s">
        <v>9522</v>
      </c>
      <c r="J1174" t="s">
        <v>3619</v>
      </c>
      <c r="K1174" t="s">
        <v>9445</v>
      </c>
      <c r="L1174" t="s">
        <v>9417</v>
      </c>
      <c r="M1174" t="s">
        <v>11607</v>
      </c>
      <c r="N1174" t="s">
        <v>9426</v>
      </c>
      <c r="O1174" t="s">
        <v>9446</v>
      </c>
      <c r="P1174" t="s">
        <v>9567</v>
      </c>
      <c r="Q1174" t="s">
        <v>9421</v>
      </c>
      <c r="R1174" t="s">
        <v>43</v>
      </c>
      <c r="S1174" t="s">
        <v>3628</v>
      </c>
      <c r="T1174" t="s">
        <v>3630</v>
      </c>
    </row>
    <row r="1175" spans="1:20">
      <c r="A1175" t="s">
        <v>11608</v>
      </c>
      <c r="B1175" t="s">
        <v>9409</v>
      </c>
      <c r="C1175" t="s">
        <v>11609</v>
      </c>
      <c r="D1175" t="s">
        <v>9410</v>
      </c>
      <c r="E1175" t="s">
        <v>11610</v>
      </c>
      <c r="F1175" t="s">
        <v>9412</v>
      </c>
      <c r="G1175" t="s">
        <v>9413</v>
      </c>
      <c r="H1175" t="s">
        <v>11516</v>
      </c>
      <c r="I1175" t="s">
        <v>9819</v>
      </c>
      <c r="J1175" t="s">
        <v>3619</v>
      </c>
      <c r="K1175" t="s">
        <v>9416</v>
      </c>
      <c r="L1175" t="s">
        <v>9417</v>
      </c>
      <c r="M1175" t="s">
        <v>11611</v>
      </c>
      <c r="N1175" t="s">
        <v>11605</v>
      </c>
      <c r="O1175" t="s">
        <v>11612</v>
      </c>
      <c r="P1175" t="s">
        <v>9420</v>
      </c>
      <c r="Q1175" t="s">
        <v>9421</v>
      </c>
      <c r="R1175" t="s">
        <v>17</v>
      </c>
      <c r="S1175" t="s">
        <v>11608</v>
      </c>
      <c r="T1175" t="s">
        <v>11613</v>
      </c>
    </row>
    <row r="1176" spans="1:20">
      <c r="A1176" t="s">
        <v>3507</v>
      </c>
      <c r="B1176" t="s">
        <v>20</v>
      </c>
      <c r="C1176" t="s">
        <v>8274</v>
      </c>
      <c r="D1176" t="s">
        <v>9677</v>
      </c>
      <c r="E1176" t="s">
        <v>11614</v>
      </c>
      <c r="F1176" t="s">
        <v>9412</v>
      </c>
      <c r="G1176" t="s">
        <v>9413</v>
      </c>
      <c r="H1176" t="s">
        <v>11516</v>
      </c>
      <c r="I1176" t="s">
        <v>9511</v>
      </c>
      <c r="J1176" t="s">
        <v>3506</v>
      </c>
      <c r="K1176" t="s">
        <v>9416</v>
      </c>
      <c r="L1176" t="s">
        <v>9417</v>
      </c>
      <c r="M1176" t="s">
        <v>11615</v>
      </c>
      <c r="N1176" t="s">
        <v>11543</v>
      </c>
      <c r="O1176" t="s">
        <v>8272</v>
      </c>
      <c r="P1176" t="s">
        <v>9420</v>
      </c>
      <c r="Q1176" t="s">
        <v>9421</v>
      </c>
      <c r="R1176" t="s">
        <v>17</v>
      </c>
      <c r="S1176" t="s">
        <v>3507</v>
      </c>
      <c r="T1176" t="s">
        <v>3509</v>
      </c>
    </row>
    <row r="1177" spans="1:20">
      <c r="A1177" t="s">
        <v>3887</v>
      </c>
      <c r="B1177" t="s">
        <v>9409</v>
      </c>
      <c r="C1177" t="s">
        <v>11616</v>
      </c>
      <c r="D1177" t="s">
        <v>9410</v>
      </c>
      <c r="E1177" t="s">
        <v>11617</v>
      </c>
      <c r="F1177" t="s">
        <v>9412</v>
      </c>
      <c r="G1177" t="s">
        <v>9413</v>
      </c>
      <c r="H1177" t="s">
        <v>11516</v>
      </c>
      <c r="I1177" t="s">
        <v>10975</v>
      </c>
      <c r="J1177" t="s">
        <v>3808</v>
      </c>
      <c r="K1177" t="s">
        <v>9445</v>
      </c>
      <c r="L1177" t="s">
        <v>9417</v>
      </c>
      <c r="M1177" t="s">
        <v>11521</v>
      </c>
      <c r="N1177" t="s">
        <v>9426</v>
      </c>
      <c r="O1177" t="s">
        <v>9446</v>
      </c>
      <c r="P1177" t="s">
        <v>9623</v>
      </c>
      <c r="Q1177" t="s">
        <v>9421</v>
      </c>
      <c r="R1177" t="s">
        <v>24</v>
      </c>
      <c r="S1177" t="s">
        <v>3238</v>
      </c>
      <c r="T1177" t="s">
        <v>3240</v>
      </c>
    </row>
    <row r="1178" spans="1:20">
      <c r="A1178" t="s">
        <v>3197</v>
      </c>
      <c r="B1178" t="s">
        <v>62</v>
      </c>
      <c r="C1178" t="s">
        <v>11618</v>
      </c>
      <c r="D1178" t="s">
        <v>9448</v>
      </c>
      <c r="E1178" t="s">
        <v>11619</v>
      </c>
      <c r="F1178" t="s">
        <v>9412</v>
      </c>
      <c r="G1178" t="s">
        <v>9413</v>
      </c>
      <c r="H1178" t="s">
        <v>11516</v>
      </c>
      <c r="I1178" t="s">
        <v>10202</v>
      </c>
      <c r="J1178" t="s">
        <v>3161</v>
      </c>
      <c r="K1178" t="s">
        <v>9416</v>
      </c>
      <c r="L1178" t="s">
        <v>9417</v>
      </c>
      <c r="M1178" t="s">
        <v>11620</v>
      </c>
      <c r="N1178" t="s">
        <v>11518</v>
      </c>
      <c r="O1178" t="s">
        <v>7902</v>
      </c>
      <c r="P1178" t="s">
        <v>9524</v>
      </c>
      <c r="Q1178" t="s">
        <v>9421</v>
      </c>
      <c r="R1178" t="s">
        <v>24</v>
      </c>
      <c r="S1178" t="s">
        <v>3197</v>
      </c>
      <c r="T1178" t="s">
        <v>3199</v>
      </c>
    </row>
    <row r="1179" spans="1:20">
      <c r="A1179" t="s">
        <v>3830</v>
      </c>
      <c r="B1179" t="s">
        <v>62</v>
      </c>
      <c r="C1179" t="s">
        <v>8624</v>
      </c>
      <c r="D1179" t="s">
        <v>9448</v>
      </c>
      <c r="E1179" t="s">
        <v>11621</v>
      </c>
      <c r="F1179" t="s">
        <v>9412</v>
      </c>
      <c r="G1179" t="s">
        <v>9413</v>
      </c>
      <c r="H1179" t="s">
        <v>11516</v>
      </c>
      <c r="I1179" t="s">
        <v>9674</v>
      </c>
      <c r="J1179" t="s">
        <v>3808</v>
      </c>
      <c r="K1179" t="s">
        <v>9416</v>
      </c>
      <c r="L1179" t="s">
        <v>9417</v>
      </c>
      <c r="M1179" t="s">
        <v>11622</v>
      </c>
      <c r="N1179" t="s">
        <v>11514</v>
      </c>
      <c r="O1179" t="s">
        <v>8622</v>
      </c>
      <c r="P1179" t="s">
        <v>9420</v>
      </c>
      <c r="Q1179" t="s">
        <v>9421</v>
      </c>
      <c r="R1179" t="s">
        <v>17</v>
      </c>
      <c r="S1179" t="s">
        <v>3830</v>
      </c>
      <c r="T1179" t="s">
        <v>3832</v>
      </c>
    </row>
    <row r="1180" spans="1:20">
      <c r="A1180" t="s">
        <v>3631</v>
      </c>
      <c r="B1180" t="s">
        <v>62</v>
      </c>
      <c r="C1180" t="s">
        <v>8413</v>
      </c>
      <c r="D1180" t="s">
        <v>445</v>
      </c>
      <c r="E1180" t="s">
        <v>11623</v>
      </c>
      <c r="F1180" t="s">
        <v>9412</v>
      </c>
      <c r="G1180" t="s">
        <v>9413</v>
      </c>
      <c r="H1180" t="s">
        <v>11516</v>
      </c>
      <c r="I1180" t="s">
        <v>9522</v>
      </c>
      <c r="J1180" t="s">
        <v>3619</v>
      </c>
      <c r="K1180" t="s">
        <v>9416</v>
      </c>
      <c r="L1180" t="s">
        <v>9417</v>
      </c>
      <c r="M1180" t="s">
        <v>11624</v>
      </c>
      <c r="N1180" t="s">
        <v>11605</v>
      </c>
      <c r="O1180" t="s">
        <v>8412</v>
      </c>
      <c r="P1180" t="s">
        <v>10410</v>
      </c>
      <c r="Q1180" t="s">
        <v>9421</v>
      </c>
      <c r="R1180" t="s">
        <v>553</v>
      </c>
      <c r="S1180" t="s">
        <v>3631</v>
      </c>
      <c r="T1180" t="s">
        <v>3633</v>
      </c>
    </row>
    <row r="1181" spans="1:20">
      <c r="A1181" t="s">
        <v>11625</v>
      </c>
      <c r="B1181" t="s">
        <v>9409</v>
      </c>
      <c r="C1181" t="s">
        <v>11626</v>
      </c>
      <c r="D1181" t="s">
        <v>9410</v>
      </c>
      <c r="E1181" t="s">
        <v>11627</v>
      </c>
      <c r="F1181" t="s">
        <v>9412</v>
      </c>
      <c r="G1181" t="s">
        <v>9413</v>
      </c>
      <c r="H1181" t="s">
        <v>11516</v>
      </c>
      <c r="I1181" t="s">
        <v>9830</v>
      </c>
      <c r="J1181" t="s">
        <v>3939</v>
      </c>
      <c r="K1181" t="s">
        <v>9416</v>
      </c>
      <c r="L1181" t="s">
        <v>9417</v>
      </c>
      <c r="M1181" t="s">
        <v>11572</v>
      </c>
      <c r="N1181" t="s">
        <v>11536</v>
      </c>
      <c r="O1181" t="s">
        <v>11628</v>
      </c>
      <c r="P1181" t="s">
        <v>9420</v>
      </c>
      <c r="Q1181" t="s">
        <v>9421</v>
      </c>
      <c r="R1181" t="s">
        <v>17</v>
      </c>
      <c r="S1181" t="s">
        <v>11625</v>
      </c>
      <c r="T1181" t="s">
        <v>11629</v>
      </c>
    </row>
    <row r="1182" spans="1:20">
      <c r="A1182" t="s">
        <v>3635</v>
      </c>
      <c r="B1182" t="s">
        <v>20</v>
      </c>
      <c r="C1182" t="s">
        <v>8417</v>
      </c>
      <c r="D1182" t="s">
        <v>9455</v>
      </c>
      <c r="E1182" t="s">
        <v>11630</v>
      </c>
      <c r="F1182" t="s">
        <v>9412</v>
      </c>
      <c r="G1182" t="s">
        <v>9413</v>
      </c>
      <c r="H1182" t="s">
        <v>11516</v>
      </c>
      <c r="I1182" t="s">
        <v>10452</v>
      </c>
      <c r="J1182" t="s">
        <v>3619</v>
      </c>
      <c r="K1182" t="s">
        <v>9416</v>
      </c>
      <c r="L1182" t="s">
        <v>9417</v>
      </c>
      <c r="M1182" t="s">
        <v>11607</v>
      </c>
      <c r="N1182" t="s">
        <v>11605</v>
      </c>
      <c r="O1182" t="s">
        <v>8419</v>
      </c>
      <c r="P1182" t="s">
        <v>9429</v>
      </c>
      <c r="Q1182" t="s">
        <v>9421</v>
      </c>
      <c r="R1182" t="s">
        <v>52</v>
      </c>
      <c r="S1182" t="s">
        <v>3639</v>
      </c>
      <c r="T1182" t="s">
        <v>3641</v>
      </c>
    </row>
    <row r="1183" spans="1:20">
      <c r="A1183" t="s">
        <v>3635</v>
      </c>
      <c r="B1183" t="s">
        <v>20</v>
      </c>
      <c r="C1183" t="s">
        <v>8417</v>
      </c>
      <c r="D1183" t="s">
        <v>9455</v>
      </c>
      <c r="E1183" t="s">
        <v>11630</v>
      </c>
      <c r="F1183" t="s">
        <v>9412</v>
      </c>
      <c r="G1183" t="s">
        <v>9413</v>
      </c>
      <c r="H1183" t="s">
        <v>11516</v>
      </c>
      <c r="I1183" t="s">
        <v>10452</v>
      </c>
      <c r="J1183" t="s">
        <v>3619</v>
      </c>
      <c r="K1183" t="s">
        <v>9416</v>
      </c>
      <c r="L1183" t="s">
        <v>9417</v>
      </c>
      <c r="M1183" t="s">
        <v>11607</v>
      </c>
      <c r="N1183" t="s">
        <v>9430</v>
      </c>
      <c r="O1183" t="s">
        <v>9446</v>
      </c>
      <c r="P1183" t="s">
        <v>9524</v>
      </c>
      <c r="Q1183" t="s">
        <v>9421</v>
      </c>
      <c r="R1183" t="s">
        <v>17</v>
      </c>
      <c r="S1183" t="s">
        <v>3642</v>
      </c>
      <c r="T1183" t="s">
        <v>3644</v>
      </c>
    </row>
    <row r="1184" spans="1:20">
      <c r="A1184" t="s">
        <v>3635</v>
      </c>
      <c r="B1184" t="s">
        <v>20</v>
      </c>
      <c r="C1184" t="s">
        <v>8417</v>
      </c>
      <c r="D1184" t="s">
        <v>9455</v>
      </c>
      <c r="E1184" t="s">
        <v>11630</v>
      </c>
      <c r="F1184" t="s">
        <v>9412</v>
      </c>
      <c r="G1184" t="s">
        <v>9413</v>
      </c>
      <c r="H1184" t="s">
        <v>11516</v>
      </c>
      <c r="I1184" t="s">
        <v>10452</v>
      </c>
      <c r="J1184" t="s">
        <v>3619</v>
      </c>
      <c r="K1184" t="s">
        <v>9416</v>
      </c>
      <c r="L1184" t="s">
        <v>9417</v>
      </c>
      <c r="M1184" t="s">
        <v>11607</v>
      </c>
      <c r="N1184" t="s">
        <v>11605</v>
      </c>
      <c r="O1184" t="s">
        <v>8415</v>
      </c>
      <c r="P1184" t="s">
        <v>9429</v>
      </c>
      <c r="Q1184" t="s">
        <v>9421</v>
      </c>
      <c r="R1184" t="s">
        <v>52</v>
      </c>
      <c r="S1184" t="s">
        <v>3635</v>
      </c>
      <c r="T1184" t="s">
        <v>3637</v>
      </c>
    </row>
    <row r="1185" spans="1:20">
      <c r="A1185" t="s">
        <v>8751</v>
      </c>
      <c r="B1185" t="s">
        <v>9409</v>
      </c>
      <c r="C1185" t="s">
        <v>8754</v>
      </c>
      <c r="D1185" t="s">
        <v>9410</v>
      </c>
      <c r="E1185" t="s">
        <v>11631</v>
      </c>
      <c r="F1185" t="s">
        <v>9412</v>
      </c>
      <c r="G1185" t="s">
        <v>9413</v>
      </c>
      <c r="H1185" t="s">
        <v>11516</v>
      </c>
      <c r="I1185" t="s">
        <v>9720</v>
      </c>
      <c r="J1185" t="s">
        <v>3808</v>
      </c>
      <c r="K1185" t="s">
        <v>9416</v>
      </c>
      <c r="L1185" t="s">
        <v>9417</v>
      </c>
      <c r="M1185" t="s">
        <v>11624</v>
      </c>
      <c r="N1185" t="s">
        <v>11514</v>
      </c>
      <c r="O1185" t="s">
        <v>8752</v>
      </c>
      <c r="P1185" t="s">
        <v>9459</v>
      </c>
      <c r="Q1185" t="s">
        <v>9421</v>
      </c>
      <c r="R1185" t="s">
        <v>17</v>
      </c>
      <c r="S1185" t="s">
        <v>8751</v>
      </c>
      <c r="T1185" t="s">
        <v>11632</v>
      </c>
    </row>
    <row r="1186" spans="1:20">
      <c r="A1186" t="s">
        <v>3834</v>
      </c>
      <c r="B1186" t="s">
        <v>20</v>
      </c>
      <c r="C1186" t="s">
        <v>3837</v>
      </c>
      <c r="D1186" t="s">
        <v>9460</v>
      </c>
      <c r="E1186" t="s">
        <v>11633</v>
      </c>
      <c r="F1186" t="s">
        <v>9412</v>
      </c>
      <c r="G1186" t="s">
        <v>9413</v>
      </c>
      <c r="H1186" t="s">
        <v>3162</v>
      </c>
      <c r="I1186" t="s">
        <v>10150</v>
      </c>
      <c r="J1186" t="s">
        <v>3808</v>
      </c>
      <c r="K1186" t="s">
        <v>9416</v>
      </c>
      <c r="L1186" t="s">
        <v>9417</v>
      </c>
      <c r="M1186" t="s">
        <v>11634</v>
      </c>
      <c r="N1186" t="s">
        <v>11514</v>
      </c>
      <c r="O1186" t="s">
        <v>8626</v>
      </c>
      <c r="P1186" t="s">
        <v>9420</v>
      </c>
      <c r="Q1186" t="s">
        <v>9421</v>
      </c>
      <c r="R1186" t="s">
        <v>17</v>
      </c>
      <c r="S1186" t="s">
        <v>3834</v>
      </c>
      <c r="T1186" t="s">
        <v>3836</v>
      </c>
    </row>
    <row r="1187" spans="1:20">
      <c r="A1187" t="s">
        <v>11635</v>
      </c>
      <c r="B1187" t="s">
        <v>9409</v>
      </c>
      <c r="C1187" t="s">
        <v>11636</v>
      </c>
      <c r="D1187" t="s">
        <v>9410</v>
      </c>
      <c r="E1187" t="s">
        <v>11637</v>
      </c>
      <c r="F1187" t="s">
        <v>9412</v>
      </c>
      <c r="G1187" t="s">
        <v>9413</v>
      </c>
      <c r="H1187" t="s">
        <v>11516</v>
      </c>
      <c r="I1187" t="s">
        <v>11638</v>
      </c>
      <c r="J1187" t="s">
        <v>3619</v>
      </c>
      <c r="K1187" t="s">
        <v>9416</v>
      </c>
      <c r="L1187" t="s">
        <v>9417</v>
      </c>
      <c r="M1187" t="s">
        <v>11624</v>
      </c>
      <c r="N1187" t="s">
        <v>11605</v>
      </c>
      <c r="O1187" t="s">
        <v>11639</v>
      </c>
      <c r="P1187" t="s">
        <v>11640</v>
      </c>
      <c r="Q1187" t="s">
        <v>9421</v>
      </c>
      <c r="R1187" t="s">
        <v>17</v>
      </c>
      <c r="S1187" t="s">
        <v>11635</v>
      </c>
      <c r="T1187" t="s">
        <v>11641</v>
      </c>
    </row>
    <row r="1188" spans="1:20">
      <c r="A1188" t="s">
        <v>3201</v>
      </c>
      <c r="B1188" t="s">
        <v>62</v>
      </c>
      <c r="C1188" t="s">
        <v>7906</v>
      </c>
      <c r="D1188" t="s">
        <v>445</v>
      </c>
      <c r="E1188" t="s">
        <v>11642</v>
      </c>
      <c r="F1188" t="s">
        <v>9412</v>
      </c>
      <c r="G1188" t="s">
        <v>9413</v>
      </c>
      <c r="H1188" t="s">
        <v>11516</v>
      </c>
      <c r="I1188" t="s">
        <v>9734</v>
      </c>
      <c r="J1188" t="s">
        <v>3161</v>
      </c>
      <c r="K1188" t="s">
        <v>9445</v>
      </c>
      <c r="L1188" t="s">
        <v>9417</v>
      </c>
      <c r="M1188" t="s">
        <v>11523</v>
      </c>
      <c r="N1188" t="s">
        <v>9426</v>
      </c>
      <c r="O1188" t="s">
        <v>9446</v>
      </c>
      <c r="P1188" t="s">
        <v>9524</v>
      </c>
      <c r="Q1188" t="s">
        <v>9421</v>
      </c>
      <c r="R1188" t="s">
        <v>24</v>
      </c>
      <c r="S1188" t="s">
        <v>3167</v>
      </c>
      <c r="T1188" t="s">
        <v>3169</v>
      </c>
    </row>
    <row r="1189" spans="1:20">
      <c r="A1189" t="s">
        <v>3201</v>
      </c>
      <c r="B1189" t="s">
        <v>62</v>
      </c>
      <c r="C1189" t="s">
        <v>7906</v>
      </c>
      <c r="D1189" t="s">
        <v>445</v>
      </c>
      <c r="E1189" t="s">
        <v>11642</v>
      </c>
      <c r="F1189" t="s">
        <v>9412</v>
      </c>
      <c r="G1189" t="s">
        <v>9413</v>
      </c>
      <c r="H1189" t="s">
        <v>11516</v>
      </c>
      <c r="I1189" t="s">
        <v>9734</v>
      </c>
      <c r="J1189" t="s">
        <v>3161</v>
      </c>
      <c r="K1189" t="s">
        <v>9416</v>
      </c>
      <c r="L1189" t="s">
        <v>9417</v>
      </c>
      <c r="M1189" t="s">
        <v>11523</v>
      </c>
      <c r="N1189" t="s">
        <v>11518</v>
      </c>
      <c r="O1189" t="s">
        <v>7908</v>
      </c>
      <c r="P1189" t="s">
        <v>11529</v>
      </c>
      <c r="Q1189" t="s">
        <v>9421</v>
      </c>
      <c r="R1189" t="s">
        <v>17</v>
      </c>
      <c r="S1189" t="s">
        <v>3201</v>
      </c>
      <c r="T1189" t="s">
        <v>3204</v>
      </c>
    </row>
    <row r="1190" spans="1:20">
      <c r="A1190" t="s">
        <v>3959</v>
      </c>
      <c r="B1190" t="s">
        <v>62</v>
      </c>
      <c r="C1190" t="s">
        <v>8791</v>
      </c>
      <c r="D1190" t="s">
        <v>9448</v>
      </c>
      <c r="E1190" t="s">
        <v>11643</v>
      </c>
      <c r="F1190" t="s">
        <v>9412</v>
      </c>
      <c r="G1190" t="s">
        <v>9413</v>
      </c>
      <c r="H1190" t="s">
        <v>11516</v>
      </c>
      <c r="I1190" t="s">
        <v>9518</v>
      </c>
      <c r="J1190" t="s">
        <v>3939</v>
      </c>
      <c r="K1190" t="s">
        <v>9416</v>
      </c>
      <c r="L1190" t="s">
        <v>9417</v>
      </c>
      <c r="M1190" t="s">
        <v>11535</v>
      </c>
      <c r="N1190" t="s">
        <v>11536</v>
      </c>
      <c r="O1190" t="s">
        <v>8789</v>
      </c>
      <c r="P1190" t="s">
        <v>9429</v>
      </c>
      <c r="Q1190" t="s">
        <v>9421</v>
      </c>
      <c r="R1190" t="s">
        <v>52</v>
      </c>
      <c r="S1190" t="s">
        <v>3959</v>
      </c>
      <c r="T1190" t="s">
        <v>3961</v>
      </c>
    </row>
    <row r="1191" spans="1:20">
      <c r="A1191" t="s">
        <v>3959</v>
      </c>
      <c r="B1191" t="s">
        <v>62</v>
      </c>
      <c r="C1191" t="s">
        <v>8791</v>
      </c>
      <c r="D1191" t="s">
        <v>9448</v>
      </c>
      <c r="E1191" t="s">
        <v>11643</v>
      </c>
      <c r="F1191" t="s">
        <v>9412</v>
      </c>
      <c r="G1191" t="s">
        <v>9413</v>
      </c>
      <c r="H1191" t="s">
        <v>11516</v>
      </c>
      <c r="I1191" t="s">
        <v>9518</v>
      </c>
      <c r="J1191" t="s">
        <v>3939</v>
      </c>
      <c r="K1191" t="s">
        <v>9416</v>
      </c>
      <c r="L1191" t="s">
        <v>9417</v>
      </c>
      <c r="M1191" t="s">
        <v>11535</v>
      </c>
      <c r="N1191" t="s">
        <v>9430</v>
      </c>
      <c r="O1191" t="s">
        <v>8793</v>
      </c>
      <c r="P1191" t="s">
        <v>9524</v>
      </c>
      <c r="Q1191" t="s">
        <v>9421</v>
      </c>
      <c r="R1191" t="s">
        <v>24</v>
      </c>
      <c r="S1191" t="s">
        <v>3963</v>
      </c>
      <c r="T1191" t="s">
        <v>3965</v>
      </c>
    </row>
    <row r="1192" spans="1:20">
      <c r="A1192" t="s">
        <v>3645</v>
      </c>
      <c r="B1192" t="s">
        <v>20</v>
      </c>
      <c r="C1192" t="s">
        <v>8425</v>
      </c>
      <c r="D1192" t="s">
        <v>9475</v>
      </c>
      <c r="E1192" t="s">
        <v>11644</v>
      </c>
      <c r="F1192" t="s">
        <v>9412</v>
      </c>
      <c r="G1192" t="s">
        <v>9413</v>
      </c>
      <c r="H1192" t="s">
        <v>11516</v>
      </c>
      <c r="I1192" t="s">
        <v>9441</v>
      </c>
      <c r="J1192" t="s">
        <v>3619</v>
      </c>
      <c r="K1192" t="s">
        <v>9416</v>
      </c>
      <c r="L1192" t="s">
        <v>9417</v>
      </c>
      <c r="M1192" t="s">
        <v>11645</v>
      </c>
      <c r="N1192" t="s">
        <v>11605</v>
      </c>
      <c r="O1192" t="s">
        <v>8423</v>
      </c>
      <c r="P1192" t="s">
        <v>9420</v>
      </c>
      <c r="Q1192" t="s">
        <v>9421</v>
      </c>
      <c r="R1192" t="s">
        <v>17</v>
      </c>
      <c r="S1192" t="s">
        <v>3645</v>
      </c>
      <c r="T1192" t="s">
        <v>3647</v>
      </c>
    </row>
    <row r="1193" spans="1:20">
      <c r="A1193" t="s">
        <v>3205</v>
      </c>
      <c r="B1193" t="s">
        <v>62</v>
      </c>
      <c r="C1193" t="s">
        <v>7912</v>
      </c>
      <c r="D1193" t="s">
        <v>9448</v>
      </c>
      <c r="E1193" t="s">
        <v>11646</v>
      </c>
      <c r="F1193" t="s">
        <v>9412</v>
      </c>
      <c r="G1193" t="s">
        <v>9413</v>
      </c>
      <c r="H1193" t="s">
        <v>11516</v>
      </c>
      <c r="I1193" t="s">
        <v>9441</v>
      </c>
      <c r="J1193" t="s">
        <v>3161</v>
      </c>
      <c r="K1193" t="s">
        <v>9416</v>
      </c>
      <c r="L1193" t="s">
        <v>9417</v>
      </c>
      <c r="M1193" t="s">
        <v>11533</v>
      </c>
      <c r="N1193" t="s">
        <v>11518</v>
      </c>
      <c r="O1193" t="s">
        <v>7910</v>
      </c>
      <c r="P1193" t="s">
        <v>9429</v>
      </c>
      <c r="Q1193" t="s">
        <v>9421</v>
      </c>
      <c r="R1193" t="s">
        <v>52</v>
      </c>
      <c r="S1193" t="s">
        <v>3205</v>
      </c>
      <c r="T1193" t="s">
        <v>3207</v>
      </c>
    </row>
    <row r="1194" spans="1:20">
      <c r="A1194" t="s">
        <v>3649</v>
      </c>
      <c r="B1194" t="s">
        <v>62</v>
      </c>
      <c r="C1194" t="s">
        <v>8429</v>
      </c>
      <c r="D1194" t="s">
        <v>9448</v>
      </c>
      <c r="E1194" t="s">
        <v>11647</v>
      </c>
      <c r="F1194" t="s">
        <v>9412</v>
      </c>
      <c r="G1194" t="s">
        <v>9413</v>
      </c>
      <c r="H1194" t="s">
        <v>11516</v>
      </c>
      <c r="I1194" t="s">
        <v>9886</v>
      </c>
      <c r="J1194" t="s">
        <v>3619</v>
      </c>
      <c r="K1194" t="s">
        <v>9416</v>
      </c>
      <c r="L1194" t="s">
        <v>9417</v>
      </c>
      <c r="M1194" t="s">
        <v>11634</v>
      </c>
      <c r="N1194" t="s">
        <v>11605</v>
      </c>
      <c r="O1194" t="s">
        <v>8427</v>
      </c>
      <c r="P1194" t="s">
        <v>9420</v>
      </c>
      <c r="Q1194" t="s">
        <v>9421</v>
      </c>
      <c r="R1194" t="s">
        <v>17</v>
      </c>
      <c r="S1194" t="s">
        <v>3649</v>
      </c>
      <c r="T1194" t="s">
        <v>3651</v>
      </c>
    </row>
    <row r="1195" spans="1:20">
      <c r="A1195" t="s">
        <v>3653</v>
      </c>
      <c r="B1195" t="s">
        <v>20</v>
      </c>
      <c r="C1195" t="s">
        <v>8433</v>
      </c>
      <c r="D1195" t="s">
        <v>9455</v>
      </c>
      <c r="E1195" t="s">
        <v>11648</v>
      </c>
      <c r="F1195" t="s">
        <v>9412</v>
      </c>
      <c r="G1195" t="s">
        <v>9413</v>
      </c>
      <c r="H1195" t="s">
        <v>11516</v>
      </c>
      <c r="I1195" t="s">
        <v>9830</v>
      </c>
      <c r="J1195" t="s">
        <v>3619</v>
      </c>
      <c r="K1195" t="s">
        <v>9416</v>
      </c>
      <c r="L1195" t="s">
        <v>9417</v>
      </c>
      <c r="M1195" t="s">
        <v>11649</v>
      </c>
      <c r="N1195" t="s">
        <v>11605</v>
      </c>
      <c r="O1195" t="s">
        <v>8431</v>
      </c>
      <c r="P1195" t="s">
        <v>9420</v>
      </c>
      <c r="Q1195" t="s">
        <v>9421</v>
      </c>
      <c r="R1195" t="s">
        <v>17</v>
      </c>
      <c r="S1195" t="s">
        <v>3653</v>
      </c>
      <c r="T1195" t="s">
        <v>3655</v>
      </c>
    </row>
    <row r="1196" spans="1:20">
      <c r="A1196" t="s">
        <v>3657</v>
      </c>
      <c r="B1196" t="s">
        <v>62</v>
      </c>
      <c r="C1196" t="s">
        <v>8437</v>
      </c>
      <c r="D1196" t="s">
        <v>9448</v>
      </c>
      <c r="E1196" t="s">
        <v>11650</v>
      </c>
      <c r="F1196" t="s">
        <v>9412</v>
      </c>
      <c r="G1196" t="s">
        <v>9413</v>
      </c>
      <c r="H1196" t="s">
        <v>11516</v>
      </c>
      <c r="I1196" t="s">
        <v>10177</v>
      </c>
      <c r="J1196" t="s">
        <v>3619</v>
      </c>
      <c r="K1196" t="s">
        <v>9416</v>
      </c>
      <c r="L1196" t="s">
        <v>9417</v>
      </c>
      <c r="M1196" t="s">
        <v>11651</v>
      </c>
      <c r="N1196" t="s">
        <v>11605</v>
      </c>
      <c r="O1196" t="s">
        <v>8435</v>
      </c>
      <c r="P1196" t="s">
        <v>9420</v>
      </c>
      <c r="Q1196" t="s">
        <v>9421</v>
      </c>
      <c r="R1196" t="s">
        <v>17</v>
      </c>
      <c r="S1196" t="s">
        <v>3657</v>
      </c>
      <c r="T1196" t="s">
        <v>3659</v>
      </c>
    </row>
    <row r="1197" spans="1:20">
      <c r="A1197" t="s">
        <v>3661</v>
      </c>
      <c r="B1197" t="s">
        <v>62</v>
      </c>
      <c r="C1197" t="s">
        <v>3664</v>
      </c>
      <c r="D1197" t="s">
        <v>9448</v>
      </c>
      <c r="E1197" t="s">
        <v>11652</v>
      </c>
      <c r="F1197" t="s">
        <v>9412</v>
      </c>
      <c r="G1197" t="s">
        <v>9413</v>
      </c>
      <c r="H1197" t="s">
        <v>3162</v>
      </c>
      <c r="I1197" t="s">
        <v>10877</v>
      </c>
      <c r="J1197" t="s">
        <v>3619</v>
      </c>
      <c r="K1197" t="s">
        <v>9416</v>
      </c>
      <c r="L1197" t="s">
        <v>9417</v>
      </c>
      <c r="M1197" t="s">
        <v>11624</v>
      </c>
      <c r="N1197" t="s">
        <v>11605</v>
      </c>
      <c r="O1197" t="s">
        <v>8439</v>
      </c>
      <c r="P1197" t="s">
        <v>9420</v>
      </c>
      <c r="Q1197" t="s">
        <v>9421</v>
      </c>
      <c r="R1197" t="s">
        <v>17</v>
      </c>
      <c r="S1197" t="s">
        <v>3661</v>
      </c>
      <c r="T1197" t="s">
        <v>3663</v>
      </c>
    </row>
    <row r="1198" spans="1:20">
      <c r="A1198" t="s">
        <v>3511</v>
      </c>
      <c r="B1198" t="s">
        <v>62</v>
      </c>
      <c r="C1198" t="s">
        <v>8278</v>
      </c>
      <c r="D1198" t="s">
        <v>9448</v>
      </c>
      <c r="E1198" t="s">
        <v>11653</v>
      </c>
      <c r="F1198" t="s">
        <v>9412</v>
      </c>
      <c r="G1198" t="s">
        <v>9413</v>
      </c>
      <c r="H1198" t="s">
        <v>11516</v>
      </c>
      <c r="I1198" t="s">
        <v>9518</v>
      </c>
      <c r="J1198" t="s">
        <v>3506</v>
      </c>
      <c r="K1198" t="s">
        <v>9416</v>
      </c>
      <c r="L1198" t="s">
        <v>9417</v>
      </c>
      <c r="M1198" t="s">
        <v>11654</v>
      </c>
      <c r="N1198" t="s">
        <v>11543</v>
      </c>
      <c r="O1198" t="s">
        <v>8276</v>
      </c>
      <c r="P1198" t="s">
        <v>9429</v>
      </c>
      <c r="Q1198" t="s">
        <v>9421</v>
      </c>
      <c r="R1198" t="s">
        <v>52</v>
      </c>
      <c r="S1198" t="s">
        <v>3511</v>
      </c>
      <c r="T1198" t="s">
        <v>3513</v>
      </c>
    </row>
    <row r="1199" spans="1:20">
      <c r="A1199" t="s">
        <v>3209</v>
      </c>
      <c r="B1199" t="s">
        <v>20</v>
      </c>
      <c r="C1199" t="s">
        <v>7916</v>
      </c>
      <c r="D1199" t="s">
        <v>9455</v>
      </c>
      <c r="E1199" t="s">
        <v>11655</v>
      </c>
      <c r="F1199" t="s">
        <v>9412</v>
      </c>
      <c r="G1199" t="s">
        <v>9413</v>
      </c>
      <c r="H1199" t="s">
        <v>11516</v>
      </c>
      <c r="I1199" t="s">
        <v>9751</v>
      </c>
      <c r="J1199" t="s">
        <v>3161</v>
      </c>
      <c r="K1199" t="s">
        <v>9416</v>
      </c>
      <c r="L1199" t="s">
        <v>9417</v>
      </c>
      <c r="M1199" t="s">
        <v>11656</v>
      </c>
      <c r="N1199" t="s">
        <v>11518</v>
      </c>
      <c r="O1199" t="s">
        <v>7914</v>
      </c>
      <c r="P1199" t="s">
        <v>9420</v>
      </c>
      <c r="Q1199" t="s">
        <v>9421</v>
      </c>
      <c r="R1199" t="s">
        <v>17</v>
      </c>
      <c r="S1199" t="s">
        <v>3209</v>
      </c>
      <c r="T1199" t="s">
        <v>3211</v>
      </c>
    </row>
    <row r="1200" spans="1:20">
      <c r="A1200" t="s">
        <v>4071</v>
      </c>
      <c r="B1200" t="s">
        <v>62</v>
      </c>
      <c r="C1200" t="s">
        <v>8912</v>
      </c>
      <c r="D1200" t="s">
        <v>9448</v>
      </c>
      <c r="E1200" t="s">
        <v>11657</v>
      </c>
      <c r="F1200" t="s">
        <v>9412</v>
      </c>
      <c r="G1200" t="s">
        <v>9413</v>
      </c>
      <c r="H1200" t="s">
        <v>11516</v>
      </c>
      <c r="I1200" t="s">
        <v>9826</v>
      </c>
      <c r="J1200" t="s">
        <v>4051</v>
      </c>
      <c r="K1200" t="s">
        <v>9416</v>
      </c>
      <c r="L1200" t="s">
        <v>9417</v>
      </c>
      <c r="M1200" t="s">
        <v>11658</v>
      </c>
      <c r="N1200" t="s">
        <v>11510</v>
      </c>
      <c r="O1200" t="s">
        <v>8910</v>
      </c>
      <c r="P1200" t="s">
        <v>9420</v>
      </c>
      <c r="Q1200" t="s">
        <v>9421</v>
      </c>
      <c r="R1200" t="s">
        <v>17</v>
      </c>
      <c r="S1200" t="s">
        <v>4071</v>
      </c>
      <c r="T1200" t="s">
        <v>4073</v>
      </c>
    </row>
    <row r="1201" spans="1:20">
      <c r="A1201" t="s">
        <v>4075</v>
      </c>
      <c r="B1201" t="s">
        <v>62</v>
      </c>
      <c r="C1201" t="s">
        <v>11659</v>
      </c>
      <c r="D1201" t="s">
        <v>9448</v>
      </c>
      <c r="E1201" t="s">
        <v>11660</v>
      </c>
      <c r="F1201" t="s">
        <v>9412</v>
      </c>
      <c r="G1201" t="s">
        <v>9413</v>
      </c>
      <c r="H1201" t="s">
        <v>11516</v>
      </c>
      <c r="I1201" t="s">
        <v>9826</v>
      </c>
      <c r="J1201" t="s">
        <v>4051</v>
      </c>
      <c r="K1201" t="s">
        <v>9416</v>
      </c>
      <c r="L1201" t="s">
        <v>9417</v>
      </c>
      <c r="M1201" t="s">
        <v>11526</v>
      </c>
      <c r="N1201" t="s">
        <v>11510</v>
      </c>
      <c r="O1201" t="s">
        <v>8916</v>
      </c>
      <c r="P1201" t="s">
        <v>9420</v>
      </c>
      <c r="Q1201" t="s">
        <v>9421</v>
      </c>
      <c r="R1201" t="s">
        <v>17</v>
      </c>
      <c r="S1201" t="s">
        <v>4075</v>
      </c>
      <c r="T1201" t="s">
        <v>4078</v>
      </c>
    </row>
    <row r="1202" spans="1:20">
      <c r="A1202" t="s">
        <v>4075</v>
      </c>
      <c r="B1202" t="s">
        <v>62</v>
      </c>
      <c r="C1202" t="s">
        <v>11659</v>
      </c>
      <c r="D1202" t="s">
        <v>9448</v>
      </c>
      <c r="E1202" t="s">
        <v>11660</v>
      </c>
      <c r="F1202" t="s">
        <v>9412</v>
      </c>
      <c r="G1202" t="s">
        <v>9413</v>
      </c>
      <c r="H1202" t="s">
        <v>11516</v>
      </c>
      <c r="I1202" t="s">
        <v>9826</v>
      </c>
      <c r="J1202" t="s">
        <v>4051</v>
      </c>
      <c r="K1202" t="s">
        <v>9445</v>
      </c>
      <c r="L1202" t="s">
        <v>9417</v>
      </c>
      <c r="M1202" t="s">
        <v>11526</v>
      </c>
      <c r="N1202" t="s">
        <v>9426</v>
      </c>
      <c r="O1202" t="s">
        <v>9446</v>
      </c>
      <c r="P1202" t="s">
        <v>9623</v>
      </c>
      <c r="Q1202" t="s">
        <v>9421</v>
      </c>
      <c r="R1202" t="s">
        <v>24</v>
      </c>
      <c r="S1202" t="s">
        <v>3544</v>
      </c>
      <c r="T1202" t="s">
        <v>3546</v>
      </c>
    </row>
    <row r="1203" spans="1:20">
      <c r="A1203" t="s">
        <v>3213</v>
      </c>
      <c r="B1203" t="s">
        <v>20</v>
      </c>
      <c r="C1203" t="s">
        <v>7920</v>
      </c>
      <c r="D1203" t="s">
        <v>9460</v>
      </c>
      <c r="E1203" t="s">
        <v>11661</v>
      </c>
      <c r="F1203" t="s">
        <v>9412</v>
      </c>
      <c r="G1203" t="s">
        <v>9413</v>
      </c>
      <c r="H1203" t="s">
        <v>11516</v>
      </c>
      <c r="I1203" t="s">
        <v>9792</v>
      </c>
      <c r="J1203" t="s">
        <v>3161</v>
      </c>
      <c r="K1203" t="s">
        <v>9416</v>
      </c>
      <c r="L1203" t="s">
        <v>9417</v>
      </c>
      <c r="M1203" t="s">
        <v>11656</v>
      </c>
      <c r="N1203" t="s">
        <v>11518</v>
      </c>
      <c r="O1203" t="s">
        <v>7918</v>
      </c>
      <c r="P1203" t="s">
        <v>9420</v>
      </c>
      <c r="Q1203" t="s">
        <v>9421</v>
      </c>
      <c r="R1203" t="s">
        <v>17</v>
      </c>
      <c r="S1203" t="s">
        <v>3213</v>
      </c>
      <c r="T1203" t="s">
        <v>3215</v>
      </c>
    </row>
    <row r="1204" spans="1:20">
      <c r="A1204" t="s">
        <v>3838</v>
      </c>
      <c r="B1204" t="s">
        <v>62</v>
      </c>
      <c r="C1204" t="s">
        <v>8632</v>
      </c>
      <c r="D1204" t="s">
        <v>9448</v>
      </c>
      <c r="E1204" t="s">
        <v>11662</v>
      </c>
      <c r="F1204" t="s">
        <v>9412</v>
      </c>
      <c r="G1204" t="s">
        <v>9413</v>
      </c>
      <c r="H1204" t="s">
        <v>11516</v>
      </c>
      <c r="I1204" t="s">
        <v>9781</v>
      </c>
      <c r="J1204" t="s">
        <v>3808</v>
      </c>
      <c r="K1204" t="s">
        <v>9416</v>
      </c>
      <c r="L1204" t="s">
        <v>9417</v>
      </c>
      <c r="M1204" t="s">
        <v>11572</v>
      </c>
      <c r="N1204" t="s">
        <v>11514</v>
      </c>
      <c r="O1204" t="s">
        <v>8630</v>
      </c>
      <c r="P1204" t="s">
        <v>9429</v>
      </c>
      <c r="Q1204" t="s">
        <v>9421</v>
      </c>
      <c r="R1204" t="s">
        <v>52</v>
      </c>
      <c r="S1204" t="s">
        <v>3838</v>
      </c>
      <c r="T1204" t="s">
        <v>3840</v>
      </c>
    </row>
    <row r="1205" spans="1:20">
      <c r="A1205" t="s">
        <v>3838</v>
      </c>
      <c r="B1205" t="s">
        <v>62</v>
      </c>
      <c r="C1205" t="s">
        <v>8632</v>
      </c>
      <c r="D1205" t="s">
        <v>9448</v>
      </c>
      <c r="E1205" t="s">
        <v>11662</v>
      </c>
      <c r="F1205" t="s">
        <v>9412</v>
      </c>
      <c r="G1205" t="s">
        <v>9413</v>
      </c>
      <c r="H1205" t="s">
        <v>11516</v>
      </c>
      <c r="I1205" t="s">
        <v>9781</v>
      </c>
      <c r="J1205" t="s">
        <v>3808</v>
      </c>
      <c r="K1205" t="s">
        <v>9445</v>
      </c>
      <c r="L1205" t="s">
        <v>9417</v>
      </c>
      <c r="M1205" t="s">
        <v>11572</v>
      </c>
      <c r="N1205" t="s">
        <v>9426</v>
      </c>
      <c r="O1205" t="s">
        <v>9446</v>
      </c>
      <c r="P1205" t="s">
        <v>9479</v>
      </c>
      <c r="Q1205" t="s">
        <v>9421</v>
      </c>
      <c r="R1205" t="s">
        <v>43</v>
      </c>
      <c r="S1205" t="s">
        <v>3498</v>
      </c>
      <c r="T1205" t="s">
        <v>3500</v>
      </c>
    </row>
    <row r="1206" spans="1:20">
      <c r="A1206" t="s">
        <v>3838</v>
      </c>
      <c r="B1206" t="s">
        <v>62</v>
      </c>
      <c r="C1206" t="s">
        <v>8632</v>
      </c>
      <c r="D1206" t="s">
        <v>9448</v>
      </c>
      <c r="E1206" t="s">
        <v>11662</v>
      </c>
      <c r="F1206" t="s">
        <v>9412</v>
      </c>
      <c r="G1206" t="s">
        <v>9413</v>
      </c>
      <c r="H1206" t="s">
        <v>11516</v>
      </c>
      <c r="I1206" t="s">
        <v>9781</v>
      </c>
      <c r="J1206" t="s">
        <v>3808</v>
      </c>
      <c r="K1206" t="s">
        <v>9416</v>
      </c>
      <c r="L1206" t="s">
        <v>9417</v>
      </c>
      <c r="M1206" t="s">
        <v>11572</v>
      </c>
      <c r="N1206" t="s">
        <v>11514</v>
      </c>
      <c r="O1206" t="s">
        <v>8634</v>
      </c>
      <c r="P1206" t="s">
        <v>9429</v>
      </c>
      <c r="Q1206" t="s">
        <v>9421</v>
      </c>
      <c r="R1206" t="s">
        <v>52</v>
      </c>
      <c r="S1206" t="s">
        <v>3579</v>
      </c>
      <c r="T1206" t="s">
        <v>3843</v>
      </c>
    </row>
    <row r="1207" spans="1:20">
      <c r="A1207" t="s">
        <v>3217</v>
      </c>
      <c r="B1207" t="s">
        <v>20</v>
      </c>
      <c r="C1207" t="s">
        <v>7926</v>
      </c>
      <c r="D1207" t="s">
        <v>9677</v>
      </c>
      <c r="E1207" t="s">
        <v>11663</v>
      </c>
      <c r="F1207" t="s">
        <v>9412</v>
      </c>
      <c r="G1207" t="s">
        <v>9413</v>
      </c>
      <c r="H1207" t="s">
        <v>11516</v>
      </c>
      <c r="I1207" t="s">
        <v>9830</v>
      </c>
      <c r="J1207" t="s">
        <v>3161</v>
      </c>
      <c r="K1207" t="s">
        <v>9416</v>
      </c>
      <c r="L1207" t="s">
        <v>9417</v>
      </c>
      <c r="M1207" t="s">
        <v>11523</v>
      </c>
      <c r="N1207" t="s">
        <v>11518</v>
      </c>
      <c r="O1207" t="s">
        <v>7924</v>
      </c>
      <c r="P1207" t="s">
        <v>9429</v>
      </c>
      <c r="Q1207" t="s">
        <v>9421</v>
      </c>
      <c r="R1207" t="s">
        <v>52</v>
      </c>
      <c r="S1207" t="s">
        <v>3217</v>
      </c>
      <c r="T1207" t="s">
        <v>3219</v>
      </c>
    </row>
    <row r="1208" spans="1:20">
      <c r="A1208" t="s">
        <v>3515</v>
      </c>
      <c r="B1208" t="s">
        <v>62</v>
      </c>
      <c r="C1208" t="s">
        <v>3518</v>
      </c>
      <c r="D1208" t="s">
        <v>9448</v>
      </c>
      <c r="E1208" t="s">
        <v>11664</v>
      </c>
      <c r="F1208" t="s">
        <v>9412</v>
      </c>
      <c r="G1208" t="s">
        <v>9413</v>
      </c>
      <c r="H1208" t="s">
        <v>3162</v>
      </c>
      <c r="I1208" t="s">
        <v>10261</v>
      </c>
      <c r="J1208" t="s">
        <v>3506</v>
      </c>
      <c r="K1208" t="s">
        <v>9416</v>
      </c>
      <c r="L1208" t="s">
        <v>9417</v>
      </c>
      <c r="M1208" t="s">
        <v>11615</v>
      </c>
      <c r="N1208" t="s">
        <v>11543</v>
      </c>
      <c r="O1208" t="s">
        <v>8280</v>
      </c>
      <c r="P1208" t="s">
        <v>9429</v>
      </c>
      <c r="Q1208" t="s">
        <v>9421</v>
      </c>
      <c r="R1208" t="s">
        <v>52</v>
      </c>
      <c r="S1208" t="s">
        <v>3515</v>
      </c>
      <c r="T1208" t="s">
        <v>3517</v>
      </c>
    </row>
    <row r="1209" spans="1:20">
      <c r="A1209" t="s">
        <v>3238</v>
      </c>
      <c r="B1209" t="s">
        <v>9409</v>
      </c>
      <c r="C1209" t="s">
        <v>11665</v>
      </c>
      <c r="D1209" t="s">
        <v>9410</v>
      </c>
      <c r="E1209" t="s">
        <v>11666</v>
      </c>
      <c r="F1209" t="s">
        <v>9412</v>
      </c>
      <c r="G1209" t="s">
        <v>9413</v>
      </c>
      <c r="H1209" t="s">
        <v>11516</v>
      </c>
      <c r="I1209" t="s">
        <v>10434</v>
      </c>
      <c r="J1209" t="s">
        <v>3161</v>
      </c>
      <c r="K1209" t="s">
        <v>9416</v>
      </c>
      <c r="L1209" t="s">
        <v>9417</v>
      </c>
      <c r="M1209" t="s">
        <v>11656</v>
      </c>
      <c r="N1209" t="s">
        <v>9426</v>
      </c>
      <c r="O1209" t="s">
        <v>7922</v>
      </c>
      <c r="P1209" t="s">
        <v>9623</v>
      </c>
      <c r="Q1209" t="s">
        <v>9421</v>
      </c>
      <c r="R1209" t="s">
        <v>24</v>
      </c>
      <c r="S1209" t="s">
        <v>3238</v>
      </c>
      <c r="T1209" t="s">
        <v>3240</v>
      </c>
    </row>
    <row r="1210" spans="1:20">
      <c r="A1210" t="s">
        <v>4079</v>
      </c>
      <c r="B1210" t="s">
        <v>20</v>
      </c>
      <c r="C1210" t="s">
        <v>4082</v>
      </c>
      <c r="D1210" t="s">
        <v>9475</v>
      </c>
      <c r="E1210" t="s">
        <v>11667</v>
      </c>
      <c r="F1210" t="s">
        <v>9412</v>
      </c>
      <c r="G1210" t="s">
        <v>9413</v>
      </c>
      <c r="H1210" t="s">
        <v>3162</v>
      </c>
      <c r="I1210" t="s">
        <v>9441</v>
      </c>
      <c r="J1210" t="s">
        <v>4051</v>
      </c>
      <c r="K1210" t="s">
        <v>9445</v>
      </c>
      <c r="L1210" t="s">
        <v>9417</v>
      </c>
      <c r="M1210" t="s">
        <v>11668</v>
      </c>
      <c r="N1210" t="s">
        <v>9426</v>
      </c>
      <c r="O1210" t="s">
        <v>9446</v>
      </c>
      <c r="P1210" t="s">
        <v>9479</v>
      </c>
      <c r="Q1210" t="s">
        <v>9421</v>
      </c>
      <c r="R1210" t="s">
        <v>43</v>
      </c>
      <c r="S1210" t="s">
        <v>3301</v>
      </c>
      <c r="T1210" t="s">
        <v>3303</v>
      </c>
    </row>
    <row r="1211" spans="1:20">
      <c r="A1211" t="s">
        <v>4079</v>
      </c>
      <c r="B1211" t="s">
        <v>20</v>
      </c>
      <c r="C1211" t="s">
        <v>4082</v>
      </c>
      <c r="D1211" t="s">
        <v>9475</v>
      </c>
      <c r="E1211" t="s">
        <v>11667</v>
      </c>
      <c r="F1211" t="s">
        <v>9412</v>
      </c>
      <c r="G1211" t="s">
        <v>9413</v>
      </c>
      <c r="H1211" t="s">
        <v>3162</v>
      </c>
      <c r="I1211" t="s">
        <v>9441</v>
      </c>
      <c r="J1211" t="s">
        <v>4051</v>
      </c>
      <c r="K1211" t="s">
        <v>9416</v>
      </c>
      <c r="L1211" t="s">
        <v>9417</v>
      </c>
      <c r="M1211" t="s">
        <v>11668</v>
      </c>
      <c r="N1211" t="s">
        <v>11510</v>
      </c>
      <c r="O1211" t="s">
        <v>8917</v>
      </c>
      <c r="P1211" t="s">
        <v>9420</v>
      </c>
      <c r="Q1211" t="s">
        <v>9421</v>
      </c>
      <c r="R1211" t="s">
        <v>17</v>
      </c>
      <c r="S1211" t="s">
        <v>4079</v>
      </c>
      <c r="T1211" t="s">
        <v>4081</v>
      </c>
    </row>
    <row r="1212" spans="1:20">
      <c r="A1212" t="s">
        <v>3426</v>
      </c>
      <c r="B1212" t="s">
        <v>20</v>
      </c>
      <c r="C1212" t="s">
        <v>8142</v>
      </c>
      <c r="D1212" t="s">
        <v>9460</v>
      </c>
      <c r="E1212" t="s">
        <v>11669</v>
      </c>
      <c r="F1212" t="s">
        <v>9412</v>
      </c>
      <c r="G1212" t="s">
        <v>9413</v>
      </c>
      <c r="H1212" t="s">
        <v>11516</v>
      </c>
      <c r="I1212" t="s">
        <v>10228</v>
      </c>
      <c r="J1212" t="s">
        <v>3399</v>
      </c>
      <c r="K1212" t="s">
        <v>9416</v>
      </c>
      <c r="L1212" t="s">
        <v>9417</v>
      </c>
      <c r="M1212" t="s">
        <v>11670</v>
      </c>
      <c r="N1212" t="s">
        <v>11550</v>
      </c>
      <c r="O1212" t="s">
        <v>8140</v>
      </c>
      <c r="P1212" t="s">
        <v>9420</v>
      </c>
      <c r="Q1212" t="s">
        <v>9421</v>
      </c>
      <c r="R1212" t="s">
        <v>17</v>
      </c>
      <c r="S1212" t="s">
        <v>3426</v>
      </c>
      <c r="T1212" t="s">
        <v>3428</v>
      </c>
    </row>
    <row r="1213" spans="1:20">
      <c r="A1213" t="s">
        <v>3844</v>
      </c>
      <c r="B1213" t="s">
        <v>20</v>
      </c>
      <c r="C1213" t="s">
        <v>11671</v>
      </c>
      <c r="D1213" t="s">
        <v>9764</v>
      </c>
      <c r="E1213" t="s">
        <v>11672</v>
      </c>
      <c r="F1213" t="s">
        <v>9412</v>
      </c>
      <c r="G1213" t="s">
        <v>9413</v>
      </c>
      <c r="H1213" t="s">
        <v>11673</v>
      </c>
      <c r="I1213" t="s">
        <v>9729</v>
      </c>
      <c r="J1213" t="s">
        <v>3808</v>
      </c>
      <c r="K1213" t="s">
        <v>9416</v>
      </c>
      <c r="L1213" t="s">
        <v>9417</v>
      </c>
      <c r="M1213" t="s">
        <v>11572</v>
      </c>
      <c r="N1213" t="s">
        <v>11514</v>
      </c>
      <c r="O1213" t="s">
        <v>8636</v>
      </c>
      <c r="P1213" t="s">
        <v>9420</v>
      </c>
      <c r="Q1213" t="s">
        <v>9421</v>
      </c>
      <c r="R1213" t="s">
        <v>17</v>
      </c>
      <c r="S1213" t="s">
        <v>3844</v>
      </c>
      <c r="T1213" t="s">
        <v>3846</v>
      </c>
    </row>
    <row r="1214" spans="1:20">
      <c r="A1214" t="s">
        <v>7928</v>
      </c>
      <c r="B1214" t="s">
        <v>9409</v>
      </c>
      <c r="C1214" t="s">
        <v>7931</v>
      </c>
      <c r="D1214" t="s">
        <v>9410</v>
      </c>
      <c r="E1214" t="s">
        <v>11674</v>
      </c>
      <c r="F1214" t="s">
        <v>9412</v>
      </c>
      <c r="G1214" t="s">
        <v>9413</v>
      </c>
      <c r="H1214" t="s">
        <v>11516</v>
      </c>
      <c r="I1214" t="s">
        <v>9787</v>
      </c>
      <c r="J1214" t="s">
        <v>3161</v>
      </c>
      <c r="K1214" t="s">
        <v>9416</v>
      </c>
      <c r="L1214" t="s">
        <v>9417</v>
      </c>
      <c r="M1214" t="s">
        <v>11656</v>
      </c>
      <c r="N1214" t="s">
        <v>11518</v>
      </c>
      <c r="O1214" t="s">
        <v>7929</v>
      </c>
      <c r="P1214" t="s">
        <v>9420</v>
      </c>
      <c r="Q1214" t="s">
        <v>9421</v>
      </c>
      <c r="R1214" t="s">
        <v>17</v>
      </c>
      <c r="S1214" t="s">
        <v>7928</v>
      </c>
      <c r="T1214" t="s">
        <v>11675</v>
      </c>
    </row>
    <row r="1215" spans="1:20">
      <c r="A1215" t="s">
        <v>3848</v>
      </c>
      <c r="B1215" t="s">
        <v>62</v>
      </c>
      <c r="C1215" t="s">
        <v>8642</v>
      </c>
      <c r="D1215" t="s">
        <v>9448</v>
      </c>
      <c r="E1215" t="s">
        <v>11676</v>
      </c>
      <c r="F1215" t="s">
        <v>9412</v>
      </c>
      <c r="G1215" t="s">
        <v>9413</v>
      </c>
      <c r="H1215" t="s">
        <v>11516</v>
      </c>
      <c r="I1215" t="s">
        <v>9792</v>
      </c>
      <c r="J1215" t="s">
        <v>3808</v>
      </c>
      <c r="K1215" t="s">
        <v>9416</v>
      </c>
      <c r="L1215" t="s">
        <v>9417</v>
      </c>
      <c r="M1215" t="s">
        <v>11622</v>
      </c>
      <c r="N1215" t="s">
        <v>11514</v>
      </c>
      <c r="O1215" t="s">
        <v>8640</v>
      </c>
      <c r="P1215" t="s">
        <v>9459</v>
      </c>
      <c r="Q1215" t="s">
        <v>9421</v>
      </c>
      <c r="R1215" t="s">
        <v>17</v>
      </c>
      <c r="S1215" t="s">
        <v>3848</v>
      </c>
      <c r="T1215" t="s">
        <v>3850</v>
      </c>
    </row>
    <row r="1216" spans="1:20">
      <c r="A1216" t="s">
        <v>11677</v>
      </c>
      <c r="B1216" t="s">
        <v>9409</v>
      </c>
      <c r="C1216" t="s">
        <v>11678</v>
      </c>
      <c r="D1216" t="s">
        <v>9410</v>
      </c>
      <c r="E1216" t="s">
        <v>11679</v>
      </c>
      <c r="F1216" t="s">
        <v>9412</v>
      </c>
      <c r="G1216" t="s">
        <v>9413</v>
      </c>
      <c r="H1216" t="s">
        <v>11516</v>
      </c>
      <c r="I1216" t="s">
        <v>9787</v>
      </c>
      <c r="J1216" t="s">
        <v>4051</v>
      </c>
      <c r="K1216" t="s">
        <v>9416</v>
      </c>
      <c r="L1216" t="s">
        <v>9417</v>
      </c>
      <c r="M1216" t="s">
        <v>11680</v>
      </c>
      <c r="N1216" t="s">
        <v>11510</v>
      </c>
      <c r="O1216" t="s">
        <v>11681</v>
      </c>
      <c r="P1216" t="s">
        <v>9420</v>
      </c>
      <c r="Q1216" t="s">
        <v>9421</v>
      </c>
      <c r="R1216" t="s">
        <v>17</v>
      </c>
      <c r="S1216" t="s">
        <v>11677</v>
      </c>
      <c r="T1216" t="s">
        <v>11682</v>
      </c>
    </row>
    <row r="1217" spans="1:20">
      <c r="A1217" t="s">
        <v>8921</v>
      </c>
      <c r="B1217" t="s">
        <v>9409</v>
      </c>
      <c r="C1217" t="s">
        <v>8924</v>
      </c>
      <c r="D1217" t="s">
        <v>9410</v>
      </c>
      <c r="E1217" t="s">
        <v>11683</v>
      </c>
      <c r="F1217" t="s">
        <v>9412</v>
      </c>
      <c r="G1217" t="s">
        <v>9413</v>
      </c>
      <c r="H1217" t="s">
        <v>11516</v>
      </c>
      <c r="I1217" t="s">
        <v>9751</v>
      </c>
      <c r="J1217" t="s">
        <v>4051</v>
      </c>
      <c r="K1217" t="s">
        <v>9416</v>
      </c>
      <c r="L1217" t="s">
        <v>9417</v>
      </c>
      <c r="M1217" t="s">
        <v>11680</v>
      </c>
      <c r="N1217" t="s">
        <v>11510</v>
      </c>
      <c r="O1217" t="s">
        <v>8922</v>
      </c>
      <c r="P1217" t="s">
        <v>9420</v>
      </c>
      <c r="Q1217" t="s">
        <v>9421</v>
      </c>
      <c r="R1217" t="s">
        <v>17</v>
      </c>
      <c r="S1217" t="s">
        <v>8921</v>
      </c>
      <c r="T1217" t="s">
        <v>11684</v>
      </c>
    </row>
    <row r="1218" spans="1:20">
      <c r="A1218" t="s">
        <v>8644</v>
      </c>
      <c r="B1218" t="s">
        <v>9409</v>
      </c>
      <c r="C1218" t="s">
        <v>8647</v>
      </c>
      <c r="D1218" t="s">
        <v>9410</v>
      </c>
      <c r="E1218" t="s">
        <v>11685</v>
      </c>
      <c r="F1218" t="s">
        <v>9412</v>
      </c>
      <c r="G1218" t="s">
        <v>9413</v>
      </c>
      <c r="H1218" t="s">
        <v>11516</v>
      </c>
      <c r="I1218" t="s">
        <v>9736</v>
      </c>
      <c r="J1218" t="s">
        <v>3808</v>
      </c>
      <c r="K1218" t="s">
        <v>9416</v>
      </c>
      <c r="L1218" t="s">
        <v>9417</v>
      </c>
      <c r="M1218" t="s">
        <v>11686</v>
      </c>
      <c r="N1218" t="s">
        <v>11514</v>
      </c>
      <c r="O1218" t="s">
        <v>8645</v>
      </c>
      <c r="P1218" t="s">
        <v>9420</v>
      </c>
      <c r="Q1218" t="s">
        <v>9421</v>
      </c>
      <c r="R1218" t="s">
        <v>17</v>
      </c>
      <c r="S1218" t="s">
        <v>8644</v>
      </c>
      <c r="T1218" t="s">
        <v>8646</v>
      </c>
    </row>
    <row r="1219" spans="1:20">
      <c r="A1219" t="s">
        <v>3221</v>
      </c>
      <c r="B1219" t="s">
        <v>62</v>
      </c>
      <c r="C1219" t="s">
        <v>7935</v>
      </c>
      <c r="D1219" t="s">
        <v>9448</v>
      </c>
      <c r="E1219" t="s">
        <v>11687</v>
      </c>
      <c r="F1219" t="s">
        <v>9412</v>
      </c>
      <c r="G1219" t="s">
        <v>9413</v>
      </c>
      <c r="H1219" t="s">
        <v>11516</v>
      </c>
      <c r="I1219" t="s">
        <v>9792</v>
      </c>
      <c r="J1219" t="s">
        <v>3161</v>
      </c>
      <c r="K1219" t="s">
        <v>9416</v>
      </c>
      <c r="L1219" t="s">
        <v>9417</v>
      </c>
      <c r="M1219" t="s">
        <v>11620</v>
      </c>
      <c r="N1219" t="s">
        <v>11518</v>
      </c>
      <c r="O1219" t="s">
        <v>7933</v>
      </c>
      <c r="P1219" t="s">
        <v>9623</v>
      </c>
      <c r="Q1219" t="s">
        <v>9421</v>
      </c>
      <c r="R1219" t="s">
        <v>24</v>
      </c>
      <c r="S1219" t="s">
        <v>3221</v>
      </c>
      <c r="T1219" t="s">
        <v>3223</v>
      </c>
    </row>
    <row r="1220" spans="1:20">
      <c r="A1220" t="s">
        <v>3225</v>
      </c>
      <c r="B1220" t="s">
        <v>20</v>
      </c>
      <c r="C1220" t="s">
        <v>7939</v>
      </c>
      <c r="D1220" t="s">
        <v>10052</v>
      </c>
      <c r="E1220" t="s">
        <v>11688</v>
      </c>
      <c r="F1220" t="s">
        <v>9412</v>
      </c>
      <c r="G1220" t="s">
        <v>9413</v>
      </c>
      <c r="H1220" t="s">
        <v>11516</v>
      </c>
      <c r="I1220" t="s">
        <v>9751</v>
      </c>
      <c r="J1220" t="s">
        <v>3161</v>
      </c>
      <c r="K1220" t="s">
        <v>9416</v>
      </c>
      <c r="L1220" t="s">
        <v>9417</v>
      </c>
      <c r="M1220" t="s">
        <v>11656</v>
      </c>
      <c r="N1220" t="s">
        <v>11518</v>
      </c>
      <c r="O1220" t="s">
        <v>7937</v>
      </c>
      <c r="P1220" t="s">
        <v>9420</v>
      </c>
      <c r="Q1220" t="s">
        <v>9421</v>
      </c>
      <c r="R1220" t="s">
        <v>17</v>
      </c>
      <c r="S1220" t="s">
        <v>3225</v>
      </c>
      <c r="T1220" t="s">
        <v>3227</v>
      </c>
    </row>
    <row r="1221" spans="1:20">
      <c r="A1221" t="s">
        <v>3229</v>
      </c>
      <c r="B1221" t="s">
        <v>62</v>
      </c>
      <c r="C1221" t="s">
        <v>7943</v>
      </c>
      <c r="D1221" t="s">
        <v>9448</v>
      </c>
      <c r="E1221" t="s">
        <v>11689</v>
      </c>
      <c r="F1221" t="s">
        <v>9412</v>
      </c>
      <c r="G1221" t="s">
        <v>9413</v>
      </c>
      <c r="H1221" t="s">
        <v>11516</v>
      </c>
      <c r="I1221" t="s">
        <v>9751</v>
      </c>
      <c r="J1221" t="s">
        <v>3161</v>
      </c>
      <c r="K1221" t="s">
        <v>9416</v>
      </c>
      <c r="L1221" t="s">
        <v>9417</v>
      </c>
      <c r="M1221" t="s">
        <v>11517</v>
      </c>
      <c r="N1221" t="s">
        <v>11518</v>
      </c>
      <c r="O1221" t="s">
        <v>7941</v>
      </c>
      <c r="P1221" t="s">
        <v>9459</v>
      </c>
      <c r="Q1221" t="s">
        <v>9421</v>
      </c>
      <c r="R1221" t="s">
        <v>17</v>
      </c>
      <c r="S1221" t="s">
        <v>3229</v>
      </c>
      <c r="T1221" t="s">
        <v>3231</v>
      </c>
    </row>
    <row r="1222" spans="1:20">
      <c r="A1222" t="s">
        <v>11690</v>
      </c>
      <c r="B1222" t="s">
        <v>9409</v>
      </c>
      <c r="C1222" t="s">
        <v>11691</v>
      </c>
      <c r="D1222" t="s">
        <v>9410</v>
      </c>
      <c r="E1222" t="s">
        <v>11692</v>
      </c>
      <c r="F1222" t="s">
        <v>9412</v>
      </c>
      <c r="G1222" t="s">
        <v>9413</v>
      </c>
      <c r="H1222" t="s">
        <v>11516</v>
      </c>
      <c r="I1222" t="s">
        <v>9798</v>
      </c>
      <c r="J1222" t="s">
        <v>3619</v>
      </c>
      <c r="K1222" t="s">
        <v>9416</v>
      </c>
      <c r="L1222" t="s">
        <v>9417</v>
      </c>
      <c r="M1222" t="s">
        <v>11624</v>
      </c>
      <c r="N1222" t="s">
        <v>11605</v>
      </c>
      <c r="O1222" t="s">
        <v>11693</v>
      </c>
      <c r="P1222" t="s">
        <v>9420</v>
      </c>
      <c r="Q1222" t="s">
        <v>9421</v>
      </c>
      <c r="R1222" t="s">
        <v>17</v>
      </c>
      <c r="S1222" t="s">
        <v>11690</v>
      </c>
      <c r="T1222" t="s">
        <v>11694</v>
      </c>
    </row>
    <row r="1223" spans="1:20">
      <c r="A1223" t="s">
        <v>3233</v>
      </c>
      <c r="B1223" t="s">
        <v>62</v>
      </c>
      <c r="C1223" t="s">
        <v>7947</v>
      </c>
      <c r="D1223" t="s">
        <v>9448</v>
      </c>
      <c r="E1223" t="s">
        <v>11695</v>
      </c>
      <c r="F1223" t="s">
        <v>9412</v>
      </c>
      <c r="G1223" t="s">
        <v>9413</v>
      </c>
      <c r="H1223" t="s">
        <v>11516</v>
      </c>
      <c r="I1223" t="s">
        <v>9637</v>
      </c>
      <c r="J1223" t="s">
        <v>3161</v>
      </c>
      <c r="K1223" t="s">
        <v>9416</v>
      </c>
      <c r="L1223" t="s">
        <v>9417</v>
      </c>
      <c r="M1223" t="s">
        <v>11656</v>
      </c>
      <c r="N1223" t="s">
        <v>11518</v>
      </c>
      <c r="O1223" t="s">
        <v>7945</v>
      </c>
      <c r="P1223" t="s">
        <v>9420</v>
      </c>
      <c r="Q1223" t="s">
        <v>9421</v>
      </c>
      <c r="R1223" t="s">
        <v>17</v>
      </c>
      <c r="S1223" t="s">
        <v>3233</v>
      </c>
      <c r="T1223" t="s">
        <v>3235</v>
      </c>
    </row>
    <row r="1224" spans="1:20">
      <c r="A1224" t="s">
        <v>3237</v>
      </c>
      <c r="B1224" t="s">
        <v>20</v>
      </c>
      <c r="C1224" t="s">
        <v>7949</v>
      </c>
      <c r="D1224" t="s">
        <v>9677</v>
      </c>
      <c r="E1224" t="s">
        <v>11696</v>
      </c>
      <c r="F1224" t="s">
        <v>9412</v>
      </c>
      <c r="G1224" t="s">
        <v>9413</v>
      </c>
      <c r="H1224" t="s">
        <v>11516</v>
      </c>
      <c r="I1224" t="s">
        <v>11285</v>
      </c>
      <c r="J1224" t="s">
        <v>3161</v>
      </c>
      <c r="K1224" t="s">
        <v>9416</v>
      </c>
      <c r="L1224" t="s">
        <v>9417</v>
      </c>
      <c r="M1224" t="s">
        <v>11656</v>
      </c>
      <c r="N1224" t="s">
        <v>11518</v>
      </c>
      <c r="O1224" t="s">
        <v>7951</v>
      </c>
      <c r="P1224" t="s">
        <v>9429</v>
      </c>
      <c r="Q1224" t="s">
        <v>9421</v>
      </c>
      <c r="R1224" t="s">
        <v>52</v>
      </c>
      <c r="S1224" t="s">
        <v>3237</v>
      </c>
      <c r="T1224" t="s">
        <v>3243</v>
      </c>
    </row>
    <row r="1225" spans="1:20">
      <c r="A1225" t="s">
        <v>3237</v>
      </c>
      <c r="B1225" t="s">
        <v>20</v>
      </c>
      <c r="C1225" t="s">
        <v>7949</v>
      </c>
      <c r="D1225" t="s">
        <v>9677</v>
      </c>
      <c r="E1225" t="s">
        <v>11696</v>
      </c>
      <c r="F1225" t="s">
        <v>9412</v>
      </c>
      <c r="G1225" t="s">
        <v>9413</v>
      </c>
      <c r="H1225" t="s">
        <v>11516</v>
      </c>
      <c r="I1225" t="s">
        <v>11285</v>
      </c>
      <c r="J1225" t="s">
        <v>3161</v>
      </c>
      <c r="K1225" t="s">
        <v>9445</v>
      </c>
      <c r="L1225" t="s">
        <v>9417</v>
      </c>
      <c r="M1225" t="s">
        <v>11656</v>
      </c>
      <c r="N1225" t="s">
        <v>9426</v>
      </c>
      <c r="O1225" t="s">
        <v>9446</v>
      </c>
      <c r="P1225" t="s">
        <v>9623</v>
      </c>
      <c r="Q1225" t="s">
        <v>9421</v>
      </c>
      <c r="R1225" t="s">
        <v>24</v>
      </c>
      <c r="S1225" t="s">
        <v>3238</v>
      </c>
      <c r="T1225" t="s">
        <v>3240</v>
      </c>
    </row>
    <row r="1226" spans="1:20">
      <c r="A1226" t="s">
        <v>3519</v>
      </c>
      <c r="B1226" t="s">
        <v>20</v>
      </c>
      <c r="C1226" t="s">
        <v>3522</v>
      </c>
      <c r="D1226" t="s">
        <v>9460</v>
      </c>
      <c r="E1226" t="s">
        <v>11697</v>
      </c>
      <c r="F1226" t="s">
        <v>9412</v>
      </c>
      <c r="G1226" t="s">
        <v>9413</v>
      </c>
      <c r="H1226" t="s">
        <v>3162</v>
      </c>
      <c r="I1226" t="s">
        <v>9819</v>
      </c>
      <c r="J1226" t="s">
        <v>3506</v>
      </c>
      <c r="K1226" t="s">
        <v>9416</v>
      </c>
      <c r="L1226" t="s">
        <v>9417</v>
      </c>
      <c r="M1226" t="s">
        <v>11698</v>
      </c>
      <c r="N1226" t="s">
        <v>11543</v>
      </c>
      <c r="O1226" t="s">
        <v>8284</v>
      </c>
      <c r="P1226" t="s">
        <v>9420</v>
      </c>
      <c r="Q1226" t="s">
        <v>9421</v>
      </c>
      <c r="R1226" t="s">
        <v>17</v>
      </c>
      <c r="S1226" t="s">
        <v>3519</v>
      </c>
      <c r="T1226" t="s">
        <v>3521</v>
      </c>
    </row>
    <row r="1227" spans="1:20">
      <c r="A1227" t="s">
        <v>3952</v>
      </c>
      <c r="B1227" t="s">
        <v>9409</v>
      </c>
      <c r="C1227" t="s">
        <v>8797</v>
      </c>
      <c r="D1227" t="s">
        <v>9410</v>
      </c>
      <c r="E1227" t="s">
        <v>11699</v>
      </c>
      <c r="F1227" t="s">
        <v>9412</v>
      </c>
      <c r="G1227" t="s">
        <v>9413</v>
      </c>
      <c r="H1227" t="s">
        <v>11516</v>
      </c>
      <c r="I1227" t="s">
        <v>9637</v>
      </c>
      <c r="J1227" t="s">
        <v>3939</v>
      </c>
      <c r="K1227" t="s">
        <v>9416</v>
      </c>
      <c r="L1227" t="s">
        <v>9417</v>
      </c>
      <c r="M1227" t="s">
        <v>11686</v>
      </c>
      <c r="N1227" t="s">
        <v>11536</v>
      </c>
      <c r="O1227" t="s">
        <v>8795</v>
      </c>
      <c r="P1227" t="s">
        <v>9459</v>
      </c>
      <c r="Q1227" t="s">
        <v>9421</v>
      </c>
      <c r="R1227" t="s">
        <v>17</v>
      </c>
      <c r="S1227" t="s">
        <v>3952</v>
      </c>
      <c r="T1227" t="s">
        <v>3954</v>
      </c>
    </row>
    <row r="1228" spans="1:20">
      <c r="A1228" t="s">
        <v>8443</v>
      </c>
      <c r="B1228" t="s">
        <v>9409</v>
      </c>
      <c r="C1228" t="s">
        <v>11700</v>
      </c>
      <c r="D1228" t="s">
        <v>9410</v>
      </c>
      <c r="E1228" t="s">
        <v>11701</v>
      </c>
      <c r="F1228" t="s">
        <v>9412</v>
      </c>
      <c r="G1228" t="s">
        <v>9413</v>
      </c>
      <c r="H1228" t="s">
        <v>3162</v>
      </c>
      <c r="I1228" t="s">
        <v>9637</v>
      </c>
      <c r="J1228" t="s">
        <v>3619</v>
      </c>
      <c r="K1228" t="s">
        <v>9416</v>
      </c>
      <c r="L1228" t="s">
        <v>9417</v>
      </c>
      <c r="M1228" t="s">
        <v>11702</v>
      </c>
      <c r="N1228" t="s">
        <v>11605</v>
      </c>
      <c r="O1228" t="s">
        <v>8444</v>
      </c>
      <c r="P1228" t="s">
        <v>9420</v>
      </c>
      <c r="Q1228" t="s">
        <v>9421</v>
      </c>
      <c r="R1228" t="s">
        <v>17</v>
      </c>
      <c r="S1228" t="s">
        <v>8443</v>
      </c>
      <c r="T1228" t="s">
        <v>8445</v>
      </c>
    </row>
    <row r="1229" spans="1:20">
      <c r="A1229" t="s">
        <v>3665</v>
      </c>
      <c r="B1229" t="s">
        <v>20</v>
      </c>
      <c r="C1229" t="s">
        <v>8450</v>
      </c>
      <c r="D1229" t="s">
        <v>9455</v>
      </c>
      <c r="E1229" t="s">
        <v>11703</v>
      </c>
      <c r="F1229" t="s">
        <v>9412</v>
      </c>
      <c r="G1229" t="s">
        <v>9413</v>
      </c>
      <c r="H1229" t="s">
        <v>11516</v>
      </c>
      <c r="I1229" t="s">
        <v>9502</v>
      </c>
      <c r="J1229" t="s">
        <v>3619</v>
      </c>
      <c r="K1229" t="s">
        <v>9416</v>
      </c>
      <c r="L1229" t="s">
        <v>9417</v>
      </c>
      <c r="M1229" t="s">
        <v>11645</v>
      </c>
      <c r="N1229" t="s">
        <v>11605</v>
      </c>
      <c r="O1229" t="s">
        <v>8448</v>
      </c>
      <c r="P1229" t="s">
        <v>9420</v>
      </c>
      <c r="Q1229" t="s">
        <v>9421</v>
      </c>
      <c r="R1229" t="s">
        <v>17</v>
      </c>
      <c r="S1229" t="s">
        <v>3665</v>
      </c>
      <c r="T1229" t="s">
        <v>3667</v>
      </c>
    </row>
    <row r="1230" spans="1:20">
      <c r="A1230" t="s">
        <v>8288</v>
      </c>
      <c r="B1230" t="s">
        <v>9409</v>
      </c>
      <c r="C1230" t="s">
        <v>8291</v>
      </c>
      <c r="D1230" t="s">
        <v>9410</v>
      </c>
      <c r="E1230" t="s">
        <v>11704</v>
      </c>
      <c r="F1230" t="s">
        <v>9412</v>
      </c>
      <c r="G1230" t="s">
        <v>9413</v>
      </c>
      <c r="H1230" t="s">
        <v>11516</v>
      </c>
      <c r="I1230" t="s">
        <v>9709</v>
      </c>
      <c r="J1230" t="s">
        <v>3506</v>
      </c>
      <c r="K1230" t="s">
        <v>9416</v>
      </c>
      <c r="L1230" t="s">
        <v>9417</v>
      </c>
      <c r="M1230" t="s">
        <v>11698</v>
      </c>
      <c r="N1230" t="s">
        <v>11543</v>
      </c>
      <c r="O1230" t="s">
        <v>8289</v>
      </c>
      <c r="P1230" t="s">
        <v>9420</v>
      </c>
      <c r="Q1230" t="s">
        <v>9421</v>
      </c>
      <c r="R1230" t="s">
        <v>17</v>
      </c>
      <c r="S1230" t="s">
        <v>8288</v>
      </c>
      <c r="T1230" t="s">
        <v>11705</v>
      </c>
    </row>
    <row r="1231" spans="1:20">
      <c r="A1231" t="s">
        <v>11706</v>
      </c>
      <c r="B1231" t="s">
        <v>9409</v>
      </c>
      <c r="C1231" t="s">
        <v>11707</v>
      </c>
      <c r="D1231" t="s">
        <v>9410</v>
      </c>
      <c r="E1231" t="s">
        <v>11708</v>
      </c>
      <c r="F1231" t="s">
        <v>9412</v>
      </c>
      <c r="G1231" t="s">
        <v>9413</v>
      </c>
      <c r="H1231" t="s">
        <v>11516</v>
      </c>
      <c r="I1231" t="s">
        <v>9826</v>
      </c>
      <c r="J1231" t="s">
        <v>3808</v>
      </c>
      <c r="K1231" t="s">
        <v>9416</v>
      </c>
      <c r="L1231" t="s">
        <v>9417</v>
      </c>
      <c r="M1231" t="s">
        <v>11709</v>
      </c>
      <c r="N1231" t="s">
        <v>11514</v>
      </c>
      <c r="O1231" t="s">
        <v>11710</v>
      </c>
      <c r="P1231" t="s">
        <v>11315</v>
      </c>
      <c r="Q1231" t="s">
        <v>9421</v>
      </c>
      <c r="R1231" t="s">
        <v>17</v>
      </c>
      <c r="S1231" t="s">
        <v>11706</v>
      </c>
      <c r="T1231" t="s">
        <v>11711</v>
      </c>
    </row>
    <row r="1232" spans="1:20">
      <c r="A1232" t="s">
        <v>3669</v>
      </c>
      <c r="B1232" t="s">
        <v>62</v>
      </c>
      <c r="C1232" t="s">
        <v>3672</v>
      </c>
      <c r="D1232" t="s">
        <v>9448</v>
      </c>
      <c r="E1232" t="s">
        <v>11712</v>
      </c>
      <c r="F1232" t="s">
        <v>9412</v>
      </c>
      <c r="G1232" t="s">
        <v>9413</v>
      </c>
      <c r="H1232" t="s">
        <v>3162</v>
      </c>
      <c r="I1232" t="s">
        <v>9466</v>
      </c>
      <c r="J1232" t="s">
        <v>3619</v>
      </c>
      <c r="K1232" t="s">
        <v>9416</v>
      </c>
      <c r="L1232" t="s">
        <v>9417</v>
      </c>
      <c r="M1232" t="s">
        <v>11702</v>
      </c>
      <c r="N1232" t="s">
        <v>11605</v>
      </c>
      <c r="O1232" t="s">
        <v>8452</v>
      </c>
      <c r="P1232" t="s">
        <v>9420</v>
      </c>
      <c r="Q1232" t="s">
        <v>9421</v>
      </c>
      <c r="R1232" t="s">
        <v>17</v>
      </c>
      <c r="S1232" t="s">
        <v>3669</v>
      </c>
      <c r="T1232" t="s">
        <v>3671</v>
      </c>
    </row>
    <row r="1233" spans="1:20">
      <c r="A1233" t="s">
        <v>11713</v>
      </c>
      <c r="B1233" t="s">
        <v>9409</v>
      </c>
      <c r="C1233" t="s">
        <v>11714</v>
      </c>
      <c r="D1233" t="s">
        <v>9410</v>
      </c>
      <c r="E1233" t="s">
        <v>11715</v>
      </c>
      <c r="F1233" t="s">
        <v>9412</v>
      </c>
      <c r="G1233" t="s">
        <v>9413</v>
      </c>
      <c r="H1233" t="s">
        <v>11516</v>
      </c>
      <c r="I1233" t="s">
        <v>9830</v>
      </c>
      <c r="J1233" t="s">
        <v>3808</v>
      </c>
      <c r="K1233" t="s">
        <v>9416</v>
      </c>
      <c r="L1233" t="s">
        <v>9417</v>
      </c>
      <c r="M1233" t="s">
        <v>11513</v>
      </c>
      <c r="N1233" t="s">
        <v>11514</v>
      </c>
      <c r="O1233" t="s">
        <v>11716</v>
      </c>
      <c r="P1233" t="s">
        <v>9420</v>
      </c>
      <c r="Q1233" t="s">
        <v>9421</v>
      </c>
      <c r="R1233" t="s">
        <v>17</v>
      </c>
      <c r="S1233" t="s">
        <v>11713</v>
      </c>
      <c r="T1233" t="s">
        <v>11717</v>
      </c>
    </row>
    <row r="1234" spans="1:20">
      <c r="A1234" t="s">
        <v>3244</v>
      </c>
      <c r="B1234" t="s">
        <v>62</v>
      </c>
      <c r="C1234" t="s">
        <v>7955</v>
      </c>
      <c r="D1234" t="s">
        <v>9448</v>
      </c>
      <c r="E1234" t="s">
        <v>11718</v>
      </c>
      <c r="F1234" t="s">
        <v>9412</v>
      </c>
      <c r="G1234" t="s">
        <v>9413</v>
      </c>
      <c r="H1234" t="s">
        <v>11516</v>
      </c>
      <c r="I1234" t="s">
        <v>9720</v>
      </c>
      <c r="J1234" t="s">
        <v>3161</v>
      </c>
      <c r="K1234" t="s">
        <v>9416</v>
      </c>
      <c r="L1234" t="s">
        <v>9417</v>
      </c>
      <c r="M1234" t="s">
        <v>11517</v>
      </c>
      <c r="N1234" t="s">
        <v>11518</v>
      </c>
      <c r="O1234" t="s">
        <v>7953</v>
      </c>
      <c r="P1234" t="s">
        <v>9623</v>
      </c>
      <c r="Q1234" t="s">
        <v>9421</v>
      </c>
      <c r="R1234" t="s">
        <v>24</v>
      </c>
      <c r="S1234" t="s">
        <v>3244</v>
      </c>
      <c r="T1234" t="s">
        <v>3246</v>
      </c>
    </row>
    <row r="1235" spans="1:20">
      <c r="A1235" t="s">
        <v>11719</v>
      </c>
      <c r="B1235" t="s">
        <v>9409</v>
      </c>
      <c r="C1235" t="s">
        <v>11720</v>
      </c>
      <c r="D1235" t="s">
        <v>9410</v>
      </c>
      <c r="E1235" t="s">
        <v>11721</v>
      </c>
      <c r="F1235" t="s">
        <v>9412</v>
      </c>
      <c r="G1235" t="s">
        <v>9413</v>
      </c>
      <c r="H1235" t="s">
        <v>11516</v>
      </c>
      <c r="I1235" t="s">
        <v>10099</v>
      </c>
      <c r="J1235" t="s">
        <v>3619</v>
      </c>
      <c r="K1235" t="s">
        <v>9416</v>
      </c>
      <c r="L1235" t="s">
        <v>9417</v>
      </c>
      <c r="M1235" t="s">
        <v>11607</v>
      </c>
      <c r="N1235" t="s">
        <v>11605</v>
      </c>
      <c r="O1235" t="s">
        <v>11722</v>
      </c>
      <c r="P1235" t="s">
        <v>9420</v>
      </c>
      <c r="Q1235" t="s">
        <v>9421</v>
      </c>
      <c r="R1235" t="s">
        <v>17</v>
      </c>
      <c r="S1235" t="s">
        <v>11719</v>
      </c>
      <c r="T1235" t="s">
        <v>11723</v>
      </c>
    </row>
    <row r="1236" spans="1:20">
      <c r="A1236" t="s">
        <v>11724</v>
      </c>
      <c r="B1236" t="s">
        <v>9409</v>
      </c>
      <c r="C1236" t="s">
        <v>11725</v>
      </c>
      <c r="D1236" t="s">
        <v>9410</v>
      </c>
      <c r="E1236" t="s">
        <v>11726</v>
      </c>
      <c r="F1236" t="s">
        <v>9412</v>
      </c>
      <c r="G1236" t="s">
        <v>9413</v>
      </c>
      <c r="H1236" t="s">
        <v>11516</v>
      </c>
      <c r="I1236" t="s">
        <v>9469</v>
      </c>
      <c r="J1236" t="s">
        <v>3619</v>
      </c>
      <c r="K1236" t="s">
        <v>9416</v>
      </c>
      <c r="L1236" t="s">
        <v>9417</v>
      </c>
      <c r="M1236" t="s">
        <v>11607</v>
      </c>
      <c r="N1236" t="s">
        <v>11605</v>
      </c>
      <c r="O1236" t="s">
        <v>11727</v>
      </c>
      <c r="P1236" t="s">
        <v>9623</v>
      </c>
      <c r="Q1236" t="s">
        <v>9421</v>
      </c>
      <c r="R1236" t="s">
        <v>24</v>
      </c>
      <c r="S1236" t="s">
        <v>11724</v>
      </c>
      <c r="T1236" t="s">
        <v>11728</v>
      </c>
    </row>
    <row r="1237" spans="1:20">
      <c r="A1237" t="s">
        <v>11729</v>
      </c>
      <c r="B1237" t="s">
        <v>9409</v>
      </c>
      <c r="C1237" t="s">
        <v>11730</v>
      </c>
      <c r="D1237" t="s">
        <v>9410</v>
      </c>
      <c r="E1237" t="s">
        <v>11731</v>
      </c>
      <c r="F1237" t="s">
        <v>9412</v>
      </c>
      <c r="G1237" t="s">
        <v>9413</v>
      </c>
      <c r="H1237" t="s">
        <v>11516</v>
      </c>
      <c r="I1237" t="s">
        <v>9709</v>
      </c>
      <c r="J1237" t="s">
        <v>3619</v>
      </c>
      <c r="K1237" t="s">
        <v>9416</v>
      </c>
      <c r="L1237" t="s">
        <v>9417</v>
      </c>
      <c r="M1237" t="s">
        <v>11607</v>
      </c>
      <c r="N1237" t="s">
        <v>11605</v>
      </c>
      <c r="O1237" t="s">
        <v>11732</v>
      </c>
      <c r="P1237" t="s">
        <v>9420</v>
      </c>
      <c r="Q1237" t="s">
        <v>9421</v>
      </c>
      <c r="R1237" t="s">
        <v>17</v>
      </c>
      <c r="S1237" t="s">
        <v>11729</v>
      </c>
      <c r="T1237" t="s">
        <v>11733</v>
      </c>
    </row>
    <row r="1238" spans="1:20">
      <c r="A1238" t="s">
        <v>3430</v>
      </c>
      <c r="B1238" t="s">
        <v>62</v>
      </c>
      <c r="C1238" t="s">
        <v>8146</v>
      </c>
      <c r="D1238" t="s">
        <v>9448</v>
      </c>
      <c r="E1238" t="s">
        <v>11734</v>
      </c>
      <c r="F1238" t="s">
        <v>9412</v>
      </c>
      <c r="G1238" t="s">
        <v>9413</v>
      </c>
      <c r="H1238" t="s">
        <v>11516</v>
      </c>
      <c r="I1238" t="s">
        <v>10066</v>
      </c>
      <c r="J1238" t="s">
        <v>3399</v>
      </c>
      <c r="K1238" t="s">
        <v>9416</v>
      </c>
      <c r="L1238" t="s">
        <v>9417</v>
      </c>
      <c r="M1238" t="s">
        <v>11562</v>
      </c>
      <c r="N1238" t="s">
        <v>11550</v>
      </c>
      <c r="O1238" t="s">
        <v>8144</v>
      </c>
      <c r="P1238" t="s">
        <v>9420</v>
      </c>
      <c r="Q1238" t="s">
        <v>9421</v>
      </c>
      <c r="R1238" t="s">
        <v>17</v>
      </c>
      <c r="S1238" t="s">
        <v>3430</v>
      </c>
      <c r="T1238" t="s">
        <v>3432</v>
      </c>
    </row>
    <row r="1239" spans="1:20">
      <c r="A1239" t="s">
        <v>3673</v>
      </c>
      <c r="B1239" t="s">
        <v>20</v>
      </c>
      <c r="C1239" t="s">
        <v>8458</v>
      </c>
      <c r="D1239" t="s">
        <v>9455</v>
      </c>
      <c r="E1239" t="s">
        <v>11735</v>
      </c>
      <c r="F1239" t="s">
        <v>9412</v>
      </c>
      <c r="G1239" t="s">
        <v>9413</v>
      </c>
      <c r="H1239" t="s">
        <v>11516</v>
      </c>
      <c r="I1239" t="s">
        <v>10066</v>
      </c>
      <c r="J1239" t="s">
        <v>3619</v>
      </c>
      <c r="K1239" t="s">
        <v>9416</v>
      </c>
      <c r="L1239" t="s">
        <v>9417</v>
      </c>
      <c r="M1239" t="s">
        <v>11702</v>
      </c>
      <c r="N1239" t="s">
        <v>11605</v>
      </c>
      <c r="O1239" t="s">
        <v>8456</v>
      </c>
      <c r="P1239" t="s">
        <v>9420</v>
      </c>
      <c r="Q1239" t="s">
        <v>9421</v>
      </c>
      <c r="R1239" t="s">
        <v>17</v>
      </c>
      <c r="S1239" t="s">
        <v>3673</v>
      </c>
      <c r="T1239" t="s">
        <v>3675</v>
      </c>
    </row>
    <row r="1240" spans="1:20">
      <c r="A1240" t="s">
        <v>11736</v>
      </c>
      <c r="B1240" t="s">
        <v>9409</v>
      </c>
      <c r="C1240" t="s">
        <v>11737</v>
      </c>
      <c r="D1240" t="s">
        <v>9410</v>
      </c>
      <c r="E1240" t="s">
        <v>11738</v>
      </c>
      <c r="F1240" t="s">
        <v>9412</v>
      </c>
      <c r="G1240" t="s">
        <v>9413</v>
      </c>
      <c r="H1240" t="s">
        <v>11516</v>
      </c>
      <c r="I1240" t="s">
        <v>10066</v>
      </c>
      <c r="J1240" t="s">
        <v>3939</v>
      </c>
      <c r="K1240" t="s">
        <v>9416</v>
      </c>
      <c r="L1240" t="s">
        <v>9417</v>
      </c>
      <c r="M1240" t="s">
        <v>11583</v>
      </c>
      <c r="N1240" t="s">
        <v>11536</v>
      </c>
      <c r="O1240" t="s">
        <v>11739</v>
      </c>
      <c r="P1240" t="s">
        <v>9429</v>
      </c>
      <c r="Q1240" t="s">
        <v>9421</v>
      </c>
      <c r="R1240" t="s">
        <v>52</v>
      </c>
      <c r="S1240" t="s">
        <v>11736</v>
      </c>
      <c r="T1240" t="s">
        <v>11740</v>
      </c>
    </row>
    <row r="1241" spans="1:20">
      <c r="A1241" t="s">
        <v>11741</v>
      </c>
      <c r="B1241" t="s">
        <v>9409</v>
      </c>
      <c r="C1241" t="s">
        <v>11742</v>
      </c>
      <c r="D1241" t="s">
        <v>9410</v>
      </c>
      <c r="E1241" t="s">
        <v>11743</v>
      </c>
      <c r="F1241" t="s">
        <v>9412</v>
      </c>
      <c r="G1241" t="s">
        <v>9413</v>
      </c>
      <c r="H1241" t="s">
        <v>11516</v>
      </c>
      <c r="I1241" t="s">
        <v>9435</v>
      </c>
      <c r="J1241" t="s">
        <v>4051</v>
      </c>
      <c r="K1241" t="s">
        <v>9445</v>
      </c>
      <c r="L1241" t="s">
        <v>9417</v>
      </c>
      <c r="M1241" t="s">
        <v>11744</v>
      </c>
      <c r="N1241" t="s">
        <v>9430</v>
      </c>
      <c r="O1241" t="s">
        <v>9446</v>
      </c>
      <c r="P1241" t="s">
        <v>9431</v>
      </c>
      <c r="Q1241" t="s">
        <v>9421</v>
      </c>
      <c r="R1241" t="s">
        <v>24</v>
      </c>
      <c r="S1241" t="s">
        <v>11745</v>
      </c>
      <c r="T1241" t="s">
        <v>11746</v>
      </c>
    </row>
    <row r="1242" spans="1:20">
      <c r="A1242" t="s">
        <v>11741</v>
      </c>
      <c r="B1242" t="s">
        <v>9409</v>
      </c>
      <c r="C1242" t="s">
        <v>11742</v>
      </c>
      <c r="D1242" t="s">
        <v>9410</v>
      </c>
      <c r="E1242" t="s">
        <v>11743</v>
      </c>
      <c r="F1242" t="s">
        <v>9412</v>
      </c>
      <c r="G1242" t="s">
        <v>9413</v>
      </c>
      <c r="H1242" t="s">
        <v>11516</v>
      </c>
      <c r="I1242" t="s">
        <v>9435</v>
      </c>
      <c r="J1242" t="s">
        <v>4051</v>
      </c>
      <c r="K1242" t="s">
        <v>9416</v>
      </c>
      <c r="L1242" t="s">
        <v>9417</v>
      </c>
      <c r="M1242" t="s">
        <v>11744</v>
      </c>
      <c r="N1242" t="s">
        <v>11510</v>
      </c>
      <c r="O1242" t="s">
        <v>11747</v>
      </c>
      <c r="P1242" t="s">
        <v>9623</v>
      </c>
      <c r="Q1242" t="s">
        <v>9421</v>
      </c>
      <c r="R1242" t="s">
        <v>24</v>
      </c>
      <c r="S1242" t="s">
        <v>11741</v>
      </c>
      <c r="T1242" t="s">
        <v>11748</v>
      </c>
    </row>
    <row r="1243" spans="1:20">
      <c r="A1243" t="s">
        <v>4083</v>
      </c>
      <c r="B1243" t="s">
        <v>20</v>
      </c>
      <c r="C1243" t="s">
        <v>8928</v>
      </c>
      <c r="D1243" t="s">
        <v>9455</v>
      </c>
      <c r="E1243" t="s">
        <v>11749</v>
      </c>
      <c r="F1243" t="s">
        <v>9412</v>
      </c>
      <c r="G1243" t="s">
        <v>9413</v>
      </c>
      <c r="H1243" t="s">
        <v>11516</v>
      </c>
      <c r="I1243" t="s">
        <v>9477</v>
      </c>
      <c r="J1243" t="s">
        <v>4051</v>
      </c>
      <c r="K1243" t="s">
        <v>9416</v>
      </c>
      <c r="L1243" t="s">
        <v>9417</v>
      </c>
      <c r="M1243" t="s">
        <v>11744</v>
      </c>
      <c r="N1243" t="s">
        <v>11510</v>
      </c>
      <c r="O1243" t="s">
        <v>8926</v>
      </c>
      <c r="P1243" t="s">
        <v>9420</v>
      </c>
      <c r="Q1243" t="s">
        <v>9421</v>
      </c>
      <c r="R1243" t="s">
        <v>17</v>
      </c>
      <c r="S1243" t="s">
        <v>4083</v>
      </c>
      <c r="T1243" t="s">
        <v>4085</v>
      </c>
    </row>
    <row r="1244" spans="1:20">
      <c r="A1244" t="s">
        <v>3248</v>
      </c>
      <c r="B1244" t="s">
        <v>62</v>
      </c>
      <c r="C1244" t="s">
        <v>11750</v>
      </c>
      <c r="D1244" t="s">
        <v>9448</v>
      </c>
      <c r="E1244" t="s">
        <v>11751</v>
      </c>
      <c r="F1244" t="s">
        <v>9412</v>
      </c>
      <c r="G1244" t="s">
        <v>9413</v>
      </c>
      <c r="H1244" t="s">
        <v>11516</v>
      </c>
      <c r="I1244" t="s">
        <v>10186</v>
      </c>
      <c r="J1244" t="s">
        <v>3161</v>
      </c>
      <c r="K1244" t="s">
        <v>9416</v>
      </c>
      <c r="L1244" t="s">
        <v>9417</v>
      </c>
      <c r="M1244" t="s">
        <v>11656</v>
      </c>
      <c r="N1244" t="s">
        <v>11518</v>
      </c>
      <c r="O1244" t="s">
        <v>7957</v>
      </c>
      <c r="P1244" t="s">
        <v>9623</v>
      </c>
      <c r="Q1244" t="s">
        <v>9421</v>
      </c>
      <c r="R1244" t="s">
        <v>24</v>
      </c>
      <c r="S1244" t="s">
        <v>3248</v>
      </c>
      <c r="T1244" t="s">
        <v>3250</v>
      </c>
    </row>
    <row r="1245" spans="1:20">
      <c r="A1245" t="s">
        <v>3677</v>
      </c>
      <c r="B1245" t="s">
        <v>20</v>
      </c>
      <c r="C1245" t="s">
        <v>8462</v>
      </c>
      <c r="D1245" t="s">
        <v>9460</v>
      </c>
      <c r="E1245" t="s">
        <v>11752</v>
      </c>
      <c r="F1245" t="s">
        <v>9412</v>
      </c>
      <c r="G1245" t="s">
        <v>9413</v>
      </c>
      <c r="H1245" t="s">
        <v>11516</v>
      </c>
      <c r="I1245" t="s">
        <v>9576</v>
      </c>
      <c r="J1245" t="s">
        <v>3619</v>
      </c>
      <c r="K1245" t="s">
        <v>9445</v>
      </c>
      <c r="L1245" t="s">
        <v>9417</v>
      </c>
      <c r="M1245" t="s">
        <v>11753</v>
      </c>
      <c r="N1245" t="s">
        <v>9426</v>
      </c>
      <c r="O1245" t="s">
        <v>9446</v>
      </c>
      <c r="P1245" t="s">
        <v>9567</v>
      </c>
      <c r="Q1245" t="s">
        <v>9421</v>
      </c>
      <c r="R1245" t="s">
        <v>43</v>
      </c>
      <c r="S1245" t="s">
        <v>3628</v>
      </c>
      <c r="T1245" t="s">
        <v>3630</v>
      </c>
    </row>
    <row r="1246" spans="1:20">
      <c r="A1246" t="s">
        <v>3677</v>
      </c>
      <c r="B1246" t="s">
        <v>20</v>
      </c>
      <c r="C1246" t="s">
        <v>8462</v>
      </c>
      <c r="D1246" t="s">
        <v>9460</v>
      </c>
      <c r="E1246" t="s">
        <v>11752</v>
      </c>
      <c r="F1246" t="s">
        <v>9412</v>
      </c>
      <c r="G1246" t="s">
        <v>9413</v>
      </c>
      <c r="H1246" t="s">
        <v>11516</v>
      </c>
      <c r="I1246" t="s">
        <v>9576</v>
      </c>
      <c r="J1246" t="s">
        <v>3619</v>
      </c>
      <c r="K1246" t="s">
        <v>9416</v>
      </c>
      <c r="L1246" t="s">
        <v>9417</v>
      </c>
      <c r="M1246" t="s">
        <v>11753</v>
      </c>
      <c r="N1246" t="s">
        <v>11605</v>
      </c>
      <c r="O1246" t="s">
        <v>8460</v>
      </c>
      <c r="P1246" t="s">
        <v>9623</v>
      </c>
      <c r="Q1246" t="s">
        <v>9421</v>
      </c>
      <c r="R1246" t="s">
        <v>24</v>
      </c>
      <c r="S1246" t="s">
        <v>3677</v>
      </c>
      <c r="T1246" t="s">
        <v>3679</v>
      </c>
    </row>
    <row r="1247" spans="1:20">
      <c r="A1247" t="s">
        <v>3523</v>
      </c>
      <c r="B1247" t="s">
        <v>20</v>
      </c>
      <c r="C1247" t="s">
        <v>8295</v>
      </c>
      <c r="D1247" t="s">
        <v>9475</v>
      </c>
      <c r="E1247" t="s">
        <v>3525</v>
      </c>
      <c r="F1247" t="s">
        <v>9412</v>
      </c>
      <c r="G1247" t="s">
        <v>9413</v>
      </c>
      <c r="H1247" t="s">
        <v>11516</v>
      </c>
      <c r="I1247" t="s">
        <v>9435</v>
      </c>
      <c r="J1247" t="s">
        <v>3506</v>
      </c>
      <c r="K1247" t="s">
        <v>9416</v>
      </c>
      <c r="L1247" t="s">
        <v>9417</v>
      </c>
      <c r="M1247" t="s">
        <v>11754</v>
      </c>
      <c r="N1247" t="s">
        <v>11543</v>
      </c>
      <c r="O1247" t="s">
        <v>8293</v>
      </c>
      <c r="P1247" t="s">
        <v>9420</v>
      </c>
      <c r="Q1247" t="s">
        <v>9421</v>
      </c>
      <c r="R1247" t="s">
        <v>17</v>
      </c>
      <c r="S1247" t="s">
        <v>3523</v>
      </c>
      <c r="T1247" t="s">
        <v>3525</v>
      </c>
    </row>
    <row r="1248" spans="1:20">
      <c r="A1248" t="s">
        <v>11755</v>
      </c>
      <c r="B1248" t="s">
        <v>9409</v>
      </c>
      <c r="C1248" t="s">
        <v>11756</v>
      </c>
      <c r="D1248" t="s">
        <v>9410</v>
      </c>
      <c r="E1248" t="s">
        <v>11757</v>
      </c>
      <c r="F1248" t="s">
        <v>9412</v>
      </c>
      <c r="G1248" t="s">
        <v>9413</v>
      </c>
      <c r="H1248" t="s">
        <v>11516</v>
      </c>
      <c r="I1248" t="s">
        <v>10066</v>
      </c>
      <c r="J1248" t="s">
        <v>3939</v>
      </c>
      <c r="K1248" t="s">
        <v>9416</v>
      </c>
      <c r="L1248" t="s">
        <v>9417</v>
      </c>
      <c r="M1248" t="s">
        <v>11521</v>
      </c>
      <c r="N1248" t="s">
        <v>11536</v>
      </c>
      <c r="O1248" t="s">
        <v>11758</v>
      </c>
      <c r="P1248" t="s">
        <v>9623</v>
      </c>
      <c r="Q1248" t="s">
        <v>9421</v>
      </c>
      <c r="R1248" t="s">
        <v>24</v>
      </c>
      <c r="S1248" t="s">
        <v>11755</v>
      </c>
      <c r="T1248" t="s">
        <v>11759</v>
      </c>
    </row>
    <row r="1249" spans="1:20">
      <c r="A1249" t="s">
        <v>3852</v>
      </c>
      <c r="B1249" t="s">
        <v>62</v>
      </c>
      <c r="C1249" t="s">
        <v>8651</v>
      </c>
      <c r="D1249" t="s">
        <v>9448</v>
      </c>
      <c r="E1249" t="s">
        <v>11760</v>
      </c>
      <c r="F1249" t="s">
        <v>9412</v>
      </c>
      <c r="G1249" t="s">
        <v>9413</v>
      </c>
      <c r="H1249" t="s">
        <v>11516</v>
      </c>
      <c r="I1249" t="s">
        <v>10186</v>
      </c>
      <c r="J1249" t="s">
        <v>3808</v>
      </c>
      <c r="K1249" t="s">
        <v>9416</v>
      </c>
      <c r="L1249" t="s">
        <v>9417</v>
      </c>
      <c r="M1249" t="s">
        <v>11622</v>
      </c>
      <c r="N1249" t="s">
        <v>11514</v>
      </c>
      <c r="O1249" t="s">
        <v>8649</v>
      </c>
      <c r="P1249" t="s">
        <v>9420</v>
      </c>
      <c r="Q1249" t="s">
        <v>9421</v>
      </c>
      <c r="R1249" t="s">
        <v>17</v>
      </c>
      <c r="S1249" t="s">
        <v>3852</v>
      </c>
      <c r="T1249" t="s">
        <v>3854</v>
      </c>
    </row>
    <row r="1250" spans="1:20">
      <c r="A1250" t="s">
        <v>3966</v>
      </c>
      <c r="B1250" t="s">
        <v>20</v>
      </c>
      <c r="C1250" t="s">
        <v>8801</v>
      </c>
      <c r="D1250" t="s">
        <v>9475</v>
      </c>
      <c r="E1250" t="s">
        <v>11761</v>
      </c>
      <c r="F1250" t="s">
        <v>9412</v>
      </c>
      <c r="G1250" t="s">
        <v>9413</v>
      </c>
      <c r="H1250" t="s">
        <v>11516</v>
      </c>
      <c r="I1250" t="s">
        <v>9830</v>
      </c>
      <c r="J1250" t="s">
        <v>3939</v>
      </c>
      <c r="K1250" t="s">
        <v>9416</v>
      </c>
      <c r="L1250" t="s">
        <v>9417</v>
      </c>
      <c r="M1250" t="s">
        <v>11591</v>
      </c>
      <c r="N1250" t="s">
        <v>11536</v>
      </c>
      <c r="O1250" t="s">
        <v>8799</v>
      </c>
      <c r="P1250" t="s">
        <v>9420</v>
      </c>
      <c r="Q1250" t="s">
        <v>9421</v>
      </c>
      <c r="R1250" t="s">
        <v>17</v>
      </c>
      <c r="S1250" t="s">
        <v>3966</v>
      </c>
      <c r="T1250" t="s">
        <v>3968</v>
      </c>
    </row>
    <row r="1251" spans="1:20">
      <c r="A1251" t="s">
        <v>3252</v>
      </c>
      <c r="B1251" t="s">
        <v>62</v>
      </c>
      <c r="C1251" t="s">
        <v>7963</v>
      </c>
      <c r="D1251" t="s">
        <v>9448</v>
      </c>
      <c r="E1251" t="s">
        <v>11762</v>
      </c>
      <c r="F1251" t="s">
        <v>9412</v>
      </c>
      <c r="G1251" t="s">
        <v>9413</v>
      </c>
      <c r="H1251" t="s">
        <v>11516</v>
      </c>
      <c r="I1251" t="s">
        <v>9813</v>
      </c>
      <c r="J1251" t="s">
        <v>3161</v>
      </c>
      <c r="K1251" t="s">
        <v>9416</v>
      </c>
      <c r="L1251" t="s">
        <v>9417</v>
      </c>
      <c r="M1251" t="s">
        <v>11656</v>
      </c>
      <c r="N1251" t="s">
        <v>11518</v>
      </c>
      <c r="O1251" t="s">
        <v>7961</v>
      </c>
      <c r="P1251" t="s">
        <v>9524</v>
      </c>
      <c r="Q1251" t="s">
        <v>9421</v>
      </c>
      <c r="R1251" t="s">
        <v>24</v>
      </c>
      <c r="S1251" t="s">
        <v>3252</v>
      </c>
      <c r="T1251" t="s">
        <v>3254</v>
      </c>
    </row>
    <row r="1252" spans="1:20">
      <c r="A1252" t="s">
        <v>3434</v>
      </c>
      <c r="B1252" t="s">
        <v>20</v>
      </c>
      <c r="C1252" t="s">
        <v>8150</v>
      </c>
      <c r="D1252" t="s">
        <v>10052</v>
      </c>
      <c r="E1252" t="s">
        <v>11763</v>
      </c>
      <c r="F1252" t="s">
        <v>9412</v>
      </c>
      <c r="G1252" t="s">
        <v>9413</v>
      </c>
      <c r="H1252" t="s">
        <v>11516</v>
      </c>
      <c r="I1252" t="s">
        <v>10191</v>
      </c>
      <c r="J1252" t="s">
        <v>3399</v>
      </c>
      <c r="K1252" t="s">
        <v>9416</v>
      </c>
      <c r="L1252" t="s">
        <v>9417</v>
      </c>
      <c r="M1252" t="s">
        <v>11549</v>
      </c>
      <c r="N1252" t="s">
        <v>11550</v>
      </c>
      <c r="O1252" t="s">
        <v>8148</v>
      </c>
      <c r="P1252" t="s">
        <v>9420</v>
      </c>
      <c r="Q1252" t="s">
        <v>9421</v>
      </c>
      <c r="R1252" t="s">
        <v>17</v>
      </c>
      <c r="S1252" t="s">
        <v>3434</v>
      </c>
      <c r="T1252" t="s">
        <v>3436</v>
      </c>
    </row>
    <row r="1253" spans="1:20">
      <c r="A1253" t="s">
        <v>8653</v>
      </c>
      <c r="B1253" t="s">
        <v>9409</v>
      </c>
      <c r="C1253" t="s">
        <v>8656</v>
      </c>
      <c r="D1253" t="s">
        <v>9410</v>
      </c>
      <c r="E1253" t="s">
        <v>11764</v>
      </c>
      <c r="F1253" t="s">
        <v>9412</v>
      </c>
      <c r="G1253" t="s">
        <v>9413</v>
      </c>
      <c r="H1253" t="s">
        <v>11516</v>
      </c>
      <c r="I1253" t="s">
        <v>10066</v>
      </c>
      <c r="J1253" t="s">
        <v>3808</v>
      </c>
      <c r="K1253" t="s">
        <v>9416</v>
      </c>
      <c r="L1253" t="s">
        <v>9417</v>
      </c>
      <c r="M1253" t="s">
        <v>11702</v>
      </c>
      <c r="N1253" t="s">
        <v>11514</v>
      </c>
      <c r="O1253" t="s">
        <v>8654</v>
      </c>
      <c r="P1253" t="s">
        <v>9420</v>
      </c>
      <c r="Q1253" t="s">
        <v>9421</v>
      </c>
      <c r="R1253" t="s">
        <v>17</v>
      </c>
      <c r="S1253" t="s">
        <v>8653</v>
      </c>
      <c r="T1253" t="s">
        <v>11765</v>
      </c>
    </row>
    <row r="1254" spans="1:20">
      <c r="A1254" t="s">
        <v>8930</v>
      </c>
      <c r="B1254" t="s">
        <v>9409</v>
      </c>
      <c r="C1254" t="s">
        <v>8933</v>
      </c>
      <c r="D1254" t="s">
        <v>9410</v>
      </c>
      <c r="E1254" t="s">
        <v>11766</v>
      </c>
      <c r="F1254" t="s">
        <v>9412</v>
      </c>
      <c r="G1254" t="s">
        <v>9413</v>
      </c>
      <c r="H1254" t="s">
        <v>11516</v>
      </c>
      <c r="I1254" t="s">
        <v>10066</v>
      </c>
      <c r="J1254" t="s">
        <v>4051</v>
      </c>
      <c r="K1254" t="s">
        <v>9416</v>
      </c>
      <c r="L1254" t="s">
        <v>9417</v>
      </c>
      <c r="M1254" t="s">
        <v>11680</v>
      </c>
      <c r="N1254" t="s">
        <v>11510</v>
      </c>
      <c r="O1254" t="s">
        <v>8931</v>
      </c>
      <c r="P1254" t="s">
        <v>9623</v>
      </c>
      <c r="Q1254" t="s">
        <v>9421</v>
      </c>
      <c r="R1254" t="s">
        <v>24</v>
      </c>
      <c r="S1254" t="s">
        <v>8930</v>
      </c>
      <c r="T1254" t="s">
        <v>11767</v>
      </c>
    </row>
    <row r="1255" spans="1:20">
      <c r="A1255" t="s">
        <v>11768</v>
      </c>
      <c r="B1255" t="s">
        <v>9409</v>
      </c>
      <c r="C1255" t="s">
        <v>11769</v>
      </c>
      <c r="D1255" t="s">
        <v>9410</v>
      </c>
      <c r="E1255" t="s">
        <v>11770</v>
      </c>
      <c r="F1255" t="s">
        <v>9412</v>
      </c>
      <c r="G1255" t="s">
        <v>9413</v>
      </c>
      <c r="H1255" t="s">
        <v>11516</v>
      </c>
      <c r="I1255" t="s">
        <v>10186</v>
      </c>
      <c r="J1255" t="s">
        <v>3619</v>
      </c>
      <c r="K1255" t="s">
        <v>9416</v>
      </c>
      <c r="L1255" t="s">
        <v>9417</v>
      </c>
      <c r="M1255" t="s">
        <v>11611</v>
      </c>
      <c r="N1255" t="s">
        <v>11605</v>
      </c>
      <c r="O1255" t="s">
        <v>11771</v>
      </c>
      <c r="P1255" t="s">
        <v>9420</v>
      </c>
      <c r="Q1255" t="s">
        <v>9421</v>
      </c>
      <c r="R1255" t="s">
        <v>17</v>
      </c>
      <c r="S1255" t="s">
        <v>11768</v>
      </c>
      <c r="T1255" t="s">
        <v>11772</v>
      </c>
    </row>
    <row r="1256" spans="1:20">
      <c r="A1256" t="s">
        <v>3681</v>
      </c>
      <c r="B1256" t="s">
        <v>20</v>
      </c>
      <c r="C1256" t="s">
        <v>8466</v>
      </c>
      <c r="D1256" t="s">
        <v>9455</v>
      </c>
      <c r="E1256" t="s">
        <v>11773</v>
      </c>
      <c r="F1256" t="s">
        <v>9412</v>
      </c>
      <c r="G1256" t="s">
        <v>9413</v>
      </c>
      <c r="H1256" t="s">
        <v>11516</v>
      </c>
      <c r="I1256" t="s">
        <v>9830</v>
      </c>
      <c r="J1256" t="s">
        <v>3619</v>
      </c>
      <c r="K1256" t="s">
        <v>9416</v>
      </c>
      <c r="L1256" t="s">
        <v>9417</v>
      </c>
      <c r="M1256" t="s">
        <v>11702</v>
      </c>
      <c r="N1256" t="s">
        <v>11605</v>
      </c>
      <c r="O1256" t="s">
        <v>8464</v>
      </c>
      <c r="P1256" t="s">
        <v>9524</v>
      </c>
      <c r="Q1256" t="s">
        <v>9421</v>
      </c>
      <c r="R1256" t="s">
        <v>24</v>
      </c>
      <c r="S1256" t="s">
        <v>3681</v>
      </c>
      <c r="T1256" t="s">
        <v>3683</v>
      </c>
    </row>
    <row r="1257" spans="1:20">
      <c r="A1257" t="s">
        <v>3256</v>
      </c>
      <c r="B1257" t="s">
        <v>62</v>
      </c>
      <c r="C1257" t="s">
        <v>7967</v>
      </c>
      <c r="D1257" t="s">
        <v>9448</v>
      </c>
      <c r="E1257" t="s">
        <v>11774</v>
      </c>
      <c r="F1257" t="s">
        <v>9412</v>
      </c>
      <c r="G1257" t="s">
        <v>9413</v>
      </c>
      <c r="H1257" t="s">
        <v>11516</v>
      </c>
      <c r="I1257" t="s">
        <v>10066</v>
      </c>
      <c r="J1257" t="s">
        <v>3161</v>
      </c>
      <c r="K1257" t="s">
        <v>9416</v>
      </c>
      <c r="L1257" t="s">
        <v>9417</v>
      </c>
      <c r="M1257" t="s">
        <v>11528</v>
      </c>
      <c r="N1257" t="s">
        <v>11518</v>
      </c>
      <c r="O1257" t="s">
        <v>7965</v>
      </c>
      <c r="P1257" t="s">
        <v>10467</v>
      </c>
      <c r="Q1257" t="s">
        <v>9421</v>
      </c>
      <c r="R1257" t="s">
        <v>52</v>
      </c>
      <c r="S1257" t="s">
        <v>3256</v>
      </c>
      <c r="T1257" t="s">
        <v>3258</v>
      </c>
    </row>
    <row r="1258" spans="1:20">
      <c r="A1258" t="s">
        <v>11775</v>
      </c>
      <c r="B1258" t="s">
        <v>9409</v>
      </c>
      <c r="C1258" t="s">
        <v>11776</v>
      </c>
      <c r="D1258" t="s">
        <v>9410</v>
      </c>
      <c r="E1258" t="s">
        <v>11777</v>
      </c>
      <c r="F1258" t="s">
        <v>9412</v>
      </c>
      <c r="G1258" t="s">
        <v>9413</v>
      </c>
      <c r="H1258" t="s">
        <v>11516</v>
      </c>
      <c r="I1258" t="s">
        <v>10066</v>
      </c>
      <c r="J1258" t="s">
        <v>4051</v>
      </c>
      <c r="K1258" t="s">
        <v>9445</v>
      </c>
      <c r="L1258" t="s">
        <v>9417</v>
      </c>
      <c r="M1258" t="s">
        <v>11668</v>
      </c>
      <c r="N1258" t="s">
        <v>11510</v>
      </c>
      <c r="O1258" t="s">
        <v>9446</v>
      </c>
      <c r="P1258" t="s">
        <v>9524</v>
      </c>
      <c r="Q1258" t="s">
        <v>9421</v>
      </c>
      <c r="R1258" t="s">
        <v>24</v>
      </c>
      <c r="S1258" t="s">
        <v>4068</v>
      </c>
      <c r="T1258" t="s">
        <v>4070</v>
      </c>
    </row>
    <row r="1259" spans="1:20">
      <c r="A1259" t="s">
        <v>11775</v>
      </c>
      <c r="B1259" t="s">
        <v>9409</v>
      </c>
      <c r="C1259" t="s">
        <v>11776</v>
      </c>
      <c r="D1259" t="s">
        <v>9410</v>
      </c>
      <c r="E1259" t="s">
        <v>11777</v>
      </c>
      <c r="F1259" t="s">
        <v>9412</v>
      </c>
      <c r="G1259" t="s">
        <v>9413</v>
      </c>
      <c r="H1259" t="s">
        <v>11516</v>
      </c>
      <c r="I1259" t="s">
        <v>10066</v>
      </c>
      <c r="J1259" t="s">
        <v>4051</v>
      </c>
      <c r="K1259" t="s">
        <v>9416</v>
      </c>
      <c r="L1259" t="s">
        <v>9417</v>
      </c>
      <c r="M1259" t="s">
        <v>11668</v>
      </c>
      <c r="N1259" t="s">
        <v>11510</v>
      </c>
      <c r="O1259" t="s">
        <v>11778</v>
      </c>
      <c r="P1259" t="s">
        <v>9429</v>
      </c>
      <c r="Q1259" t="s">
        <v>9421</v>
      </c>
      <c r="R1259" t="s">
        <v>52</v>
      </c>
      <c r="S1259" t="s">
        <v>11775</v>
      </c>
      <c r="T1259" t="s">
        <v>11779</v>
      </c>
    </row>
    <row r="1260" spans="1:20">
      <c r="A1260" t="s">
        <v>8935</v>
      </c>
      <c r="B1260" t="s">
        <v>9409</v>
      </c>
      <c r="C1260" t="s">
        <v>8938</v>
      </c>
      <c r="D1260" t="s">
        <v>9410</v>
      </c>
      <c r="E1260" t="s">
        <v>11780</v>
      </c>
      <c r="F1260" t="s">
        <v>9412</v>
      </c>
      <c r="G1260" t="s">
        <v>9413</v>
      </c>
      <c r="H1260" t="s">
        <v>11516</v>
      </c>
      <c r="I1260" t="s">
        <v>9830</v>
      </c>
      <c r="J1260" t="s">
        <v>4051</v>
      </c>
      <c r="K1260" t="s">
        <v>9416</v>
      </c>
      <c r="L1260" t="s">
        <v>9417</v>
      </c>
      <c r="M1260" t="s">
        <v>11781</v>
      </c>
      <c r="N1260" t="s">
        <v>11510</v>
      </c>
      <c r="O1260" t="s">
        <v>8936</v>
      </c>
      <c r="P1260" t="s">
        <v>9623</v>
      </c>
      <c r="Q1260" t="s">
        <v>9421</v>
      </c>
      <c r="R1260" t="s">
        <v>24</v>
      </c>
      <c r="S1260" t="s">
        <v>8935</v>
      </c>
      <c r="T1260" t="s">
        <v>11782</v>
      </c>
    </row>
    <row r="1261" spans="1:20">
      <c r="A1261" t="s">
        <v>3438</v>
      </c>
      <c r="B1261" t="s">
        <v>62</v>
      </c>
      <c r="C1261" t="s">
        <v>3441</v>
      </c>
      <c r="D1261" t="s">
        <v>9448</v>
      </c>
      <c r="E1261" t="s">
        <v>11783</v>
      </c>
      <c r="F1261" t="s">
        <v>9412</v>
      </c>
      <c r="G1261" t="s">
        <v>9413</v>
      </c>
      <c r="H1261" t="s">
        <v>3162</v>
      </c>
      <c r="I1261" t="s">
        <v>10202</v>
      </c>
      <c r="J1261" t="s">
        <v>3399</v>
      </c>
      <c r="K1261" t="s">
        <v>9416</v>
      </c>
      <c r="L1261" t="s">
        <v>9417</v>
      </c>
      <c r="M1261" t="s">
        <v>11568</v>
      </c>
      <c r="N1261" t="s">
        <v>11550</v>
      </c>
      <c r="O1261" t="s">
        <v>8152</v>
      </c>
      <c r="P1261" t="s">
        <v>9420</v>
      </c>
      <c r="Q1261" t="s">
        <v>9421</v>
      </c>
      <c r="R1261" t="s">
        <v>17</v>
      </c>
      <c r="S1261" t="s">
        <v>3438</v>
      </c>
      <c r="T1261" t="s">
        <v>3440</v>
      </c>
    </row>
    <row r="1262" spans="1:20">
      <c r="A1262" t="s">
        <v>3527</v>
      </c>
      <c r="B1262" t="s">
        <v>20</v>
      </c>
      <c r="C1262" t="s">
        <v>8298</v>
      </c>
      <c r="D1262" t="s">
        <v>9475</v>
      </c>
      <c r="E1262" t="s">
        <v>11784</v>
      </c>
      <c r="F1262" t="s">
        <v>9412</v>
      </c>
      <c r="G1262" t="s">
        <v>9413</v>
      </c>
      <c r="H1262" t="s">
        <v>11516</v>
      </c>
      <c r="I1262" t="s">
        <v>10066</v>
      </c>
      <c r="J1262" t="s">
        <v>3506</v>
      </c>
      <c r="K1262" t="s">
        <v>9445</v>
      </c>
      <c r="L1262" t="s">
        <v>9417</v>
      </c>
      <c r="M1262" t="s">
        <v>11577</v>
      </c>
      <c r="N1262" t="s">
        <v>9426</v>
      </c>
      <c r="O1262" t="s">
        <v>9446</v>
      </c>
      <c r="P1262" t="s">
        <v>9479</v>
      </c>
      <c r="Q1262" t="s">
        <v>9421</v>
      </c>
      <c r="R1262" t="s">
        <v>43</v>
      </c>
      <c r="S1262" t="s">
        <v>3498</v>
      </c>
      <c r="T1262" t="s">
        <v>3500</v>
      </c>
    </row>
    <row r="1263" spans="1:20">
      <c r="A1263" t="s">
        <v>3527</v>
      </c>
      <c r="B1263" t="s">
        <v>20</v>
      </c>
      <c r="C1263" t="s">
        <v>8298</v>
      </c>
      <c r="D1263" t="s">
        <v>9475</v>
      </c>
      <c r="E1263" t="s">
        <v>11784</v>
      </c>
      <c r="F1263" t="s">
        <v>9412</v>
      </c>
      <c r="G1263" t="s">
        <v>9413</v>
      </c>
      <c r="H1263" t="s">
        <v>11516</v>
      </c>
      <c r="I1263" t="s">
        <v>10066</v>
      </c>
      <c r="J1263" t="s">
        <v>3506</v>
      </c>
      <c r="K1263" t="s">
        <v>9416</v>
      </c>
      <c r="L1263" t="s">
        <v>9417</v>
      </c>
      <c r="M1263" t="s">
        <v>11577</v>
      </c>
      <c r="N1263" t="s">
        <v>11550</v>
      </c>
      <c r="O1263" t="s">
        <v>8297</v>
      </c>
      <c r="P1263" t="s">
        <v>9420</v>
      </c>
      <c r="Q1263" t="s">
        <v>9421</v>
      </c>
      <c r="R1263" t="s">
        <v>17</v>
      </c>
      <c r="S1263" t="s">
        <v>3527</v>
      </c>
      <c r="T1263" t="s">
        <v>3529</v>
      </c>
    </row>
    <row r="1264" spans="1:20">
      <c r="A1264" t="s">
        <v>3970</v>
      </c>
      <c r="B1264" t="s">
        <v>62</v>
      </c>
      <c r="C1264" t="s">
        <v>3973</v>
      </c>
      <c r="D1264" t="s">
        <v>9448</v>
      </c>
      <c r="E1264" t="s">
        <v>11785</v>
      </c>
      <c r="F1264" t="s">
        <v>9412</v>
      </c>
      <c r="G1264" t="s">
        <v>9413</v>
      </c>
      <c r="H1264" t="s">
        <v>3162</v>
      </c>
      <c r="I1264" t="s">
        <v>9576</v>
      </c>
      <c r="J1264" t="s">
        <v>3939</v>
      </c>
      <c r="K1264" t="s">
        <v>9416</v>
      </c>
      <c r="L1264" t="s">
        <v>9417</v>
      </c>
      <c r="M1264" t="s">
        <v>11686</v>
      </c>
      <c r="N1264" t="s">
        <v>11536</v>
      </c>
      <c r="O1264" t="s">
        <v>8803</v>
      </c>
      <c r="P1264" t="s">
        <v>9420</v>
      </c>
      <c r="Q1264" t="s">
        <v>9421</v>
      </c>
      <c r="R1264" t="s">
        <v>17</v>
      </c>
      <c r="S1264" t="s">
        <v>3970</v>
      </c>
      <c r="T1264" t="s">
        <v>3972</v>
      </c>
    </row>
    <row r="1265" spans="1:20">
      <c r="A1265" t="s">
        <v>11786</v>
      </c>
      <c r="B1265" t="s">
        <v>9409</v>
      </c>
      <c r="C1265" t="s">
        <v>11787</v>
      </c>
      <c r="D1265" t="s">
        <v>9410</v>
      </c>
      <c r="E1265" t="s">
        <v>11788</v>
      </c>
      <c r="F1265" t="s">
        <v>9412</v>
      </c>
      <c r="G1265" t="s">
        <v>9413</v>
      </c>
      <c r="H1265" t="s">
        <v>11516</v>
      </c>
      <c r="I1265" t="s">
        <v>10186</v>
      </c>
      <c r="J1265" t="s">
        <v>3939</v>
      </c>
      <c r="K1265" t="s">
        <v>9416</v>
      </c>
      <c r="L1265" t="s">
        <v>9417</v>
      </c>
      <c r="M1265" t="s">
        <v>11535</v>
      </c>
      <c r="N1265" t="s">
        <v>11536</v>
      </c>
      <c r="O1265" t="s">
        <v>11789</v>
      </c>
      <c r="P1265" t="s">
        <v>9420</v>
      </c>
      <c r="Q1265" t="s">
        <v>9421</v>
      </c>
      <c r="R1265" t="s">
        <v>17</v>
      </c>
      <c r="S1265" t="s">
        <v>11786</v>
      </c>
      <c r="T1265" t="s">
        <v>11790</v>
      </c>
    </row>
    <row r="1266" spans="1:20">
      <c r="A1266" t="s">
        <v>11791</v>
      </c>
      <c r="B1266" t="s">
        <v>9409</v>
      </c>
      <c r="C1266" t="s">
        <v>11792</v>
      </c>
      <c r="D1266" t="s">
        <v>9410</v>
      </c>
      <c r="E1266" t="s">
        <v>11793</v>
      </c>
      <c r="F1266" t="s">
        <v>9412</v>
      </c>
      <c r="G1266" t="s">
        <v>9413</v>
      </c>
      <c r="H1266" t="s">
        <v>11516</v>
      </c>
      <c r="I1266" t="s">
        <v>9466</v>
      </c>
      <c r="J1266" t="s">
        <v>3506</v>
      </c>
      <c r="K1266" t="s">
        <v>9416</v>
      </c>
      <c r="L1266" t="s">
        <v>9417</v>
      </c>
      <c r="M1266" t="s">
        <v>11794</v>
      </c>
      <c r="N1266" t="s">
        <v>11543</v>
      </c>
      <c r="O1266" t="s">
        <v>11795</v>
      </c>
      <c r="P1266" t="s">
        <v>9420</v>
      </c>
      <c r="Q1266" t="s">
        <v>9421</v>
      </c>
      <c r="R1266" t="s">
        <v>17</v>
      </c>
      <c r="S1266" t="s">
        <v>11791</v>
      </c>
      <c r="T1266" t="s">
        <v>11796</v>
      </c>
    </row>
    <row r="1267" spans="1:20">
      <c r="A1267" t="s">
        <v>3974</v>
      </c>
      <c r="B1267" t="s">
        <v>20</v>
      </c>
      <c r="C1267" t="s">
        <v>3977</v>
      </c>
      <c r="D1267" t="s">
        <v>9464</v>
      </c>
      <c r="E1267" t="s">
        <v>11797</v>
      </c>
      <c r="F1267" t="s">
        <v>9412</v>
      </c>
      <c r="G1267" t="s">
        <v>9413</v>
      </c>
      <c r="H1267" t="s">
        <v>3162</v>
      </c>
      <c r="I1267" t="s">
        <v>10186</v>
      </c>
      <c r="J1267" t="s">
        <v>3939</v>
      </c>
      <c r="K1267" t="s">
        <v>9445</v>
      </c>
      <c r="L1267" t="s">
        <v>9417</v>
      </c>
      <c r="M1267" t="s">
        <v>11591</v>
      </c>
      <c r="N1267" t="s">
        <v>9426</v>
      </c>
      <c r="O1267" t="s">
        <v>9446</v>
      </c>
      <c r="P1267" t="s">
        <v>9479</v>
      </c>
      <c r="Q1267" t="s">
        <v>9421</v>
      </c>
      <c r="R1267" t="s">
        <v>43</v>
      </c>
      <c r="S1267" t="s">
        <v>3416</v>
      </c>
      <c r="T1267" t="s">
        <v>3418</v>
      </c>
    </row>
    <row r="1268" spans="1:20">
      <c r="A1268" t="s">
        <v>3974</v>
      </c>
      <c r="B1268" t="s">
        <v>20</v>
      </c>
      <c r="C1268" t="s">
        <v>3977</v>
      </c>
      <c r="D1268" t="s">
        <v>9464</v>
      </c>
      <c r="E1268" t="s">
        <v>11797</v>
      </c>
      <c r="F1268" t="s">
        <v>9412</v>
      </c>
      <c r="G1268" t="s">
        <v>9413</v>
      </c>
      <c r="H1268" t="s">
        <v>3162</v>
      </c>
      <c r="I1268" t="s">
        <v>10186</v>
      </c>
      <c r="J1268" t="s">
        <v>3939</v>
      </c>
      <c r="K1268" t="s">
        <v>9416</v>
      </c>
      <c r="L1268" t="s">
        <v>9417</v>
      </c>
      <c r="M1268" t="s">
        <v>11591</v>
      </c>
      <c r="N1268" t="s">
        <v>11536</v>
      </c>
      <c r="O1268" t="s">
        <v>8807</v>
      </c>
      <c r="P1268" t="s">
        <v>9420</v>
      </c>
      <c r="Q1268" t="s">
        <v>9421</v>
      </c>
      <c r="R1268" t="s">
        <v>17</v>
      </c>
      <c r="S1268" t="s">
        <v>3974</v>
      </c>
      <c r="T1268" t="s">
        <v>3976</v>
      </c>
    </row>
    <row r="1269" spans="1:20">
      <c r="A1269" t="s">
        <v>3978</v>
      </c>
      <c r="B1269" t="s">
        <v>20</v>
      </c>
      <c r="C1269" t="s">
        <v>8813</v>
      </c>
      <c r="D1269" t="s">
        <v>9455</v>
      </c>
      <c r="E1269" t="s">
        <v>11798</v>
      </c>
      <c r="F1269" t="s">
        <v>9412</v>
      </c>
      <c r="G1269" t="s">
        <v>9413</v>
      </c>
      <c r="H1269" t="s">
        <v>11516</v>
      </c>
      <c r="I1269" t="s">
        <v>9466</v>
      </c>
      <c r="J1269" t="s">
        <v>3939</v>
      </c>
      <c r="K1269" t="s">
        <v>9416</v>
      </c>
      <c r="L1269" t="s">
        <v>9417</v>
      </c>
      <c r="M1269" t="s">
        <v>11542</v>
      </c>
      <c r="N1269" t="s">
        <v>11536</v>
      </c>
      <c r="O1269" t="s">
        <v>8811</v>
      </c>
      <c r="P1269" t="s">
        <v>9420</v>
      </c>
      <c r="Q1269" t="s">
        <v>9421</v>
      </c>
      <c r="R1269" t="s">
        <v>17</v>
      </c>
      <c r="S1269" t="s">
        <v>3978</v>
      </c>
      <c r="T1269" t="s">
        <v>3980</v>
      </c>
    </row>
    <row r="1270" spans="1:20">
      <c r="A1270" t="s">
        <v>8815</v>
      </c>
      <c r="B1270" t="s">
        <v>9409</v>
      </c>
      <c r="C1270" t="s">
        <v>8818</v>
      </c>
      <c r="D1270" t="s">
        <v>9410</v>
      </c>
      <c r="E1270" t="s">
        <v>11799</v>
      </c>
      <c r="F1270" t="s">
        <v>9412</v>
      </c>
      <c r="G1270" t="s">
        <v>9413</v>
      </c>
      <c r="H1270" t="s">
        <v>11516</v>
      </c>
      <c r="I1270" t="s">
        <v>10186</v>
      </c>
      <c r="J1270" t="s">
        <v>3939</v>
      </c>
      <c r="K1270" t="s">
        <v>9416</v>
      </c>
      <c r="L1270" t="s">
        <v>9417</v>
      </c>
      <c r="M1270" t="s">
        <v>11591</v>
      </c>
      <c r="N1270" t="s">
        <v>11536</v>
      </c>
      <c r="O1270" t="s">
        <v>8816</v>
      </c>
      <c r="P1270" t="s">
        <v>9420</v>
      </c>
      <c r="Q1270" t="s">
        <v>9421</v>
      </c>
      <c r="R1270" t="s">
        <v>17</v>
      </c>
      <c r="S1270" t="s">
        <v>8815</v>
      </c>
      <c r="T1270" t="s">
        <v>11800</v>
      </c>
    </row>
    <row r="1271" spans="1:20">
      <c r="A1271" t="s">
        <v>3685</v>
      </c>
      <c r="B1271" t="s">
        <v>62</v>
      </c>
      <c r="C1271" t="s">
        <v>8470</v>
      </c>
      <c r="D1271" t="s">
        <v>445</v>
      </c>
      <c r="E1271" t="s">
        <v>11801</v>
      </c>
      <c r="F1271" t="s">
        <v>9412</v>
      </c>
      <c r="G1271" t="s">
        <v>9413</v>
      </c>
      <c r="H1271" t="s">
        <v>11516</v>
      </c>
      <c r="I1271" t="s">
        <v>9734</v>
      </c>
      <c r="J1271" t="s">
        <v>3619</v>
      </c>
      <c r="K1271" t="s">
        <v>9416</v>
      </c>
      <c r="L1271" t="s">
        <v>9417</v>
      </c>
      <c r="M1271" t="s">
        <v>11649</v>
      </c>
      <c r="N1271" t="s">
        <v>11605</v>
      </c>
      <c r="O1271" t="s">
        <v>8468</v>
      </c>
      <c r="P1271" t="s">
        <v>9429</v>
      </c>
      <c r="Q1271" t="s">
        <v>9421</v>
      </c>
      <c r="R1271" t="s">
        <v>52</v>
      </c>
      <c r="S1271" t="s">
        <v>3685</v>
      </c>
      <c r="T1271" t="s">
        <v>3687</v>
      </c>
    </row>
    <row r="1272" spans="1:20">
      <c r="A1272" t="s">
        <v>3982</v>
      </c>
      <c r="B1272" t="s">
        <v>20</v>
      </c>
      <c r="C1272" t="s">
        <v>8820</v>
      </c>
      <c r="D1272" t="s">
        <v>10052</v>
      </c>
      <c r="E1272" t="s">
        <v>11802</v>
      </c>
      <c r="F1272" t="s">
        <v>9412</v>
      </c>
      <c r="G1272" t="s">
        <v>9413</v>
      </c>
      <c r="H1272" t="s">
        <v>11516</v>
      </c>
      <c r="I1272" t="s">
        <v>9709</v>
      </c>
      <c r="J1272" t="s">
        <v>3939</v>
      </c>
      <c r="K1272" t="s">
        <v>9416</v>
      </c>
      <c r="L1272" t="s">
        <v>9417</v>
      </c>
      <c r="M1272" t="s">
        <v>11597</v>
      </c>
      <c r="N1272" t="s">
        <v>11536</v>
      </c>
      <c r="O1272" t="s">
        <v>8822</v>
      </c>
      <c r="P1272" t="s">
        <v>9623</v>
      </c>
      <c r="Q1272" t="s">
        <v>9421</v>
      </c>
      <c r="R1272" t="s">
        <v>24</v>
      </c>
      <c r="S1272" t="s">
        <v>3982</v>
      </c>
      <c r="T1272" t="s">
        <v>3985</v>
      </c>
    </row>
    <row r="1273" spans="1:20">
      <c r="A1273" t="s">
        <v>3982</v>
      </c>
      <c r="B1273" t="s">
        <v>20</v>
      </c>
      <c r="C1273" t="s">
        <v>8820</v>
      </c>
      <c r="D1273" t="s">
        <v>10052</v>
      </c>
      <c r="E1273" t="s">
        <v>11802</v>
      </c>
      <c r="F1273" t="s">
        <v>9412</v>
      </c>
      <c r="G1273" t="s">
        <v>9413</v>
      </c>
      <c r="H1273" t="s">
        <v>11516</v>
      </c>
      <c r="I1273" t="s">
        <v>9709</v>
      </c>
      <c r="J1273" t="s">
        <v>3939</v>
      </c>
      <c r="K1273" t="s">
        <v>9445</v>
      </c>
      <c r="L1273" t="s">
        <v>9417</v>
      </c>
      <c r="M1273" t="s">
        <v>11597</v>
      </c>
      <c r="N1273" t="s">
        <v>9426</v>
      </c>
      <c r="O1273" t="s">
        <v>9446</v>
      </c>
      <c r="P1273" t="s">
        <v>9623</v>
      </c>
      <c r="Q1273" t="s">
        <v>9421</v>
      </c>
      <c r="R1273" t="s">
        <v>24</v>
      </c>
      <c r="S1273" t="s">
        <v>3544</v>
      </c>
      <c r="T1273" t="s">
        <v>3546</v>
      </c>
    </row>
    <row r="1274" spans="1:20">
      <c r="A1274" t="s">
        <v>3856</v>
      </c>
      <c r="B1274" t="s">
        <v>20</v>
      </c>
      <c r="C1274" t="s">
        <v>8660</v>
      </c>
      <c r="D1274" t="s">
        <v>10052</v>
      </c>
      <c r="E1274" t="s">
        <v>11803</v>
      </c>
      <c r="F1274" t="s">
        <v>9412</v>
      </c>
      <c r="G1274" t="s">
        <v>9413</v>
      </c>
      <c r="H1274" t="s">
        <v>11516</v>
      </c>
      <c r="I1274" t="s">
        <v>9813</v>
      </c>
      <c r="J1274" t="s">
        <v>3808</v>
      </c>
      <c r="K1274" t="s">
        <v>9445</v>
      </c>
      <c r="L1274" t="s">
        <v>9417</v>
      </c>
      <c r="M1274" t="s">
        <v>11804</v>
      </c>
      <c r="N1274" t="s">
        <v>9426</v>
      </c>
      <c r="O1274" t="s">
        <v>9446</v>
      </c>
      <c r="P1274" t="s">
        <v>9479</v>
      </c>
      <c r="Q1274" t="s">
        <v>9421</v>
      </c>
      <c r="R1274" t="s">
        <v>43</v>
      </c>
      <c r="S1274" t="s">
        <v>3539</v>
      </c>
      <c r="T1274" t="s">
        <v>3541</v>
      </c>
    </row>
    <row r="1275" spans="1:20">
      <c r="A1275" t="s">
        <v>3856</v>
      </c>
      <c r="B1275" t="s">
        <v>20</v>
      </c>
      <c r="C1275" t="s">
        <v>8660</v>
      </c>
      <c r="D1275" t="s">
        <v>10052</v>
      </c>
      <c r="E1275" t="s">
        <v>11803</v>
      </c>
      <c r="F1275" t="s">
        <v>9412</v>
      </c>
      <c r="G1275" t="s">
        <v>9413</v>
      </c>
      <c r="H1275" t="s">
        <v>11516</v>
      </c>
      <c r="I1275" t="s">
        <v>9813</v>
      </c>
      <c r="J1275" t="s">
        <v>3808</v>
      </c>
      <c r="K1275" t="s">
        <v>9416</v>
      </c>
      <c r="L1275" t="s">
        <v>9417</v>
      </c>
      <c r="M1275" t="s">
        <v>11804</v>
      </c>
      <c r="N1275" t="s">
        <v>11514</v>
      </c>
      <c r="O1275" t="s">
        <v>8658</v>
      </c>
      <c r="P1275" t="s">
        <v>9459</v>
      </c>
      <c r="Q1275" t="s">
        <v>9421</v>
      </c>
      <c r="R1275" t="s">
        <v>17</v>
      </c>
      <c r="S1275" t="s">
        <v>3856</v>
      </c>
      <c r="T1275" t="s">
        <v>3858</v>
      </c>
    </row>
    <row r="1276" spans="1:20">
      <c r="A1276" t="s">
        <v>8662</v>
      </c>
      <c r="B1276" t="s">
        <v>9409</v>
      </c>
      <c r="C1276" t="s">
        <v>8665</v>
      </c>
      <c r="D1276" t="s">
        <v>9410</v>
      </c>
      <c r="E1276" t="s">
        <v>11805</v>
      </c>
      <c r="F1276" t="s">
        <v>9412</v>
      </c>
      <c r="G1276" t="s">
        <v>9413</v>
      </c>
      <c r="H1276" t="s">
        <v>11516</v>
      </c>
      <c r="I1276" t="s">
        <v>9813</v>
      </c>
      <c r="J1276" t="s">
        <v>3808</v>
      </c>
      <c r="K1276" t="s">
        <v>9445</v>
      </c>
      <c r="L1276" t="s">
        <v>9417</v>
      </c>
      <c r="M1276" t="s">
        <v>11572</v>
      </c>
      <c r="N1276" t="s">
        <v>9426</v>
      </c>
      <c r="O1276" t="s">
        <v>9446</v>
      </c>
      <c r="P1276" t="s">
        <v>9479</v>
      </c>
      <c r="Q1276" t="s">
        <v>9421</v>
      </c>
      <c r="R1276" t="s">
        <v>43</v>
      </c>
      <c r="S1276" t="s">
        <v>3597</v>
      </c>
      <c r="T1276" t="s">
        <v>3599</v>
      </c>
    </row>
    <row r="1277" spans="1:20">
      <c r="A1277" t="s">
        <v>8662</v>
      </c>
      <c r="B1277" t="s">
        <v>9409</v>
      </c>
      <c r="C1277" t="s">
        <v>8665</v>
      </c>
      <c r="D1277" t="s">
        <v>9410</v>
      </c>
      <c r="E1277" t="s">
        <v>11805</v>
      </c>
      <c r="F1277" t="s">
        <v>9412</v>
      </c>
      <c r="G1277" t="s">
        <v>9413</v>
      </c>
      <c r="H1277" t="s">
        <v>11516</v>
      </c>
      <c r="I1277" t="s">
        <v>9813</v>
      </c>
      <c r="J1277" t="s">
        <v>3808</v>
      </c>
      <c r="K1277" t="s">
        <v>9416</v>
      </c>
      <c r="L1277" t="s">
        <v>9417</v>
      </c>
      <c r="M1277" t="s">
        <v>11572</v>
      </c>
      <c r="N1277" t="s">
        <v>11514</v>
      </c>
      <c r="O1277" t="s">
        <v>8663</v>
      </c>
      <c r="P1277" t="s">
        <v>9420</v>
      </c>
      <c r="Q1277" t="s">
        <v>9421</v>
      </c>
      <c r="R1277" t="s">
        <v>17</v>
      </c>
      <c r="S1277" t="s">
        <v>8662</v>
      </c>
      <c r="T1277" t="s">
        <v>11806</v>
      </c>
    </row>
    <row r="1278" spans="1:20">
      <c r="A1278" t="s">
        <v>11807</v>
      </c>
      <c r="B1278" t="s">
        <v>9409</v>
      </c>
      <c r="C1278" t="s">
        <v>11808</v>
      </c>
      <c r="D1278" t="s">
        <v>9410</v>
      </c>
      <c r="E1278" t="s">
        <v>11809</v>
      </c>
      <c r="F1278" t="s">
        <v>9412</v>
      </c>
      <c r="G1278" t="s">
        <v>9413</v>
      </c>
      <c r="H1278" t="s">
        <v>11516</v>
      </c>
      <c r="I1278" t="s">
        <v>9466</v>
      </c>
      <c r="J1278" t="s">
        <v>4051</v>
      </c>
      <c r="K1278" t="s">
        <v>9416</v>
      </c>
      <c r="L1278" t="s">
        <v>9417</v>
      </c>
      <c r="M1278" t="s">
        <v>11680</v>
      </c>
      <c r="N1278" t="s">
        <v>11510</v>
      </c>
      <c r="O1278" t="s">
        <v>11810</v>
      </c>
      <c r="P1278" t="s">
        <v>9429</v>
      </c>
      <c r="Q1278" t="s">
        <v>9421</v>
      </c>
      <c r="R1278" t="s">
        <v>52</v>
      </c>
      <c r="S1278" t="s">
        <v>11807</v>
      </c>
      <c r="T1278" t="s">
        <v>11811</v>
      </c>
    </row>
    <row r="1279" spans="1:20">
      <c r="A1279" t="s">
        <v>3860</v>
      </c>
      <c r="B1279" t="s">
        <v>20</v>
      </c>
      <c r="C1279" t="s">
        <v>8667</v>
      </c>
      <c r="D1279" t="s">
        <v>10052</v>
      </c>
      <c r="E1279" t="s">
        <v>11812</v>
      </c>
      <c r="F1279" t="s">
        <v>9412</v>
      </c>
      <c r="G1279" t="s">
        <v>9413</v>
      </c>
      <c r="H1279" t="s">
        <v>11516</v>
      </c>
      <c r="I1279" t="s">
        <v>9466</v>
      </c>
      <c r="J1279" t="s">
        <v>3808</v>
      </c>
      <c r="K1279" t="s">
        <v>9416</v>
      </c>
      <c r="L1279" t="s">
        <v>9417</v>
      </c>
      <c r="M1279" t="s">
        <v>11611</v>
      </c>
      <c r="N1279" t="s">
        <v>9426</v>
      </c>
      <c r="O1279" t="s">
        <v>8089</v>
      </c>
      <c r="P1279" t="s">
        <v>9655</v>
      </c>
      <c r="Q1279" t="s">
        <v>9421</v>
      </c>
      <c r="R1279" t="s">
        <v>56</v>
      </c>
      <c r="S1279" t="s">
        <v>3383</v>
      </c>
      <c r="T1279" t="s">
        <v>3385</v>
      </c>
    </row>
    <row r="1280" spans="1:20">
      <c r="A1280" t="s">
        <v>3860</v>
      </c>
      <c r="B1280" t="s">
        <v>20</v>
      </c>
      <c r="C1280" t="s">
        <v>8667</v>
      </c>
      <c r="D1280" t="s">
        <v>10052</v>
      </c>
      <c r="E1280" t="s">
        <v>11812</v>
      </c>
      <c r="F1280" t="s">
        <v>9412</v>
      </c>
      <c r="G1280" t="s">
        <v>9413</v>
      </c>
      <c r="H1280" t="s">
        <v>11516</v>
      </c>
      <c r="I1280" t="s">
        <v>9466</v>
      </c>
      <c r="J1280" t="s">
        <v>3808</v>
      </c>
      <c r="K1280" t="s">
        <v>9445</v>
      </c>
      <c r="L1280" t="s">
        <v>9417</v>
      </c>
      <c r="M1280" t="s">
        <v>11611</v>
      </c>
      <c r="N1280" t="s">
        <v>10900</v>
      </c>
      <c r="O1280" t="s">
        <v>9446</v>
      </c>
      <c r="P1280" t="s">
        <v>9655</v>
      </c>
      <c r="Q1280" t="s">
        <v>9421</v>
      </c>
      <c r="R1280" t="s">
        <v>56</v>
      </c>
      <c r="S1280" t="s">
        <v>2917</v>
      </c>
      <c r="T1280" t="s">
        <v>2919</v>
      </c>
    </row>
    <row r="1281" spans="1:20">
      <c r="A1281" t="s">
        <v>3260</v>
      </c>
      <c r="B1281" t="s">
        <v>62</v>
      </c>
      <c r="C1281" t="s">
        <v>3263</v>
      </c>
      <c r="D1281" t="s">
        <v>9448</v>
      </c>
      <c r="E1281" t="s">
        <v>11813</v>
      </c>
      <c r="F1281" t="s">
        <v>9412</v>
      </c>
      <c r="G1281" t="s">
        <v>9413</v>
      </c>
      <c r="H1281" t="s">
        <v>3162</v>
      </c>
      <c r="I1281" t="s">
        <v>9813</v>
      </c>
      <c r="J1281" t="s">
        <v>3161</v>
      </c>
      <c r="K1281" t="s">
        <v>9416</v>
      </c>
      <c r="L1281" t="s">
        <v>9417</v>
      </c>
      <c r="M1281" t="s">
        <v>11533</v>
      </c>
      <c r="N1281" t="s">
        <v>11518</v>
      </c>
      <c r="O1281" t="s">
        <v>7969</v>
      </c>
      <c r="P1281" t="s">
        <v>9420</v>
      </c>
      <c r="Q1281" t="s">
        <v>9421</v>
      </c>
      <c r="R1281" t="s">
        <v>17</v>
      </c>
      <c r="S1281" t="s">
        <v>3260</v>
      </c>
      <c r="T1281" t="s">
        <v>3262</v>
      </c>
    </row>
    <row r="1282" spans="1:20">
      <c r="A1282" t="s">
        <v>3862</v>
      </c>
      <c r="B1282" t="s">
        <v>62</v>
      </c>
      <c r="C1282" t="s">
        <v>8671</v>
      </c>
      <c r="D1282" t="s">
        <v>9448</v>
      </c>
      <c r="E1282" t="s">
        <v>11814</v>
      </c>
      <c r="F1282" t="s">
        <v>9412</v>
      </c>
      <c r="G1282" t="s">
        <v>9413</v>
      </c>
      <c r="H1282" t="s">
        <v>11516</v>
      </c>
      <c r="I1282" t="s">
        <v>9709</v>
      </c>
      <c r="J1282" t="s">
        <v>3808</v>
      </c>
      <c r="K1282" t="s">
        <v>9416</v>
      </c>
      <c r="L1282" t="s">
        <v>9417</v>
      </c>
      <c r="M1282" t="s">
        <v>11513</v>
      </c>
      <c r="N1282" t="s">
        <v>11514</v>
      </c>
      <c r="O1282" t="s">
        <v>8669</v>
      </c>
      <c r="P1282" t="s">
        <v>9420</v>
      </c>
      <c r="Q1282" t="s">
        <v>9421</v>
      </c>
      <c r="R1282" t="s">
        <v>17</v>
      </c>
      <c r="S1282" t="s">
        <v>3862</v>
      </c>
      <c r="T1282" t="s">
        <v>3864</v>
      </c>
    </row>
    <row r="1283" spans="1:20">
      <c r="A1283" t="s">
        <v>4087</v>
      </c>
      <c r="B1283" t="s">
        <v>62</v>
      </c>
      <c r="C1283" t="s">
        <v>8942</v>
      </c>
      <c r="D1283" t="s">
        <v>9448</v>
      </c>
      <c r="E1283" t="s">
        <v>11815</v>
      </c>
      <c r="F1283" t="s">
        <v>9412</v>
      </c>
      <c r="G1283" t="s">
        <v>9413</v>
      </c>
      <c r="H1283" t="s">
        <v>11516</v>
      </c>
      <c r="I1283" t="s">
        <v>9682</v>
      </c>
      <c r="J1283" t="s">
        <v>4051</v>
      </c>
      <c r="K1283" t="s">
        <v>9416</v>
      </c>
      <c r="L1283" t="s">
        <v>9417</v>
      </c>
      <c r="M1283" t="s">
        <v>11658</v>
      </c>
      <c r="N1283" t="s">
        <v>11510</v>
      </c>
      <c r="O1283" t="s">
        <v>8940</v>
      </c>
      <c r="P1283" t="s">
        <v>9429</v>
      </c>
      <c r="Q1283" t="s">
        <v>9421</v>
      </c>
      <c r="R1283" t="s">
        <v>52</v>
      </c>
      <c r="S1283" t="s">
        <v>4087</v>
      </c>
      <c r="T1283" t="s">
        <v>4089</v>
      </c>
    </row>
    <row r="1284" spans="1:20">
      <c r="A1284" t="s">
        <v>8472</v>
      </c>
      <c r="B1284" t="s">
        <v>9409</v>
      </c>
      <c r="C1284" t="s">
        <v>8475</v>
      </c>
      <c r="D1284" t="s">
        <v>9410</v>
      </c>
      <c r="E1284" t="s">
        <v>11816</v>
      </c>
      <c r="F1284" t="s">
        <v>9412</v>
      </c>
      <c r="G1284" t="s">
        <v>9413</v>
      </c>
      <c r="H1284" t="s">
        <v>11516</v>
      </c>
      <c r="I1284" t="s">
        <v>10975</v>
      </c>
      <c r="J1284" t="s">
        <v>3619</v>
      </c>
      <c r="K1284" t="s">
        <v>9416</v>
      </c>
      <c r="L1284" t="s">
        <v>9417</v>
      </c>
      <c r="M1284" t="s">
        <v>11817</v>
      </c>
      <c r="N1284" t="s">
        <v>11605</v>
      </c>
      <c r="O1284" t="s">
        <v>8473</v>
      </c>
      <c r="P1284" t="s">
        <v>9623</v>
      </c>
      <c r="Q1284" t="s">
        <v>9421</v>
      </c>
      <c r="R1284" t="s">
        <v>24</v>
      </c>
      <c r="S1284" t="s">
        <v>8472</v>
      </c>
      <c r="T1284" t="s">
        <v>11818</v>
      </c>
    </row>
    <row r="1285" spans="1:20">
      <c r="A1285" t="s">
        <v>11819</v>
      </c>
      <c r="B1285" t="s">
        <v>9409</v>
      </c>
      <c r="C1285" t="s">
        <v>11820</v>
      </c>
      <c r="D1285" t="s">
        <v>9410</v>
      </c>
      <c r="E1285" t="s">
        <v>11821</v>
      </c>
      <c r="F1285" t="s">
        <v>9412</v>
      </c>
      <c r="G1285" t="s">
        <v>9413</v>
      </c>
      <c r="H1285" t="s">
        <v>3162</v>
      </c>
      <c r="I1285" t="s">
        <v>9466</v>
      </c>
      <c r="J1285" t="s">
        <v>3939</v>
      </c>
      <c r="K1285" t="s">
        <v>9416</v>
      </c>
      <c r="L1285" t="s">
        <v>9417</v>
      </c>
      <c r="M1285" t="s">
        <v>11822</v>
      </c>
      <c r="N1285" t="s">
        <v>11536</v>
      </c>
      <c r="O1285" t="s">
        <v>11823</v>
      </c>
      <c r="P1285" t="s">
        <v>9623</v>
      </c>
      <c r="Q1285" t="s">
        <v>9421</v>
      </c>
      <c r="R1285" t="s">
        <v>24</v>
      </c>
      <c r="S1285" t="s">
        <v>11819</v>
      </c>
      <c r="T1285" t="s">
        <v>11824</v>
      </c>
    </row>
    <row r="1286" spans="1:20">
      <c r="A1286" t="s">
        <v>11819</v>
      </c>
      <c r="B1286" t="s">
        <v>9409</v>
      </c>
      <c r="C1286" t="s">
        <v>11820</v>
      </c>
      <c r="D1286" t="s">
        <v>9410</v>
      </c>
      <c r="E1286" t="s">
        <v>11821</v>
      </c>
      <c r="F1286" t="s">
        <v>9412</v>
      </c>
      <c r="G1286" t="s">
        <v>9413</v>
      </c>
      <c r="H1286" t="s">
        <v>3162</v>
      </c>
      <c r="I1286" t="s">
        <v>9466</v>
      </c>
      <c r="J1286" t="s">
        <v>3939</v>
      </c>
      <c r="K1286" t="s">
        <v>9445</v>
      </c>
      <c r="L1286" t="s">
        <v>9417</v>
      </c>
      <c r="M1286" t="s">
        <v>11822</v>
      </c>
      <c r="N1286" t="s">
        <v>9426</v>
      </c>
      <c r="O1286" t="s">
        <v>9446</v>
      </c>
      <c r="P1286" t="s">
        <v>9479</v>
      </c>
      <c r="Q1286" t="s">
        <v>9421</v>
      </c>
      <c r="R1286" t="s">
        <v>43</v>
      </c>
      <c r="S1286" t="s">
        <v>3597</v>
      </c>
      <c r="T1286" t="s">
        <v>3599</v>
      </c>
    </row>
    <row r="1287" spans="1:20">
      <c r="A1287" t="s">
        <v>4091</v>
      </c>
      <c r="B1287" t="s">
        <v>20</v>
      </c>
      <c r="C1287" t="s">
        <v>8946</v>
      </c>
      <c r="D1287" t="s">
        <v>9666</v>
      </c>
      <c r="E1287" t="s">
        <v>11825</v>
      </c>
      <c r="F1287" t="s">
        <v>9412</v>
      </c>
      <c r="G1287" t="s">
        <v>9413</v>
      </c>
      <c r="H1287" t="s">
        <v>11516</v>
      </c>
      <c r="I1287" t="s">
        <v>9813</v>
      </c>
      <c r="J1287" t="s">
        <v>4051</v>
      </c>
      <c r="K1287" t="s">
        <v>9416</v>
      </c>
      <c r="L1287" t="s">
        <v>9417</v>
      </c>
      <c r="M1287" t="s">
        <v>11781</v>
      </c>
      <c r="N1287" t="s">
        <v>11510</v>
      </c>
      <c r="O1287" t="s">
        <v>8944</v>
      </c>
      <c r="P1287" t="s">
        <v>9420</v>
      </c>
      <c r="Q1287" t="s">
        <v>9421</v>
      </c>
      <c r="R1287" t="s">
        <v>17</v>
      </c>
      <c r="S1287" t="s">
        <v>4091</v>
      </c>
      <c r="T1287" t="s">
        <v>4093</v>
      </c>
    </row>
    <row r="1288" spans="1:20">
      <c r="A1288" t="s">
        <v>4095</v>
      </c>
      <c r="B1288" t="s">
        <v>20</v>
      </c>
      <c r="C1288" t="s">
        <v>8950</v>
      </c>
      <c r="D1288" t="s">
        <v>10052</v>
      </c>
      <c r="E1288" t="s">
        <v>11826</v>
      </c>
      <c r="F1288" t="s">
        <v>9412</v>
      </c>
      <c r="G1288" t="s">
        <v>9413</v>
      </c>
      <c r="H1288" t="s">
        <v>11516</v>
      </c>
      <c r="I1288" t="s">
        <v>10975</v>
      </c>
      <c r="J1288" t="s">
        <v>4051</v>
      </c>
      <c r="K1288" t="s">
        <v>9416</v>
      </c>
      <c r="L1288" t="s">
        <v>9417</v>
      </c>
      <c r="M1288" t="s">
        <v>11658</v>
      </c>
      <c r="N1288" t="s">
        <v>11510</v>
      </c>
      <c r="O1288" t="s">
        <v>8948</v>
      </c>
      <c r="P1288" t="s">
        <v>9420</v>
      </c>
      <c r="Q1288" t="s">
        <v>9421</v>
      </c>
      <c r="R1288" t="s">
        <v>17</v>
      </c>
      <c r="S1288" t="s">
        <v>4095</v>
      </c>
      <c r="T1288" t="s">
        <v>4097</v>
      </c>
    </row>
    <row r="1289" spans="1:20">
      <c r="A1289" t="s">
        <v>4099</v>
      </c>
      <c r="B1289" t="s">
        <v>20</v>
      </c>
      <c r="C1289" t="s">
        <v>8954</v>
      </c>
      <c r="D1289" t="s">
        <v>9455</v>
      </c>
      <c r="E1289" t="s">
        <v>11827</v>
      </c>
      <c r="F1289" t="s">
        <v>9412</v>
      </c>
      <c r="G1289" t="s">
        <v>9413</v>
      </c>
      <c r="H1289" t="s">
        <v>11516</v>
      </c>
      <c r="I1289" t="s">
        <v>10191</v>
      </c>
      <c r="J1289" t="s">
        <v>4051</v>
      </c>
      <c r="K1289" t="s">
        <v>9416</v>
      </c>
      <c r="L1289" t="s">
        <v>9417</v>
      </c>
      <c r="M1289" t="s">
        <v>11828</v>
      </c>
      <c r="N1289" t="s">
        <v>11510</v>
      </c>
      <c r="O1289" t="s">
        <v>8952</v>
      </c>
      <c r="P1289" t="s">
        <v>9420</v>
      </c>
      <c r="Q1289" t="s">
        <v>9421</v>
      </c>
      <c r="R1289" t="s">
        <v>17</v>
      </c>
      <c r="S1289" t="s">
        <v>4099</v>
      </c>
      <c r="T1289" t="s">
        <v>4101</v>
      </c>
    </row>
    <row r="1290" spans="1:20">
      <c r="A1290" t="s">
        <v>8956</v>
      </c>
      <c r="B1290" t="s">
        <v>9409</v>
      </c>
      <c r="C1290" t="s">
        <v>8959</v>
      </c>
      <c r="D1290" t="s">
        <v>9410</v>
      </c>
      <c r="E1290" t="s">
        <v>11829</v>
      </c>
      <c r="F1290" t="s">
        <v>9412</v>
      </c>
      <c r="G1290" t="s">
        <v>9413</v>
      </c>
      <c r="H1290" t="s">
        <v>11516</v>
      </c>
      <c r="I1290" t="s">
        <v>9709</v>
      </c>
      <c r="J1290" t="s">
        <v>4051</v>
      </c>
      <c r="K1290" t="s">
        <v>9416</v>
      </c>
      <c r="L1290" t="s">
        <v>9417</v>
      </c>
      <c r="M1290" t="s">
        <v>11528</v>
      </c>
      <c r="N1290" t="s">
        <v>11510</v>
      </c>
      <c r="O1290" t="s">
        <v>8957</v>
      </c>
      <c r="P1290" t="s">
        <v>9420</v>
      </c>
      <c r="Q1290" t="s">
        <v>9421</v>
      </c>
      <c r="R1290" t="s">
        <v>17</v>
      </c>
      <c r="S1290" t="s">
        <v>8956</v>
      </c>
      <c r="T1290" t="s">
        <v>11830</v>
      </c>
    </row>
    <row r="1291" spans="1:20">
      <c r="A1291" t="s">
        <v>4103</v>
      </c>
      <c r="B1291" t="s">
        <v>20</v>
      </c>
      <c r="C1291" t="s">
        <v>8963</v>
      </c>
      <c r="D1291" t="s">
        <v>9455</v>
      </c>
      <c r="E1291" t="s">
        <v>11831</v>
      </c>
      <c r="F1291" t="s">
        <v>9412</v>
      </c>
      <c r="G1291" t="s">
        <v>9413</v>
      </c>
      <c r="H1291" t="s">
        <v>11516</v>
      </c>
      <c r="I1291" t="s">
        <v>10099</v>
      </c>
      <c r="J1291" t="s">
        <v>4051</v>
      </c>
      <c r="K1291" t="s">
        <v>9416</v>
      </c>
      <c r="L1291" t="s">
        <v>9417</v>
      </c>
      <c r="M1291" t="s">
        <v>11528</v>
      </c>
      <c r="N1291" t="s">
        <v>11510</v>
      </c>
      <c r="O1291" t="s">
        <v>8961</v>
      </c>
      <c r="P1291" t="s">
        <v>9420</v>
      </c>
      <c r="Q1291" t="s">
        <v>9421</v>
      </c>
      <c r="R1291" t="s">
        <v>17</v>
      </c>
      <c r="S1291" t="s">
        <v>4103</v>
      </c>
      <c r="T1291" t="s">
        <v>4105</v>
      </c>
    </row>
    <row r="1292" spans="1:20">
      <c r="A1292" t="s">
        <v>3264</v>
      </c>
      <c r="B1292" t="s">
        <v>62</v>
      </c>
      <c r="C1292" t="s">
        <v>7975</v>
      </c>
      <c r="D1292" t="s">
        <v>9448</v>
      </c>
      <c r="E1292" t="s">
        <v>11832</v>
      </c>
      <c r="F1292" t="s">
        <v>9412</v>
      </c>
      <c r="G1292" t="s">
        <v>9413</v>
      </c>
      <c r="H1292" t="s">
        <v>11516</v>
      </c>
      <c r="I1292" t="s">
        <v>9709</v>
      </c>
      <c r="J1292" t="s">
        <v>3161</v>
      </c>
      <c r="K1292" t="s">
        <v>9416</v>
      </c>
      <c r="L1292" t="s">
        <v>9417</v>
      </c>
      <c r="M1292" t="s">
        <v>11523</v>
      </c>
      <c r="N1292" t="s">
        <v>11518</v>
      </c>
      <c r="O1292" t="s">
        <v>7973</v>
      </c>
      <c r="P1292" t="s">
        <v>11529</v>
      </c>
      <c r="Q1292" t="s">
        <v>9421</v>
      </c>
      <c r="R1292" t="s">
        <v>17</v>
      </c>
      <c r="S1292" t="s">
        <v>3264</v>
      </c>
      <c r="T1292" t="s">
        <v>3266</v>
      </c>
    </row>
    <row r="1293" spans="1:20">
      <c r="A1293" t="s">
        <v>3442</v>
      </c>
      <c r="B1293" t="s">
        <v>62</v>
      </c>
      <c r="C1293" t="s">
        <v>3445</v>
      </c>
      <c r="D1293" t="s">
        <v>9448</v>
      </c>
      <c r="E1293" t="s">
        <v>11833</v>
      </c>
      <c r="F1293" t="s">
        <v>9412</v>
      </c>
      <c r="G1293" t="s">
        <v>9413</v>
      </c>
      <c r="H1293" t="s">
        <v>3162</v>
      </c>
      <c r="I1293" t="s">
        <v>9466</v>
      </c>
      <c r="J1293" t="s">
        <v>3399</v>
      </c>
      <c r="K1293" t="s">
        <v>9416</v>
      </c>
      <c r="L1293" t="s">
        <v>9417</v>
      </c>
      <c r="M1293" t="s">
        <v>11834</v>
      </c>
      <c r="N1293" t="s">
        <v>11550</v>
      </c>
      <c r="O1293" t="s">
        <v>8156</v>
      </c>
      <c r="P1293" t="s">
        <v>9420</v>
      </c>
      <c r="Q1293" t="s">
        <v>9421</v>
      </c>
      <c r="R1293" t="s">
        <v>17</v>
      </c>
      <c r="S1293" t="s">
        <v>3442</v>
      </c>
      <c r="T1293" t="s">
        <v>3444</v>
      </c>
    </row>
    <row r="1294" spans="1:20">
      <c r="A1294" t="s">
        <v>3442</v>
      </c>
      <c r="B1294" t="s">
        <v>62</v>
      </c>
      <c r="C1294" t="s">
        <v>3445</v>
      </c>
      <c r="D1294" t="s">
        <v>9448</v>
      </c>
      <c r="E1294" t="s">
        <v>11833</v>
      </c>
      <c r="F1294" t="s">
        <v>9412</v>
      </c>
      <c r="G1294" t="s">
        <v>9413</v>
      </c>
      <c r="H1294" t="s">
        <v>3162</v>
      </c>
      <c r="I1294" t="s">
        <v>9466</v>
      </c>
      <c r="J1294" t="s">
        <v>3399</v>
      </c>
      <c r="K1294" t="s">
        <v>9445</v>
      </c>
      <c r="L1294" t="s">
        <v>9417</v>
      </c>
      <c r="M1294" t="s">
        <v>11834</v>
      </c>
      <c r="N1294" t="s">
        <v>9426</v>
      </c>
      <c r="O1294" t="s">
        <v>9446</v>
      </c>
      <c r="P1294" t="s">
        <v>9479</v>
      </c>
      <c r="Q1294" t="s">
        <v>9421</v>
      </c>
      <c r="R1294" t="s">
        <v>43</v>
      </c>
      <c r="S1294" t="s">
        <v>3174</v>
      </c>
      <c r="T1294" t="s">
        <v>3176</v>
      </c>
    </row>
    <row r="1295" spans="1:20">
      <c r="A1295" t="s">
        <v>8477</v>
      </c>
      <c r="B1295" t="s">
        <v>9409</v>
      </c>
      <c r="C1295" t="s">
        <v>8480</v>
      </c>
      <c r="D1295" t="s">
        <v>9410</v>
      </c>
      <c r="E1295" t="s">
        <v>11835</v>
      </c>
      <c r="F1295" t="s">
        <v>9412</v>
      </c>
      <c r="G1295" t="s">
        <v>9413</v>
      </c>
      <c r="H1295" t="s">
        <v>11516</v>
      </c>
      <c r="I1295" t="s">
        <v>9709</v>
      </c>
      <c r="J1295" t="s">
        <v>3619</v>
      </c>
      <c r="K1295" t="s">
        <v>9416</v>
      </c>
      <c r="L1295" t="s">
        <v>9417</v>
      </c>
      <c r="M1295" t="s">
        <v>11702</v>
      </c>
      <c r="N1295" t="s">
        <v>11605</v>
      </c>
      <c r="O1295" t="s">
        <v>8478</v>
      </c>
      <c r="P1295" t="s">
        <v>9420</v>
      </c>
      <c r="Q1295" t="s">
        <v>9421</v>
      </c>
      <c r="R1295" t="s">
        <v>17</v>
      </c>
      <c r="S1295" t="s">
        <v>8477</v>
      </c>
      <c r="T1295" t="s">
        <v>8479</v>
      </c>
    </row>
    <row r="1296" spans="1:20">
      <c r="A1296" t="s">
        <v>8824</v>
      </c>
      <c r="B1296" t="s">
        <v>9409</v>
      </c>
      <c r="C1296" t="s">
        <v>8827</v>
      </c>
      <c r="D1296" t="s">
        <v>9410</v>
      </c>
      <c r="E1296" t="s">
        <v>11836</v>
      </c>
      <c r="F1296" t="s">
        <v>9412</v>
      </c>
      <c r="G1296" t="s">
        <v>9413</v>
      </c>
      <c r="H1296" t="s">
        <v>11516</v>
      </c>
      <c r="I1296" t="s">
        <v>9709</v>
      </c>
      <c r="J1296" t="s">
        <v>3939</v>
      </c>
      <c r="K1296" t="s">
        <v>9416</v>
      </c>
      <c r="L1296" t="s">
        <v>9417</v>
      </c>
      <c r="M1296" t="s">
        <v>11535</v>
      </c>
      <c r="N1296" t="s">
        <v>11536</v>
      </c>
      <c r="O1296" t="s">
        <v>8825</v>
      </c>
      <c r="P1296" t="s">
        <v>9420</v>
      </c>
      <c r="Q1296" t="s">
        <v>9421</v>
      </c>
      <c r="R1296" t="s">
        <v>17</v>
      </c>
      <c r="S1296" t="s">
        <v>8824</v>
      </c>
      <c r="T1296" t="s">
        <v>11837</v>
      </c>
    </row>
    <row r="1297" spans="1:20">
      <c r="A1297" t="s">
        <v>8824</v>
      </c>
      <c r="B1297" t="s">
        <v>9409</v>
      </c>
      <c r="C1297" t="s">
        <v>8827</v>
      </c>
      <c r="D1297" t="s">
        <v>9410</v>
      </c>
      <c r="E1297" t="s">
        <v>11836</v>
      </c>
      <c r="F1297" t="s">
        <v>9412</v>
      </c>
      <c r="G1297" t="s">
        <v>9413</v>
      </c>
      <c r="H1297" t="s">
        <v>11516</v>
      </c>
      <c r="I1297" t="s">
        <v>9709</v>
      </c>
      <c r="J1297" t="s">
        <v>3939</v>
      </c>
      <c r="K1297" t="s">
        <v>9445</v>
      </c>
      <c r="L1297" t="s">
        <v>9417</v>
      </c>
      <c r="M1297" t="s">
        <v>11535</v>
      </c>
      <c r="N1297" t="s">
        <v>9426</v>
      </c>
      <c r="O1297" t="s">
        <v>9446</v>
      </c>
      <c r="P1297" t="s">
        <v>9479</v>
      </c>
      <c r="Q1297" t="s">
        <v>9421</v>
      </c>
      <c r="R1297" t="s">
        <v>43</v>
      </c>
      <c r="S1297" t="s">
        <v>3597</v>
      </c>
      <c r="T1297" t="s">
        <v>3599</v>
      </c>
    </row>
    <row r="1298" spans="1:20">
      <c r="A1298" t="s">
        <v>8824</v>
      </c>
      <c r="B1298" t="s">
        <v>9409</v>
      </c>
      <c r="C1298" t="s">
        <v>8827</v>
      </c>
      <c r="D1298" t="s">
        <v>9410</v>
      </c>
      <c r="E1298" t="s">
        <v>11836</v>
      </c>
      <c r="F1298" t="s">
        <v>9412</v>
      </c>
      <c r="G1298" t="s">
        <v>9413</v>
      </c>
      <c r="H1298" t="s">
        <v>11516</v>
      </c>
      <c r="I1298" t="s">
        <v>9709</v>
      </c>
      <c r="J1298" t="s">
        <v>3939</v>
      </c>
      <c r="K1298" t="s">
        <v>9416</v>
      </c>
      <c r="L1298" t="s">
        <v>9417</v>
      </c>
      <c r="M1298" t="s">
        <v>11535</v>
      </c>
      <c r="N1298" t="s">
        <v>11536</v>
      </c>
      <c r="O1298" t="s">
        <v>8830</v>
      </c>
      <c r="P1298" t="s">
        <v>9429</v>
      </c>
      <c r="Q1298" t="s">
        <v>9421</v>
      </c>
      <c r="R1298" t="s">
        <v>52</v>
      </c>
      <c r="S1298" t="s">
        <v>8829</v>
      </c>
      <c r="T1298" t="s">
        <v>11838</v>
      </c>
    </row>
    <row r="1299" spans="1:20">
      <c r="A1299" t="s">
        <v>11839</v>
      </c>
      <c r="B1299" t="s">
        <v>9409</v>
      </c>
      <c r="C1299" t="s">
        <v>11840</v>
      </c>
      <c r="D1299" t="s">
        <v>9410</v>
      </c>
      <c r="E1299" t="s">
        <v>11841</v>
      </c>
      <c r="F1299" t="s">
        <v>9412</v>
      </c>
      <c r="G1299" t="s">
        <v>9413</v>
      </c>
      <c r="H1299" t="s">
        <v>11516</v>
      </c>
      <c r="I1299" t="s">
        <v>11842</v>
      </c>
      <c r="J1299" t="s">
        <v>3808</v>
      </c>
      <c r="K1299" t="s">
        <v>9416</v>
      </c>
      <c r="L1299" t="s">
        <v>9417</v>
      </c>
      <c r="M1299" t="s">
        <v>11804</v>
      </c>
      <c r="N1299" t="s">
        <v>11514</v>
      </c>
      <c r="O1299" t="s">
        <v>11843</v>
      </c>
      <c r="P1299" t="s">
        <v>11844</v>
      </c>
      <c r="Q1299" t="s">
        <v>9421</v>
      </c>
      <c r="R1299" t="s">
        <v>52</v>
      </c>
      <c r="S1299" t="s">
        <v>11839</v>
      </c>
      <c r="T1299" t="s">
        <v>11845</v>
      </c>
    </row>
    <row r="1300" spans="1:20">
      <c r="A1300" t="s">
        <v>3531</v>
      </c>
      <c r="B1300" t="s">
        <v>20</v>
      </c>
      <c r="C1300" t="s">
        <v>3534</v>
      </c>
      <c r="D1300" t="s">
        <v>9464</v>
      </c>
      <c r="E1300" t="s">
        <v>11846</v>
      </c>
      <c r="F1300" t="s">
        <v>9412</v>
      </c>
      <c r="G1300" t="s">
        <v>9413</v>
      </c>
      <c r="H1300" t="s">
        <v>3162</v>
      </c>
      <c r="I1300" t="s">
        <v>9886</v>
      </c>
      <c r="J1300" t="s">
        <v>3506</v>
      </c>
      <c r="K1300" t="s">
        <v>9416</v>
      </c>
      <c r="L1300" t="s">
        <v>9417</v>
      </c>
      <c r="M1300" t="s">
        <v>11577</v>
      </c>
      <c r="N1300" t="s">
        <v>11543</v>
      </c>
      <c r="O1300" t="s">
        <v>8300</v>
      </c>
      <c r="P1300" t="s">
        <v>9429</v>
      </c>
      <c r="Q1300" t="s">
        <v>9421</v>
      </c>
      <c r="R1300" t="s">
        <v>52</v>
      </c>
      <c r="S1300" t="s">
        <v>3531</v>
      </c>
      <c r="T1300" t="s">
        <v>3533</v>
      </c>
    </row>
    <row r="1301" spans="1:20">
      <c r="A1301" t="s">
        <v>8304</v>
      </c>
      <c r="B1301" t="s">
        <v>9409</v>
      </c>
      <c r="C1301" t="s">
        <v>8307</v>
      </c>
      <c r="D1301" t="s">
        <v>9410</v>
      </c>
      <c r="E1301" t="s">
        <v>11847</v>
      </c>
      <c r="F1301" t="s">
        <v>9412</v>
      </c>
      <c r="G1301" t="s">
        <v>9413</v>
      </c>
      <c r="H1301" t="s">
        <v>11516</v>
      </c>
      <c r="I1301" t="s">
        <v>9709</v>
      </c>
      <c r="J1301" t="s">
        <v>3506</v>
      </c>
      <c r="K1301" t="s">
        <v>9416</v>
      </c>
      <c r="L1301" t="s">
        <v>9417</v>
      </c>
      <c r="M1301" t="s">
        <v>11577</v>
      </c>
      <c r="N1301" t="s">
        <v>11543</v>
      </c>
      <c r="O1301" t="s">
        <v>8305</v>
      </c>
      <c r="P1301" t="s">
        <v>9420</v>
      </c>
      <c r="Q1301" t="s">
        <v>9421</v>
      </c>
      <c r="R1301" t="s">
        <v>17</v>
      </c>
      <c r="S1301" t="s">
        <v>8304</v>
      </c>
      <c r="T1301" t="s">
        <v>8306</v>
      </c>
    </row>
    <row r="1302" spans="1:20">
      <c r="A1302" t="s">
        <v>11848</v>
      </c>
      <c r="B1302" t="s">
        <v>9409</v>
      </c>
      <c r="C1302" t="s">
        <v>11849</v>
      </c>
      <c r="D1302" t="s">
        <v>9410</v>
      </c>
      <c r="E1302" t="s">
        <v>11850</v>
      </c>
      <c r="F1302" t="s">
        <v>9412</v>
      </c>
      <c r="G1302" t="s">
        <v>9413</v>
      </c>
      <c r="H1302" t="s">
        <v>11516</v>
      </c>
      <c r="I1302" t="s">
        <v>10150</v>
      </c>
      <c r="J1302" t="s">
        <v>3808</v>
      </c>
      <c r="K1302" t="s">
        <v>9416</v>
      </c>
      <c r="L1302" t="s">
        <v>9417</v>
      </c>
      <c r="M1302" t="s">
        <v>11622</v>
      </c>
      <c r="N1302" t="s">
        <v>11514</v>
      </c>
      <c r="O1302" t="s">
        <v>11851</v>
      </c>
      <c r="P1302" t="s">
        <v>9420</v>
      </c>
      <c r="Q1302" t="s">
        <v>9421</v>
      </c>
      <c r="R1302" t="s">
        <v>17</v>
      </c>
      <c r="S1302" t="s">
        <v>11848</v>
      </c>
      <c r="T1302" t="s">
        <v>11852</v>
      </c>
    </row>
    <row r="1303" spans="1:20">
      <c r="A1303" t="s">
        <v>3866</v>
      </c>
      <c r="B1303" t="s">
        <v>62</v>
      </c>
      <c r="C1303" t="s">
        <v>8673</v>
      </c>
      <c r="D1303" t="s">
        <v>445</v>
      </c>
      <c r="E1303" t="s">
        <v>11853</v>
      </c>
      <c r="F1303" t="s">
        <v>9412</v>
      </c>
      <c r="G1303" t="s">
        <v>9413</v>
      </c>
      <c r="H1303" t="s">
        <v>11516</v>
      </c>
      <c r="I1303" t="s">
        <v>10589</v>
      </c>
      <c r="J1303" t="s">
        <v>3808</v>
      </c>
      <c r="K1303" t="s">
        <v>9416</v>
      </c>
      <c r="L1303" t="s">
        <v>9417</v>
      </c>
      <c r="M1303" t="s">
        <v>11634</v>
      </c>
      <c r="N1303" t="s">
        <v>11514</v>
      </c>
      <c r="O1303" t="s">
        <v>8675</v>
      </c>
      <c r="P1303" t="s">
        <v>9420</v>
      </c>
      <c r="Q1303" t="s">
        <v>9421</v>
      </c>
      <c r="R1303" t="s">
        <v>17</v>
      </c>
      <c r="S1303" t="s">
        <v>3866</v>
      </c>
      <c r="T1303" t="s">
        <v>3869</v>
      </c>
    </row>
    <row r="1304" spans="1:20">
      <c r="A1304" t="s">
        <v>3866</v>
      </c>
      <c r="B1304" t="s">
        <v>62</v>
      </c>
      <c r="C1304" t="s">
        <v>8673</v>
      </c>
      <c r="D1304" t="s">
        <v>445</v>
      </c>
      <c r="E1304" t="s">
        <v>11853</v>
      </c>
      <c r="F1304" t="s">
        <v>9412</v>
      </c>
      <c r="G1304" t="s">
        <v>9413</v>
      </c>
      <c r="H1304" t="s">
        <v>11516</v>
      </c>
      <c r="I1304" t="s">
        <v>10589</v>
      </c>
      <c r="J1304" t="s">
        <v>3808</v>
      </c>
      <c r="K1304" t="s">
        <v>9445</v>
      </c>
      <c r="L1304" t="s">
        <v>9417</v>
      </c>
      <c r="M1304" t="s">
        <v>11634</v>
      </c>
      <c r="N1304" t="s">
        <v>9426</v>
      </c>
      <c r="O1304" t="s">
        <v>9446</v>
      </c>
      <c r="P1304" t="s">
        <v>9623</v>
      </c>
      <c r="Q1304" t="s">
        <v>9421</v>
      </c>
      <c r="R1304" t="s">
        <v>24</v>
      </c>
      <c r="S1304" t="s">
        <v>3544</v>
      </c>
      <c r="T1304" t="s">
        <v>3546</v>
      </c>
    </row>
    <row r="1305" spans="1:20">
      <c r="A1305" t="s">
        <v>8309</v>
      </c>
      <c r="B1305" t="s">
        <v>9409</v>
      </c>
      <c r="C1305" t="s">
        <v>8312</v>
      </c>
      <c r="D1305" t="s">
        <v>9410</v>
      </c>
      <c r="E1305" t="s">
        <v>11854</v>
      </c>
      <c r="F1305" t="s">
        <v>9412</v>
      </c>
      <c r="G1305" t="s">
        <v>9413</v>
      </c>
      <c r="H1305" t="s">
        <v>11516</v>
      </c>
      <c r="I1305" t="s">
        <v>9645</v>
      </c>
      <c r="J1305" t="s">
        <v>3506</v>
      </c>
      <c r="K1305" t="s">
        <v>9416</v>
      </c>
      <c r="L1305" t="s">
        <v>9417</v>
      </c>
      <c r="M1305" t="s">
        <v>11615</v>
      </c>
      <c r="N1305" t="s">
        <v>11543</v>
      </c>
      <c r="O1305" t="s">
        <v>8310</v>
      </c>
      <c r="P1305" t="s">
        <v>9420</v>
      </c>
      <c r="Q1305" t="s">
        <v>9421</v>
      </c>
      <c r="R1305" t="s">
        <v>17</v>
      </c>
      <c r="S1305" t="s">
        <v>8309</v>
      </c>
      <c r="T1305" t="s">
        <v>11855</v>
      </c>
    </row>
    <row r="1306" spans="1:20">
      <c r="A1306" t="s">
        <v>3446</v>
      </c>
      <c r="B1306" t="s">
        <v>62</v>
      </c>
      <c r="C1306" t="s">
        <v>8162</v>
      </c>
      <c r="D1306" t="s">
        <v>9448</v>
      </c>
      <c r="E1306" t="s">
        <v>11856</v>
      </c>
      <c r="F1306" t="s">
        <v>9412</v>
      </c>
      <c r="G1306" t="s">
        <v>9413</v>
      </c>
      <c r="H1306" t="s">
        <v>11516</v>
      </c>
      <c r="I1306" t="s">
        <v>10228</v>
      </c>
      <c r="J1306" t="s">
        <v>3399</v>
      </c>
      <c r="K1306" t="s">
        <v>9416</v>
      </c>
      <c r="L1306" t="s">
        <v>9417</v>
      </c>
      <c r="M1306" t="s">
        <v>11564</v>
      </c>
      <c r="N1306" t="s">
        <v>11550</v>
      </c>
      <c r="O1306" t="s">
        <v>8160</v>
      </c>
      <c r="P1306" t="s">
        <v>9420</v>
      </c>
      <c r="Q1306" t="s">
        <v>9421</v>
      </c>
      <c r="R1306" t="s">
        <v>17</v>
      </c>
      <c r="S1306" t="s">
        <v>3446</v>
      </c>
      <c r="T1306" t="s">
        <v>3448</v>
      </c>
    </row>
    <row r="1307" spans="1:20">
      <c r="A1307" t="s">
        <v>8164</v>
      </c>
      <c r="B1307" t="s">
        <v>9409</v>
      </c>
      <c r="C1307" t="s">
        <v>8167</v>
      </c>
      <c r="D1307" t="s">
        <v>9410</v>
      </c>
      <c r="E1307" t="s">
        <v>11857</v>
      </c>
      <c r="F1307" t="s">
        <v>9412</v>
      </c>
      <c r="G1307" t="s">
        <v>9413</v>
      </c>
      <c r="H1307" t="s">
        <v>11516</v>
      </c>
      <c r="I1307" t="s">
        <v>10116</v>
      </c>
      <c r="J1307" t="s">
        <v>3399</v>
      </c>
      <c r="K1307" t="s">
        <v>9416</v>
      </c>
      <c r="L1307" t="s">
        <v>9417</v>
      </c>
      <c r="M1307" t="s">
        <v>11858</v>
      </c>
      <c r="N1307" t="s">
        <v>11550</v>
      </c>
      <c r="O1307" t="s">
        <v>8165</v>
      </c>
      <c r="P1307" t="s">
        <v>9623</v>
      </c>
      <c r="Q1307" t="s">
        <v>9421</v>
      </c>
      <c r="R1307" t="s">
        <v>24</v>
      </c>
      <c r="S1307" t="s">
        <v>8164</v>
      </c>
      <c r="T1307" t="s">
        <v>11859</v>
      </c>
    </row>
    <row r="1308" spans="1:20">
      <c r="A1308" t="s">
        <v>3450</v>
      </c>
      <c r="B1308" t="s">
        <v>20</v>
      </c>
      <c r="C1308" t="s">
        <v>3453</v>
      </c>
      <c r="D1308" t="s">
        <v>11860</v>
      </c>
      <c r="E1308" t="s">
        <v>11861</v>
      </c>
      <c r="F1308" t="s">
        <v>9412</v>
      </c>
      <c r="G1308" t="s">
        <v>9413</v>
      </c>
      <c r="H1308" t="s">
        <v>3162</v>
      </c>
      <c r="I1308" t="s">
        <v>9511</v>
      </c>
      <c r="J1308" t="s">
        <v>3399</v>
      </c>
      <c r="K1308" t="s">
        <v>9416</v>
      </c>
      <c r="L1308" t="s">
        <v>9417</v>
      </c>
      <c r="M1308" t="s">
        <v>11858</v>
      </c>
      <c r="N1308" t="s">
        <v>11550</v>
      </c>
      <c r="O1308" t="s">
        <v>8169</v>
      </c>
      <c r="P1308" t="s">
        <v>9420</v>
      </c>
      <c r="Q1308" t="s">
        <v>9421</v>
      </c>
      <c r="R1308" t="s">
        <v>17</v>
      </c>
      <c r="S1308" t="s">
        <v>3450</v>
      </c>
      <c r="T1308" t="s">
        <v>3452</v>
      </c>
    </row>
    <row r="1309" spans="1:20">
      <c r="A1309" t="s">
        <v>4107</v>
      </c>
      <c r="B1309" t="s">
        <v>20</v>
      </c>
      <c r="C1309" t="s">
        <v>8967</v>
      </c>
      <c r="D1309" t="s">
        <v>10052</v>
      </c>
      <c r="E1309" t="s">
        <v>11862</v>
      </c>
      <c r="F1309" t="s">
        <v>9412</v>
      </c>
      <c r="G1309" t="s">
        <v>9413</v>
      </c>
      <c r="H1309" t="s">
        <v>11516</v>
      </c>
      <c r="I1309" t="s">
        <v>9645</v>
      </c>
      <c r="J1309" t="s">
        <v>4051</v>
      </c>
      <c r="K1309" t="s">
        <v>9416</v>
      </c>
      <c r="L1309" t="s">
        <v>9417</v>
      </c>
      <c r="M1309" t="s">
        <v>11668</v>
      </c>
      <c r="N1309" t="s">
        <v>11510</v>
      </c>
      <c r="O1309" t="s">
        <v>8965</v>
      </c>
      <c r="P1309" t="s">
        <v>9420</v>
      </c>
      <c r="Q1309" t="s">
        <v>9421</v>
      </c>
      <c r="R1309" t="s">
        <v>17</v>
      </c>
      <c r="S1309" t="s">
        <v>4107</v>
      </c>
      <c r="T1309" t="s">
        <v>4109</v>
      </c>
    </row>
    <row r="1310" spans="1:20">
      <c r="A1310" t="s">
        <v>3454</v>
      </c>
      <c r="B1310" t="s">
        <v>62</v>
      </c>
      <c r="C1310" t="s">
        <v>8175</v>
      </c>
      <c r="D1310" t="s">
        <v>9448</v>
      </c>
      <c r="E1310" t="s">
        <v>11863</v>
      </c>
      <c r="F1310" t="s">
        <v>9412</v>
      </c>
      <c r="G1310" t="s">
        <v>9413</v>
      </c>
      <c r="H1310" t="s">
        <v>11516</v>
      </c>
      <c r="I1310" t="s">
        <v>10261</v>
      </c>
      <c r="J1310" t="s">
        <v>3399</v>
      </c>
      <c r="K1310" t="s">
        <v>9416</v>
      </c>
      <c r="L1310" t="s">
        <v>9417</v>
      </c>
      <c r="M1310" t="s">
        <v>11834</v>
      </c>
      <c r="N1310" t="s">
        <v>11550</v>
      </c>
      <c r="O1310" t="s">
        <v>8173</v>
      </c>
      <c r="P1310" t="s">
        <v>9429</v>
      </c>
      <c r="Q1310" t="s">
        <v>9421</v>
      </c>
      <c r="R1310" t="s">
        <v>52</v>
      </c>
      <c r="S1310" t="s">
        <v>3455</v>
      </c>
      <c r="T1310" t="s">
        <v>3457</v>
      </c>
    </row>
    <row r="1311" spans="1:20">
      <c r="A1311" t="s">
        <v>3454</v>
      </c>
      <c r="B1311" t="s">
        <v>62</v>
      </c>
      <c r="C1311" t="s">
        <v>8175</v>
      </c>
      <c r="D1311" t="s">
        <v>9448</v>
      </c>
      <c r="E1311" t="s">
        <v>11863</v>
      </c>
      <c r="F1311" t="s">
        <v>9412</v>
      </c>
      <c r="G1311" t="s">
        <v>9413</v>
      </c>
      <c r="H1311" t="s">
        <v>11516</v>
      </c>
      <c r="I1311" t="s">
        <v>10261</v>
      </c>
      <c r="J1311" t="s">
        <v>3399</v>
      </c>
      <c r="K1311" t="s">
        <v>9416</v>
      </c>
      <c r="L1311" t="s">
        <v>9417</v>
      </c>
      <c r="M1311" t="s">
        <v>11834</v>
      </c>
      <c r="N1311" t="s">
        <v>9426</v>
      </c>
      <c r="O1311" t="s">
        <v>7879</v>
      </c>
      <c r="P1311" t="s">
        <v>9479</v>
      </c>
      <c r="Q1311" t="s">
        <v>9421</v>
      </c>
      <c r="R1311" t="s">
        <v>43</v>
      </c>
      <c r="S1311" t="s">
        <v>3174</v>
      </c>
      <c r="T1311" t="s">
        <v>3176</v>
      </c>
    </row>
    <row r="1312" spans="1:20">
      <c r="A1312" t="s">
        <v>3454</v>
      </c>
      <c r="B1312" t="s">
        <v>62</v>
      </c>
      <c r="C1312" t="s">
        <v>8175</v>
      </c>
      <c r="D1312" t="s">
        <v>9448</v>
      </c>
      <c r="E1312" t="s">
        <v>11863</v>
      </c>
      <c r="F1312" t="s">
        <v>9412</v>
      </c>
      <c r="G1312" t="s">
        <v>9413</v>
      </c>
      <c r="H1312" t="s">
        <v>11516</v>
      </c>
      <c r="I1312" t="s">
        <v>10261</v>
      </c>
      <c r="J1312" t="s">
        <v>3399</v>
      </c>
      <c r="K1312" t="s">
        <v>9416</v>
      </c>
      <c r="L1312" t="s">
        <v>9417</v>
      </c>
      <c r="M1312" t="s">
        <v>11834</v>
      </c>
      <c r="N1312" t="s">
        <v>9446</v>
      </c>
      <c r="O1312" t="s">
        <v>8177</v>
      </c>
      <c r="P1312" t="s">
        <v>9647</v>
      </c>
      <c r="Q1312" t="s">
        <v>9421</v>
      </c>
      <c r="R1312" t="s">
        <v>84</v>
      </c>
      <c r="S1312" t="s">
        <v>3459</v>
      </c>
      <c r="T1312" t="s">
        <v>3461</v>
      </c>
    </row>
    <row r="1313" spans="1:20">
      <c r="A1313" t="s">
        <v>8179</v>
      </c>
      <c r="B1313" t="s">
        <v>9409</v>
      </c>
      <c r="C1313" t="s">
        <v>11864</v>
      </c>
      <c r="D1313" t="s">
        <v>9410</v>
      </c>
      <c r="E1313" t="s">
        <v>11865</v>
      </c>
      <c r="F1313" t="s">
        <v>9412</v>
      </c>
      <c r="G1313" t="s">
        <v>9413</v>
      </c>
      <c r="H1313" t="s">
        <v>11516</v>
      </c>
      <c r="I1313" t="s">
        <v>9462</v>
      </c>
      <c r="J1313" t="s">
        <v>3399</v>
      </c>
      <c r="K1313" t="s">
        <v>9416</v>
      </c>
      <c r="L1313" t="s">
        <v>9417</v>
      </c>
      <c r="M1313" t="s">
        <v>11866</v>
      </c>
      <c r="N1313" t="s">
        <v>11550</v>
      </c>
      <c r="O1313" t="s">
        <v>8185</v>
      </c>
      <c r="P1313" t="s">
        <v>9429</v>
      </c>
      <c r="Q1313" t="s">
        <v>9421</v>
      </c>
      <c r="R1313" t="s">
        <v>52</v>
      </c>
      <c r="S1313" t="s">
        <v>8184</v>
      </c>
      <c r="T1313" t="s">
        <v>11867</v>
      </c>
    </row>
    <row r="1314" spans="1:20">
      <c r="A1314" t="s">
        <v>8179</v>
      </c>
      <c r="B1314" t="s">
        <v>9409</v>
      </c>
      <c r="C1314" t="s">
        <v>11864</v>
      </c>
      <c r="D1314" t="s">
        <v>9410</v>
      </c>
      <c r="E1314" t="s">
        <v>11865</v>
      </c>
      <c r="F1314" t="s">
        <v>9412</v>
      </c>
      <c r="G1314" t="s">
        <v>9413</v>
      </c>
      <c r="H1314" t="s">
        <v>11516</v>
      </c>
      <c r="I1314" t="s">
        <v>9462</v>
      </c>
      <c r="J1314" t="s">
        <v>3399</v>
      </c>
      <c r="K1314" t="s">
        <v>9416</v>
      </c>
      <c r="L1314" t="s">
        <v>9417</v>
      </c>
      <c r="M1314" t="s">
        <v>11866</v>
      </c>
      <c r="N1314" t="s">
        <v>11550</v>
      </c>
      <c r="O1314" t="s">
        <v>8180</v>
      </c>
      <c r="P1314" t="s">
        <v>9459</v>
      </c>
      <c r="Q1314" t="s">
        <v>9421</v>
      </c>
      <c r="R1314" t="s">
        <v>17</v>
      </c>
      <c r="S1314" t="s">
        <v>8179</v>
      </c>
      <c r="T1314" t="s">
        <v>11868</v>
      </c>
    </row>
    <row r="1315" spans="1:20">
      <c r="A1315" t="s">
        <v>11869</v>
      </c>
      <c r="B1315" t="s">
        <v>9409</v>
      </c>
      <c r="C1315" t="s">
        <v>11870</v>
      </c>
      <c r="D1315" t="s">
        <v>9410</v>
      </c>
      <c r="E1315" t="s">
        <v>11871</v>
      </c>
      <c r="F1315" t="s">
        <v>9412</v>
      </c>
      <c r="G1315" t="s">
        <v>9413</v>
      </c>
      <c r="H1315" t="s">
        <v>11516</v>
      </c>
      <c r="I1315" t="s">
        <v>9477</v>
      </c>
      <c r="J1315" t="s">
        <v>4051</v>
      </c>
      <c r="K1315" t="s">
        <v>9416</v>
      </c>
      <c r="L1315" t="s">
        <v>9417</v>
      </c>
      <c r="M1315" t="s">
        <v>11538</v>
      </c>
      <c r="N1315" t="s">
        <v>11510</v>
      </c>
      <c r="O1315" t="s">
        <v>11872</v>
      </c>
      <c r="P1315" t="s">
        <v>9420</v>
      </c>
      <c r="Q1315" t="s">
        <v>9421</v>
      </c>
      <c r="R1315" t="s">
        <v>17</v>
      </c>
      <c r="S1315" t="s">
        <v>11869</v>
      </c>
      <c r="T1315" t="s">
        <v>11873</v>
      </c>
    </row>
    <row r="1316" spans="1:20">
      <c r="A1316" t="s">
        <v>3535</v>
      </c>
      <c r="B1316" t="s">
        <v>20</v>
      </c>
      <c r="C1316" t="s">
        <v>3538</v>
      </c>
      <c r="D1316" t="s">
        <v>9460</v>
      </c>
      <c r="E1316" t="s">
        <v>11874</v>
      </c>
      <c r="F1316" t="s">
        <v>9412</v>
      </c>
      <c r="G1316" t="s">
        <v>9413</v>
      </c>
      <c r="H1316" t="s">
        <v>3162</v>
      </c>
      <c r="I1316" t="s">
        <v>9682</v>
      </c>
      <c r="J1316" t="s">
        <v>3506</v>
      </c>
      <c r="K1316" t="s">
        <v>9416</v>
      </c>
      <c r="L1316" t="s">
        <v>9417</v>
      </c>
      <c r="M1316" t="s">
        <v>11754</v>
      </c>
      <c r="N1316" t="s">
        <v>11543</v>
      </c>
      <c r="O1316" t="s">
        <v>8314</v>
      </c>
      <c r="P1316" t="s">
        <v>9429</v>
      </c>
      <c r="Q1316" t="s">
        <v>9421</v>
      </c>
      <c r="R1316" t="s">
        <v>52</v>
      </c>
      <c r="S1316" t="s">
        <v>3535</v>
      </c>
      <c r="T1316" t="s">
        <v>3537</v>
      </c>
    </row>
    <row r="1317" spans="1:20">
      <c r="A1317" t="s">
        <v>8318</v>
      </c>
      <c r="B1317" t="s">
        <v>9409</v>
      </c>
      <c r="C1317" t="s">
        <v>8321</v>
      </c>
      <c r="D1317" t="s">
        <v>9410</v>
      </c>
      <c r="E1317" t="s">
        <v>11875</v>
      </c>
      <c r="F1317" t="s">
        <v>9412</v>
      </c>
      <c r="G1317" t="s">
        <v>9413</v>
      </c>
      <c r="H1317" t="s">
        <v>11516</v>
      </c>
      <c r="I1317" t="s">
        <v>10116</v>
      </c>
      <c r="J1317" t="s">
        <v>3506</v>
      </c>
      <c r="K1317" t="s">
        <v>9416</v>
      </c>
      <c r="L1317" t="s">
        <v>9417</v>
      </c>
      <c r="M1317" t="s">
        <v>11564</v>
      </c>
      <c r="N1317" t="s">
        <v>11543</v>
      </c>
      <c r="O1317" t="s">
        <v>8319</v>
      </c>
      <c r="P1317" t="s">
        <v>9420</v>
      </c>
      <c r="Q1317" t="s">
        <v>9421</v>
      </c>
      <c r="R1317" t="s">
        <v>17</v>
      </c>
      <c r="S1317" t="s">
        <v>8318</v>
      </c>
      <c r="T1317" t="s">
        <v>11876</v>
      </c>
    </row>
    <row r="1318" spans="1:20">
      <c r="A1318" t="s">
        <v>8677</v>
      </c>
      <c r="B1318" t="s">
        <v>9409</v>
      </c>
      <c r="C1318" t="s">
        <v>11877</v>
      </c>
      <c r="D1318" t="s">
        <v>9410</v>
      </c>
      <c r="E1318" t="s">
        <v>11878</v>
      </c>
      <c r="F1318" t="s">
        <v>9412</v>
      </c>
      <c r="G1318" t="s">
        <v>9413</v>
      </c>
      <c r="H1318" t="s">
        <v>11516</v>
      </c>
      <c r="I1318" t="s">
        <v>10116</v>
      </c>
      <c r="J1318" t="s">
        <v>3808</v>
      </c>
      <c r="K1318" t="s">
        <v>9416</v>
      </c>
      <c r="L1318" t="s">
        <v>9417</v>
      </c>
      <c r="M1318" t="s">
        <v>11804</v>
      </c>
      <c r="N1318" t="s">
        <v>11514</v>
      </c>
      <c r="O1318" t="s">
        <v>8678</v>
      </c>
      <c r="P1318" t="s">
        <v>9459</v>
      </c>
      <c r="Q1318" t="s">
        <v>9421</v>
      </c>
      <c r="R1318" t="s">
        <v>17</v>
      </c>
      <c r="S1318" t="s">
        <v>8677</v>
      </c>
      <c r="T1318" t="s">
        <v>11879</v>
      </c>
    </row>
    <row r="1319" spans="1:20">
      <c r="A1319" t="s">
        <v>3870</v>
      </c>
      <c r="B1319" t="s">
        <v>62</v>
      </c>
      <c r="C1319" t="s">
        <v>8684</v>
      </c>
      <c r="D1319" t="s">
        <v>9448</v>
      </c>
      <c r="E1319" t="s">
        <v>11880</v>
      </c>
      <c r="F1319" t="s">
        <v>9412</v>
      </c>
      <c r="G1319" t="s">
        <v>9413</v>
      </c>
      <c r="H1319" t="s">
        <v>11516</v>
      </c>
      <c r="I1319" t="s">
        <v>9511</v>
      </c>
      <c r="J1319" t="s">
        <v>3808</v>
      </c>
      <c r="K1319" t="s">
        <v>9416</v>
      </c>
      <c r="L1319" t="s">
        <v>9417</v>
      </c>
      <c r="M1319" t="s">
        <v>11804</v>
      </c>
      <c r="N1319" t="s">
        <v>11514</v>
      </c>
      <c r="O1319" t="s">
        <v>8682</v>
      </c>
      <c r="P1319" t="s">
        <v>9420</v>
      </c>
      <c r="Q1319" t="s">
        <v>9421</v>
      </c>
      <c r="R1319" t="s">
        <v>17</v>
      </c>
      <c r="S1319" t="s">
        <v>3870</v>
      </c>
      <c r="T1319" t="s">
        <v>3872</v>
      </c>
    </row>
    <row r="1320" spans="1:20">
      <c r="A1320" t="s">
        <v>3986</v>
      </c>
      <c r="B1320" t="s">
        <v>62</v>
      </c>
      <c r="C1320" t="s">
        <v>3989</v>
      </c>
      <c r="D1320" t="s">
        <v>9448</v>
      </c>
      <c r="E1320" t="s">
        <v>11881</v>
      </c>
      <c r="F1320" t="s">
        <v>9412</v>
      </c>
      <c r="G1320" t="s">
        <v>9413</v>
      </c>
      <c r="H1320" t="s">
        <v>3162</v>
      </c>
      <c r="I1320" t="s">
        <v>10116</v>
      </c>
      <c r="J1320" t="s">
        <v>3939</v>
      </c>
      <c r="K1320" t="s">
        <v>9416</v>
      </c>
      <c r="L1320" t="s">
        <v>9417</v>
      </c>
      <c r="M1320" t="s">
        <v>11822</v>
      </c>
      <c r="N1320" t="s">
        <v>11536</v>
      </c>
      <c r="O1320" t="s">
        <v>8832</v>
      </c>
      <c r="P1320" t="s">
        <v>9420</v>
      </c>
      <c r="Q1320" t="s">
        <v>9421</v>
      </c>
      <c r="R1320" t="s">
        <v>17</v>
      </c>
      <c r="S1320" t="s">
        <v>3986</v>
      </c>
      <c r="T1320" t="s">
        <v>3988</v>
      </c>
    </row>
    <row r="1321" spans="1:20">
      <c r="A1321" t="s">
        <v>3539</v>
      </c>
      <c r="B1321" t="s">
        <v>20</v>
      </c>
      <c r="C1321" t="s">
        <v>8323</v>
      </c>
      <c r="D1321" t="s">
        <v>9475</v>
      </c>
      <c r="E1321" t="s">
        <v>11882</v>
      </c>
      <c r="F1321" t="s">
        <v>9412</v>
      </c>
      <c r="G1321" t="s">
        <v>9413</v>
      </c>
      <c r="H1321" t="s">
        <v>11516</v>
      </c>
      <c r="I1321" t="s">
        <v>9511</v>
      </c>
      <c r="J1321" t="s">
        <v>3506</v>
      </c>
      <c r="K1321" t="s">
        <v>9416</v>
      </c>
      <c r="L1321" t="s">
        <v>9417</v>
      </c>
      <c r="M1321" t="s">
        <v>11564</v>
      </c>
      <c r="N1321" t="s">
        <v>9426</v>
      </c>
      <c r="O1321" t="s">
        <v>8211</v>
      </c>
      <c r="P1321" t="s">
        <v>9479</v>
      </c>
      <c r="Q1321" t="s">
        <v>9421</v>
      </c>
      <c r="R1321" t="s">
        <v>43</v>
      </c>
      <c r="S1321" t="s">
        <v>3539</v>
      </c>
      <c r="T1321" t="s">
        <v>3541</v>
      </c>
    </row>
    <row r="1322" spans="1:20">
      <c r="A1322" t="s">
        <v>11883</v>
      </c>
      <c r="B1322" t="s">
        <v>9409</v>
      </c>
      <c r="C1322" t="s">
        <v>11884</v>
      </c>
      <c r="D1322" t="s">
        <v>9410</v>
      </c>
      <c r="E1322" t="s">
        <v>11885</v>
      </c>
      <c r="F1322" t="s">
        <v>9412</v>
      </c>
      <c r="G1322" t="s">
        <v>9413</v>
      </c>
      <c r="H1322" t="s">
        <v>11516</v>
      </c>
      <c r="I1322" t="s">
        <v>9511</v>
      </c>
      <c r="J1322" t="s">
        <v>3506</v>
      </c>
      <c r="K1322" t="s">
        <v>9416</v>
      </c>
      <c r="L1322" t="s">
        <v>9417</v>
      </c>
      <c r="M1322" t="s">
        <v>11588</v>
      </c>
      <c r="N1322" t="s">
        <v>11543</v>
      </c>
      <c r="O1322" t="s">
        <v>11886</v>
      </c>
      <c r="P1322" t="s">
        <v>9623</v>
      </c>
      <c r="Q1322" t="s">
        <v>9421</v>
      </c>
      <c r="R1322" t="s">
        <v>24</v>
      </c>
      <c r="S1322" t="s">
        <v>11883</v>
      </c>
      <c r="T1322" t="s">
        <v>11887</v>
      </c>
    </row>
    <row r="1323" spans="1:20">
      <c r="A1323" t="s">
        <v>3543</v>
      </c>
      <c r="B1323" t="s">
        <v>20</v>
      </c>
      <c r="C1323" t="s">
        <v>3547</v>
      </c>
      <c r="D1323" t="s">
        <v>9460</v>
      </c>
      <c r="E1323" t="s">
        <v>11888</v>
      </c>
      <c r="F1323" t="s">
        <v>9412</v>
      </c>
      <c r="G1323" t="s">
        <v>9413</v>
      </c>
      <c r="H1323" t="s">
        <v>3162</v>
      </c>
      <c r="I1323" t="s">
        <v>9886</v>
      </c>
      <c r="J1323" t="s">
        <v>3506</v>
      </c>
      <c r="K1323" t="s">
        <v>9416</v>
      </c>
      <c r="L1323" t="s">
        <v>9417</v>
      </c>
      <c r="M1323" t="s">
        <v>11564</v>
      </c>
      <c r="N1323" t="s">
        <v>9426</v>
      </c>
      <c r="O1323" t="s">
        <v>8325</v>
      </c>
      <c r="P1323" t="s">
        <v>9623</v>
      </c>
      <c r="Q1323" t="s">
        <v>9421</v>
      </c>
      <c r="R1323" t="s">
        <v>24</v>
      </c>
      <c r="S1323" t="s">
        <v>3544</v>
      </c>
      <c r="T1323" t="s">
        <v>3546</v>
      </c>
    </row>
    <row r="1324" spans="1:20">
      <c r="A1324" t="s">
        <v>3689</v>
      </c>
      <c r="B1324" t="s">
        <v>20</v>
      </c>
      <c r="C1324" t="s">
        <v>11889</v>
      </c>
      <c r="D1324" t="s">
        <v>9475</v>
      </c>
      <c r="E1324" t="s">
        <v>11890</v>
      </c>
      <c r="F1324" t="s">
        <v>9412</v>
      </c>
      <c r="G1324" t="s">
        <v>9413</v>
      </c>
      <c r="H1324" t="s">
        <v>11516</v>
      </c>
      <c r="I1324" t="s">
        <v>9469</v>
      </c>
      <c r="J1324" t="s">
        <v>3619</v>
      </c>
      <c r="K1324" t="s">
        <v>9416</v>
      </c>
      <c r="L1324" t="s">
        <v>9417</v>
      </c>
      <c r="M1324" t="s">
        <v>11753</v>
      </c>
      <c r="N1324" t="s">
        <v>11605</v>
      </c>
      <c r="O1324" t="s">
        <v>8482</v>
      </c>
      <c r="P1324" t="s">
        <v>9647</v>
      </c>
      <c r="Q1324" t="s">
        <v>9421</v>
      </c>
      <c r="R1324" t="s">
        <v>84</v>
      </c>
      <c r="S1324" t="s">
        <v>3690</v>
      </c>
      <c r="T1324" t="s">
        <v>3692</v>
      </c>
    </row>
    <row r="1325" spans="1:20">
      <c r="A1325" t="s">
        <v>3990</v>
      </c>
      <c r="B1325" t="s">
        <v>20</v>
      </c>
      <c r="C1325" t="s">
        <v>3993</v>
      </c>
      <c r="D1325" t="s">
        <v>9666</v>
      </c>
      <c r="E1325" t="s">
        <v>11891</v>
      </c>
      <c r="F1325" t="s">
        <v>9412</v>
      </c>
      <c r="G1325" t="s">
        <v>9413</v>
      </c>
      <c r="H1325" t="s">
        <v>3162</v>
      </c>
      <c r="I1325" t="s">
        <v>9729</v>
      </c>
      <c r="J1325" t="s">
        <v>3939</v>
      </c>
      <c r="K1325" t="s">
        <v>9416</v>
      </c>
      <c r="L1325" t="s">
        <v>9417</v>
      </c>
      <c r="M1325" t="s">
        <v>11535</v>
      </c>
      <c r="N1325" t="s">
        <v>11536</v>
      </c>
      <c r="O1325" t="s">
        <v>8836</v>
      </c>
      <c r="P1325" t="s">
        <v>9420</v>
      </c>
      <c r="Q1325" t="s">
        <v>9421</v>
      </c>
      <c r="R1325" t="s">
        <v>17</v>
      </c>
      <c r="S1325" t="s">
        <v>3990</v>
      </c>
      <c r="T1325" t="s">
        <v>3992</v>
      </c>
    </row>
    <row r="1326" spans="1:20">
      <c r="A1326" t="s">
        <v>8486</v>
      </c>
      <c r="B1326" t="s">
        <v>9409</v>
      </c>
      <c r="C1326" t="s">
        <v>8489</v>
      </c>
      <c r="D1326" t="s">
        <v>9410</v>
      </c>
      <c r="E1326" t="s">
        <v>11892</v>
      </c>
      <c r="F1326" t="s">
        <v>9412</v>
      </c>
      <c r="G1326" t="s">
        <v>9413</v>
      </c>
      <c r="H1326" t="s">
        <v>11516</v>
      </c>
      <c r="I1326" t="s">
        <v>9874</v>
      </c>
      <c r="J1326" t="s">
        <v>3619</v>
      </c>
      <c r="K1326" t="s">
        <v>9416</v>
      </c>
      <c r="L1326" t="s">
        <v>9417</v>
      </c>
      <c r="M1326" t="s">
        <v>11893</v>
      </c>
      <c r="N1326" t="s">
        <v>11605</v>
      </c>
      <c r="O1326" t="s">
        <v>8487</v>
      </c>
      <c r="P1326" t="s">
        <v>9623</v>
      </c>
      <c r="Q1326" t="s">
        <v>9421</v>
      </c>
      <c r="R1326" t="s">
        <v>24</v>
      </c>
      <c r="S1326" t="s">
        <v>8486</v>
      </c>
      <c r="T1326" t="s">
        <v>11894</v>
      </c>
    </row>
    <row r="1327" spans="1:20">
      <c r="A1327" t="s">
        <v>8187</v>
      </c>
      <c r="B1327" t="s">
        <v>9409</v>
      </c>
      <c r="C1327" t="s">
        <v>8190</v>
      </c>
      <c r="D1327" t="s">
        <v>9410</v>
      </c>
      <c r="E1327" t="s">
        <v>11895</v>
      </c>
      <c r="F1327" t="s">
        <v>9412</v>
      </c>
      <c r="G1327" t="s">
        <v>9413</v>
      </c>
      <c r="H1327" t="s">
        <v>11516</v>
      </c>
      <c r="I1327" t="s">
        <v>9477</v>
      </c>
      <c r="J1327" t="s">
        <v>3399</v>
      </c>
      <c r="K1327" t="s">
        <v>9416</v>
      </c>
      <c r="L1327" t="s">
        <v>9417</v>
      </c>
      <c r="M1327" t="s">
        <v>11670</v>
      </c>
      <c r="N1327" t="s">
        <v>11550</v>
      </c>
      <c r="O1327" t="s">
        <v>8188</v>
      </c>
      <c r="P1327" t="s">
        <v>9420</v>
      </c>
      <c r="Q1327" t="s">
        <v>9421</v>
      </c>
      <c r="R1327" t="s">
        <v>17</v>
      </c>
      <c r="S1327" t="s">
        <v>8187</v>
      </c>
      <c r="T1327" t="s">
        <v>11896</v>
      </c>
    </row>
    <row r="1328" spans="1:20">
      <c r="A1328" t="s">
        <v>3462</v>
      </c>
      <c r="B1328" t="s">
        <v>20</v>
      </c>
      <c r="C1328" t="s">
        <v>8194</v>
      </c>
      <c r="D1328" t="s">
        <v>9475</v>
      </c>
      <c r="E1328" t="s">
        <v>11897</v>
      </c>
      <c r="F1328" t="s">
        <v>9412</v>
      </c>
      <c r="G1328" t="s">
        <v>9413</v>
      </c>
      <c r="H1328" t="s">
        <v>11516</v>
      </c>
      <c r="I1328" t="s">
        <v>9518</v>
      </c>
      <c r="J1328" t="s">
        <v>3399</v>
      </c>
      <c r="K1328" t="s">
        <v>9416</v>
      </c>
      <c r="L1328" t="s">
        <v>9417</v>
      </c>
      <c r="M1328" t="s">
        <v>11552</v>
      </c>
      <c r="N1328" t="s">
        <v>11550</v>
      </c>
      <c r="O1328" t="s">
        <v>8192</v>
      </c>
      <c r="P1328" t="s">
        <v>9429</v>
      </c>
      <c r="Q1328" t="s">
        <v>9421</v>
      </c>
      <c r="R1328" t="s">
        <v>52</v>
      </c>
      <c r="S1328" t="s">
        <v>3462</v>
      </c>
      <c r="T1328" t="s">
        <v>3464</v>
      </c>
    </row>
    <row r="1329" spans="1:20">
      <c r="A1329" t="s">
        <v>3548</v>
      </c>
      <c r="B1329" t="s">
        <v>62</v>
      </c>
      <c r="C1329" t="s">
        <v>8330</v>
      </c>
      <c r="D1329" t="s">
        <v>445</v>
      </c>
      <c r="E1329" t="s">
        <v>11898</v>
      </c>
      <c r="F1329" t="s">
        <v>9412</v>
      </c>
      <c r="G1329" t="s">
        <v>9413</v>
      </c>
      <c r="H1329" t="s">
        <v>11516</v>
      </c>
      <c r="I1329" t="s">
        <v>10261</v>
      </c>
      <c r="J1329" t="s">
        <v>3506</v>
      </c>
      <c r="K1329" t="s">
        <v>9416</v>
      </c>
      <c r="L1329" t="s">
        <v>9417</v>
      </c>
      <c r="M1329" t="s">
        <v>11794</v>
      </c>
      <c r="N1329" t="s">
        <v>9426</v>
      </c>
      <c r="O1329" t="s">
        <v>8261</v>
      </c>
      <c r="P1329" t="s">
        <v>9623</v>
      </c>
      <c r="Q1329" t="s">
        <v>9421</v>
      </c>
      <c r="R1329" t="s">
        <v>24</v>
      </c>
      <c r="S1329" t="s">
        <v>3552</v>
      </c>
      <c r="T1329" t="s">
        <v>3554</v>
      </c>
    </row>
    <row r="1330" spans="1:20">
      <c r="A1330" t="s">
        <v>3548</v>
      </c>
      <c r="B1330" t="s">
        <v>62</v>
      </c>
      <c r="C1330" t="s">
        <v>8330</v>
      </c>
      <c r="D1330" t="s">
        <v>445</v>
      </c>
      <c r="E1330" t="s">
        <v>11898</v>
      </c>
      <c r="F1330" t="s">
        <v>9412</v>
      </c>
      <c r="G1330" t="s">
        <v>9413</v>
      </c>
      <c r="H1330" t="s">
        <v>11516</v>
      </c>
      <c r="I1330" t="s">
        <v>10261</v>
      </c>
      <c r="J1330" t="s">
        <v>3506</v>
      </c>
      <c r="K1330" t="s">
        <v>9416</v>
      </c>
      <c r="L1330" t="s">
        <v>9417</v>
      </c>
      <c r="M1330" t="s">
        <v>11794</v>
      </c>
      <c r="N1330" t="s">
        <v>11543</v>
      </c>
      <c r="O1330" t="s">
        <v>8328</v>
      </c>
      <c r="P1330" t="s">
        <v>9420</v>
      </c>
      <c r="Q1330" t="s">
        <v>9421</v>
      </c>
      <c r="R1330" t="s">
        <v>17</v>
      </c>
      <c r="S1330" t="s">
        <v>3548</v>
      </c>
      <c r="T1330" t="s">
        <v>3550</v>
      </c>
    </row>
    <row r="1331" spans="1:20">
      <c r="A1331" t="s">
        <v>3555</v>
      </c>
      <c r="B1331" t="s">
        <v>62</v>
      </c>
      <c r="C1331" t="s">
        <v>8334</v>
      </c>
      <c r="D1331" t="s">
        <v>9448</v>
      </c>
      <c r="E1331" t="s">
        <v>11899</v>
      </c>
      <c r="F1331" t="s">
        <v>9412</v>
      </c>
      <c r="G1331" t="s">
        <v>9413</v>
      </c>
      <c r="H1331" t="s">
        <v>11516</v>
      </c>
      <c r="I1331" t="s">
        <v>9477</v>
      </c>
      <c r="J1331" t="s">
        <v>3506</v>
      </c>
      <c r="K1331" t="s">
        <v>9416</v>
      </c>
      <c r="L1331" t="s">
        <v>9417</v>
      </c>
      <c r="M1331" t="s">
        <v>11615</v>
      </c>
      <c r="N1331" t="s">
        <v>11543</v>
      </c>
      <c r="O1331" t="s">
        <v>8332</v>
      </c>
      <c r="P1331" t="s">
        <v>9420</v>
      </c>
      <c r="Q1331" t="s">
        <v>9421</v>
      </c>
      <c r="R1331" t="s">
        <v>17</v>
      </c>
      <c r="S1331" t="s">
        <v>3555</v>
      </c>
      <c r="T1331" t="s">
        <v>3557</v>
      </c>
    </row>
    <row r="1332" spans="1:20">
      <c r="A1332" t="s">
        <v>11900</v>
      </c>
      <c r="B1332" t="s">
        <v>9409</v>
      </c>
      <c r="C1332" t="s">
        <v>11901</v>
      </c>
      <c r="D1332" t="s">
        <v>9410</v>
      </c>
      <c r="E1332" t="s">
        <v>11902</v>
      </c>
      <c r="F1332" t="s">
        <v>9412</v>
      </c>
      <c r="G1332" t="s">
        <v>9413</v>
      </c>
      <c r="H1332" t="s">
        <v>11516</v>
      </c>
      <c r="I1332" t="s">
        <v>9462</v>
      </c>
      <c r="J1332" t="s">
        <v>3399</v>
      </c>
      <c r="K1332" t="s">
        <v>9416</v>
      </c>
      <c r="L1332" t="s">
        <v>9417</v>
      </c>
      <c r="M1332" t="s">
        <v>11549</v>
      </c>
      <c r="N1332" t="s">
        <v>11550</v>
      </c>
      <c r="O1332" t="s">
        <v>11903</v>
      </c>
      <c r="P1332" t="s">
        <v>9429</v>
      </c>
      <c r="Q1332" t="s">
        <v>9421</v>
      </c>
      <c r="R1332" t="s">
        <v>52</v>
      </c>
      <c r="S1332" t="s">
        <v>11900</v>
      </c>
      <c r="T1332" t="s">
        <v>11904</v>
      </c>
    </row>
    <row r="1333" spans="1:20">
      <c r="A1333" t="s">
        <v>11900</v>
      </c>
      <c r="B1333" t="s">
        <v>9409</v>
      </c>
      <c r="C1333" t="s">
        <v>11901</v>
      </c>
      <c r="D1333" t="s">
        <v>9410</v>
      </c>
      <c r="E1333" t="s">
        <v>11902</v>
      </c>
      <c r="F1333" t="s">
        <v>9412</v>
      </c>
      <c r="G1333" t="s">
        <v>9413</v>
      </c>
      <c r="H1333" t="s">
        <v>11516</v>
      </c>
      <c r="I1333" t="s">
        <v>9462</v>
      </c>
      <c r="J1333" t="s">
        <v>3399</v>
      </c>
      <c r="K1333" t="s">
        <v>9416</v>
      </c>
      <c r="L1333" t="s">
        <v>9417</v>
      </c>
      <c r="M1333" t="s">
        <v>11549</v>
      </c>
      <c r="N1333" t="s">
        <v>9446</v>
      </c>
      <c r="O1333" t="s">
        <v>11905</v>
      </c>
      <c r="P1333" t="s">
        <v>9651</v>
      </c>
      <c r="Q1333" t="s">
        <v>9421</v>
      </c>
      <c r="R1333" t="s">
        <v>56</v>
      </c>
      <c r="S1333" t="s">
        <v>4006</v>
      </c>
      <c r="T1333" t="s">
        <v>11906</v>
      </c>
    </row>
    <row r="1334" spans="1:20">
      <c r="A1334" t="s">
        <v>3874</v>
      </c>
      <c r="B1334" t="s">
        <v>62</v>
      </c>
      <c r="C1334" t="s">
        <v>8686</v>
      </c>
      <c r="D1334" t="s">
        <v>9448</v>
      </c>
      <c r="E1334" t="s">
        <v>11907</v>
      </c>
      <c r="F1334" t="s">
        <v>9412</v>
      </c>
      <c r="G1334" t="s">
        <v>9413</v>
      </c>
      <c r="H1334" t="s">
        <v>11516</v>
      </c>
      <c r="I1334" t="s">
        <v>9682</v>
      </c>
      <c r="J1334" t="s">
        <v>3808</v>
      </c>
      <c r="K1334" t="s">
        <v>9416</v>
      </c>
      <c r="L1334" t="s">
        <v>9417</v>
      </c>
      <c r="M1334" t="s">
        <v>11513</v>
      </c>
      <c r="N1334" t="s">
        <v>11514</v>
      </c>
      <c r="O1334" t="s">
        <v>8688</v>
      </c>
      <c r="P1334" t="s">
        <v>9429</v>
      </c>
      <c r="Q1334" t="s">
        <v>9421</v>
      </c>
      <c r="R1334" t="s">
        <v>52</v>
      </c>
      <c r="S1334" t="s">
        <v>3874</v>
      </c>
      <c r="T1334" t="s">
        <v>3877</v>
      </c>
    </row>
    <row r="1335" spans="1:20">
      <c r="A1335" t="s">
        <v>3874</v>
      </c>
      <c r="B1335" t="s">
        <v>62</v>
      </c>
      <c r="C1335" t="s">
        <v>8686</v>
      </c>
      <c r="D1335" t="s">
        <v>9448</v>
      </c>
      <c r="E1335" t="s">
        <v>11907</v>
      </c>
      <c r="F1335" t="s">
        <v>9412</v>
      </c>
      <c r="G1335" t="s">
        <v>9413</v>
      </c>
      <c r="H1335" t="s">
        <v>11516</v>
      </c>
      <c r="I1335" t="s">
        <v>9682</v>
      </c>
      <c r="J1335" t="s">
        <v>3808</v>
      </c>
      <c r="K1335" t="s">
        <v>9445</v>
      </c>
      <c r="L1335" t="s">
        <v>9417</v>
      </c>
      <c r="M1335" t="s">
        <v>11513</v>
      </c>
      <c r="N1335" t="s">
        <v>9426</v>
      </c>
      <c r="O1335" t="s">
        <v>9446</v>
      </c>
      <c r="P1335" t="s">
        <v>9479</v>
      </c>
      <c r="Q1335" t="s">
        <v>9421</v>
      </c>
      <c r="R1335" t="s">
        <v>43</v>
      </c>
      <c r="S1335" t="s">
        <v>3539</v>
      </c>
      <c r="T1335" t="s">
        <v>3541</v>
      </c>
    </row>
    <row r="1336" spans="1:20">
      <c r="A1336" t="s">
        <v>3559</v>
      </c>
      <c r="B1336" t="s">
        <v>20</v>
      </c>
      <c r="C1336" t="s">
        <v>8338</v>
      </c>
      <c r="D1336" t="s">
        <v>9475</v>
      </c>
      <c r="E1336" t="s">
        <v>11908</v>
      </c>
      <c r="F1336" t="s">
        <v>9412</v>
      </c>
      <c r="G1336" t="s">
        <v>9413</v>
      </c>
      <c r="H1336" t="s">
        <v>11516</v>
      </c>
      <c r="I1336" t="s">
        <v>9682</v>
      </c>
      <c r="J1336" t="s">
        <v>3506</v>
      </c>
      <c r="K1336" t="s">
        <v>9416</v>
      </c>
      <c r="L1336" t="s">
        <v>9417</v>
      </c>
      <c r="M1336" t="s">
        <v>11909</v>
      </c>
      <c r="N1336" t="s">
        <v>9426</v>
      </c>
      <c r="O1336" t="s">
        <v>8251</v>
      </c>
      <c r="P1336" t="s">
        <v>9479</v>
      </c>
      <c r="Q1336" t="s">
        <v>9421</v>
      </c>
      <c r="R1336" t="s">
        <v>43</v>
      </c>
      <c r="S1336" t="s">
        <v>3498</v>
      </c>
      <c r="T1336" t="s">
        <v>3500</v>
      </c>
    </row>
    <row r="1337" spans="1:20">
      <c r="A1337" t="s">
        <v>3559</v>
      </c>
      <c r="B1337" t="s">
        <v>20</v>
      </c>
      <c r="C1337" t="s">
        <v>8338</v>
      </c>
      <c r="D1337" t="s">
        <v>9475</v>
      </c>
      <c r="E1337" t="s">
        <v>11908</v>
      </c>
      <c r="F1337" t="s">
        <v>9412</v>
      </c>
      <c r="G1337" t="s">
        <v>9413</v>
      </c>
      <c r="H1337" t="s">
        <v>11516</v>
      </c>
      <c r="I1337" t="s">
        <v>9682</v>
      </c>
      <c r="J1337" t="s">
        <v>3506</v>
      </c>
      <c r="K1337" t="s">
        <v>9416</v>
      </c>
      <c r="L1337" t="s">
        <v>9417</v>
      </c>
      <c r="M1337" t="s">
        <v>11909</v>
      </c>
      <c r="N1337" t="s">
        <v>11543</v>
      </c>
      <c r="O1337" t="s">
        <v>8336</v>
      </c>
      <c r="P1337" t="s">
        <v>9420</v>
      </c>
      <c r="Q1337" t="s">
        <v>9421</v>
      </c>
      <c r="R1337" t="s">
        <v>17</v>
      </c>
      <c r="S1337" t="s">
        <v>3559</v>
      </c>
      <c r="T1337" t="s">
        <v>3561</v>
      </c>
    </row>
    <row r="1338" spans="1:20">
      <c r="A1338" t="s">
        <v>11910</v>
      </c>
      <c r="B1338" t="s">
        <v>9409</v>
      </c>
      <c r="C1338" t="s">
        <v>11911</v>
      </c>
      <c r="D1338" t="s">
        <v>9410</v>
      </c>
      <c r="E1338" t="s">
        <v>11912</v>
      </c>
      <c r="F1338" t="s">
        <v>9412</v>
      </c>
      <c r="G1338" t="s">
        <v>9413</v>
      </c>
      <c r="H1338" t="s">
        <v>11516</v>
      </c>
      <c r="I1338" t="s">
        <v>10302</v>
      </c>
      <c r="J1338" t="s">
        <v>3939</v>
      </c>
      <c r="K1338" t="s">
        <v>9416</v>
      </c>
      <c r="L1338" t="s">
        <v>9417</v>
      </c>
      <c r="M1338" t="s">
        <v>11591</v>
      </c>
      <c r="N1338" t="s">
        <v>9446</v>
      </c>
      <c r="O1338" t="s">
        <v>11913</v>
      </c>
      <c r="P1338" t="s">
        <v>9647</v>
      </c>
      <c r="Q1338" t="s">
        <v>9421</v>
      </c>
      <c r="R1338" t="s">
        <v>84</v>
      </c>
      <c r="S1338" t="s">
        <v>11914</v>
      </c>
      <c r="T1338" t="s">
        <v>11915</v>
      </c>
    </row>
    <row r="1339" spans="1:20">
      <c r="A1339" t="s">
        <v>11910</v>
      </c>
      <c r="B1339" t="s">
        <v>9409</v>
      </c>
      <c r="C1339" t="s">
        <v>11911</v>
      </c>
      <c r="D1339" t="s">
        <v>9410</v>
      </c>
      <c r="E1339" t="s">
        <v>11912</v>
      </c>
      <c r="F1339" t="s">
        <v>9412</v>
      </c>
      <c r="G1339" t="s">
        <v>9413</v>
      </c>
      <c r="H1339" t="s">
        <v>11516</v>
      </c>
      <c r="I1339" t="s">
        <v>10302</v>
      </c>
      <c r="J1339" t="s">
        <v>3939</v>
      </c>
      <c r="K1339" t="s">
        <v>9416</v>
      </c>
      <c r="L1339" t="s">
        <v>9417</v>
      </c>
      <c r="M1339" t="s">
        <v>11591</v>
      </c>
      <c r="N1339" t="s">
        <v>11536</v>
      </c>
      <c r="O1339" t="s">
        <v>11916</v>
      </c>
      <c r="P1339" t="s">
        <v>9429</v>
      </c>
      <c r="Q1339" t="s">
        <v>9421</v>
      </c>
      <c r="R1339" t="s">
        <v>52</v>
      </c>
      <c r="S1339" t="s">
        <v>11910</v>
      </c>
      <c r="T1339" t="s">
        <v>11917</v>
      </c>
    </row>
    <row r="1340" spans="1:20">
      <c r="A1340" t="s">
        <v>8196</v>
      </c>
      <c r="B1340" t="s">
        <v>9409</v>
      </c>
      <c r="C1340" t="s">
        <v>8199</v>
      </c>
      <c r="D1340" t="s">
        <v>9410</v>
      </c>
      <c r="E1340" t="s">
        <v>11918</v>
      </c>
      <c r="F1340" t="s">
        <v>9412</v>
      </c>
      <c r="G1340" t="s">
        <v>9413</v>
      </c>
      <c r="H1340" t="s">
        <v>11516</v>
      </c>
      <c r="I1340" t="s">
        <v>10261</v>
      </c>
      <c r="J1340" t="s">
        <v>3399</v>
      </c>
      <c r="K1340" t="s">
        <v>9416</v>
      </c>
      <c r="L1340" t="s">
        <v>9417</v>
      </c>
      <c r="M1340" t="s">
        <v>11670</v>
      </c>
      <c r="N1340" t="s">
        <v>11550</v>
      </c>
      <c r="O1340" t="s">
        <v>8197</v>
      </c>
      <c r="P1340" t="s">
        <v>9420</v>
      </c>
      <c r="Q1340" t="s">
        <v>9421</v>
      </c>
      <c r="R1340" t="s">
        <v>17</v>
      </c>
      <c r="S1340" t="s">
        <v>8196</v>
      </c>
      <c r="T1340" t="s">
        <v>11919</v>
      </c>
    </row>
    <row r="1341" spans="1:20">
      <c r="A1341" t="s">
        <v>8201</v>
      </c>
      <c r="B1341" t="s">
        <v>9409</v>
      </c>
      <c r="C1341" t="s">
        <v>8204</v>
      </c>
      <c r="D1341" t="s">
        <v>9410</v>
      </c>
      <c r="E1341" t="s">
        <v>11920</v>
      </c>
      <c r="F1341" t="s">
        <v>9412</v>
      </c>
      <c r="G1341" t="s">
        <v>9413</v>
      </c>
      <c r="H1341" t="s">
        <v>11516</v>
      </c>
      <c r="I1341" t="s">
        <v>9469</v>
      </c>
      <c r="J1341" t="s">
        <v>3399</v>
      </c>
      <c r="K1341" t="s">
        <v>9416</v>
      </c>
      <c r="L1341" t="s">
        <v>9417</v>
      </c>
      <c r="M1341" t="s">
        <v>11670</v>
      </c>
      <c r="N1341" t="s">
        <v>11550</v>
      </c>
      <c r="O1341" t="s">
        <v>8202</v>
      </c>
      <c r="P1341" t="s">
        <v>9429</v>
      </c>
      <c r="Q1341" t="s">
        <v>9421</v>
      </c>
      <c r="R1341" t="s">
        <v>52</v>
      </c>
      <c r="S1341" t="s">
        <v>8201</v>
      </c>
      <c r="T1341" t="s">
        <v>11921</v>
      </c>
    </row>
    <row r="1342" spans="1:20">
      <c r="A1342" t="s">
        <v>3994</v>
      </c>
      <c r="B1342" t="s">
        <v>20</v>
      </c>
      <c r="C1342" t="s">
        <v>3997</v>
      </c>
      <c r="D1342" t="s">
        <v>9455</v>
      </c>
      <c r="E1342" t="s">
        <v>11922</v>
      </c>
      <c r="F1342" t="s">
        <v>9412</v>
      </c>
      <c r="G1342" t="s">
        <v>9413</v>
      </c>
      <c r="H1342" t="s">
        <v>3162</v>
      </c>
      <c r="I1342" t="s">
        <v>9729</v>
      </c>
      <c r="J1342" t="s">
        <v>3939</v>
      </c>
      <c r="K1342" t="s">
        <v>9416</v>
      </c>
      <c r="L1342" t="s">
        <v>9417</v>
      </c>
      <c r="M1342" t="s">
        <v>11597</v>
      </c>
      <c r="N1342" t="s">
        <v>11536</v>
      </c>
      <c r="O1342" t="s">
        <v>8840</v>
      </c>
      <c r="P1342" t="s">
        <v>9420</v>
      </c>
      <c r="Q1342" t="s">
        <v>9421</v>
      </c>
      <c r="R1342" t="s">
        <v>17</v>
      </c>
      <c r="S1342" t="s">
        <v>3994</v>
      </c>
      <c r="T1342" t="s">
        <v>3996</v>
      </c>
    </row>
    <row r="1343" spans="1:20">
      <c r="A1343" t="s">
        <v>3878</v>
      </c>
      <c r="B1343" t="s">
        <v>62</v>
      </c>
      <c r="C1343" t="s">
        <v>8692</v>
      </c>
      <c r="D1343" t="s">
        <v>9448</v>
      </c>
      <c r="E1343" t="s">
        <v>11923</v>
      </c>
      <c r="F1343" t="s">
        <v>9412</v>
      </c>
      <c r="G1343" t="s">
        <v>9413</v>
      </c>
      <c r="H1343" t="s">
        <v>11516</v>
      </c>
      <c r="I1343" t="s">
        <v>10261</v>
      </c>
      <c r="J1343" t="s">
        <v>3808</v>
      </c>
      <c r="K1343" t="s">
        <v>9416</v>
      </c>
      <c r="L1343" t="s">
        <v>9417</v>
      </c>
      <c r="M1343" t="s">
        <v>11513</v>
      </c>
      <c r="N1343" t="s">
        <v>11514</v>
      </c>
      <c r="O1343" t="s">
        <v>8690</v>
      </c>
      <c r="P1343" t="s">
        <v>9420</v>
      </c>
      <c r="Q1343" t="s">
        <v>9421</v>
      </c>
      <c r="R1343" t="s">
        <v>17</v>
      </c>
      <c r="S1343" t="s">
        <v>3878</v>
      </c>
      <c r="T1343" t="s">
        <v>3880</v>
      </c>
    </row>
    <row r="1344" spans="1:20">
      <c r="A1344" t="s">
        <v>11924</v>
      </c>
      <c r="B1344" t="s">
        <v>9409</v>
      </c>
      <c r="C1344" t="s">
        <v>11925</v>
      </c>
      <c r="D1344" t="s">
        <v>9410</v>
      </c>
      <c r="E1344" t="s">
        <v>11926</v>
      </c>
      <c r="F1344" t="s">
        <v>9412</v>
      </c>
      <c r="G1344" t="s">
        <v>9413</v>
      </c>
      <c r="H1344" t="s">
        <v>11516</v>
      </c>
      <c r="I1344" t="s">
        <v>10302</v>
      </c>
      <c r="J1344" t="s">
        <v>3619</v>
      </c>
      <c r="K1344" t="s">
        <v>9416</v>
      </c>
      <c r="L1344" t="s">
        <v>9417</v>
      </c>
      <c r="M1344" t="s">
        <v>11607</v>
      </c>
      <c r="N1344" t="s">
        <v>11605</v>
      </c>
      <c r="O1344" t="s">
        <v>11927</v>
      </c>
      <c r="P1344" t="s">
        <v>9420</v>
      </c>
      <c r="Q1344" t="s">
        <v>9421</v>
      </c>
      <c r="R1344" t="s">
        <v>17</v>
      </c>
      <c r="S1344" t="s">
        <v>11924</v>
      </c>
      <c r="T1344" t="s">
        <v>11928</v>
      </c>
    </row>
    <row r="1345" spans="1:20">
      <c r="A1345" t="s">
        <v>3694</v>
      </c>
      <c r="B1345" t="s">
        <v>20</v>
      </c>
      <c r="C1345" t="s">
        <v>8491</v>
      </c>
      <c r="D1345" t="s">
        <v>9475</v>
      </c>
      <c r="E1345" t="s">
        <v>11929</v>
      </c>
      <c r="F1345" t="s">
        <v>9412</v>
      </c>
      <c r="G1345" t="s">
        <v>9413</v>
      </c>
      <c r="H1345" t="s">
        <v>11516</v>
      </c>
      <c r="I1345" t="s">
        <v>9886</v>
      </c>
      <c r="J1345" t="s">
        <v>3619</v>
      </c>
      <c r="K1345" t="s">
        <v>9445</v>
      </c>
      <c r="L1345" t="s">
        <v>9417</v>
      </c>
      <c r="M1345" t="s">
        <v>11604</v>
      </c>
      <c r="N1345" t="s">
        <v>9426</v>
      </c>
      <c r="O1345" t="s">
        <v>9446</v>
      </c>
      <c r="P1345" t="s">
        <v>9567</v>
      </c>
      <c r="Q1345" t="s">
        <v>9421</v>
      </c>
      <c r="R1345" t="s">
        <v>43</v>
      </c>
      <c r="S1345" t="s">
        <v>3628</v>
      </c>
      <c r="T1345" t="s">
        <v>3630</v>
      </c>
    </row>
    <row r="1346" spans="1:20">
      <c r="A1346" t="s">
        <v>3694</v>
      </c>
      <c r="B1346" t="s">
        <v>20</v>
      </c>
      <c r="C1346" t="s">
        <v>8491</v>
      </c>
      <c r="D1346" t="s">
        <v>9475</v>
      </c>
      <c r="E1346" t="s">
        <v>11929</v>
      </c>
      <c r="F1346" t="s">
        <v>9412</v>
      </c>
      <c r="G1346" t="s">
        <v>9413</v>
      </c>
      <c r="H1346" t="s">
        <v>11516</v>
      </c>
      <c r="I1346" t="s">
        <v>9886</v>
      </c>
      <c r="J1346" t="s">
        <v>3619</v>
      </c>
      <c r="K1346" t="s">
        <v>9416</v>
      </c>
      <c r="L1346" t="s">
        <v>9417</v>
      </c>
      <c r="M1346" t="s">
        <v>11604</v>
      </c>
      <c r="N1346" t="s">
        <v>11605</v>
      </c>
      <c r="O1346" t="s">
        <v>8493</v>
      </c>
      <c r="P1346" t="s">
        <v>9623</v>
      </c>
      <c r="Q1346" t="s">
        <v>9421</v>
      </c>
      <c r="R1346" t="s">
        <v>24</v>
      </c>
      <c r="S1346" t="s">
        <v>3696</v>
      </c>
      <c r="T1346" t="s">
        <v>3698</v>
      </c>
    </row>
    <row r="1347" spans="1:20">
      <c r="A1347" t="s">
        <v>3268</v>
      </c>
      <c r="B1347" t="s">
        <v>62</v>
      </c>
      <c r="C1347" t="s">
        <v>3271</v>
      </c>
      <c r="D1347" t="s">
        <v>10271</v>
      </c>
      <c r="E1347" t="s">
        <v>11930</v>
      </c>
      <c r="F1347" t="s">
        <v>9412</v>
      </c>
      <c r="G1347" t="s">
        <v>9413</v>
      </c>
      <c r="H1347" t="s">
        <v>3162</v>
      </c>
      <c r="I1347" t="s">
        <v>10261</v>
      </c>
      <c r="J1347" t="s">
        <v>3161</v>
      </c>
      <c r="K1347" t="s">
        <v>9416</v>
      </c>
      <c r="L1347" t="s">
        <v>9417</v>
      </c>
      <c r="M1347" t="s">
        <v>11828</v>
      </c>
      <c r="N1347" t="s">
        <v>11518</v>
      </c>
      <c r="O1347" t="s">
        <v>7977</v>
      </c>
      <c r="P1347" t="s">
        <v>9420</v>
      </c>
      <c r="Q1347" t="s">
        <v>9421</v>
      </c>
      <c r="R1347" t="s">
        <v>17</v>
      </c>
      <c r="S1347" t="s">
        <v>3268</v>
      </c>
      <c r="T1347" t="s">
        <v>3270</v>
      </c>
    </row>
    <row r="1348" spans="1:20">
      <c r="A1348" t="s">
        <v>11931</v>
      </c>
      <c r="B1348" t="s">
        <v>9409</v>
      </c>
      <c r="C1348" t="s">
        <v>11932</v>
      </c>
      <c r="D1348" t="s">
        <v>9410</v>
      </c>
      <c r="E1348" t="s">
        <v>11933</v>
      </c>
      <c r="F1348" t="s">
        <v>9412</v>
      </c>
      <c r="G1348" t="s">
        <v>9413</v>
      </c>
      <c r="H1348" t="s">
        <v>11516</v>
      </c>
      <c r="I1348" t="s">
        <v>10261</v>
      </c>
      <c r="J1348" t="s">
        <v>3399</v>
      </c>
      <c r="K1348" t="s">
        <v>9416</v>
      </c>
      <c r="L1348" t="s">
        <v>9417</v>
      </c>
      <c r="M1348" t="s">
        <v>11564</v>
      </c>
      <c r="N1348" t="s">
        <v>11550</v>
      </c>
      <c r="O1348" t="s">
        <v>11934</v>
      </c>
      <c r="P1348" t="s">
        <v>9623</v>
      </c>
      <c r="Q1348" t="s">
        <v>9421</v>
      </c>
      <c r="R1348" t="s">
        <v>24</v>
      </c>
      <c r="S1348" t="s">
        <v>11931</v>
      </c>
      <c r="T1348" t="s">
        <v>11935</v>
      </c>
    </row>
    <row r="1349" spans="1:20">
      <c r="A1349" t="s">
        <v>8206</v>
      </c>
      <c r="B1349" t="s">
        <v>9409</v>
      </c>
      <c r="C1349" t="s">
        <v>8209</v>
      </c>
      <c r="D1349" t="s">
        <v>9410</v>
      </c>
      <c r="E1349" t="s">
        <v>11936</v>
      </c>
      <c r="F1349" t="s">
        <v>9412</v>
      </c>
      <c r="G1349" t="s">
        <v>9413</v>
      </c>
      <c r="H1349" t="s">
        <v>11516</v>
      </c>
      <c r="I1349" t="s">
        <v>9682</v>
      </c>
      <c r="J1349" t="s">
        <v>3399</v>
      </c>
      <c r="K1349" t="s">
        <v>9416</v>
      </c>
      <c r="L1349" t="s">
        <v>9417</v>
      </c>
      <c r="M1349" t="s">
        <v>11858</v>
      </c>
      <c r="N1349" t="s">
        <v>11550</v>
      </c>
      <c r="O1349" t="s">
        <v>8207</v>
      </c>
      <c r="P1349" t="s">
        <v>9420</v>
      </c>
      <c r="Q1349" t="s">
        <v>9421</v>
      </c>
      <c r="R1349" t="s">
        <v>17</v>
      </c>
      <c r="S1349" t="s">
        <v>8206</v>
      </c>
      <c r="T1349" t="s">
        <v>11937</v>
      </c>
    </row>
    <row r="1350" spans="1:20">
      <c r="A1350" t="s">
        <v>3699</v>
      </c>
      <c r="B1350" t="s">
        <v>20</v>
      </c>
      <c r="C1350" t="s">
        <v>8497</v>
      </c>
      <c r="D1350" t="s">
        <v>9455</v>
      </c>
      <c r="E1350" t="s">
        <v>11938</v>
      </c>
      <c r="F1350" t="s">
        <v>9412</v>
      </c>
      <c r="G1350" t="s">
        <v>9413</v>
      </c>
      <c r="H1350" t="s">
        <v>11516</v>
      </c>
      <c r="I1350" t="s">
        <v>9729</v>
      </c>
      <c r="J1350" t="s">
        <v>3619</v>
      </c>
      <c r="K1350" t="s">
        <v>9416</v>
      </c>
      <c r="L1350" t="s">
        <v>9417</v>
      </c>
      <c r="M1350" t="s">
        <v>11649</v>
      </c>
      <c r="N1350" t="s">
        <v>11605</v>
      </c>
      <c r="O1350" t="s">
        <v>8495</v>
      </c>
      <c r="P1350" t="s">
        <v>9429</v>
      </c>
      <c r="Q1350" t="s">
        <v>9421</v>
      </c>
      <c r="R1350" t="s">
        <v>52</v>
      </c>
      <c r="S1350" t="s">
        <v>3699</v>
      </c>
      <c r="T1350" t="s">
        <v>3701</v>
      </c>
    </row>
    <row r="1351" spans="1:20">
      <c r="A1351" t="s">
        <v>3699</v>
      </c>
      <c r="B1351" t="s">
        <v>20</v>
      </c>
      <c r="C1351" t="s">
        <v>8497</v>
      </c>
      <c r="D1351" t="s">
        <v>9455</v>
      </c>
      <c r="E1351" t="s">
        <v>11938</v>
      </c>
      <c r="F1351" t="s">
        <v>9412</v>
      </c>
      <c r="G1351" t="s">
        <v>9413</v>
      </c>
      <c r="H1351" t="s">
        <v>11516</v>
      </c>
      <c r="I1351" t="s">
        <v>9729</v>
      </c>
      <c r="J1351" t="s">
        <v>3619</v>
      </c>
      <c r="K1351" t="s">
        <v>9416</v>
      </c>
      <c r="L1351" t="s">
        <v>9417</v>
      </c>
      <c r="M1351" t="s">
        <v>11649</v>
      </c>
      <c r="N1351" t="s">
        <v>9446</v>
      </c>
      <c r="O1351" t="s">
        <v>8499</v>
      </c>
      <c r="P1351" t="s">
        <v>9655</v>
      </c>
      <c r="Q1351" t="s">
        <v>9421</v>
      </c>
      <c r="R1351" t="s">
        <v>56</v>
      </c>
      <c r="S1351" t="s">
        <v>3703</v>
      </c>
      <c r="T1351" t="s">
        <v>3705</v>
      </c>
    </row>
    <row r="1352" spans="1:20">
      <c r="A1352" t="s">
        <v>11939</v>
      </c>
      <c r="B1352" t="s">
        <v>9409</v>
      </c>
      <c r="C1352" t="s">
        <v>11940</v>
      </c>
      <c r="D1352" t="s">
        <v>9410</v>
      </c>
      <c r="E1352" t="s">
        <v>11941</v>
      </c>
      <c r="F1352" t="s">
        <v>9412</v>
      </c>
      <c r="G1352" t="s">
        <v>9413</v>
      </c>
      <c r="H1352" t="s">
        <v>11516</v>
      </c>
      <c r="I1352" t="s">
        <v>10281</v>
      </c>
      <c r="J1352" t="s">
        <v>3506</v>
      </c>
      <c r="K1352" t="s">
        <v>9416</v>
      </c>
      <c r="L1352" t="s">
        <v>9417</v>
      </c>
      <c r="M1352" t="s">
        <v>11615</v>
      </c>
      <c r="N1352" t="s">
        <v>11543</v>
      </c>
      <c r="O1352" t="s">
        <v>11942</v>
      </c>
      <c r="P1352" t="s">
        <v>9420</v>
      </c>
      <c r="Q1352" t="s">
        <v>9421</v>
      </c>
      <c r="R1352" t="s">
        <v>17</v>
      </c>
      <c r="S1352" t="s">
        <v>11939</v>
      </c>
      <c r="T1352" t="s">
        <v>11943</v>
      </c>
    </row>
    <row r="1353" spans="1:20">
      <c r="A1353" t="s">
        <v>8969</v>
      </c>
      <c r="B1353" t="s">
        <v>9409</v>
      </c>
      <c r="C1353" t="s">
        <v>8972</v>
      </c>
      <c r="D1353" t="s">
        <v>9410</v>
      </c>
      <c r="E1353" t="s">
        <v>11944</v>
      </c>
      <c r="F1353" t="s">
        <v>9412</v>
      </c>
      <c r="G1353" t="s">
        <v>9413</v>
      </c>
      <c r="H1353" t="s">
        <v>11516</v>
      </c>
      <c r="I1353" t="s">
        <v>9462</v>
      </c>
      <c r="J1353" t="s">
        <v>4051</v>
      </c>
      <c r="K1353" t="s">
        <v>9416</v>
      </c>
      <c r="L1353" t="s">
        <v>9417</v>
      </c>
      <c r="M1353" t="s">
        <v>11668</v>
      </c>
      <c r="N1353" t="s">
        <v>11510</v>
      </c>
      <c r="O1353" t="s">
        <v>8970</v>
      </c>
      <c r="P1353" t="s">
        <v>9429</v>
      </c>
      <c r="Q1353" t="s">
        <v>9421</v>
      </c>
      <c r="R1353" t="s">
        <v>52</v>
      </c>
      <c r="S1353" t="s">
        <v>8969</v>
      </c>
      <c r="T1353" t="s">
        <v>11945</v>
      </c>
    </row>
    <row r="1354" spans="1:20">
      <c r="A1354" t="s">
        <v>8969</v>
      </c>
      <c r="B1354" t="s">
        <v>9409</v>
      </c>
      <c r="C1354" t="s">
        <v>8972</v>
      </c>
      <c r="D1354" t="s">
        <v>9410</v>
      </c>
      <c r="E1354" t="s">
        <v>11944</v>
      </c>
      <c r="F1354" t="s">
        <v>9412</v>
      </c>
      <c r="G1354" t="s">
        <v>9413</v>
      </c>
      <c r="H1354" t="s">
        <v>11516</v>
      </c>
      <c r="I1354" t="s">
        <v>9462</v>
      </c>
      <c r="J1354" t="s">
        <v>4051</v>
      </c>
      <c r="K1354" t="s">
        <v>9445</v>
      </c>
      <c r="L1354" t="s">
        <v>9417</v>
      </c>
      <c r="M1354" t="s">
        <v>11668</v>
      </c>
      <c r="N1354" t="s">
        <v>9426</v>
      </c>
      <c r="O1354" t="s">
        <v>9446</v>
      </c>
      <c r="P1354" t="s">
        <v>9479</v>
      </c>
      <c r="Q1354" t="s">
        <v>9421</v>
      </c>
      <c r="R1354" t="s">
        <v>43</v>
      </c>
      <c r="S1354" t="s">
        <v>3301</v>
      </c>
      <c r="T1354" t="s">
        <v>3303</v>
      </c>
    </row>
    <row r="1355" spans="1:20">
      <c r="A1355" t="s">
        <v>8969</v>
      </c>
      <c r="B1355" t="s">
        <v>9409</v>
      </c>
      <c r="C1355" t="s">
        <v>8972</v>
      </c>
      <c r="D1355" t="s">
        <v>9410</v>
      </c>
      <c r="E1355" t="s">
        <v>11944</v>
      </c>
      <c r="F1355" t="s">
        <v>9412</v>
      </c>
      <c r="G1355" t="s">
        <v>9413</v>
      </c>
      <c r="H1355" t="s">
        <v>11516</v>
      </c>
      <c r="I1355" t="s">
        <v>9462</v>
      </c>
      <c r="J1355" t="s">
        <v>4051</v>
      </c>
      <c r="K1355" t="s">
        <v>9416</v>
      </c>
      <c r="L1355" t="s">
        <v>9417</v>
      </c>
      <c r="M1355" t="s">
        <v>11668</v>
      </c>
      <c r="N1355" t="s">
        <v>9446</v>
      </c>
      <c r="O1355" t="s">
        <v>8975</v>
      </c>
      <c r="P1355" t="s">
        <v>9655</v>
      </c>
      <c r="Q1355" t="s">
        <v>9421</v>
      </c>
      <c r="R1355" t="s">
        <v>56</v>
      </c>
      <c r="S1355" t="s">
        <v>8974</v>
      </c>
      <c r="T1355" t="s">
        <v>11946</v>
      </c>
    </row>
    <row r="1356" spans="1:20">
      <c r="A1356" t="s">
        <v>8340</v>
      </c>
      <c r="B1356" t="s">
        <v>9409</v>
      </c>
      <c r="C1356" t="s">
        <v>8343</v>
      </c>
      <c r="D1356" t="s">
        <v>9410</v>
      </c>
      <c r="E1356" t="s">
        <v>11947</v>
      </c>
      <c r="F1356" t="s">
        <v>9412</v>
      </c>
      <c r="G1356" t="s">
        <v>9413</v>
      </c>
      <c r="H1356" t="s">
        <v>11516</v>
      </c>
      <c r="I1356" t="s">
        <v>9682</v>
      </c>
      <c r="J1356" t="s">
        <v>3506</v>
      </c>
      <c r="K1356" t="s">
        <v>9445</v>
      </c>
      <c r="L1356" t="s">
        <v>9417</v>
      </c>
      <c r="M1356" t="s">
        <v>11615</v>
      </c>
      <c r="N1356" t="s">
        <v>9426</v>
      </c>
      <c r="O1356" t="s">
        <v>9446</v>
      </c>
      <c r="P1356" t="s">
        <v>9623</v>
      </c>
      <c r="Q1356" t="s">
        <v>9421</v>
      </c>
      <c r="R1356" t="s">
        <v>24</v>
      </c>
      <c r="S1356" t="s">
        <v>3552</v>
      </c>
      <c r="T1356" t="s">
        <v>3554</v>
      </c>
    </row>
    <row r="1357" spans="1:20">
      <c r="A1357" t="s">
        <v>8340</v>
      </c>
      <c r="B1357" t="s">
        <v>9409</v>
      </c>
      <c r="C1357" t="s">
        <v>8343</v>
      </c>
      <c r="D1357" t="s">
        <v>9410</v>
      </c>
      <c r="E1357" t="s">
        <v>11947</v>
      </c>
      <c r="F1357" t="s">
        <v>9412</v>
      </c>
      <c r="G1357" t="s">
        <v>9413</v>
      </c>
      <c r="H1357" t="s">
        <v>11516</v>
      </c>
      <c r="I1357" t="s">
        <v>9682</v>
      </c>
      <c r="J1357" t="s">
        <v>3506</v>
      </c>
      <c r="K1357" t="s">
        <v>9416</v>
      </c>
      <c r="L1357" t="s">
        <v>9417</v>
      </c>
      <c r="M1357" t="s">
        <v>11615</v>
      </c>
      <c r="N1357" t="s">
        <v>11543</v>
      </c>
      <c r="O1357" t="s">
        <v>8341</v>
      </c>
      <c r="P1357" t="s">
        <v>10928</v>
      </c>
      <c r="Q1357" t="s">
        <v>9421</v>
      </c>
      <c r="R1357" t="s">
        <v>17</v>
      </c>
      <c r="S1357" t="s">
        <v>8340</v>
      </c>
      <c r="T1357" t="s">
        <v>11948</v>
      </c>
    </row>
    <row r="1358" spans="1:20">
      <c r="A1358" t="s">
        <v>8694</v>
      </c>
      <c r="B1358" t="s">
        <v>20</v>
      </c>
      <c r="C1358" t="s">
        <v>11949</v>
      </c>
      <c r="D1358" t="s">
        <v>9475</v>
      </c>
      <c r="E1358" t="s">
        <v>11950</v>
      </c>
      <c r="F1358" t="s">
        <v>9412</v>
      </c>
      <c r="G1358" t="s">
        <v>9413</v>
      </c>
      <c r="H1358" t="s">
        <v>3162</v>
      </c>
      <c r="I1358" t="s">
        <v>9682</v>
      </c>
      <c r="J1358" t="s">
        <v>3808</v>
      </c>
      <c r="K1358" t="s">
        <v>9416</v>
      </c>
      <c r="L1358" t="s">
        <v>9417</v>
      </c>
      <c r="M1358" t="s">
        <v>11804</v>
      </c>
      <c r="N1358" t="s">
        <v>11514</v>
      </c>
      <c r="O1358" t="s">
        <v>8695</v>
      </c>
      <c r="P1358" t="s">
        <v>9420</v>
      </c>
      <c r="Q1358" t="s">
        <v>9421</v>
      </c>
      <c r="R1358" t="s">
        <v>17</v>
      </c>
      <c r="S1358" t="s">
        <v>8694</v>
      </c>
      <c r="T1358" t="s">
        <v>11951</v>
      </c>
    </row>
    <row r="1359" spans="1:20">
      <c r="A1359" t="s">
        <v>3706</v>
      </c>
      <c r="B1359" t="s">
        <v>20</v>
      </c>
      <c r="C1359" t="s">
        <v>8503</v>
      </c>
      <c r="D1359" t="s">
        <v>9475</v>
      </c>
      <c r="E1359" t="s">
        <v>11952</v>
      </c>
      <c r="F1359" t="s">
        <v>9412</v>
      </c>
      <c r="G1359" t="s">
        <v>9413</v>
      </c>
      <c r="H1359" t="s">
        <v>11516</v>
      </c>
      <c r="I1359" t="s">
        <v>9415</v>
      </c>
      <c r="J1359" t="s">
        <v>3619</v>
      </c>
      <c r="K1359" t="s">
        <v>9416</v>
      </c>
      <c r="L1359" t="s">
        <v>9417</v>
      </c>
      <c r="M1359" t="s">
        <v>11817</v>
      </c>
      <c r="N1359" t="s">
        <v>11605</v>
      </c>
      <c r="O1359" t="s">
        <v>8501</v>
      </c>
      <c r="P1359" t="s">
        <v>9623</v>
      </c>
      <c r="Q1359" t="s">
        <v>9421</v>
      </c>
      <c r="R1359" t="s">
        <v>24</v>
      </c>
      <c r="S1359" t="s">
        <v>3706</v>
      </c>
      <c r="T1359" t="s">
        <v>3708</v>
      </c>
    </row>
    <row r="1360" spans="1:20">
      <c r="A1360" t="s">
        <v>3563</v>
      </c>
      <c r="B1360" t="s">
        <v>62</v>
      </c>
      <c r="C1360" t="s">
        <v>8346</v>
      </c>
      <c r="D1360" t="s">
        <v>445</v>
      </c>
      <c r="E1360" t="s">
        <v>11953</v>
      </c>
      <c r="F1360" t="s">
        <v>9412</v>
      </c>
      <c r="G1360" t="s">
        <v>9413</v>
      </c>
      <c r="H1360" t="s">
        <v>11516</v>
      </c>
      <c r="I1360" t="s">
        <v>9714</v>
      </c>
      <c r="J1360" t="s">
        <v>3506</v>
      </c>
      <c r="K1360" t="s">
        <v>9445</v>
      </c>
      <c r="L1360" t="s">
        <v>9417</v>
      </c>
      <c r="M1360" t="s">
        <v>11794</v>
      </c>
      <c r="N1360" t="s">
        <v>9426</v>
      </c>
      <c r="O1360" t="s">
        <v>9446</v>
      </c>
      <c r="P1360" t="s">
        <v>9479</v>
      </c>
      <c r="Q1360" t="s">
        <v>9421</v>
      </c>
      <c r="R1360" t="s">
        <v>43</v>
      </c>
      <c r="S1360" t="s">
        <v>3498</v>
      </c>
      <c r="T1360" t="s">
        <v>3500</v>
      </c>
    </row>
    <row r="1361" spans="1:20">
      <c r="A1361" t="s">
        <v>3563</v>
      </c>
      <c r="B1361" t="s">
        <v>62</v>
      </c>
      <c r="C1361" t="s">
        <v>8346</v>
      </c>
      <c r="D1361" t="s">
        <v>445</v>
      </c>
      <c r="E1361" t="s">
        <v>11953</v>
      </c>
      <c r="F1361" t="s">
        <v>9412</v>
      </c>
      <c r="G1361" t="s">
        <v>9413</v>
      </c>
      <c r="H1361" t="s">
        <v>11516</v>
      </c>
      <c r="I1361" t="s">
        <v>9714</v>
      </c>
      <c r="J1361" t="s">
        <v>3506</v>
      </c>
      <c r="K1361" t="s">
        <v>9416</v>
      </c>
      <c r="L1361" t="s">
        <v>9417</v>
      </c>
      <c r="M1361" t="s">
        <v>11794</v>
      </c>
      <c r="N1361" t="s">
        <v>11536</v>
      </c>
      <c r="O1361" t="s">
        <v>8345</v>
      </c>
      <c r="P1361" t="s">
        <v>9524</v>
      </c>
      <c r="Q1361" t="s">
        <v>9421</v>
      </c>
      <c r="R1361" t="s">
        <v>24</v>
      </c>
      <c r="S1361" t="s">
        <v>3563</v>
      </c>
      <c r="T1361" t="s">
        <v>3565</v>
      </c>
    </row>
    <row r="1362" spans="1:20">
      <c r="A1362" t="s">
        <v>3466</v>
      </c>
      <c r="B1362" t="s">
        <v>20</v>
      </c>
      <c r="C1362" t="s">
        <v>3467</v>
      </c>
      <c r="D1362" t="s">
        <v>9460</v>
      </c>
      <c r="E1362" t="s">
        <v>11954</v>
      </c>
      <c r="F1362" t="s">
        <v>9412</v>
      </c>
      <c r="G1362" t="s">
        <v>9413</v>
      </c>
      <c r="H1362" t="s">
        <v>3162</v>
      </c>
      <c r="I1362" t="s">
        <v>9518</v>
      </c>
      <c r="J1362" t="s">
        <v>3399</v>
      </c>
      <c r="K1362" t="s">
        <v>9445</v>
      </c>
      <c r="L1362" t="s">
        <v>9417</v>
      </c>
      <c r="M1362" t="s">
        <v>11670</v>
      </c>
      <c r="N1362" t="s">
        <v>9426</v>
      </c>
      <c r="O1362" t="s">
        <v>9446</v>
      </c>
      <c r="P1362" t="s">
        <v>9479</v>
      </c>
      <c r="Q1362" t="s">
        <v>9421</v>
      </c>
      <c r="R1362" t="s">
        <v>43</v>
      </c>
      <c r="S1362" t="s">
        <v>3539</v>
      </c>
      <c r="T1362" t="s">
        <v>3541</v>
      </c>
    </row>
    <row r="1363" spans="1:20">
      <c r="A1363" t="s">
        <v>3466</v>
      </c>
      <c r="B1363" t="s">
        <v>20</v>
      </c>
      <c r="C1363" t="s">
        <v>3467</v>
      </c>
      <c r="D1363" t="s">
        <v>9460</v>
      </c>
      <c r="E1363" t="s">
        <v>11954</v>
      </c>
      <c r="F1363" t="s">
        <v>9412</v>
      </c>
      <c r="G1363" t="s">
        <v>9413</v>
      </c>
      <c r="H1363" t="s">
        <v>3162</v>
      </c>
      <c r="I1363" t="s">
        <v>9518</v>
      </c>
      <c r="J1363" t="s">
        <v>3399</v>
      </c>
      <c r="K1363" t="s">
        <v>9416</v>
      </c>
      <c r="L1363" t="s">
        <v>9417</v>
      </c>
      <c r="M1363" t="s">
        <v>11670</v>
      </c>
      <c r="N1363" t="s">
        <v>11550</v>
      </c>
      <c r="O1363" t="s">
        <v>8214</v>
      </c>
      <c r="P1363" t="s">
        <v>9420</v>
      </c>
      <c r="Q1363" t="s">
        <v>9421</v>
      </c>
      <c r="R1363" t="s">
        <v>17</v>
      </c>
      <c r="S1363" t="s">
        <v>3466</v>
      </c>
      <c r="T1363" t="s">
        <v>3469</v>
      </c>
    </row>
    <row r="1364" spans="1:20">
      <c r="A1364" t="s">
        <v>3710</v>
      </c>
      <c r="B1364" t="s">
        <v>20</v>
      </c>
      <c r="C1364" t="s">
        <v>8507</v>
      </c>
      <c r="D1364" t="s">
        <v>9455</v>
      </c>
      <c r="E1364" t="s">
        <v>11955</v>
      </c>
      <c r="F1364" t="s">
        <v>9412</v>
      </c>
      <c r="G1364" t="s">
        <v>9413</v>
      </c>
      <c r="H1364" t="s">
        <v>11516</v>
      </c>
      <c r="I1364" t="s">
        <v>9781</v>
      </c>
      <c r="J1364" t="s">
        <v>3619</v>
      </c>
      <c r="K1364" t="s">
        <v>9416</v>
      </c>
      <c r="L1364" t="s">
        <v>9417</v>
      </c>
      <c r="M1364" t="s">
        <v>11651</v>
      </c>
      <c r="N1364" t="s">
        <v>11605</v>
      </c>
      <c r="O1364" t="s">
        <v>8505</v>
      </c>
      <c r="P1364" t="s">
        <v>9429</v>
      </c>
      <c r="Q1364" t="s">
        <v>9421</v>
      </c>
      <c r="R1364" t="s">
        <v>52</v>
      </c>
      <c r="S1364" t="s">
        <v>3710</v>
      </c>
      <c r="T1364" t="s">
        <v>3712</v>
      </c>
    </row>
    <row r="1365" spans="1:20">
      <c r="A1365" t="s">
        <v>4111</v>
      </c>
      <c r="B1365" t="s">
        <v>62</v>
      </c>
      <c r="C1365" t="s">
        <v>8978</v>
      </c>
      <c r="D1365" t="s">
        <v>445</v>
      </c>
      <c r="E1365" t="s">
        <v>11956</v>
      </c>
      <c r="F1365" t="s">
        <v>9412</v>
      </c>
      <c r="G1365" t="s">
        <v>9413</v>
      </c>
      <c r="H1365" t="s">
        <v>11516</v>
      </c>
      <c r="I1365" t="s">
        <v>10589</v>
      </c>
      <c r="J1365" t="s">
        <v>4051</v>
      </c>
      <c r="K1365" t="s">
        <v>9416</v>
      </c>
      <c r="L1365" t="s">
        <v>9417</v>
      </c>
      <c r="M1365" t="s">
        <v>11658</v>
      </c>
      <c r="N1365" t="s">
        <v>11510</v>
      </c>
      <c r="O1365" t="s">
        <v>8977</v>
      </c>
      <c r="P1365" t="s">
        <v>9420</v>
      </c>
      <c r="Q1365" t="s">
        <v>9421</v>
      </c>
      <c r="R1365" t="s">
        <v>17</v>
      </c>
      <c r="S1365" t="s">
        <v>4111</v>
      </c>
      <c r="T1365" t="s">
        <v>4113</v>
      </c>
    </row>
    <row r="1366" spans="1:20">
      <c r="A1366" t="s">
        <v>3567</v>
      </c>
      <c r="B1366" t="s">
        <v>20</v>
      </c>
      <c r="C1366" t="s">
        <v>8348</v>
      </c>
      <c r="D1366" t="s">
        <v>9677</v>
      </c>
      <c r="E1366" t="s">
        <v>11957</v>
      </c>
      <c r="F1366" t="s">
        <v>9412</v>
      </c>
      <c r="G1366" t="s">
        <v>9413</v>
      </c>
      <c r="H1366" t="s">
        <v>11516</v>
      </c>
      <c r="I1366" t="s">
        <v>9886</v>
      </c>
      <c r="J1366" t="s">
        <v>3506</v>
      </c>
      <c r="K1366" t="s">
        <v>9445</v>
      </c>
      <c r="L1366" t="s">
        <v>9417</v>
      </c>
      <c r="M1366" t="s">
        <v>11615</v>
      </c>
      <c r="N1366" t="s">
        <v>9426</v>
      </c>
      <c r="O1366" t="s">
        <v>9446</v>
      </c>
      <c r="P1366" t="s">
        <v>9623</v>
      </c>
      <c r="Q1366" t="s">
        <v>9421</v>
      </c>
      <c r="R1366" t="s">
        <v>24</v>
      </c>
      <c r="S1366" t="s">
        <v>3544</v>
      </c>
      <c r="T1366" t="s">
        <v>3546</v>
      </c>
    </row>
    <row r="1367" spans="1:20">
      <c r="A1367" t="s">
        <v>3567</v>
      </c>
      <c r="B1367" t="s">
        <v>20</v>
      </c>
      <c r="C1367" t="s">
        <v>8348</v>
      </c>
      <c r="D1367" t="s">
        <v>9677</v>
      </c>
      <c r="E1367" t="s">
        <v>11957</v>
      </c>
      <c r="F1367" t="s">
        <v>9412</v>
      </c>
      <c r="G1367" t="s">
        <v>9413</v>
      </c>
      <c r="H1367" t="s">
        <v>11516</v>
      </c>
      <c r="I1367" t="s">
        <v>9886</v>
      </c>
      <c r="J1367" t="s">
        <v>3506</v>
      </c>
      <c r="K1367" t="s">
        <v>9416</v>
      </c>
      <c r="L1367" t="s">
        <v>9417</v>
      </c>
      <c r="M1367" t="s">
        <v>11615</v>
      </c>
      <c r="N1367" t="s">
        <v>11543</v>
      </c>
      <c r="O1367" t="s">
        <v>8350</v>
      </c>
      <c r="P1367" t="s">
        <v>9420</v>
      </c>
      <c r="Q1367" t="s">
        <v>9421</v>
      </c>
      <c r="R1367" t="s">
        <v>17</v>
      </c>
      <c r="S1367" t="s">
        <v>3567</v>
      </c>
      <c r="T1367" t="s">
        <v>3570</v>
      </c>
    </row>
    <row r="1368" spans="1:20">
      <c r="A1368" t="s">
        <v>8216</v>
      </c>
      <c r="B1368" t="s">
        <v>9409</v>
      </c>
      <c r="C1368" t="s">
        <v>8219</v>
      </c>
      <c r="D1368" t="s">
        <v>9410</v>
      </c>
      <c r="E1368" t="s">
        <v>11958</v>
      </c>
      <c r="F1368" t="s">
        <v>9412</v>
      </c>
      <c r="G1368" t="s">
        <v>9413</v>
      </c>
      <c r="H1368" t="s">
        <v>11516</v>
      </c>
      <c r="I1368" t="s">
        <v>9682</v>
      </c>
      <c r="J1368" t="s">
        <v>3399</v>
      </c>
      <c r="K1368" t="s">
        <v>9416</v>
      </c>
      <c r="L1368" t="s">
        <v>9417</v>
      </c>
      <c r="M1368" t="s">
        <v>11552</v>
      </c>
      <c r="N1368" t="s">
        <v>11550</v>
      </c>
      <c r="O1368" t="s">
        <v>8217</v>
      </c>
      <c r="P1368" t="s">
        <v>9420</v>
      </c>
      <c r="Q1368" t="s">
        <v>9421</v>
      </c>
      <c r="R1368" t="s">
        <v>17</v>
      </c>
      <c r="S1368" t="s">
        <v>8216</v>
      </c>
      <c r="T1368" t="s">
        <v>11959</v>
      </c>
    </row>
    <row r="1369" spans="1:20">
      <c r="A1369" t="s">
        <v>3714</v>
      </c>
      <c r="B1369" t="s">
        <v>20</v>
      </c>
      <c r="C1369" t="s">
        <v>8511</v>
      </c>
      <c r="D1369" t="s">
        <v>9460</v>
      </c>
      <c r="E1369" t="s">
        <v>11960</v>
      </c>
      <c r="F1369" t="s">
        <v>9412</v>
      </c>
      <c r="G1369" t="s">
        <v>9413</v>
      </c>
      <c r="H1369" t="s">
        <v>11516</v>
      </c>
      <c r="I1369" t="s">
        <v>10261</v>
      </c>
      <c r="J1369" t="s">
        <v>3619</v>
      </c>
      <c r="K1369" t="s">
        <v>9416</v>
      </c>
      <c r="L1369" t="s">
        <v>9417</v>
      </c>
      <c r="M1369" t="s">
        <v>11607</v>
      </c>
      <c r="N1369" t="s">
        <v>11605</v>
      </c>
      <c r="O1369" t="s">
        <v>8509</v>
      </c>
      <c r="P1369" t="s">
        <v>9420</v>
      </c>
      <c r="Q1369" t="s">
        <v>9421</v>
      </c>
      <c r="R1369" t="s">
        <v>17</v>
      </c>
      <c r="S1369" t="s">
        <v>3715</v>
      </c>
      <c r="T1369" t="s">
        <v>3717</v>
      </c>
    </row>
    <row r="1370" spans="1:20">
      <c r="A1370" t="s">
        <v>3571</v>
      </c>
      <c r="B1370" t="s">
        <v>20</v>
      </c>
      <c r="C1370" t="s">
        <v>3574</v>
      </c>
      <c r="D1370" t="s">
        <v>9460</v>
      </c>
      <c r="E1370" t="s">
        <v>11961</v>
      </c>
      <c r="F1370" t="s">
        <v>9412</v>
      </c>
      <c r="G1370" t="s">
        <v>9413</v>
      </c>
      <c r="H1370" t="s">
        <v>3162</v>
      </c>
      <c r="I1370" t="s">
        <v>9682</v>
      </c>
      <c r="J1370" t="s">
        <v>3506</v>
      </c>
      <c r="K1370" t="s">
        <v>9416</v>
      </c>
      <c r="L1370" t="s">
        <v>9417</v>
      </c>
      <c r="M1370" t="s">
        <v>11564</v>
      </c>
      <c r="N1370" t="s">
        <v>11543</v>
      </c>
      <c r="O1370" t="s">
        <v>8352</v>
      </c>
      <c r="P1370" t="s">
        <v>9429</v>
      </c>
      <c r="Q1370" t="s">
        <v>9421</v>
      </c>
      <c r="R1370" t="s">
        <v>52</v>
      </c>
      <c r="S1370" t="s">
        <v>3571</v>
      </c>
      <c r="T1370" t="s">
        <v>3573</v>
      </c>
    </row>
    <row r="1371" spans="1:20">
      <c r="A1371" t="s">
        <v>3882</v>
      </c>
      <c r="B1371" t="s">
        <v>20</v>
      </c>
      <c r="C1371" t="s">
        <v>8699</v>
      </c>
      <c r="D1371" t="s">
        <v>9475</v>
      </c>
      <c r="E1371" t="s">
        <v>11962</v>
      </c>
      <c r="F1371" t="s">
        <v>9412</v>
      </c>
      <c r="G1371" t="s">
        <v>9413</v>
      </c>
      <c r="H1371" t="s">
        <v>11516</v>
      </c>
      <c r="I1371" t="s">
        <v>9518</v>
      </c>
      <c r="J1371" t="s">
        <v>3808</v>
      </c>
      <c r="K1371" t="s">
        <v>9416</v>
      </c>
      <c r="L1371" t="s">
        <v>9417</v>
      </c>
      <c r="M1371" t="s">
        <v>11622</v>
      </c>
      <c r="N1371" t="s">
        <v>11514</v>
      </c>
      <c r="O1371" t="s">
        <v>8701</v>
      </c>
      <c r="P1371" t="s">
        <v>9429</v>
      </c>
      <c r="Q1371" t="s">
        <v>9421</v>
      </c>
      <c r="R1371" t="s">
        <v>52</v>
      </c>
      <c r="S1371" t="s">
        <v>3882</v>
      </c>
      <c r="T1371" t="s">
        <v>3884</v>
      </c>
    </row>
    <row r="1372" spans="1:20">
      <c r="A1372" t="s">
        <v>8221</v>
      </c>
      <c r="B1372" t="s">
        <v>9409</v>
      </c>
      <c r="C1372" t="s">
        <v>8224</v>
      </c>
      <c r="D1372" t="s">
        <v>9410</v>
      </c>
      <c r="E1372" t="s">
        <v>11963</v>
      </c>
      <c r="F1372" t="s">
        <v>9412</v>
      </c>
      <c r="G1372" t="s">
        <v>9413</v>
      </c>
      <c r="H1372" t="s">
        <v>11516</v>
      </c>
      <c r="I1372" t="s">
        <v>10261</v>
      </c>
      <c r="J1372" t="s">
        <v>3399</v>
      </c>
      <c r="K1372" t="s">
        <v>9416</v>
      </c>
      <c r="L1372" t="s">
        <v>9417</v>
      </c>
      <c r="M1372" t="s">
        <v>11858</v>
      </c>
      <c r="N1372" t="s">
        <v>11550</v>
      </c>
      <c r="O1372" t="s">
        <v>8222</v>
      </c>
      <c r="P1372" t="s">
        <v>9623</v>
      </c>
      <c r="Q1372" t="s">
        <v>9421</v>
      </c>
      <c r="R1372" t="s">
        <v>24</v>
      </c>
      <c r="S1372" t="s">
        <v>8221</v>
      </c>
      <c r="T1372" t="s">
        <v>11964</v>
      </c>
    </row>
    <row r="1373" spans="1:20">
      <c r="A1373" t="s">
        <v>11965</v>
      </c>
      <c r="B1373" t="s">
        <v>9409</v>
      </c>
      <c r="C1373" t="s">
        <v>11966</v>
      </c>
      <c r="D1373" t="s">
        <v>9410</v>
      </c>
      <c r="E1373" t="s">
        <v>11967</v>
      </c>
      <c r="F1373" t="s">
        <v>9412</v>
      </c>
      <c r="G1373" t="s">
        <v>9413</v>
      </c>
      <c r="H1373" t="s">
        <v>11516</v>
      </c>
      <c r="I1373" t="s">
        <v>9518</v>
      </c>
      <c r="J1373" t="s">
        <v>3808</v>
      </c>
      <c r="K1373" t="s">
        <v>9416</v>
      </c>
      <c r="L1373" t="s">
        <v>9417</v>
      </c>
      <c r="M1373" t="s">
        <v>11513</v>
      </c>
      <c r="N1373" t="s">
        <v>11514</v>
      </c>
      <c r="O1373" t="s">
        <v>11968</v>
      </c>
      <c r="P1373" t="s">
        <v>9420</v>
      </c>
      <c r="Q1373" t="s">
        <v>9421</v>
      </c>
      <c r="R1373" t="s">
        <v>17</v>
      </c>
      <c r="S1373" t="s">
        <v>11965</v>
      </c>
      <c r="T1373" t="s">
        <v>11969</v>
      </c>
    </row>
    <row r="1374" spans="1:20">
      <c r="A1374" t="s">
        <v>8356</v>
      </c>
      <c r="B1374" t="s">
        <v>20</v>
      </c>
      <c r="C1374" t="s">
        <v>8359</v>
      </c>
      <c r="D1374" t="s">
        <v>9475</v>
      </c>
      <c r="E1374" t="s">
        <v>11970</v>
      </c>
      <c r="F1374" t="s">
        <v>9412</v>
      </c>
      <c r="G1374" t="s">
        <v>9413</v>
      </c>
      <c r="H1374" t="s">
        <v>11516</v>
      </c>
      <c r="I1374" t="s">
        <v>9469</v>
      </c>
      <c r="J1374" t="s">
        <v>3506</v>
      </c>
      <c r="K1374" t="s">
        <v>9416</v>
      </c>
      <c r="L1374" t="s">
        <v>9417</v>
      </c>
      <c r="M1374" t="s">
        <v>11654</v>
      </c>
      <c r="N1374" t="s">
        <v>11543</v>
      </c>
      <c r="O1374" t="s">
        <v>8357</v>
      </c>
      <c r="P1374" t="s">
        <v>9420</v>
      </c>
      <c r="Q1374" t="s">
        <v>9421</v>
      </c>
      <c r="R1374" t="s">
        <v>17</v>
      </c>
      <c r="S1374" t="s">
        <v>8356</v>
      </c>
      <c r="T1374" t="s">
        <v>11971</v>
      </c>
    </row>
    <row r="1375" spans="1:20">
      <c r="A1375" t="s">
        <v>4115</v>
      </c>
      <c r="B1375" t="s">
        <v>62</v>
      </c>
      <c r="C1375" t="s">
        <v>8982</v>
      </c>
      <c r="D1375" t="s">
        <v>445</v>
      </c>
      <c r="E1375" t="s">
        <v>11972</v>
      </c>
      <c r="F1375" t="s">
        <v>9412</v>
      </c>
      <c r="G1375" t="s">
        <v>9413</v>
      </c>
      <c r="H1375" t="s">
        <v>11516</v>
      </c>
      <c r="I1375" t="s">
        <v>9734</v>
      </c>
      <c r="J1375" t="s">
        <v>4051</v>
      </c>
      <c r="K1375" t="s">
        <v>9416</v>
      </c>
      <c r="L1375" t="s">
        <v>9417</v>
      </c>
      <c r="M1375" t="s">
        <v>11658</v>
      </c>
      <c r="N1375" t="s">
        <v>11510</v>
      </c>
      <c r="O1375" t="s">
        <v>8980</v>
      </c>
      <c r="P1375" t="s">
        <v>11973</v>
      </c>
      <c r="Q1375" t="s">
        <v>9421</v>
      </c>
      <c r="R1375" t="s">
        <v>553</v>
      </c>
      <c r="S1375" t="s">
        <v>4115</v>
      </c>
      <c r="T1375" t="s">
        <v>4117</v>
      </c>
    </row>
    <row r="1376" spans="1:20">
      <c r="A1376" t="s">
        <v>3719</v>
      </c>
      <c r="B1376" t="s">
        <v>20</v>
      </c>
      <c r="C1376" t="s">
        <v>3720</v>
      </c>
      <c r="D1376" t="s">
        <v>10052</v>
      </c>
      <c r="E1376" t="s">
        <v>11974</v>
      </c>
      <c r="F1376" t="s">
        <v>9412</v>
      </c>
      <c r="G1376" t="s">
        <v>9413</v>
      </c>
      <c r="H1376" t="s">
        <v>3162</v>
      </c>
      <c r="I1376" t="s">
        <v>10434</v>
      </c>
      <c r="J1376" t="s">
        <v>3619</v>
      </c>
      <c r="K1376" t="s">
        <v>9416</v>
      </c>
      <c r="L1376" t="s">
        <v>9417</v>
      </c>
      <c r="M1376" t="s">
        <v>11572</v>
      </c>
      <c r="N1376" t="s">
        <v>11605</v>
      </c>
      <c r="O1376" t="s">
        <v>8515</v>
      </c>
      <c r="P1376" t="s">
        <v>9420</v>
      </c>
      <c r="Q1376" t="s">
        <v>9421</v>
      </c>
      <c r="R1376" t="s">
        <v>17</v>
      </c>
      <c r="S1376" t="s">
        <v>3719</v>
      </c>
      <c r="T1376" t="s">
        <v>3722</v>
      </c>
    </row>
    <row r="1377" spans="1:20">
      <c r="A1377" t="s">
        <v>3719</v>
      </c>
      <c r="B1377" t="s">
        <v>20</v>
      </c>
      <c r="C1377" t="s">
        <v>3720</v>
      </c>
      <c r="D1377" t="s">
        <v>10052</v>
      </c>
      <c r="E1377" t="s">
        <v>11974</v>
      </c>
      <c r="F1377" t="s">
        <v>9412</v>
      </c>
      <c r="G1377" t="s">
        <v>9413</v>
      </c>
      <c r="H1377" t="s">
        <v>3162</v>
      </c>
      <c r="I1377" t="s">
        <v>10434</v>
      </c>
      <c r="J1377" t="s">
        <v>3619</v>
      </c>
      <c r="K1377" t="s">
        <v>9445</v>
      </c>
      <c r="L1377" t="s">
        <v>9417</v>
      </c>
      <c r="M1377" t="s">
        <v>11572</v>
      </c>
      <c r="N1377" t="s">
        <v>9426</v>
      </c>
      <c r="O1377" t="s">
        <v>9446</v>
      </c>
      <c r="P1377" t="s">
        <v>9623</v>
      </c>
      <c r="Q1377" t="s">
        <v>9421</v>
      </c>
      <c r="R1377" t="s">
        <v>24</v>
      </c>
      <c r="S1377" t="s">
        <v>3238</v>
      </c>
      <c r="T1377" t="s">
        <v>3240</v>
      </c>
    </row>
    <row r="1378" spans="1:20">
      <c r="A1378" t="s">
        <v>11975</v>
      </c>
      <c r="B1378" t="s">
        <v>9409</v>
      </c>
      <c r="C1378" t="s">
        <v>11976</v>
      </c>
      <c r="D1378" t="s">
        <v>9410</v>
      </c>
      <c r="E1378" t="s">
        <v>11977</v>
      </c>
      <c r="F1378" t="s">
        <v>9412</v>
      </c>
      <c r="G1378" t="s">
        <v>9413</v>
      </c>
      <c r="H1378" t="s">
        <v>11978</v>
      </c>
      <c r="I1378" t="s">
        <v>9729</v>
      </c>
      <c r="J1378" t="s">
        <v>3619</v>
      </c>
      <c r="K1378" t="s">
        <v>9416</v>
      </c>
      <c r="L1378" t="s">
        <v>9417</v>
      </c>
      <c r="M1378" t="s">
        <v>11753</v>
      </c>
      <c r="N1378" t="s">
        <v>11605</v>
      </c>
      <c r="O1378" t="s">
        <v>11979</v>
      </c>
      <c r="P1378" t="s">
        <v>9429</v>
      </c>
      <c r="Q1378" t="s">
        <v>9421</v>
      </c>
      <c r="R1378" t="s">
        <v>52</v>
      </c>
      <c r="S1378" t="s">
        <v>11980</v>
      </c>
      <c r="T1378" t="s">
        <v>11981</v>
      </c>
    </row>
    <row r="1379" spans="1:20">
      <c r="A1379" t="s">
        <v>11975</v>
      </c>
      <c r="B1379" t="s">
        <v>9409</v>
      </c>
      <c r="C1379" t="s">
        <v>11976</v>
      </c>
      <c r="D1379" t="s">
        <v>9410</v>
      </c>
      <c r="E1379" t="s">
        <v>11977</v>
      </c>
      <c r="F1379" t="s">
        <v>9412</v>
      </c>
      <c r="G1379" t="s">
        <v>9413</v>
      </c>
      <c r="H1379" t="s">
        <v>11978</v>
      </c>
      <c r="I1379" t="s">
        <v>9729</v>
      </c>
      <c r="J1379" t="s">
        <v>3619</v>
      </c>
      <c r="K1379" t="s">
        <v>9445</v>
      </c>
      <c r="L1379" t="s">
        <v>9417</v>
      </c>
      <c r="M1379" t="s">
        <v>11753</v>
      </c>
      <c r="N1379" t="s">
        <v>9430</v>
      </c>
      <c r="O1379" t="s">
        <v>8421</v>
      </c>
      <c r="P1379" t="s">
        <v>9524</v>
      </c>
      <c r="Q1379" t="s">
        <v>9421</v>
      </c>
      <c r="R1379" t="s">
        <v>17</v>
      </c>
      <c r="S1379" t="s">
        <v>3642</v>
      </c>
      <c r="T1379" t="s">
        <v>3644</v>
      </c>
    </row>
    <row r="1380" spans="1:20">
      <c r="A1380" t="s">
        <v>3723</v>
      </c>
      <c r="B1380" t="s">
        <v>62</v>
      </c>
      <c r="C1380" t="s">
        <v>8517</v>
      </c>
      <c r="D1380" t="s">
        <v>9448</v>
      </c>
      <c r="E1380" t="s">
        <v>11982</v>
      </c>
      <c r="F1380" t="s">
        <v>9412</v>
      </c>
      <c r="G1380" t="s">
        <v>9413</v>
      </c>
      <c r="H1380" t="s">
        <v>11516</v>
      </c>
      <c r="I1380" t="s">
        <v>9472</v>
      </c>
      <c r="J1380" t="s">
        <v>3619</v>
      </c>
      <c r="K1380" t="s">
        <v>9416</v>
      </c>
      <c r="L1380" t="s">
        <v>9417</v>
      </c>
      <c r="M1380" t="s">
        <v>11702</v>
      </c>
      <c r="N1380" t="s">
        <v>11605</v>
      </c>
      <c r="O1380" t="s">
        <v>8521</v>
      </c>
      <c r="P1380" t="s">
        <v>9429</v>
      </c>
      <c r="Q1380" t="s">
        <v>9421</v>
      </c>
      <c r="R1380" t="s">
        <v>52</v>
      </c>
      <c r="S1380" t="s">
        <v>3727</v>
      </c>
      <c r="T1380" t="s">
        <v>3729</v>
      </c>
    </row>
    <row r="1381" spans="1:20">
      <c r="A1381" t="s">
        <v>3723</v>
      </c>
      <c r="B1381" t="s">
        <v>62</v>
      </c>
      <c r="C1381" t="s">
        <v>8517</v>
      </c>
      <c r="D1381" t="s">
        <v>9448</v>
      </c>
      <c r="E1381" t="s">
        <v>11982</v>
      </c>
      <c r="F1381" t="s">
        <v>9412</v>
      </c>
      <c r="G1381" t="s">
        <v>9413</v>
      </c>
      <c r="H1381" t="s">
        <v>11516</v>
      </c>
      <c r="I1381" t="s">
        <v>9472</v>
      </c>
      <c r="J1381" t="s">
        <v>3619</v>
      </c>
      <c r="K1381" t="s">
        <v>9445</v>
      </c>
      <c r="L1381" t="s">
        <v>9417</v>
      </c>
      <c r="M1381" t="s">
        <v>11702</v>
      </c>
      <c r="N1381" t="s">
        <v>9426</v>
      </c>
      <c r="O1381" t="s">
        <v>9446</v>
      </c>
      <c r="P1381" t="s">
        <v>9479</v>
      </c>
      <c r="Q1381" t="s">
        <v>9421</v>
      </c>
      <c r="R1381" t="s">
        <v>43</v>
      </c>
      <c r="S1381" t="s">
        <v>3416</v>
      </c>
      <c r="T1381" t="s">
        <v>3418</v>
      </c>
    </row>
    <row r="1382" spans="1:20">
      <c r="A1382" t="s">
        <v>3723</v>
      </c>
      <c r="B1382" t="s">
        <v>62</v>
      </c>
      <c r="C1382" t="s">
        <v>8517</v>
      </c>
      <c r="D1382" t="s">
        <v>9448</v>
      </c>
      <c r="E1382" t="s">
        <v>11982</v>
      </c>
      <c r="F1382" t="s">
        <v>9412</v>
      </c>
      <c r="G1382" t="s">
        <v>9413</v>
      </c>
      <c r="H1382" t="s">
        <v>11516</v>
      </c>
      <c r="I1382" t="s">
        <v>9472</v>
      </c>
      <c r="J1382" t="s">
        <v>3619</v>
      </c>
      <c r="K1382" t="s">
        <v>9416</v>
      </c>
      <c r="L1382" t="s">
        <v>9417</v>
      </c>
      <c r="M1382" t="s">
        <v>11702</v>
      </c>
      <c r="N1382" t="s">
        <v>9446</v>
      </c>
      <c r="O1382" t="s">
        <v>8523</v>
      </c>
      <c r="P1382" t="s">
        <v>9655</v>
      </c>
      <c r="Q1382" t="s">
        <v>9421</v>
      </c>
      <c r="R1382" t="s">
        <v>56</v>
      </c>
      <c r="S1382" t="s">
        <v>3730</v>
      </c>
      <c r="T1382" t="s">
        <v>3732</v>
      </c>
    </row>
    <row r="1383" spans="1:20">
      <c r="A1383" t="s">
        <v>3723</v>
      </c>
      <c r="B1383" t="s">
        <v>62</v>
      </c>
      <c r="C1383" t="s">
        <v>8517</v>
      </c>
      <c r="D1383" t="s">
        <v>9448</v>
      </c>
      <c r="E1383" t="s">
        <v>11982</v>
      </c>
      <c r="F1383" t="s">
        <v>9412</v>
      </c>
      <c r="G1383" t="s">
        <v>9413</v>
      </c>
      <c r="H1383" t="s">
        <v>11516</v>
      </c>
      <c r="I1383" t="s">
        <v>9472</v>
      </c>
      <c r="J1383" t="s">
        <v>3619</v>
      </c>
      <c r="K1383" t="s">
        <v>9416</v>
      </c>
      <c r="L1383" t="s">
        <v>9417</v>
      </c>
      <c r="M1383" t="s">
        <v>11702</v>
      </c>
      <c r="N1383" t="s">
        <v>11605</v>
      </c>
      <c r="O1383" t="s">
        <v>8519</v>
      </c>
      <c r="P1383" t="s">
        <v>9429</v>
      </c>
      <c r="Q1383" t="s">
        <v>9421</v>
      </c>
      <c r="R1383" t="s">
        <v>52</v>
      </c>
      <c r="S1383" t="s">
        <v>3723</v>
      </c>
      <c r="T1383" t="s">
        <v>3725</v>
      </c>
    </row>
    <row r="1384" spans="1:20">
      <c r="A1384" t="s">
        <v>4119</v>
      </c>
      <c r="B1384" t="s">
        <v>62</v>
      </c>
      <c r="C1384" t="s">
        <v>8986</v>
      </c>
      <c r="D1384" t="s">
        <v>9448</v>
      </c>
      <c r="E1384" t="s">
        <v>11983</v>
      </c>
      <c r="F1384" t="s">
        <v>9412</v>
      </c>
      <c r="G1384" t="s">
        <v>9413</v>
      </c>
      <c r="H1384" t="s">
        <v>11516</v>
      </c>
      <c r="I1384" t="s">
        <v>10349</v>
      </c>
      <c r="J1384" t="s">
        <v>4051</v>
      </c>
      <c r="K1384" t="s">
        <v>9416</v>
      </c>
      <c r="L1384" t="s">
        <v>9417</v>
      </c>
      <c r="M1384" t="s">
        <v>11781</v>
      </c>
      <c r="N1384" t="s">
        <v>11510</v>
      </c>
      <c r="O1384" t="s">
        <v>8984</v>
      </c>
      <c r="P1384" t="s">
        <v>10467</v>
      </c>
      <c r="Q1384" t="s">
        <v>9421</v>
      </c>
      <c r="R1384" t="s">
        <v>52</v>
      </c>
      <c r="S1384" t="s">
        <v>4119</v>
      </c>
      <c r="T1384" t="s">
        <v>4121</v>
      </c>
    </row>
    <row r="1385" spans="1:20">
      <c r="A1385" t="s">
        <v>4119</v>
      </c>
      <c r="B1385" t="s">
        <v>62</v>
      </c>
      <c r="C1385" t="s">
        <v>8986</v>
      </c>
      <c r="D1385" t="s">
        <v>9448</v>
      </c>
      <c r="E1385" t="s">
        <v>11983</v>
      </c>
      <c r="F1385" t="s">
        <v>9412</v>
      </c>
      <c r="G1385" t="s">
        <v>9413</v>
      </c>
      <c r="H1385" t="s">
        <v>11516</v>
      </c>
      <c r="I1385" t="s">
        <v>10349</v>
      </c>
      <c r="J1385" t="s">
        <v>4051</v>
      </c>
      <c r="K1385" t="s">
        <v>9445</v>
      </c>
      <c r="L1385" t="s">
        <v>9417</v>
      </c>
      <c r="M1385" t="s">
        <v>11781</v>
      </c>
      <c r="N1385" t="s">
        <v>9426</v>
      </c>
      <c r="O1385" t="s">
        <v>9446</v>
      </c>
      <c r="P1385" t="s">
        <v>9479</v>
      </c>
      <c r="Q1385" t="s">
        <v>9421</v>
      </c>
      <c r="R1385" t="s">
        <v>43</v>
      </c>
      <c r="S1385" t="s">
        <v>3597</v>
      </c>
      <c r="T1385" t="s">
        <v>3599</v>
      </c>
    </row>
    <row r="1386" spans="1:20">
      <c r="A1386" t="s">
        <v>4123</v>
      </c>
      <c r="B1386" t="s">
        <v>62</v>
      </c>
      <c r="C1386" t="s">
        <v>8990</v>
      </c>
      <c r="D1386" t="s">
        <v>445</v>
      </c>
      <c r="E1386" t="s">
        <v>11984</v>
      </c>
      <c r="F1386" t="s">
        <v>9412</v>
      </c>
      <c r="G1386" t="s">
        <v>9413</v>
      </c>
      <c r="H1386" t="s">
        <v>11516</v>
      </c>
      <c r="I1386" t="s">
        <v>11219</v>
      </c>
      <c r="J1386" t="s">
        <v>4051</v>
      </c>
      <c r="K1386" t="s">
        <v>9416</v>
      </c>
      <c r="L1386" t="s">
        <v>9417</v>
      </c>
      <c r="M1386" t="s">
        <v>11781</v>
      </c>
      <c r="N1386" t="s">
        <v>11510</v>
      </c>
      <c r="O1386" t="s">
        <v>8988</v>
      </c>
      <c r="P1386" t="s">
        <v>10789</v>
      </c>
      <c r="Q1386" t="s">
        <v>9421</v>
      </c>
      <c r="R1386" t="s">
        <v>553</v>
      </c>
      <c r="S1386" t="s">
        <v>4123</v>
      </c>
      <c r="T1386" t="s">
        <v>4125</v>
      </c>
    </row>
    <row r="1387" spans="1:20">
      <c r="A1387" t="s">
        <v>3272</v>
      </c>
      <c r="B1387" t="s">
        <v>20</v>
      </c>
      <c r="C1387" t="s">
        <v>7983</v>
      </c>
      <c r="D1387" t="s">
        <v>9677</v>
      </c>
      <c r="E1387" t="s">
        <v>11985</v>
      </c>
      <c r="F1387" t="s">
        <v>9412</v>
      </c>
      <c r="G1387" t="s">
        <v>9413</v>
      </c>
      <c r="H1387" t="s">
        <v>11516</v>
      </c>
      <c r="I1387" t="s">
        <v>9781</v>
      </c>
      <c r="J1387" t="s">
        <v>3161</v>
      </c>
      <c r="K1387" t="s">
        <v>9416</v>
      </c>
      <c r="L1387" t="s">
        <v>9417</v>
      </c>
      <c r="M1387" t="s">
        <v>11528</v>
      </c>
      <c r="N1387" t="s">
        <v>11518</v>
      </c>
      <c r="O1387" t="s">
        <v>7981</v>
      </c>
      <c r="P1387" t="s">
        <v>9420</v>
      </c>
      <c r="Q1387" t="s">
        <v>9421</v>
      </c>
      <c r="R1387" t="s">
        <v>17</v>
      </c>
      <c r="S1387" t="s">
        <v>3272</v>
      </c>
      <c r="T1387" t="s">
        <v>3274</v>
      </c>
    </row>
    <row r="1388" spans="1:20">
      <c r="A1388" t="s">
        <v>4127</v>
      </c>
      <c r="B1388" t="s">
        <v>62</v>
      </c>
      <c r="C1388" t="s">
        <v>8993</v>
      </c>
      <c r="D1388" t="s">
        <v>445</v>
      </c>
      <c r="E1388" t="s">
        <v>11986</v>
      </c>
      <c r="F1388" t="s">
        <v>9412</v>
      </c>
      <c r="G1388" t="s">
        <v>9413</v>
      </c>
      <c r="H1388" t="s">
        <v>11987</v>
      </c>
      <c r="I1388" t="s">
        <v>10589</v>
      </c>
      <c r="J1388" t="s">
        <v>4051</v>
      </c>
      <c r="K1388" t="s">
        <v>9416</v>
      </c>
      <c r="L1388" t="s">
        <v>9417</v>
      </c>
      <c r="M1388" t="s">
        <v>11658</v>
      </c>
      <c r="N1388" t="s">
        <v>11510</v>
      </c>
      <c r="O1388" t="s">
        <v>8992</v>
      </c>
      <c r="P1388" t="s">
        <v>9429</v>
      </c>
      <c r="Q1388" t="s">
        <v>9421</v>
      </c>
      <c r="R1388" t="s">
        <v>52</v>
      </c>
      <c r="S1388" t="s">
        <v>4127</v>
      </c>
      <c r="T1388" t="s">
        <v>4129</v>
      </c>
    </row>
    <row r="1389" spans="1:20">
      <c r="A1389" t="s">
        <v>11988</v>
      </c>
      <c r="B1389" t="s">
        <v>9409</v>
      </c>
      <c r="C1389" t="s">
        <v>11989</v>
      </c>
      <c r="D1389" t="s">
        <v>9410</v>
      </c>
      <c r="E1389" t="s">
        <v>11990</v>
      </c>
      <c r="F1389" t="s">
        <v>9412</v>
      </c>
      <c r="G1389" t="s">
        <v>9413</v>
      </c>
      <c r="H1389" t="s">
        <v>11516</v>
      </c>
      <c r="I1389" t="s">
        <v>10302</v>
      </c>
      <c r="J1389" t="s">
        <v>3939</v>
      </c>
      <c r="K1389" t="s">
        <v>9416</v>
      </c>
      <c r="L1389" t="s">
        <v>9417</v>
      </c>
      <c r="M1389" t="s">
        <v>11535</v>
      </c>
      <c r="N1389" t="s">
        <v>11536</v>
      </c>
      <c r="O1389" t="s">
        <v>11991</v>
      </c>
      <c r="P1389" t="s">
        <v>9429</v>
      </c>
      <c r="Q1389" t="s">
        <v>9421</v>
      </c>
      <c r="R1389" t="s">
        <v>52</v>
      </c>
      <c r="S1389" t="s">
        <v>11992</v>
      </c>
      <c r="T1389" t="s">
        <v>11993</v>
      </c>
    </row>
    <row r="1390" spans="1:20">
      <c r="A1390" t="s">
        <v>11988</v>
      </c>
      <c r="B1390" t="s">
        <v>9409</v>
      </c>
      <c r="C1390" t="s">
        <v>11989</v>
      </c>
      <c r="D1390" t="s">
        <v>9410</v>
      </c>
      <c r="E1390" t="s">
        <v>11990</v>
      </c>
      <c r="F1390" t="s">
        <v>9412</v>
      </c>
      <c r="G1390" t="s">
        <v>9413</v>
      </c>
      <c r="H1390" t="s">
        <v>11516</v>
      </c>
      <c r="I1390" t="s">
        <v>10302</v>
      </c>
      <c r="J1390" t="s">
        <v>3939</v>
      </c>
      <c r="K1390" t="s">
        <v>9416</v>
      </c>
      <c r="L1390" t="s">
        <v>9417</v>
      </c>
      <c r="M1390" t="s">
        <v>11535</v>
      </c>
      <c r="N1390" t="s">
        <v>11536</v>
      </c>
      <c r="O1390" t="s">
        <v>11994</v>
      </c>
      <c r="P1390" t="s">
        <v>9429</v>
      </c>
      <c r="Q1390" t="s">
        <v>9421</v>
      </c>
      <c r="R1390" t="s">
        <v>52</v>
      </c>
      <c r="S1390" t="s">
        <v>11995</v>
      </c>
      <c r="T1390" t="s">
        <v>11996</v>
      </c>
    </row>
    <row r="1391" spans="1:20">
      <c r="A1391" t="s">
        <v>3733</v>
      </c>
      <c r="B1391" t="s">
        <v>20</v>
      </c>
      <c r="C1391" t="s">
        <v>8527</v>
      </c>
      <c r="D1391" t="s">
        <v>9475</v>
      </c>
      <c r="E1391" t="s">
        <v>11997</v>
      </c>
      <c r="F1391" t="s">
        <v>9412</v>
      </c>
      <c r="G1391" t="s">
        <v>9413</v>
      </c>
      <c r="H1391" t="s">
        <v>11516</v>
      </c>
      <c r="I1391" t="s">
        <v>9874</v>
      </c>
      <c r="J1391" t="s">
        <v>3619</v>
      </c>
      <c r="K1391" t="s">
        <v>9416</v>
      </c>
      <c r="L1391" t="s">
        <v>9417</v>
      </c>
      <c r="M1391" t="s">
        <v>11817</v>
      </c>
      <c r="N1391" t="s">
        <v>11605</v>
      </c>
      <c r="O1391" t="s">
        <v>8525</v>
      </c>
      <c r="P1391" t="s">
        <v>9623</v>
      </c>
      <c r="Q1391" t="s">
        <v>9421</v>
      </c>
      <c r="R1391" t="s">
        <v>24</v>
      </c>
      <c r="S1391" t="s">
        <v>3733</v>
      </c>
      <c r="T1391" t="s">
        <v>3735</v>
      </c>
    </row>
    <row r="1392" spans="1:20">
      <c r="A1392" t="s">
        <v>4131</v>
      </c>
      <c r="B1392" t="s">
        <v>62</v>
      </c>
      <c r="C1392" t="s">
        <v>9000</v>
      </c>
      <c r="D1392" t="s">
        <v>445</v>
      </c>
      <c r="E1392" t="s">
        <v>11998</v>
      </c>
      <c r="F1392" t="s">
        <v>9412</v>
      </c>
      <c r="G1392" t="s">
        <v>9413</v>
      </c>
      <c r="H1392" t="s">
        <v>11516</v>
      </c>
      <c r="I1392" t="s">
        <v>9714</v>
      </c>
      <c r="J1392" t="s">
        <v>4051</v>
      </c>
      <c r="K1392" t="s">
        <v>9416</v>
      </c>
      <c r="L1392" t="s">
        <v>9417</v>
      </c>
      <c r="M1392" t="s">
        <v>11538</v>
      </c>
      <c r="N1392" t="s">
        <v>11510</v>
      </c>
      <c r="O1392" t="s">
        <v>8998</v>
      </c>
      <c r="P1392" t="s">
        <v>9794</v>
      </c>
      <c r="Q1392" t="s">
        <v>9421</v>
      </c>
      <c r="R1392" t="s">
        <v>52</v>
      </c>
      <c r="S1392" t="s">
        <v>4135</v>
      </c>
      <c r="T1392" t="s">
        <v>4137</v>
      </c>
    </row>
    <row r="1393" spans="1:20">
      <c r="A1393" t="s">
        <v>4131</v>
      </c>
      <c r="B1393" t="s">
        <v>62</v>
      </c>
      <c r="C1393" t="s">
        <v>8996</v>
      </c>
      <c r="D1393" t="s">
        <v>445</v>
      </c>
      <c r="E1393" t="s">
        <v>11998</v>
      </c>
      <c r="F1393" t="s">
        <v>9412</v>
      </c>
      <c r="G1393" t="s">
        <v>9413</v>
      </c>
      <c r="H1393" t="s">
        <v>11516</v>
      </c>
      <c r="I1393" t="s">
        <v>9714</v>
      </c>
      <c r="J1393" t="s">
        <v>4051</v>
      </c>
      <c r="K1393" t="s">
        <v>9416</v>
      </c>
      <c r="L1393" t="s">
        <v>9417</v>
      </c>
      <c r="M1393" t="s">
        <v>11538</v>
      </c>
      <c r="N1393" t="s">
        <v>11510</v>
      </c>
      <c r="O1393" t="s">
        <v>8995</v>
      </c>
      <c r="P1393" t="s">
        <v>9420</v>
      </c>
      <c r="Q1393" t="s">
        <v>9421</v>
      </c>
      <c r="R1393" t="s">
        <v>17</v>
      </c>
      <c r="S1393" t="s">
        <v>4131</v>
      </c>
      <c r="T1393" t="s">
        <v>4133</v>
      </c>
    </row>
    <row r="1394" spans="1:20">
      <c r="A1394" t="s">
        <v>3470</v>
      </c>
      <c r="B1394" t="s">
        <v>20</v>
      </c>
      <c r="C1394" t="s">
        <v>8227</v>
      </c>
      <c r="D1394" t="s">
        <v>9666</v>
      </c>
      <c r="E1394" t="s">
        <v>11999</v>
      </c>
      <c r="F1394" t="s">
        <v>9412</v>
      </c>
      <c r="G1394" t="s">
        <v>9413</v>
      </c>
      <c r="H1394" t="s">
        <v>11516</v>
      </c>
      <c r="I1394" t="s">
        <v>10822</v>
      </c>
      <c r="J1394" t="s">
        <v>3399</v>
      </c>
      <c r="K1394" t="s">
        <v>9416</v>
      </c>
      <c r="L1394" t="s">
        <v>9417</v>
      </c>
      <c r="M1394" t="s">
        <v>11549</v>
      </c>
      <c r="N1394" t="s">
        <v>9446</v>
      </c>
      <c r="O1394" t="s">
        <v>8229</v>
      </c>
      <c r="P1394" t="s">
        <v>9647</v>
      </c>
      <c r="Q1394" t="s">
        <v>9421</v>
      </c>
      <c r="R1394" t="s">
        <v>84</v>
      </c>
      <c r="S1394" t="s">
        <v>3474</v>
      </c>
      <c r="T1394" t="s">
        <v>3476</v>
      </c>
    </row>
    <row r="1395" spans="1:20">
      <c r="A1395" t="s">
        <v>3470</v>
      </c>
      <c r="B1395" t="s">
        <v>20</v>
      </c>
      <c r="C1395" t="s">
        <v>8227</v>
      </c>
      <c r="D1395" t="s">
        <v>9666</v>
      </c>
      <c r="E1395" t="s">
        <v>11999</v>
      </c>
      <c r="F1395" t="s">
        <v>9412</v>
      </c>
      <c r="G1395" t="s">
        <v>9413</v>
      </c>
      <c r="H1395" t="s">
        <v>11516</v>
      </c>
      <c r="I1395" t="s">
        <v>10822</v>
      </c>
      <c r="J1395" t="s">
        <v>3399</v>
      </c>
      <c r="K1395" t="s">
        <v>9416</v>
      </c>
      <c r="L1395" t="s">
        <v>9417</v>
      </c>
      <c r="M1395" t="s">
        <v>11549</v>
      </c>
      <c r="N1395" t="s">
        <v>11550</v>
      </c>
      <c r="O1395" t="s">
        <v>8226</v>
      </c>
      <c r="P1395" t="s">
        <v>9429</v>
      </c>
      <c r="Q1395" t="s">
        <v>9421</v>
      </c>
      <c r="R1395" t="s">
        <v>52</v>
      </c>
      <c r="S1395" t="s">
        <v>3470</v>
      </c>
      <c r="T1395" t="s">
        <v>3472</v>
      </c>
    </row>
    <row r="1396" spans="1:20">
      <c r="A1396" t="s">
        <v>3998</v>
      </c>
      <c r="B1396" t="s">
        <v>62</v>
      </c>
      <c r="C1396" t="s">
        <v>3999</v>
      </c>
      <c r="D1396" t="s">
        <v>9448</v>
      </c>
      <c r="E1396" t="s">
        <v>12000</v>
      </c>
      <c r="F1396" t="s">
        <v>9412</v>
      </c>
      <c r="G1396" t="s">
        <v>9413</v>
      </c>
      <c r="H1396" t="s">
        <v>3162</v>
      </c>
      <c r="I1396" t="s">
        <v>9771</v>
      </c>
      <c r="J1396" t="s">
        <v>3939</v>
      </c>
      <c r="K1396" t="s">
        <v>9445</v>
      </c>
      <c r="L1396" t="s">
        <v>9417</v>
      </c>
      <c r="M1396" t="s">
        <v>11588</v>
      </c>
      <c r="N1396" t="s">
        <v>9426</v>
      </c>
      <c r="O1396" t="s">
        <v>9446</v>
      </c>
      <c r="P1396" t="s">
        <v>9524</v>
      </c>
      <c r="Q1396" t="s">
        <v>9421</v>
      </c>
      <c r="R1396" t="s">
        <v>24</v>
      </c>
      <c r="S1396" t="s">
        <v>3167</v>
      </c>
      <c r="T1396" t="s">
        <v>3169</v>
      </c>
    </row>
    <row r="1397" spans="1:20">
      <c r="A1397" t="s">
        <v>3998</v>
      </c>
      <c r="B1397" t="s">
        <v>62</v>
      </c>
      <c r="C1397" t="s">
        <v>3999</v>
      </c>
      <c r="D1397" t="s">
        <v>9448</v>
      </c>
      <c r="E1397" t="s">
        <v>12000</v>
      </c>
      <c r="F1397" t="s">
        <v>9412</v>
      </c>
      <c r="G1397" t="s">
        <v>9413</v>
      </c>
      <c r="H1397" t="s">
        <v>3162</v>
      </c>
      <c r="I1397" t="s">
        <v>9771</v>
      </c>
      <c r="J1397" t="s">
        <v>3939</v>
      </c>
      <c r="K1397" t="s">
        <v>9416</v>
      </c>
      <c r="L1397" t="s">
        <v>9417</v>
      </c>
      <c r="M1397" t="s">
        <v>11588</v>
      </c>
      <c r="N1397" t="s">
        <v>11536</v>
      </c>
      <c r="O1397" t="s">
        <v>8846</v>
      </c>
      <c r="P1397" t="s">
        <v>9429</v>
      </c>
      <c r="Q1397" t="s">
        <v>9421</v>
      </c>
      <c r="R1397" t="s">
        <v>52</v>
      </c>
      <c r="S1397" t="s">
        <v>3998</v>
      </c>
      <c r="T1397" t="s">
        <v>4001</v>
      </c>
    </row>
    <row r="1398" spans="1:20">
      <c r="A1398" t="s">
        <v>3276</v>
      </c>
      <c r="B1398" t="s">
        <v>62</v>
      </c>
      <c r="C1398" t="s">
        <v>7985</v>
      </c>
      <c r="D1398" t="s">
        <v>445</v>
      </c>
      <c r="E1398" t="s">
        <v>12001</v>
      </c>
      <c r="F1398" t="s">
        <v>9412</v>
      </c>
      <c r="G1398" t="s">
        <v>9413</v>
      </c>
      <c r="H1398" t="s">
        <v>11516</v>
      </c>
      <c r="I1398" t="s">
        <v>9714</v>
      </c>
      <c r="J1398" t="s">
        <v>3161</v>
      </c>
      <c r="K1398" t="s">
        <v>9416</v>
      </c>
      <c r="L1398" t="s">
        <v>9417</v>
      </c>
      <c r="M1398" t="s">
        <v>11656</v>
      </c>
      <c r="N1398" t="s">
        <v>11518</v>
      </c>
      <c r="O1398" t="s">
        <v>7987</v>
      </c>
      <c r="P1398" t="s">
        <v>9420</v>
      </c>
      <c r="Q1398" t="s">
        <v>9421</v>
      </c>
      <c r="R1398" t="s">
        <v>17</v>
      </c>
      <c r="S1398" t="s">
        <v>3276</v>
      </c>
      <c r="T1398" t="s">
        <v>3279</v>
      </c>
    </row>
    <row r="1399" spans="1:20">
      <c r="A1399" t="s">
        <v>3276</v>
      </c>
      <c r="B1399" t="s">
        <v>62</v>
      </c>
      <c r="C1399" t="s">
        <v>7985</v>
      </c>
      <c r="D1399" t="s">
        <v>445</v>
      </c>
      <c r="E1399" t="s">
        <v>12001</v>
      </c>
      <c r="F1399" t="s">
        <v>9412</v>
      </c>
      <c r="G1399" t="s">
        <v>9413</v>
      </c>
      <c r="H1399" t="s">
        <v>11516</v>
      </c>
      <c r="I1399" t="s">
        <v>9714</v>
      </c>
      <c r="J1399" t="s">
        <v>3161</v>
      </c>
      <c r="K1399" t="s">
        <v>9445</v>
      </c>
      <c r="L1399" t="s">
        <v>9417</v>
      </c>
      <c r="M1399" t="s">
        <v>11656</v>
      </c>
      <c r="N1399" t="s">
        <v>9426</v>
      </c>
      <c r="O1399" t="s">
        <v>9446</v>
      </c>
      <c r="P1399" t="s">
        <v>9623</v>
      </c>
      <c r="Q1399" t="s">
        <v>9421</v>
      </c>
      <c r="R1399" t="s">
        <v>24</v>
      </c>
      <c r="S1399" t="s">
        <v>3238</v>
      </c>
      <c r="T1399" t="s">
        <v>3240</v>
      </c>
    </row>
    <row r="1400" spans="1:20">
      <c r="A1400" t="s">
        <v>3477</v>
      </c>
      <c r="B1400" t="s">
        <v>62</v>
      </c>
      <c r="C1400" t="s">
        <v>8233</v>
      </c>
      <c r="D1400" t="s">
        <v>445</v>
      </c>
      <c r="E1400" t="s">
        <v>12002</v>
      </c>
      <c r="F1400" t="s">
        <v>9412</v>
      </c>
      <c r="G1400" t="s">
        <v>9413</v>
      </c>
      <c r="H1400" t="s">
        <v>11516</v>
      </c>
      <c r="I1400" t="s">
        <v>11219</v>
      </c>
      <c r="J1400" t="s">
        <v>3399</v>
      </c>
      <c r="K1400" t="s">
        <v>9416</v>
      </c>
      <c r="L1400" t="s">
        <v>9417</v>
      </c>
      <c r="M1400" t="s">
        <v>11552</v>
      </c>
      <c r="N1400" t="s">
        <v>11550</v>
      </c>
      <c r="O1400" t="s">
        <v>8231</v>
      </c>
      <c r="P1400" t="s">
        <v>10629</v>
      </c>
      <c r="Q1400" t="s">
        <v>9421</v>
      </c>
      <c r="R1400" t="s">
        <v>553</v>
      </c>
      <c r="S1400" t="s">
        <v>3477</v>
      </c>
      <c r="T1400" t="s">
        <v>3479</v>
      </c>
    </row>
    <row r="1401" spans="1:20">
      <c r="A1401" t="s">
        <v>3481</v>
      </c>
      <c r="B1401" t="s">
        <v>62</v>
      </c>
      <c r="C1401" t="s">
        <v>8237</v>
      </c>
      <c r="D1401" t="s">
        <v>445</v>
      </c>
      <c r="E1401" t="s">
        <v>12003</v>
      </c>
      <c r="F1401" t="s">
        <v>9412</v>
      </c>
      <c r="G1401" t="s">
        <v>9413</v>
      </c>
      <c r="H1401" t="s">
        <v>11516</v>
      </c>
      <c r="I1401" t="s">
        <v>12004</v>
      </c>
      <c r="J1401" t="s">
        <v>3399</v>
      </c>
      <c r="K1401" t="s">
        <v>9416</v>
      </c>
      <c r="L1401" t="s">
        <v>9417</v>
      </c>
      <c r="M1401" t="s">
        <v>11549</v>
      </c>
      <c r="N1401" t="s">
        <v>11550</v>
      </c>
      <c r="O1401" t="s">
        <v>8235</v>
      </c>
      <c r="P1401" t="s">
        <v>10629</v>
      </c>
      <c r="Q1401" t="s">
        <v>9421</v>
      </c>
      <c r="R1401" t="s">
        <v>553</v>
      </c>
      <c r="S1401" t="s">
        <v>3481</v>
      </c>
      <c r="T1401" t="s">
        <v>3483</v>
      </c>
    </row>
    <row r="1402" spans="1:20">
      <c r="A1402" t="s">
        <v>3280</v>
      </c>
      <c r="B1402" t="s">
        <v>62</v>
      </c>
      <c r="C1402" t="s">
        <v>3284</v>
      </c>
      <c r="D1402" t="s">
        <v>445</v>
      </c>
      <c r="E1402" t="s">
        <v>12005</v>
      </c>
      <c r="F1402" t="s">
        <v>9412</v>
      </c>
      <c r="G1402" t="s">
        <v>9413</v>
      </c>
      <c r="H1402" t="s">
        <v>3162</v>
      </c>
      <c r="I1402" t="s">
        <v>10400</v>
      </c>
      <c r="J1402" t="s">
        <v>3161</v>
      </c>
      <c r="K1402" t="s">
        <v>9416</v>
      </c>
      <c r="L1402" t="s">
        <v>9417</v>
      </c>
      <c r="M1402" t="s">
        <v>11656</v>
      </c>
      <c r="N1402" t="s">
        <v>11518</v>
      </c>
      <c r="O1402" t="s">
        <v>7992</v>
      </c>
      <c r="P1402" t="s">
        <v>9420</v>
      </c>
      <c r="Q1402" t="s">
        <v>9421</v>
      </c>
      <c r="R1402" t="s">
        <v>17</v>
      </c>
      <c r="S1402" t="s">
        <v>3281</v>
      </c>
      <c r="T1402" t="s">
        <v>3283</v>
      </c>
    </row>
    <row r="1403" spans="1:20">
      <c r="A1403" t="s">
        <v>3285</v>
      </c>
      <c r="B1403" t="s">
        <v>62</v>
      </c>
      <c r="C1403" t="s">
        <v>12006</v>
      </c>
      <c r="D1403" t="s">
        <v>445</v>
      </c>
      <c r="E1403" t="s">
        <v>12007</v>
      </c>
      <c r="F1403" t="s">
        <v>9412</v>
      </c>
      <c r="G1403" t="s">
        <v>9413</v>
      </c>
      <c r="H1403" t="s">
        <v>11516</v>
      </c>
      <c r="I1403" t="s">
        <v>10205</v>
      </c>
      <c r="J1403" t="s">
        <v>3161</v>
      </c>
      <c r="K1403" t="s">
        <v>9445</v>
      </c>
      <c r="L1403" t="s">
        <v>9417</v>
      </c>
      <c r="M1403" t="s">
        <v>11620</v>
      </c>
      <c r="N1403" t="s">
        <v>9426</v>
      </c>
      <c r="O1403" t="s">
        <v>9446</v>
      </c>
      <c r="P1403" t="s">
        <v>9479</v>
      </c>
      <c r="Q1403" t="s">
        <v>9421</v>
      </c>
      <c r="R1403" t="s">
        <v>43</v>
      </c>
      <c r="S1403" t="s">
        <v>3174</v>
      </c>
      <c r="T1403" t="s">
        <v>3176</v>
      </c>
    </row>
    <row r="1404" spans="1:20">
      <c r="A1404" t="s">
        <v>3285</v>
      </c>
      <c r="B1404" t="s">
        <v>62</v>
      </c>
      <c r="C1404" t="s">
        <v>12006</v>
      </c>
      <c r="D1404" t="s">
        <v>445</v>
      </c>
      <c r="E1404" t="s">
        <v>12007</v>
      </c>
      <c r="F1404" t="s">
        <v>9412</v>
      </c>
      <c r="G1404" t="s">
        <v>9413</v>
      </c>
      <c r="H1404" t="s">
        <v>11516</v>
      </c>
      <c r="I1404" t="s">
        <v>10205</v>
      </c>
      <c r="J1404" t="s">
        <v>3161</v>
      </c>
      <c r="K1404" t="s">
        <v>9416</v>
      </c>
      <c r="L1404" t="s">
        <v>9417</v>
      </c>
      <c r="M1404" t="s">
        <v>11620</v>
      </c>
      <c r="N1404" t="s">
        <v>11518</v>
      </c>
      <c r="O1404" t="s">
        <v>7994</v>
      </c>
      <c r="P1404" t="s">
        <v>9524</v>
      </c>
      <c r="Q1404" t="s">
        <v>9421</v>
      </c>
      <c r="R1404" t="s">
        <v>24</v>
      </c>
      <c r="S1404" t="s">
        <v>3286</v>
      </c>
      <c r="T1404" t="s">
        <v>3288</v>
      </c>
    </row>
    <row r="1405" spans="1:20">
      <c r="A1405" t="s">
        <v>4002</v>
      </c>
      <c r="B1405" t="s">
        <v>20</v>
      </c>
      <c r="C1405" t="s">
        <v>4005</v>
      </c>
      <c r="D1405" t="s">
        <v>9460</v>
      </c>
      <c r="E1405" t="s">
        <v>12008</v>
      </c>
      <c r="F1405" t="s">
        <v>9412</v>
      </c>
      <c r="G1405" t="s">
        <v>9413</v>
      </c>
      <c r="H1405" t="s">
        <v>3162</v>
      </c>
      <c r="I1405" t="s">
        <v>10452</v>
      </c>
      <c r="J1405" t="s">
        <v>3939</v>
      </c>
      <c r="K1405" t="s">
        <v>9416</v>
      </c>
      <c r="L1405" t="s">
        <v>9417</v>
      </c>
      <c r="M1405" t="s">
        <v>11535</v>
      </c>
      <c r="N1405" t="s">
        <v>11536</v>
      </c>
      <c r="O1405" t="s">
        <v>8851</v>
      </c>
      <c r="P1405" t="s">
        <v>9420</v>
      </c>
      <c r="Q1405" t="s">
        <v>9421</v>
      </c>
      <c r="R1405" t="s">
        <v>17</v>
      </c>
      <c r="S1405" t="s">
        <v>4002</v>
      </c>
      <c r="T1405" t="s">
        <v>4004</v>
      </c>
    </row>
    <row r="1406" spans="1:20">
      <c r="A1406" t="s">
        <v>3737</v>
      </c>
      <c r="B1406" t="s">
        <v>62</v>
      </c>
      <c r="C1406" t="s">
        <v>8531</v>
      </c>
      <c r="D1406" t="s">
        <v>9448</v>
      </c>
      <c r="E1406" t="s">
        <v>12009</v>
      </c>
      <c r="F1406" t="s">
        <v>9412</v>
      </c>
      <c r="G1406" t="s">
        <v>9413</v>
      </c>
      <c r="H1406" t="s">
        <v>11516</v>
      </c>
      <c r="I1406" t="s">
        <v>10476</v>
      </c>
      <c r="J1406" t="s">
        <v>3619</v>
      </c>
      <c r="K1406" t="s">
        <v>9416</v>
      </c>
      <c r="L1406" t="s">
        <v>9417</v>
      </c>
      <c r="M1406" t="s">
        <v>11607</v>
      </c>
      <c r="N1406" t="s">
        <v>11605</v>
      </c>
      <c r="O1406" t="s">
        <v>8529</v>
      </c>
      <c r="P1406" t="s">
        <v>9420</v>
      </c>
      <c r="Q1406" t="s">
        <v>9421</v>
      </c>
      <c r="R1406" t="s">
        <v>17</v>
      </c>
      <c r="S1406" t="s">
        <v>3737</v>
      </c>
      <c r="T1406" t="s">
        <v>3739</v>
      </c>
    </row>
    <row r="1407" spans="1:20">
      <c r="A1407" t="s">
        <v>3737</v>
      </c>
      <c r="B1407" t="s">
        <v>62</v>
      </c>
      <c r="C1407" t="s">
        <v>8531</v>
      </c>
      <c r="D1407" t="s">
        <v>9448</v>
      </c>
      <c r="E1407" t="s">
        <v>12009</v>
      </c>
      <c r="F1407" t="s">
        <v>9412</v>
      </c>
      <c r="G1407" t="s">
        <v>9413</v>
      </c>
      <c r="H1407" t="s">
        <v>11516</v>
      </c>
      <c r="I1407" t="s">
        <v>10476</v>
      </c>
      <c r="J1407" t="s">
        <v>3619</v>
      </c>
      <c r="K1407" t="s">
        <v>9445</v>
      </c>
      <c r="L1407" t="s">
        <v>9417</v>
      </c>
      <c r="M1407" t="s">
        <v>11607</v>
      </c>
      <c r="N1407" t="s">
        <v>9426</v>
      </c>
      <c r="O1407" t="s">
        <v>9446</v>
      </c>
      <c r="P1407" t="s">
        <v>9567</v>
      </c>
      <c r="Q1407" t="s">
        <v>9421</v>
      </c>
      <c r="R1407" t="s">
        <v>43</v>
      </c>
      <c r="S1407" t="s">
        <v>3628</v>
      </c>
      <c r="T1407" t="s">
        <v>3630</v>
      </c>
    </row>
    <row r="1408" spans="1:20">
      <c r="A1408" t="s">
        <v>3741</v>
      </c>
      <c r="B1408" t="s">
        <v>62</v>
      </c>
      <c r="C1408" t="s">
        <v>8533</v>
      </c>
      <c r="D1408" t="s">
        <v>445</v>
      </c>
      <c r="E1408" t="s">
        <v>12010</v>
      </c>
      <c r="F1408" t="s">
        <v>9412</v>
      </c>
      <c r="G1408" t="s">
        <v>9413</v>
      </c>
      <c r="H1408" t="s">
        <v>11516</v>
      </c>
      <c r="I1408" t="s">
        <v>10476</v>
      </c>
      <c r="J1408" t="s">
        <v>3619</v>
      </c>
      <c r="K1408" t="s">
        <v>9416</v>
      </c>
      <c r="L1408" t="s">
        <v>9417</v>
      </c>
      <c r="M1408" t="s">
        <v>11624</v>
      </c>
      <c r="N1408" t="s">
        <v>11605</v>
      </c>
      <c r="O1408" t="s">
        <v>8535</v>
      </c>
      <c r="P1408" t="s">
        <v>9420</v>
      </c>
      <c r="Q1408" t="s">
        <v>9421</v>
      </c>
      <c r="R1408" t="s">
        <v>17</v>
      </c>
      <c r="S1408" t="s">
        <v>3741</v>
      </c>
      <c r="T1408" t="s">
        <v>3744</v>
      </c>
    </row>
    <row r="1409" spans="1:20">
      <c r="A1409" t="s">
        <v>3741</v>
      </c>
      <c r="B1409" t="s">
        <v>62</v>
      </c>
      <c r="C1409" t="s">
        <v>8533</v>
      </c>
      <c r="D1409" t="s">
        <v>445</v>
      </c>
      <c r="E1409" t="s">
        <v>12010</v>
      </c>
      <c r="F1409" t="s">
        <v>9412</v>
      </c>
      <c r="G1409" t="s">
        <v>9413</v>
      </c>
      <c r="H1409" t="s">
        <v>11516</v>
      </c>
      <c r="I1409" t="s">
        <v>10476</v>
      </c>
      <c r="J1409" t="s">
        <v>3619</v>
      </c>
      <c r="K1409" t="s">
        <v>9445</v>
      </c>
      <c r="L1409" t="s">
        <v>9417</v>
      </c>
      <c r="M1409" t="s">
        <v>11624</v>
      </c>
      <c r="N1409" t="s">
        <v>9426</v>
      </c>
      <c r="O1409" t="s">
        <v>9446</v>
      </c>
      <c r="P1409" t="s">
        <v>9623</v>
      </c>
      <c r="Q1409" t="s">
        <v>9421</v>
      </c>
      <c r="R1409" t="s">
        <v>24</v>
      </c>
      <c r="S1409" t="s">
        <v>3238</v>
      </c>
      <c r="T1409" t="s">
        <v>3240</v>
      </c>
    </row>
    <row r="1410" spans="1:20">
      <c r="A1410" t="s">
        <v>3290</v>
      </c>
      <c r="B1410" t="s">
        <v>62</v>
      </c>
      <c r="C1410" t="s">
        <v>12011</v>
      </c>
      <c r="D1410" t="s">
        <v>445</v>
      </c>
      <c r="E1410" t="s">
        <v>12012</v>
      </c>
      <c r="F1410" t="s">
        <v>9412</v>
      </c>
      <c r="G1410" t="s">
        <v>9413</v>
      </c>
      <c r="H1410" t="s">
        <v>11516</v>
      </c>
      <c r="I1410" t="s">
        <v>10400</v>
      </c>
      <c r="J1410" t="s">
        <v>3161</v>
      </c>
      <c r="K1410" t="s">
        <v>9445</v>
      </c>
      <c r="L1410" t="s">
        <v>9417</v>
      </c>
      <c r="M1410" t="s">
        <v>11533</v>
      </c>
      <c r="N1410" t="s">
        <v>9426</v>
      </c>
      <c r="O1410" t="s">
        <v>9446</v>
      </c>
      <c r="P1410" t="s">
        <v>9479</v>
      </c>
      <c r="Q1410" t="s">
        <v>9421</v>
      </c>
      <c r="R1410" t="s">
        <v>43</v>
      </c>
      <c r="S1410" t="s">
        <v>3174</v>
      </c>
      <c r="T1410" t="s">
        <v>3176</v>
      </c>
    </row>
    <row r="1411" spans="1:20">
      <c r="A1411" t="s">
        <v>3290</v>
      </c>
      <c r="B1411" t="s">
        <v>62</v>
      </c>
      <c r="C1411" t="s">
        <v>12011</v>
      </c>
      <c r="D1411" t="s">
        <v>445</v>
      </c>
      <c r="E1411" t="s">
        <v>12012</v>
      </c>
      <c r="F1411" t="s">
        <v>9412</v>
      </c>
      <c r="G1411" t="s">
        <v>9413</v>
      </c>
      <c r="H1411" t="s">
        <v>11516</v>
      </c>
      <c r="I1411" t="s">
        <v>10400</v>
      </c>
      <c r="J1411" t="s">
        <v>3161</v>
      </c>
      <c r="K1411" t="s">
        <v>9416</v>
      </c>
      <c r="L1411" t="s">
        <v>9417</v>
      </c>
      <c r="M1411" t="s">
        <v>11533</v>
      </c>
      <c r="N1411" t="s">
        <v>11518</v>
      </c>
      <c r="O1411" t="s">
        <v>8000</v>
      </c>
      <c r="P1411" t="s">
        <v>9420</v>
      </c>
      <c r="Q1411" t="s">
        <v>9421</v>
      </c>
      <c r="R1411" t="s">
        <v>17</v>
      </c>
      <c r="S1411" t="s">
        <v>3292</v>
      </c>
      <c r="T1411" t="s">
        <v>3294</v>
      </c>
    </row>
    <row r="1412" spans="1:20">
      <c r="A1412" t="s">
        <v>3745</v>
      </c>
      <c r="B1412" t="s">
        <v>62</v>
      </c>
      <c r="C1412" t="s">
        <v>12013</v>
      </c>
      <c r="D1412" t="s">
        <v>445</v>
      </c>
      <c r="E1412" t="s">
        <v>12014</v>
      </c>
      <c r="F1412" t="s">
        <v>9412</v>
      </c>
      <c r="G1412" t="s">
        <v>9413</v>
      </c>
      <c r="H1412" t="s">
        <v>11516</v>
      </c>
      <c r="I1412" t="s">
        <v>10400</v>
      </c>
      <c r="J1412" t="s">
        <v>3619</v>
      </c>
      <c r="K1412" t="s">
        <v>9416</v>
      </c>
      <c r="L1412" t="s">
        <v>9417</v>
      </c>
      <c r="M1412" t="s">
        <v>11645</v>
      </c>
      <c r="N1412" t="s">
        <v>11605</v>
      </c>
      <c r="O1412" t="s">
        <v>8537</v>
      </c>
      <c r="P1412" t="s">
        <v>9420</v>
      </c>
      <c r="Q1412" t="s">
        <v>9421</v>
      </c>
      <c r="R1412" t="s">
        <v>17</v>
      </c>
      <c r="S1412" t="s">
        <v>3746</v>
      </c>
      <c r="T1412" t="s">
        <v>3748</v>
      </c>
    </row>
    <row r="1413" spans="1:20">
      <c r="A1413" t="s">
        <v>4006</v>
      </c>
      <c r="B1413" t="s">
        <v>62</v>
      </c>
      <c r="C1413" t="s">
        <v>8855</v>
      </c>
      <c r="D1413" t="s">
        <v>445</v>
      </c>
      <c r="E1413" t="s">
        <v>12015</v>
      </c>
      <c r="F1413" t="s">
        <v>9412</v>
      </c>
      <c r="G1413" t="s">
        <v>9413</v>
      </c>
      <c r="H1413" t="s">
        <v>11516</v>
      </c>
      <c r="I1413" t="s">
        <v>11078</v>
      </c>
      <c r="J1413" t="s">
        <v>3939</v>
      </c>
      <c r="K1413" t="s">
        <v>9416</v>
      </c>
      <c r="L1413" t="s">
        <v>9417</v>
      </c>
      <c r="M1413" t="s">
        <v>11583</v>
      </c>
      <c r="N1413" t="s">
        <v>11536</v>
      </c>
      <c r="O1413" t="s">
        <v>8857</v>
      </c>
      <c r="P1413" t="s">
        <v>9623</v>
      </c>
      <c r="Q1413" t="s">
        <v>9421</v>
      </c>
      <c r="R1413" t="s">
        <v>24</v>
      </c>
      <c r="S1413" t="s">
        <v>4008</v>
      </c>
      <c r="T1413" t="s">
        <v>4010</v>
      </c>
    </row>
    <row r="1414" spans="1:20">
      <c r="A1414" t="s">
        <v>4006</v>
      </c>
      <c r="B1414" t="s">
        <v>62</v>
      </c>
      <c r="C1414" t="s">
        <v>8855</v>
      </c>
      <c r="D1414" t="s">
        <v>445</v>
      </c>
      <c r="E1414" t="s">
        <v>12015</v>
      </c>
      <c r="F1414" t="s">
        <v>9412</v>
      </c>
      <c r="G1414" t="s">
        <v>9413</v>
      </c>
      <c r="H1414" t="s">
        <v>11516</v>
      </c>
      <c r="I1414" t="s">
        <v>11078</v>
      </c>
      <c r="J1414" t="s">
        <v>3939</v>
      </c>
      <c r="K1414" t="s">
        <v>9445</v>
      </c>
      <c r="L1414" t="s">
        <v>9417</v>
      </c>
      <c r="M1414" t="s">
        <v>11583</v>
      </c>
      <c r="N1414" t="s">
        <v>9426</v>
      </c>
      <c r="O1414" t="s">
        <v>9446</v>
      </c>
      <c r="P1414" t="s">
        <v>9479</v>
      </c>
      <c r="Q1414" t="s">
        <v>9421</v>
      </c>
      <c r="R1414" t="s">
        <v>43</v>
      </c>
      <c r="S1414" t="s">
        <v>3539</v>
      </c>
      <c r="T1414" t="s">
        <v>3541</v>
      </c>
    </row>
    <row r="1415" spans="1:20">
      <c r="A1415" t="s">
        <v>3575</v>
      </c>
      <c r="B1415" t="s">
        <v>62</v>
      </c>
      <c r="C1415" t="s">
        <v>8361</v>
      </c>
      <c r="D1415" t="s">
        <v>445</v>
      </c>
      <c r="E1415" t="s">
        <v>12016</v>
      </c>
      <c r="F1415" t="s">
        <v>9412</v>
      </c>
      <c r="G1415" t="s">
        <v>9413</v>
      </c>
      <c r="H1415" t="s">
        <v>11516</v>
      </c>
      <c r="I1415" t="s">
        <v>9714</v>
      </c>
      <c r="J1415" t="s">
        <v>3506</v>
      </c>
      <c r="K1415" t="s">
        <v>9416</v>
      </c>
      <c r="L1415" t="s">
        <v>9417</v>
      </c>
      <c r="M1415" t="s">
        <v>11794</v>
      </c>
      <c r="N1415" t="s">
        <v>11543</v>
      </c>
      <c r="O1415" t="s">
        <v>8363</v>
      </c>
      <c r="P1415" t="s">
        <v>9623</v>
      </c>
      <c r="Q1415" t="s">
        <v>9421</v>
      </c>
      <c r="R1415" t="s">
        <v>24</v>
      </c>
      <c r="S1415" t="s">
        <v>3575</v>
      </c>
      <c r="T1415" t="s">
        <v>3578</v>
      </c>
    </row>
    <row r="1416" spans="1:20">
      <c r="A1416" t="s">
        <v>3575</v>
      </c>
      <c r="B1416" t="s">
        <v>62</v>
      </c>
      <c r="C1416" t="s">
        <v>8361</v>
      </c>
      <c r="D1416" t="s">
        <v>445</v>
      </c>
      <c r="E1416" t="s">
        <v>12016</v>
      </c>
      <c r="F1416" t="s">
        <v>9412</v>
      </c>
      <c r="G1416" t="s">
        <v>9413</v>
      </c>
      <c r="H1416" t="s">
        <v>11516</v>
      </c>
      <c r="I1416" t="s">
        <v>9714</v>
      </c>
      <c r="J1416" t="s">
        <v>3506</v>
      </c>
      <c r="K1416" t="s">
        <v>9445</v>
      </c>
      <c r="L1416" t="s">
        <v>9417</v>
      </c>
      <c r="M1416" t="s">
        <v>11794</v>
      </c>
      <c r="N1416" t="s">
        <v>9426</v>
      </c>
      <c r="O1416" t="s">
        <v>9446</v>
      </c>
      <c r="P1416" t="s">
        <v>9623</v>
      </c>
      <c r="Q1416" t="s">
        <v>9421</v>
      </c>
      <c r="R1416" t="s">
        <v>24</v>
      </c>
      <c r="S1416" t="s">
        <v>3552</v>
      </c>
      <c r="T1416" t="s">
        <v>3554</v>
      </c>
    </row>
    <row r="1417" spans="1:20">
      <c r="A1417" t="s">
        <v>4011</v>
      </c>
      <c r="B1417" t="s">
        <v>62</v>
      </c>
      <c r="C1417" t="s">
        <v>8858</v>
      </c>
      <c r="D1417" t="s">
        <v>445</v>
      </c>
      <c r="E1417" t="s">
        <v>12017</v>
      </c>
      <c r="F1417" t="s">
        <v>9412</v>
      </c>
      <c r="G1417" t="s">
        <v>9413</v>
      </c>
      <c r="H1417" t="s">
        <v>11516</v>
      </c>
      <c r="I1417" t="s">
        <v>9714</v>
      </c>
      <c r="J1417" t="s">
        <v>3939</v>
      </c>
      <c r="K1417" t="s">
        <v>9416</v>
      </c>
      <c r="L1417" t="s">
        <v>9417</v>
      </c>
      <c r="M1417" t="s">
        <v>11521</v>
      </c>
      <c r="N1417" t="s">
        <v>11536</v>
      </c>
      <c r="O1417" t="s">
        <v>8860</v>
      </c>
      <c r="P1417" t="s">
        <v>9524</v>
      </c>
      <c r="Q1417" t="s">
        <v>9421</v>
      </c>
      <c r="R1417" t="s">
        <v>24</v>
      </c>
      <c r="S1417" t="s">
        <v>4011</v>
      </c>
      <c r="T1417" t="s">
        <v>4014</v>
      </c>
    </row>
    <row r="1418" spans="1:20">
      <c r="A1418" t="s">
        <v>4011</v>
      </c>
      <c r="B1418" t="s">
        <v>62</v>
      </c>
      <c r="C1418" t="s">
        <v>8858</v>
      </c>
      <c r="D1418" t="s">
        <v>445</v>
      </c>
      <c r="E1418" t="s">
        <v>12017</v>
      </c>
      <c r="F1418" t="s">
        <v>9412</v>
      </c>
      <c r="G1418" t="s">
        <v>9413</v>
      </c>
      <c r="H1418" t="s">
        <v>11516</v>
      </c>
      <c r="I1418" t="s">
        <v>9714</v>
      </c>
      <c r="J1418" t="s">
        <v>3939</v>
      </c>
      <c r="K1418" t="s">
        <v>9445</v>
      </c>
      <c r="L1418" t="s">
        <v>9417</v>
      </c>
      <c r="M1418" t="s">
        <v>11521</v>
      </c>
      <c r="N1418" t="s">
        <v>9426</v>
      </c>
      <c r="O1418" t="s">
        <v>9446</v>
      </c>
      <c r="P1418" t="s">
        <v>9524</v>
      </c>
      <c r="Q1418" t="s">
        <v>9421</v>
      </c>
      <c r="R1418" t="s">
        <v>24</v>
      </c>
      <c r="S1418" t="s">
        <v>3167</v>
      </c>
      <c r="T1418" t="s">
        <v>3169</v>
      </c>
    </row>
    <row r="1419" spans="1:20">
      <c r="A1419" t="s">
        <v>12018</v>
      </c>
      <c r="B1419" t="s">
        <v>9409</v>
      </c>
      <c r="C1419" t="s">
        <v>12019</v>
      </c>
      <c r="D1419" t="s">
        <v>9410</v>
      </c>
      <c r="E1419" t="s">
        <v>12020</v>
      </c>
      <c r="F1419" t="s">
        <v>9601</v>
      </c>
      <c r="G1419" t="s">
        <v>9413</v>
      </c>
      <c r="H1419" t="s">
        <v>3162</v>
      </c>
      <c r="I1419" t="s">
        <v>9511</v>
      </c>
      <c r="J1419" t="s">
        <v>3161</v>
      </c>
      <c r="K1419" t="s">
        <v>9445</v>
      </c>
      <c r="L1419" t="s">
        <v>9417</v>
      </c>
      <c r="M1419" t="s">
        <v>11517</v>
      </c>
      <c r="N1419" t="s">
        <v>9426</v>
      </c>
      <c r="O1419" t="s">
        <v>9446</v>
      </c>
      <c r="P1419" t="s">
        <v>9655</v>
      </c>
      <c r="Q1419" t="s">
        <v>9421</v>
      </c>
      <c r="R1419" t="s">
        <v>56</v>
      </c>
      <c r="S1419" t="s">
        <v>3345</v>
      </c>
      <c r="T1419" t="s">
        <v>3347</v>
      </c>
    </row>
    <row r="1420" spans="1:20">
      <c r="A1420" t="s">
        <v>4015</v>
      </c>
      <c r="B1420" t="s">
        <v>62</v>
      </c>
      <c r="C1420" t="s">
        <v>8861</v>
      </c>
      <c r="D1420" t="s">
        <v>445</v>
      </c>
      <c r="E1420" t="s">
        <v>12021</v>
      </c>
      <c r="F1420" t="s">
        <v>9412</v>
      </c>
      <c r="G1420" t="s">
        <v>9413</v>
      </c>
      <c r="H1420" t="s">
        <v>11516</v>
      </c>
      <c r="I1420" t="s">
        <v>9714</v>
      </c>
      <c r="J1420" t="s">
        <v>3939</v>
      </c>
      <c r="K1420" t="s">
        <v>9445</v>
      </c>
      <c r="L1420" t="s">
        <v>9417</v>
      </c>
      <c r="M1420" t="s">
        <v>11597</v>
      </c>
      <c r="N1420" t="s">
        <v>9426</v>
      </c>
      <c r="O1420" t="s">
        <v>9446</v>
      </c>
      <c r="P1420" t="s">
        <v>9623</v>
      </c>
      <c r="Q1420" t="s">
        <v>9421</v>
      </c>
      <c r="R1420" t="s">
        <v>24</v>
      </c>
      <c r="S1420" t="s">
        <v>3544</v>
      </c>
      <c r="T1420" t="s">
        <v>3546</v>
      </c>
    </row>
    <row r="1421" spans="1:20">
      <c r="A1421" t="s">
        <v>4015</v>
      </c>
      <c r="B1421" t="s">
        <v>62</v>
      </c>
      <c r="C1421" t="s">
        <v>8861</v>
      </c>
      <c r="D1421" t="s">
        <v>445</v>
      </c>
      <c r="E1421" t="s">
        <v>12021</v>
      </c>
      <c r="F1421" t="s">
        <v>9412</v>
      </c>
      <c r="G1421" t="s">
        <v>9413</v>
      </c>
      <c r="H1421" t="s">
        <v>11516</v>
      </c>
      <c r="I1421" t="s">
        <v>9714</v>
      </c>
      <c r="J1421" t="s">
        <v>3939</v>
      </c>
      <c r="K1421" t="s">
        <v>9416</v>
      </c>
      <c r="L1421" t="s">
        <v>9417</v>
      </c>
      <c r="M1421" t="s">
        <v>11597</v>
      </c>
      <c r="N1421" t="s">
        <v>11536</v>
      </c>
      <c r="O1421" t="s">
        <v>8863</v>
      </c>
      <c r="P1421" t="s">
        <v>9623</v>
      </c>
      <c r="Q1421" t="s">
        <v>9421</v>
      </c>
      <c r="R1421" t="s">
        <v>24</v>
      </c>
      <c r="S1421" t="s">
        <v>4015</v>
      </c>
      <c r="T1421" t="s">
        <v>4018</v>
      </c>
    </row>
    <row r="1422" spans="1:20">
      <c r="A1422" t="s">
        <v>3750</v>
      </c>
      <c r="B1422" t="s">
        <v>62</v>
      </c>
      <c r="C1422" t="s">
        <v>12022</v>
      </c>
      <c r="D1422" t="s">
        <v>445</v>
      </c>
      <c r="E1422" t="s">
        <v>12023</v>
      </c>
      <c r="F1422" t="s">
        <v>9412</v>
      </c>
      <c r="G1422" t="s">
        <v>9413</v>
      </c>
      <c r="H1422" t="s">
        <v>11516</v>
      </c>
      <c r="I1422" t="s">
        <v>10492</v>
      </c>
      <c r="J1422" t="s">
        <v>3619</v>
      </c>
      <c r="K1422" t="s">
        <v>9416</v>
      </c>
      <c r="L1422" t="s">
        <v>9417</v>
      </c>
      <c r="M1422" t="s">
        <v>11624</v>
      </c>
      <c r="N1422" t="s">
        <v>11605</v>
      </c>
      <c r="O1422" t="s">
        <v>8541</v>
      </c>
      <c r="P1422" t="s">
        <v>9420</v>
      </c>
      <c r="Q1422" t="s">
        <v>9421</v>
      </c>
      <c r="R1422" t="s">
        <v>17</v>
      </c>
      <c r="S1422" t="s">
        <v>3750</v>
      </c>
      <c r="T1422" t="s">
        <v>3752</v>
      </c>
    </row>
    <row r="1423" spans="1:20">
      <c r="A1423" t="s">
        <v>3886</v>
      </c>
      <c r="B1423" t="s">
        <v>62</v>
      </c>
      <c r="C1423" t="s">
        <v>8705</v>
      </c>
      <c r="D1423" t="s">
        <v>445</v>
      </c>
      <c r="E1423" t="s">
        <v>12024</v>
      </c>
      <c r="F1423" t="s">
        <v>9412</v>
      </c>
      <c r="G1423" t="s">
        <v>9413</v>
      </c>
      <c r="H1423" t="s">
        <v>11516</v>
      </c>
      <c r="I1423" t="s">
        <v>11507</v>
      </c>
      <c r="J1423" t="s">
        <v>3808</v>
      </c>
      <c r="K1423" t="s">
        <v>9445</v>
      </c>
      <c r="L1423" t="s">
        <v>9417</v>
      </c>
      <c r="M1423" t="s">
        <v>11521</v>
      </c>
      <c r="N1423" t="s">
        <v>9426</v>
      </c>
      <c r="O1423" t="s">
        <v>9446</v>
      </c>
      <c r="P1423" t="s">
        <v>9623</v>
      </c>
      <c r="Q1423" t="s">
        <v>9421</v>
      </c>
      <c r="R1423" t="s">
        <v>24</v>
      </c>
      <c r="S1423" t="s">
        <v>3238</v>
      </c>
      <c r="T1423" t="s">
        <v>3240</v>
      </c>
    </row>
    <row r="1424" spans="1:20">
      <c r="A1424" t="s">
        <v>3886</v>
      </c>
      <c r="B1424" t="s">
        <v>62</v>
      </c>
      <c r="C1424" t="s">
        <v>8705</v>
      </c>
      <c r="D1424" t="s">
        <v>445</v>
      </c>
      <c r="E1424" t="s">
        <v>12024</v>
      </c>
      <c r="F1424" t="s">
        <v>9412</v>
      </c>
      <c r="G1424" t="s">
        <v>9413</v>
      </c>
      <c r="H1424" t="s">
        <v>11516</v>
      </c>
      <c r="I1424" t="s">
        <v>11507</v>
      </c>
      <c r="J1424" t="s">
        <v>3808</v>
      </c>
      <c r="K1424" t="s">
        <v>9416</v>
      </c>
      <c r="L1424" t="s">
        <v>9417</v>
      </c>
      <c r="M1424" t="s">
        <v>11521</v>
      </c>
      <c r="N1424" t="s">
        <v>11514</v>
      </c>
      <c r="O1424" t="s">
        <v>8703</v>
      </c>
      <c r="P1424" t="s">
        <v>9420</v>
      </c>
      <c r="Q1424" t="s">
        <v>9421</v>
      </c>
      <c r="R1424" t="s">
        <v>17</v>
      </c>
      <c r="S1424" t="s">
        <v>3887</v>
      </c>
      <c r="T1424" t="s">
        <v>3889</v>
      </c>
    </row>
    <row r="1425" spans="1:20">
      <c r="A1425" t="s">
        <v>3301</v>
      </c>
      <c r="B1425" t="s">
        <v>62</v>
      </c>
      <c r="C1425" t="s">
        <v>12025</v>
      </c>
      <c r="D1425" t="s">
        <v>445</v>
      </c>
      <c r="E1425" t="s">
        <v>12026</v>
      </c>
      <c r="F1425" t="s">
        <v>9412</v>
      </c>
      <c r="G1425" t="s">
        <v>9413</v>
      </c>
      <c r="H1425" t="s">
        <v>3162</v>
      </c>
      <c r="I1425" t="s">
        <v>10286</v>
      </c>
      <c r="J1425" t="s">
        <v>3808</v>
      </c>
      <c r="K1425" t="s">
        <v>9445</v>
      </c>
      <c r="L1425" t="s">
        <v>9417</v>
      </c>
      <c r="M1425" t="s">
        <v>11686</v>
      </c>
      <c r="N1425" t="s">
        <v>9426</v>
      </c>
      <c r="O1425" t="s">
        <v>9446</v>
      </c>
      <c r="P1425" t="s">
        <v>9524</v>
      </c>
      <c r="Q1425" t="s">
        <v>9421</v>
      </c>
      <c r="R1425" t="s">
        <v>24</v>
      </c>
      <c r="S1425" t="s">
        <v>3167</v>
      </c>
      <c r="T1425" t="s">
        <v>3169</v>
      </c>
    </row>
    <row r="1426" spans="1:20">
      <c r="A1426" t="s">
        <v>3301</v>
      </c>
      <c r="B1426" t="s">
        <v>62</v>
      </c>
      <c r="C1426" t="s">
        <v>12025</v>
      </c>
      <c r="D1426" t="s">
        <v>445</v>
      </c>
      <c r="E1426" t="s">
        <v>12026</v>
      </c>
      <c r="F1426" t="s">
        <v>9412</v>
      </c>
      <c r="G1426" t="s">
        <v>9413</v>
      </c>
      <c r="H1426" t="s">
        <v>3162</v>
      </c>
      <c r="I1426" t="s">
        <v>10286</v>
      </c>
      <c r="J1426" t="s">
        <v>3808</v>
      </c>
      <c r="K1426" t="s">
        <v>9416</v>
      </c>
      <c r="L1426" t="s">
        <v>9417</v>
      </c>
      <c r="M1426" t="s">
        <v>11686</v>
      </c>
      <c r="N1426" t="s">
        <v>11514</v>
      </c>
      <c r="O1426" t="s">
        <v>8709</v>
      </c>
      <c r="P1426" t="s">
        <v>9420</v>
      </c>
      <c r="Q1426" t="s">
        <v>9421</v>
      </c>
      <c r="R1426" t="s">
        <v>17</v>
      </c>
      <c r="S1426" t="s">
        <v>3892</v>
      </c>
      <c r="T1426" t="s">
        <v>3894</v>
      </c>
    </row>
    <row r="1427" spans="1:20">
      <c r="A1427" t="s">
        <v>12027</v>
      </c>
      <c r="B1427" t="s">
        <v>9409</v>
      </c>
      <c r="C1427" t="s">
        <v>12028</v>
      </c>
      <c r="D1427" t="s">
        <v>9410</v>
      </c>
      <c r="E1427" t="s">
        <v>12029</v>
      </c>
      <c r="F1427" t="s">
        <v>9601</v>
      </c>
      <c r="G1427" t="s">
        <v>9413</v>
      </c>
      <c r="H1427" t="s">
        <v>11516</v>
      </c>
      <c r="I1427" t="s">
        <v>9709</v>
      </c>
      <c r="J1427" t="s">
        <v>3808</v>
      </c>
      <c r="K1427" t="s">
        <v>9445</v>
      </c>
      <c r="L1427" t="s">
        <v>9417</v>
      </c>
      <c r="M1427" t="s">
        <v>11686</v>
      </c>
      <c r="N1427" t="s">
        <v>11514</v>
      </c>
      <c r="O1427" t="s">
        <v>9446</v>
      </c>
      <c r="P1427" t="s">
        <v>9420</v>
      </c>
      <c r="Q1427" t="s">
        <v>9421</v>
      </c>
      <c r="R1427" t="s">
        <v>17</v>
      </c>
      <c r="S1427" t="s">
        <v>3892</v>
      </c>
      <c r="T1427" t="s">
        <v>3894</v>
      </c>
    </row>
    <row r="1428" spans="1:20">
      <c r="A1428" t="s">
        <v>12030</v>
      </c>
      <c r="B1428" t="s">
        <v>9409</v>
      </c>
      <c r="C1428" t="s">
        <v>12031</v>
      </c>
      <c r="D1428" t="s">
        <v>9410</v>
      </c>
      <c r="E1428" t="s">
        <v>12032</v>
      </c>
      <c r="F1428" t="s">
        <v>9601</v>
      </c>
      <c r="G1428" t="s">
        <v>9413</v>
      </c>
      <c r="H1428" t="s">
        <v>3162</v>
      </c>
      <c r="I1428" t="s">
        <v>10191</v>
      </c>
      <c r="J1428" t="s">
        <v>4051</v>
      </c>
      <c r="K1428" t="s">
        <v>9416</v>
      </c>
      <c r="L1428" t="s">
        <v>9417</v>
      </c>
      <c r="M1428" t="s">
        <v>11658</v>
      </c>
      <c r="N1428" t="s">
        <v>11510</v>
      </c>
      <c r="O1428" t="s">
        <v>12033</v>
      </c>
      <c r="P1428" t="s">
        <v>9459</v>
      </c>
      <c r="Q1428" t="s">
        <v>9421</v>
      </c>
      <c r="R1428" t="s">
        <v>17</v>
      </c>
      <c r="S1428" t="s">
        <v>12030</v>
      </c>
      <c r="T1428" t="s">
        <v>12034</v>
      </c>
    </row>
    <row r="1429" spans="1:20">
      <c r="A1429" t="s">
        <v>3295</v>
      </c>
      <c r="B1429" t="s">
        <v>62</v>
      </c>
      <c r="C1429" t="s">
        <v>8004</v>
      </c>
      <c r="D1429" t="s">
        <v>445</v>
      </c>
      <c r="E1429" t="s">
        <v>12035</v>
      </c>
      <c r="F1429" t="s">
        <v>9412</v>
      </c>
      <c r="G1429" t="s">
        <v>9413</v>
      </c>
      <c r="H1429" t="s">
        <v>11516</v>
      </c>
      <c r="I1429" t="s">
        <v>10407</v>
      </c>
      <c r="J1429" t="s">
        <v>3161</v>
      </c>
      <c r="K1429" t="s">
        <v>9416</v>
      </c>
      <c r="L1429" t="s">
        <v>9417</v>
      </c>
      <c r="M1429" t="s">
        <v>11533</v>
      </c>
      <c r="N1429" t="s">
        <v>11518</v>
      </c>
      <c r="O1429" t="s">
        <v>8002</v>
      </c>
      <c r="P1429" t="s">
        <v>9459</v>
      </c>
      <c r="Q1429" t="s">
        <v>9421</v>
      </c>
      <c r="R1429" t="s">
        <v>17</v>
      </c>
      <c r="S1429" t="s">
        <v>3296</v>
      </c>
      <c r="T1429" t="s">
        <v>3298</v>
      </c>
    </row>
    <row r="1430" spans="1:20">
      <c r="A1430" t="s">
        <v>3300</v>
      </c>
      <c r="B1430" t="s">
        <v>62</v>
      </c>
      <c r="C1430" t="s">
        <v>8006</v>
      </c>
      <c r="D1430" t="s">
        <v>445</v>
      </c>
      <c r="E1430" t="s">
        <v>12036</v>
      </c>
      <c r="F1430" t="s">
        <v>9412</v>
      </c>
      <c r="G1430" t="s">
        <v>9413</v>
      </c>
      <c r="H1430" t="s">
        <v>11516</v>
      </c>
      <c r="I1430" t="s">
        <v>10648</v>
      </c>
      <c r="J1430" t="s">
        <v>3161</v>
      </c>
      <c r="K1430" t="s">
        <v>9445</v>
      </c>
      <c r="L1430" t="s">
        <v>9417</v>
      </c>
      <c r="M1430" t="s">
        <v>11656</v>
      </c>
      <c r="N1430" t="s">
        <v>9426</v>
      </c>
      <c r="O1430" t="s">
        <v>9446</v>
      </c>
      <c r="P1430" t="s">
        <v>9479</v>
      </c>
      <c r="Q1430" t="s">
        <v>9421</v>
      </c>
      <c r="R1430" t="s">
        <v>43</v>
      </c>
      <c r="S1430" t="s">
        <v>3301</v>
      </c>
      <c r="T1430" t="s">
        <v>3303</v>
      </c>
    </row>
    <row r="1431" spans="1:20">
      <c r="A1431" t="s">
        <v>3300</v>
      </c>
      <c r="B1431" t="s">
        <v>62</v>
      </c>
      <c r="C1431" t="s">
        <v>8006</v>
      </c>
      <c r="D1431" t="s">
        <v>445</v>
      </c>
      <c r="E1431" t="s">
        <v>12036</v>
      </c>
      <c r="F1431" t="s">
        <v>9412</v>
      </c>
      <c r="G1431" t="s">
        <v>9413</v>
      </c>
      <c r="H1431" t="s">
        <v>11516</v>
      </c>
      <c r="I1431" t="s">
        <v>10648</v>
      </c>
      <c r="J1431" t="s">
        <v>3161</v>
      </c>
      <c r="K1431" t="s">
        <v>9416</v>
      </c>
      <c r="L1431" t="s">
        <v>9417</v>
      </c>
      <c r="M1431" t="s">
        <v>11656</v>
      </c>
      <c r="N1431" t="s">
        <v>11518</v>
      </c>
      <c r="O1431" t="s">
        <v>8008</v>
      </c>
      <c r="P1431" t="s">
        <v>9420</v>
      </c>
      <c r="Q1431" t="s">
        <v>9421</v>
      </c>
      <c r="R1431" t="s">
        <v>17</v>
      </c>
      <c r="S1431" t="s">
        <v>3300</v>
      </c>
      <c r="T1431" t="s">
        <v>3306</v>
      </c>
    </row>
    <row r="1432" spans="1:20">
      <c r="A1432" t="s">
        <v>4138</v>
      </c>
      <c r="B1432" t="s">
        <v>62</v>
      </c>
      <c r="C1432" t="s">
        <v>9003</v>
      </c>
      <c r="D1432" t="s">
        <v>9448</v>
      </c>
      <c r="E1432" t="s">
        <v>12037</v>
      </c>
      <c r="F1432" t="s">
        <v>9412</v>
      </c>
      <c r="G1432" t="s">
        <v>9413</v>
      </c>
      <c r="H1432" t="s">
        <v>11516</v>
      </c>
      <c r="I1432" t="s">
        <v>11276</v>
      </c>
      <c r="J1432" t="s">
        <v>4051</v>
      </c>
      <c r="K1432" t="s">
        <v>9416</v>
      </c>
      <c r="L1432" t="s">
        <v>9417</v>
      </c>
      <c r="M1432" t="s">
        <v>11533</v>
      </c>
      <c r="N1432" t="s">
        <v>11510</v>
      </c>
      <c r="O1432" t="s">
        <v>9001</v>
      </c>
      <c r="P1432" t="s">
        <v>9420</v>
      </c>
      <c r="Q1432" t="s">
        <v>9421</v>
      </c>
      <c r="R1432" t="s">
        <v>17</v>
      </c>
      <c r="S1432" t="s">
        <v>4139</v>
      </c>
      <c r="T1432" t="s">
        <v>4141</v>
      </c>
    </row>
    <row r="1433" spans="1:20">
      <c r="A1433" t="s">
        <v>3727</v>
      </c>
      <c r="B1433" t="s">
        <v>62</v>
      </c>
      <c r="C1433" t="s">
        <v>12038</v>
      </c>
      <c r="D1433" t="s">
        <v>445</v>
      </c>
      <c r="E1433" t="s">
        <v>12039</v>
      </c>
      <c r="F1433" t="s">
        <v>9412</v>
      </c>
      <c r="G1433" t="s">
        <v>9413</v>
      </c>
      <c r="H1433" t="s">
        <v>11516</v>
      </c>
      <c r="I1433" t="s">
        <v>10648</v>
      </c>
      <c r="J1433" t="s">
        <v>4051</v>
      </c>
      <c r="K1433" t="s">
        <v>9445</v>
      </c>
      <c r="L1433" t="s">
        <v>9417</v>
      </c>
      <c r="M1433" t="s">
        <v>11658</v>
      </c>
      <c r="N1433" t="s">
        <v>11510</v>
      </c>
      <c r="O1433" t="s">
        <v>9446</v>
      </c>
      <c r="P1433" t="s">
        <v>9429</v>
      </c>
      <c r="Q1433" t="s">
        <v>9421</v>
      </c>
      <c r="R1433" t="s">
        <v>52</v>
      </c>
      <c r="S1433" t="s">
        <v>4127</v>
      </c>
      <c r="T1433" t="s">
        <v>4129</v>
      </c>
    </row>
    <row r="1434" spans="1:20">
      <c r="A1434" t="s">
        <v>3307</v>
      </c>
      <c r="B1434" t="s">
        <v>62</v>
      </c>
      <c r="C1434" t="s">
        <v>12040</v>
      </c>
      <c r="D1434" t="s">
        <v>445</v>
      </c>
      <c r="E1434" t="s">
        <v>12041</v>
      </c>
      <c r="F1434" t="s">
        <v>9412</v>
      </c>
      <c r="G1434" t="s">
        <v>9413</v>
      </c>
      <c r="H1434" t="s">
        <v>3162</v>
      </c>
      <c r="I1434" t="s">
        <v>10443</v>
      </c>
      <c r="J1434" t="s">
        <v>3161</v>
      </c>
      <c r="K1434" t="s">
        <v>9416</v>
      </c>
      <c r="L1434" t="s">
        <v>9417</v>
      </c>
      <c r="M1434" t="s">
        <v>11533</v>
      </c>
      <c r="N1434" t="s">
        <v>11518</v>
      </c>
      <c r="O1434" t="s">
        <v>8010</v>
      </c>
      <c r="P1434" t="s">
        <v>9420</v>
      </c>
      <c r="Q1434" t="s">
        <v>9421</v>
      </c>
      <c r="R1434" t="s">
        <v>17</v>
      </c>
      <c r="S1434" t="s">
        <v>3308</v>
      </c>
      <c r="T1434" t="s">
        <v>3310</v>
      </c>
    </row>
    <row r="1435" spans="1:20">
      <c r="A1435" t="s">
        <v>3312</v>
      </c>
      <c r="B1435" t="s">
        <v>62</v>
      </c>
      <c r="C1435" t="s">
        <v>12042</v>
      </c>
      <c r="D1435" t="s">
        <v>445</v>
      </c>
      <c r="E1435" t="s">
        <v>12043</v>
      </c>
      <c r="F1435" t="s">
        <v>9412</v>
      </c>
      <c r="G1435" t="s">
        <v>9413</v>
      </c>
      <c r="H1435" t="s">
        <v>3162</v>
      </c>
      <c r="I1435" t="s">
        <v>10601</v>
      </c>
      <c r="J1435" t="s">
        <v>3161</v>
      </c>
      <c r="K1435" t="s">
        <v>9416</v>
      </c>
      <c r="L1435" t="s">
        <v>9417</v>
      </c>
      <c r="M1435" t="s">
        <v>11533</v>
      </c>
      <c r="N1435" t="s">
        <v>11518</v>
      </c>
      <c r="O1435" t="s">
        <v>8016</v>
      </c>
      <c r="P1435" t="s">
        <v>9429</v>
      </c>
      <c r="Q1435" t="s">
        <v>9421</v>
      </c>
      <c r="R1435" t="s">
        <v>52</v>
      </c>
      <c r="S1435" t="s">
        <v>3312</v>
      </c>
      <c r="T1435" t="s">
        <v>3315</v>
      </c>
    </row>
    <row r="1436" spans="1:20">
      <c r="A1436" t="s">
        <v>3312</v>
      </c>
      <c r="B1436" t="s">
        <v>62</v>
      </c>
      <c r="C1436" t="s">
        <v>12042</v>
      </c>
      <c r="D1436" t="s">
        <v>445</v>
      </c>
      <c r="E1436" t="s">
        <v>12043</v>
      </c>
      <c r="F1436" t="s">
        <v>9412</v>
      </c>
      <c r="G1436" t="s">
        <v>9413</v>
      </c>
      <c r="H1436" t="s">
        <v>3162</v>
      </c>
      <c r="I1436" t="s">
        <v>10601</v>
      </c>
      <c r="J1436" t="s">
        <v>3161</v>
      </c>
      <c r="K1436" t="s">
        <v>9445</v>
      </c>
      <c r="L1436" t="s">
        <v>9417</v>
      </c>
      <c r="M1436" t="s">
        <v>11533</v>
      </c>
      <c r="N1436" t="s">
        <v>9426</v>
      </c>
      <c r="O1436" t="s">
        <v>9446</v>
      </c>
      <c r="P1436" t="s">
        <v>9479</v>
      </c>
      <c r="Q1436" t="s">
        <v>9421</v>
      </c>
      <c r="R1436" t="s">
        <v>43</v>
      </c>
      <c r="S1436" t="s">
        <v>3301</v>
      </c>
      <c r="T1436" t="s">
        <v>3303</v>
      </c>
    </row>
    <row r="1437" spans="1:20">
      <c r="A1437" t="s">
        <v>3827</v>
      </c>
      <c r="B1437" t="s">
        <v>62</v>
      </c>
      <c r="C1437" t="s">
        <v>12044</v>
      </c>
      <c r="D1437" t="s">
        <v>445</v>
      </c>
      <c r="E1437" t="s">
        <v>12045</v>
      </c>
      <c r="F1437" t="s">
        <v>9412</v>
      </c>
      <c r="G1437" t="s">
        <v>9413</v>
      </c>
      <c r="H1437" t="s">
        <v>11516</v>
      </c>
      <c r="I1437" t="s">
        <v>10407</v>
      </c>
      <c r="J1437" t="s">
        <v>4051</v>
      </c>
      <c r="K1437" t="s">
        <v>9445</v>
      </c>
      <c r="L1437" t="s">
        <v>9417</v>
      </c>
      <c r="M1437" t="s">
        <v>11744</v>
      </c>
      <c r="N1437" t="s">
        <v>9426</v>
      </c>
      <c r="O1437" t="s">
        <v>9446</v>
      </c>
      <c r="P1437" t="s">
        <v>9479</v>
      </c>
      <c r="Q1437" t="s">
        <v>9421</v>
      </c>
      <c r="R1437" t="s">
        <v>43</v>
      </c>
      <c r="S1437" t="s">
        <v>3301</v>
      </c>
      <c r="T1437" t="s">
        <v>3303</v>
      </c>
    </row>
    <row r="1438" spans="1:20">
      <c r="A1438" t="s">
        <v>3827</v>
      </c>
      <c r="B1438" t="s">
        <v>62</v>
      </c>
      <c r="C1438" t="s">
        <v>12044</v>
      </c>
      <c r="D1438" t="s">
        <v>445</v>
      </c>
      <c r="E1438" t="s">
        <v>12045</v>
      </c>
      <c r="F1438" t="s">
        <v>9412</v>
      </c>
      <c r="G1438" t="s">
        <v>9413</v>
      </c>
      <c r="H1438" t="s">
        <v>11516</v>
      </c>
      <c r="I1438" t="s">
        <v>10407</v>
      </c>
      <c r="J1438" t="s">
        <v>4051</v>
      </c>
      <c r="K1438" t="s">
        <v>9445</v>
      </c>
      <c r="L1438" t="s">
        <v>9417</v>
      </c>
      <c r="M1438" t="s">
        <v>11744</v>
      </c>
      <c r="N1438" t="s">
        <v>11510</v>
      </c>
      <c r="O1438" t="s">
        <v>9446</v>
      </c>
      <c r="P1438" t="s">
        <v>9623</v>
      </c>
      <c r="Q1438" t="s">
        <v>9421</v>
      </c>
      <c r="R1438" t="s">
        <v>24</v>
      </c>
      <c r="S1438" t="s">
        <v>4192</v>
      </c>
      <c r="T1438" t="s">
        <v>4194</v>
      </c>
    </row>
    <row r="1439" spans="1:20">
      <c r="A1439" t="s">
        <v>3316</v>
      </c>
      <c r="B1439" t="s">
        <v>62</v>
      </c>
      <c r="C1439" t="s">
        <v>12046</v>
      </c>
      <c r="D1439" t="s">
        <v>445</v>
      </c>
      <c r="E1439" t="s">
        <v>12047</v>
      </c>
      <c r="F1439" t="s">
        <v>9412</v>
      </c>
      <c r="G1439" t="s">
        <v>9413</v>
      </c>
      <c r="H1439" t="s">
        <v>11516</v>
      </c>
      <c r="I1439" t="s">
        <v>10648</v>
      </c>
      <c r="J1439" t="s">
        <v>3161</v>
      </c>
      <c r="K1439" t="s">
        <v>9416</v>
      </c>
      <c r="L1439" t="s">
        <v>9417</v>
      </c>
      <c r="M1439" t="s">
        <v>11828</v>
      </c>
      <c r="N1439" t="s">
        <v>11518</v>
      </c>
      <c r="O1439" t="s">
        <v>8018</v>
      </c>
      <c r="P1439" t="s">
        <v>9459</v>
      </c>
      <c r="Q1439" t="s">
        <v>9421</v>
      </c>
      <c r="R1439" t="s">
        <v>17</v>
      </c>
      <c r="S1439" t="s">
        <v>3317</v>
      </c>
      <c r="T1439" t="s">
        <v>3319</v>
      </c>
    </row>
    <row r="1440" spans="1:20">
      <c r="A1440" t="s">
        <v>3730</v>
      </c>
      <c r="B1440" t="s">
        <v>62</v>
      </c>
      <c r="C1440" t="s">
        <v>12048</v>
      </c>
      <c r="D1440" t="s">
        <v>445</v>
      </c>
      <c r="E1440" t="s">
        <v>12049</v>
      </c>
      <c r="F1440" t="s">
        <v>9412</v>
      </c>
      <c r="G1440" t="s">
        <v>9413</v>
      </c>
      <c r="H1440" t="s">
        <v>11516</v>
      </c>
      <c r="I1440" t="s">
        <v>10509</v>
      </c>
      <c r="J1440" t="s">
        <v>3808</v>
      </c>
      <c r="K1440" t="s">
        <v>9416</v>
      </c>
      <c r="L1440" t="s">
        <v>9417</v>
      </c>
      <c r="M1440" t="s">
        <v>11686</v>
      </c>
      <c r="N1440" t="s">
        <v>11514</v>
      </c>
      <c r="O1440" t="s">
        <v>8713</v>
      </c>
      <c r="P1440" t="s">
        <v>9420</v>
      </c>
      <c r="Q1440" t="s">
        <v>9421</v>
      </c>
      <c r="R1440" t="s">
        <v>17</v>
      </c>
      <c r="S1440" t="s">
        <v>3896</v>
      </c>
      <c r="T1440" t="s">
        <v>3898</v>
      </c>
    </row>
    <row r="1441" spans="1:20">
      <c r="A1441" t="s">
        <v>3730</v>
      </c>
      <c r="B1441" t="s">
        <v>62</v>
      </c>
      <c r="C1441" t="s">
        <v>12048</v>
      </c>
      <c r="D1441" t="s">
        <v>445</v>
      </c>
      <c r="E1441" t="s">
        <v>12049</v>
      </c>
      <c r="F1441" t="s">
        <v>9412</v>
      </c>
      <c r="G1441" t="s">
        <v>9413</v>
      </c>
      <c r="H1441" t="s">
        <v>11516</v>
      </c>
      <c r="I1441" t="s">
        <v>10509</v>
      </c>
      <c r="J1441" t="s">
        <v>3808</v>
      </c>
      <c r="K1441" t="s">
        <v>9445</v>
      </c>
      <c r="L1441" t="s">
        <v>9417</v>
      </c>
      <c r="M1441" t="s">
        <v>11686</v>
      </c>
      <c r="N1441" t="s">
        <v>9426</v>
      </c>
      <c r="O1441" t="s">
        <v>9446</v>
      </c>
      <c r="P1441" t="s">
        <v>9623</v>
      </c>
      <c r="Q1441" t="s">
        <v>9421</v>
      </c>
      <c r="R1441" t="s">
        <v>24</v>
      </c>
      <c r="S1441" t="s">
        <v>3552</v>
      </c>
      <c r="T1441" t="s">
        <v>3554</v>
      </c>
    </row>
    <row r="1442" spans="1:20">
      <c r="A1442" t="s">
        <v>3730</v>
      </c>
      <c r="B1442" t="s">
        <v>62</v>
      </c>
      <c r="C1442" t="s">
        <v>12048</v>
      </c>
      <c r="D1442" t="s">
        <v>445</v>
      </c>
      <c r="E1442" t="s">
        <v>12049</v>
      </c>
      <c r="F1442" t="s">
        <v>9412</v>
      </c>
      <c r="G1442" t="s">
        <v>9413</v>
      </c>
      <c r="H1442" t="s">
        <v>11516</v>
      </c>
      <c r="I1442" t="s">
        <v>10509</v>
      </c>
      <c r="J1442" t="s">
        <v>3808</v>
      </c>
      <c r="K1442" t="s">
        <v>9416</v>
      </c>
      <c r="L1442" t="s">
        <v>9417</v>
      </c>
      <c r="M1442" t="s">
        <v>11686</v>
      </c>
      <c r="N1442" t="s">
        <v>11514</v>
      </c>
      <c r="O1442" t="s">
        <v>8715</v>
      </c>
      <c r="P1442" t="s">
        <v>9429</v>
      </c>
      <c r="Q1442" t="s">
        <v>9421</v>
      </c>
      <c r="R1442" t="s">
        <v>52</v>
      </c>
      <c r="S1442" t="s">
        <v>3899</v>
      </c>
      <c r="T1442" t="s">
        <v>3901</v>
      </c>
    </row>
    <row r="1443" spans="1:20">
      <c r="A1443" t="s">
        <v>3321</v>
      </c>
      <c r="B1443" t="s">
        <v>62</v>
      </c>
      <c r="C1443" t="s">
        <v>12050</v>
      </c>
      <c r="D1443" t="s">
        <v>445</v>
      </c>
      <c r="E1443" t="s">
        <v>12051</v>
      </c>
      <c r="F1443" t="s">
        <v>9412</v>
      </c>
      <c r="G1443" t="s">
        <v>9413</v>
      </c>
      <c r="H1443" t="s">
        <v>11516</v>
      </c>
      <c r="I1443" t="s">
        <v>10509</v>
      </c>
      <c r="J1443" t="s">
        <v>3161</v>
      </c>
      <c r="K1443" t="s">
        <v>9445</v>
      </c>
      <c r="L1443" t="s">
        <v>9417</v>
      </c>
      <c r="M1443" t="s">
        <v>11533</v>
      </c>
      <c r="N1443" t="s">
        <v>9426</v>
      </c>
      <c r="O1443" t="s">
        <v>9446</v>
      </c>
      <c r="P1443" t="s">
        <v>9479</v>
      </c>
      <c r="Q1443" t="s">
        <v>9421</v>
      </c>
      <c r="R1443" t="s">
        <v>43</v>
      </c>
      <c r="S1443" t="s">
        <v>3301</v>
      </c>
      <c r="T1443" t="s">
        <v>3303</v>
      </c>
    </row>
    <row r="1444" spans="1:20">
      <c r="A1444" t="s">
        <v>3321</v>
      </c>
      <c r="B1444" t="s">
        <v>62</v>
      </c>
      <c r="C1444" t="s">
        <v>12050</v>
      </c>
      <c r="D1444" t="s">
        <v>445</v>
      </c>
      <c r="E1444" t="s">
        <v>12051</v>
      </c>
      <c r="F1444" t="s">
        <v>9412</v>
      </c>
      <c r="G1444" t="s">
        <v>9413</v>
      </c>
      <c r="H1444" t="s">
        <v>11516</v>
      </c>
      <c r="I1444" t="s">
        <v>10509</v>
      </c>
      <c r="J1444" t="s">
        <v>3161</v>
      </c>
      <c r="K1444" t="s">
        <v>9416</v>
      </c>
      <c r="L1444" t="s">
        <v>9417</v>
      </c>
      <c r="M1444" t="s">
        <v>11533</v>
      </c>
      <c r="N1444" t="s">
        <v>11518</v>
      </c>
      <c r="O1444" t="s">
        <v>8022</v>
      </c>
      <c r="P1444" t="s">
        <v>9459</v>
      </c>
      <c r="Q1444" t="s">
        <v>9421</v>
      </c>
      <c r="R1444" t="s">
        <v>17</v>
      </c>
      <c r="S1444" t="s">
        <v>3322</v>
      </c>
      <c r="T1444" t="s">
        <v>3324</v>
      </c>
    </row>
    <row r="1445" spans="1:20">
      <c r="A1445" t="s">
        <v>3754</v>
      </c>
      <c r="B1445" t="s">
        <v>62</v>
      </c>
      <c r="C1445" t="s">
        <v>12052</v>
      </c>
      <c r="D1445" t="s">
        <v>445</v>
      </c>
      <c r="E1445" t="s">
        <v>12053</v>
      </c>
      <c r="F1445" t="s">
        <v>9412</v>
      </c>
      <c r="G1445" t="s">
        <v>9413</v>
      </c>
      <c r="H1445" t="s">
        <v>11516</v>
      </c>
      <c r="I1445" t="s">
        <v>10648</v>
      </c>
      <c r="J1445" t="s">
        <v>3619</v>
      </c>
      <c r="K1445" t="s">
        <v>9416</v>
      </c>
      <c r="L1445" t="s">
        <v>9417</v>
      </c>
      <c r="M1445" t="s">
        <v>11651</v>
      </c>
      <c r="N1445" t="s">
        <v>11605</v>
      </c>
      <c r="O1445" t="s">
        <v>8544</v>
      </c>
      <c r="P1445" t="s">
        <v>9420</v>
      </c>
      <c r="Q1445" t="s">
        <v>9421</v>
      </c>
      <c r="R1445" t="s">
        <v>17</v>
      </c>
      <c r="S1445" t="s">
        <v>3754</v>
      </c>
      <c r="T1445" t="s">
        <v>3756</v>
      </c>
    </row>
    <row r="1446" spans="1:20">
      <c r="A1446" t="s">
        <v>3768</v>
      </c>
      <c r="B1446" t="s">
        <v>62</v>
      </c>
      <c r="C1446" t="s">
        <v>8025</v>
      </c>
      <c r="D1446" t="s">
        <v>445</v>
      </c>
      <c r="E1446" t="s">
        <v>12054</v>
      </c>
      <c r="F1446" t="s">
        <v>9412</v>
      </c>
      <c r="G1446" t="s">
        <v>9413</v>
      </c>
      <c r="H1446" t="s">
        <v>11516</v>
      </c>
      <c r="I1446" t="s">
        <v>10509</v>
      </c>
      <c r="J1446" t="s">
        <v>3161</v>
      </c>
      <c r="K1446" t="s">
        <v>9445</v>
      </c>
      <c r="L1446" t="s">
        <v>9417</v>
      </c>
      <c r="M1446" t="s">
        <v>11656</v>
      </c>
      <c r="N1446" t="s">
        <v>11518</v>
      </c>
      <c r="O1446" t="s">
        <v>9446</v>
      </c>
      <c r="P1446" t="s">
        <v>9420</v>
      </c>
      <c r="Q1446" t="s">
        <v>9421</v>
      </c>
      <c r="R1446" t="s">
        <v>17</v>
      </c>
      <c r="S1446" t="s">
        <v>3281</v>
      </c>
      <c r="T1446" t="s">
        <v>3283</v>
      </c>
    </row>
    <row r="1447" spans="1:20">
      <c r="A1447" t="s">
        <v>12055</v>
      </c>
      <c r="B1447" t="s">
        <v>10645</v>
      </c>
      <c r="C1447" t="s">
        <v>12056</v>
      </c>
      <c r="D1447" t="s">
        <v>9410</v>
      </c>
      <c r="E1447" t="s">
        <v>12057</v>
      </c>
      <c r="F1447" t="s">
        <v>9601</v>
      </c>
      <c r="G1447" t="s">
        <v>9413</v>
      </c>
      <c r="H1447" t="s">
        <v>3162</v>
      </c>
      <c r="I1447" t="s">
        <v>9637</v>
      </c>
      <c r="J1447" t="s">
        <v>3161</v>
      </c>
      <c r="K1447" t="s">
        <v>9445</v>
      </c>
      <c r="L1447" t="s">
        <v>9417</v>
      </c>
      <c r="M1447" t="s">
        <v>11528</v>
      </c>
      <c r="N1447" t="s">
        <v>11518</v>
      </c>
      <c r="O1447" t="s">
        <v>9446</v>
      </c>
      <c r="P1447" t="s">
        <v>9603</v>
      </c>
      <c r="Q1447" t="s">
        <v>9421</v>
      </c>
      <c r="R1447" t="s">
        <v>9604</v>
      </c>
      <c r="S1447" t="s">
        <v>12058</v>
      </c>
      <c r="T1447" t="s">
        <v>12059</v>
      </c>
    </row>
    <row r="1448" spans="1:20">
      <c r="A1448" t="s">
        <v>12060</v>
      </c>
      <c r="B1448" t="s">
        <v>9409</v>
      </c>
      <c r="C1448" t="s">
        <v>12061</v>
      </c>
      <c r="D1448" t="s">
        <v>9410</v>
      </c>
      <c r="E1448" t="s">
        <v>12062</v>
      </c>
      <c r="F1448" t="s">
        <v>9601</v>
      </c>
      <c r="G1448" t="s">
        <v>9413</v>
      </c>
      <c r="H1448" t="s">
        <v>3162</v>
      </c>
      <c r="I1448" t="s">
        <v>9518</v>
      </c>
      <c r="J1448" t="s">
        <v>3161</v>
      </c>
      <c r="K1448" t="s">
        <v>9445</v>
      </c>
      <c r="L1448" t="s">
        <v>9417</v>
      </c>
      <c r="M1448" t="s">
        <v>11517</v>
      </c>
      <c r="N1448" t="s">
        <v>9426</v>
      </c>
      <c r="O1448" t="s">
        <v>9446</v>
      </c>
      <c r="P1448" t="s">
        <v>9479</v>
      </c>
      <c r="Q1448" t="s">
        <v>9421</v>
      </c>
      <c r="R1448" t="s">
        <v>43</v>
      </c>
      <c r="S1448" t="s">
        <v>3301</v>
      </c>
      <c r="T1448" t="s">
        <v>3303</v>
      </c>
    </row>
    <row r="1449" spans="1:20">
      <c r="A1449" t="s">
        <v>12063</v>
      </c>
      <c r="B1449" t="s">
        <v>9409</v>
      </c>
      <c r="C1449" t="s">
        <v>12064</v>
      </c>
      <c r="D1449" t="s">
        <v>9410</v>
      </c>
      <c r="E1449" t="s">
        <v>12065</v>
      </c>
      <c r="F1449" t="s">
        <v>9601</v>
      </c>
      <c r="G1449" t="s">
        <v>9413</v>
      </c>
      <c r="H1449" t="s">
        <v>3162</v>
      </c>
      <c r="I1449" t="s">
        <v>10177</v>
      </c>
      <c r="J1449" t="s">
        <v>4051</v>
      </c>
      <c r="K1449" t="s">
        <v>9416</v>
      </c>
      <c r="L1449" t="s">
        <v>9417</v>
      </c>
      <c r="M1449" t="s">
        <v>11781</v>
      </c>
      <c r="N1449" t="s">
        <v>11510</v>
      </c>
      <c r="O1449" t="s">
        <v>12066</v>
      </c>
      <c r="P1449" t="s">
        <v>9459</v>
      </c>
      <c r="Q1449" t="s">
        <v>9421</v>
      </c>
      <c r="R1449" t="s">
        <v>17</v>
      </c>
      <c r="S1449" t="s">
        <v>12063</v>
      </c>
      <c r="T1449" t="s">
        <v>12067</v>
      </c>
    </row>
    <row r="1450" spans="1:20">
      <c r="A1450" t="s">
        <v>3579</v>
      </c>
      <c r="B1450" t="s">
        <v>62</v>
      </c>
      <c r="C1450" t="s">
        <v>8365</v>
      </c>
      <c r="D1450" t="s">
        <v>445</v>
      </c>
      <c r="E1450" t="s">
        <v>12068</v>
      </c>
      <c r="F1450" t="s">
        <v>9412</v>
      </c>
      <c r="G1450" t="s">
        <v>9413</v>
      </c>
      <c r="H1450" t="s">
        <v>11516</v>
      </c>
      <c r="I1450" t="s">
        <v>10443</v>
      </c>
      <c r="J1450" t="s">
        <v>3506</v>
      </c>
      <c r="K1450" t="s">
        <v>9416</v>
      </c>
      <c r="L1450" t="s">
        <v>9417</v>
      </c>
      <c r="M1450" t="s">
        <v>11615</v>
      </c>
      <c r="N1450" t="s">
        <v>11543</v>
      </c>
      <c r="O1450" t="s">
        <v>8364</v>
      </c>
      <c r="P1450" t="s">
        <v>9420</v>
      </c>
      <c r="Q1450" t="s">
        <v>9421</v>
      </c>
      <c r="R1450" t="s">
        <v>17</v>
      </c>
      <c r="S1450" t="s">
        <v>3580</v>
      </c>
      <c r="T1450" t="s">
        <v>3582</v>
      </c>
    </row>
    <row r="1451" spans="1:20">
      <c r="A1451" t="s">
        <v>3758</v>
      </c>
      <c r="B1451" t="s">
        <v>62</v>
      </c>
      <c r="C1451" t="s">
        <v>8548</v>
      </c>
      <c r="D1451" t="s">
        <v>445</v>
      </c>
      <c r="E1451" t="s">
        <v>12069</v>
      </c>
      <c r="F1451" t="s">
        <v>9412</v>
      </c>
      <c r="G1451" t="s">
        <v>9413</v>
      </c>
      <c r="H1451" t="s">
        <v>11516</v>
      </c>
      <c r="I1451" t="s">
        <v>10443</v>
      </c>
      <c r="J1451" t="s">
        <v>3619</v>
      </c>
      <c r="K1451" t="s">
        <v>9445</v>
      </c>
      <c r="L1451" t="s">
        <v>9417</v>
      </c>
      <c r="M1451" t="s">
        <v>11649</v>
      </c>
      <c r="N1451" t="s">
        <v>9426</v>
      </c>
      <c r="O1451" t="s">
        <v>9446</v>
      </c>
      <c r="P1451" t="s">
        <v>9479</v>
      </c>
      <c r="Q1451" t="s">
        <v>9421</v>
      </c>
      <c r="R1451" t="s">
        <v>43</v>
      </c>
      <c r="S1451" t="s">
        <v>3416</v>
      </c>
      <c r="T1451" t="s">
        <v>3418</v>
      </c>
    </row>
    <row r="1452" spans="1:20">
      <c r="A1452" t="s">
        <v>3758</v>
      </c>
      <c r="B1452" t="s">
        <v>62</v>
      </c>
      <c r="C1452" t="s">
        <v>8548</v>
      </c>
      <c r="D1452" t="s">
        <v>445</v>
      </c>
      <c r="E1452" t="s">
        <v>12069</v>
      </c>
      <c r="F1452" t="s">
        <v>9412</v>
      </c>
      <c r="G1452" t="s">
        <v>9413</v>
      </c>
      <c r="H1452" t="s">
        <v>11516</v>
      </c>
      <c r="I1452" t="s">
        <v>10443</v>
      </c>
      <c r="J1452" t="s">
        <v>3619</v>
      </c>
      <c r="K1452" t="s">
        <v>9416</v>
      </c>
      <c r="L1452" t="s">
        <v>9417</v>
      </c>
      <c r="M1452" t="s">
        <v>11649</v>
      </c>
      <c r="N1452" t="s">
        <v>11605</v>
      </c>
      <c r="O1452" t="s">
        <v>8550</v>
      </c>
      <c r="P1452" t="s">
        <v>9420</v>
      </c>
      <c r="Q1452" t="s">
        <v>9421</v>
      </c>
      <c r="R1452" t="s">
        <v>17</v>
      </c>
      <c r="S1452" t="s">
        <v>3760</v>
      </c>
      <c r="T1452" t="s">
        <v>12070</v>
      </c>
    </row>
    <row r="1453" spans="1:20">
      <c r="A1453" t="s">
        <v>3485</v>
      </c>
      <c r="B1453" t="s">
        <v>62</v>
      </c>
      <c r="C1453" t="s">
        <v>3489</v>
      </c>
      <c r="D1453" t="s">
        <v>9448</v>
      </c>
      <c r="E1453" t="s">
        <v>12071</v>
      </c>
      <c r="F1453" t="s">
        <v>9601</v>
      </c>
      <c r="G1453" t="s">
        <v>9413</v>
      </c>
      <c r="H1453" t="s">
        <v>3162</v>
      </c>
      <c r="I1453" t="s">
        <v>10609</v>
      </c>
      <c r="J1453" t="s">
        <v>3399</v>
      </c>
      <c r="K1453" t="s">
        <v>9416</v>
      </c>
      <c r="L1453" t="s">
        <v>9417</v>
      </c>
      <c r="M1453" t="s">
        <v>11568</v>
      </c>
      <c r="N1453" t="s">
        <v>11550</v>
      </c>
      <c r="O1453" t="s">
        <v>8239</v>
      </c>
      <c r="P1453" t="s">
        <v>9429</v>
      </c>
      <c r="Q1453" t="s">
        <v>9421</v>
      </c>
      <c r="R1453" t="s">
        <v>52</v>
      </c>
      <c r="S1453" t="s">
        <v>3486</v>
      </c>
      <c r="T1453" t="s">
        <v>3488</v>
      </c>
    </row>
    <row r="1454" spans="1:20">
      <c r="A1454" t="s">
        <v>3963</v>
      </c>
      <c r="B1454" t="s">
        <v>62</v>
      </c>
      <c r="C1454" t="s">
        <v>12072</v>
      </c>
      <c r="D1454" t="s">
        <v>445</v>
      </c>
      <c r="E1454" t="s">
        <v>12073</v>
      </c>
      <c r="F1454" t="s">
        <v>9412</v>
      </c>
      <c r="G1454" t="s">
        <v>9413</v>
      </c>
      <c r="H1454" t="s">
        <v>11516</v>
      </c>
      <c r="I1454" t="s">
        <v>10509</v>
      </c>
      <c r="J1454" t="s">
        <v>4051</v>
      </c>
      <c r="K1454" t="s">
        <v>9416</v>
      </c>
      <c r="L1454" t="s">
        <v>9417</v>
      </c>
      <c r="M1454" t="s">
        <v>11528</v>
      </c>
      <c r="N1454" t="s">
        <v>11510</v>
      </c>
      <c r="O1454" t="s">
        <v>9010</v>
      </c>
      <c r="P1454" t="s">
        <v>9420</v>
      </c>
      <c r="Q1454" t="s">
        <v>9421</v>
      </c>
      <c r="R1454" t="s">
        <v>17</v>
      </c>
      <c r="S1454" t="s">
        <v>3584</v>
      </c>
      <c r="T1454" t="s">
        <v>4144</v>
      </c>
    </row>
    <row r="1455" spans="1:20">
      <c r="A1455" t="s">
        <v>3317</v>
      </c>
      <c r="B1455" t="s">
        <v>10645</v>
      </c>
      <c r="C1455" t="s">
        <v>12074</v>
      </c>
      <c r="D1455" t="s">
        <v>9410</v>
      </c>
      <c r="E1455" t="s">
        <v>12075</v>
      </c>
      <c r="F1455" t="s">
        <v>9412</v>
      </c>
      <c r="G1455" t="s">
        <v>9413</v>
      </c>
      <c r="H1455" t="s">
        <v>3162</v>
      </c>
      <c r="I1455" t="s">
        <v>10582</v>
      </c>
      <c r="J1455" t="s">
        <v>3619</v>
      </c>
      <c r="K1455" t="s">
        <v>9416</v>
      </c>
      <c r="L1455" t="s">
        <v>9417</v>
      </c>
      <c r="M1455" t="s">
        <v>11893</v>
      </c>
      <c r="N1455" t="s">
        <v>11605</v>
      </c>
      <c r="O1455" t="s">
        <v>8552</v>
      </c>
      <c r="P1455" t="s">
        <v>9623</v>
      </c>
      <c r="Q1455" t="s">
        <v>9421</v>
      </c>
      <c r="R1455" t="s">
        <v>24</v>
      </c>
      <c r="S1455" t="s">
        <v>3795</v>
      </c>
      <c r="T1455" t="s">
        <v>3797</v>
      </c>
    </row>
    <row r="1456" spans="1:20">
      <c r="A1456" t="s">
        <v>12076</v>
      </c>
      <c r="B1456" t="s">
        <v>9409</v>
      </c>
      <c r="C1456" t="s">
        <v>12077</v>
      </c>
      <c r="D1456" t="s">
        <v>9410</v>
      </c>
      <c r="E1456" t="s">
        <v>12078</v>
      </c>
      <c r="F1456" t="s">
        <v>9601</v>
      </c>
      <c r="G1456" t="s">
        <v>9413</v>
      </c>
      <c r="H1456" t="s">
        <v>3162</v>
      </c>
      <c r="I1456" t="s">
        <v>9674</v>
      </c>
      <c r="J1456" t="s">
        <v>3161</v>
      </c>
      <c r="K1456" t="s">
        <v>9445</v>
      </c>
      <c r="L1456" t="s">
        <v>9417</v>
      </c>
      <c r="M1456" t="s">
        <v>11523</v>
      </c>
      <c r="N1456" t="s">
        <v>11518</v>
      </c>
      <c r="O1456" t="s">
        <v>9446</v>
      </c>
      <c r="P1456" t="s">
        <v>9603</v>
      </c>
      <c r="Q1456" t="s">
        <v>9421</v>
      </c>
      <c r="R1456" t="s">
        <v>9604</v>
      </c>
      <c r="S1456" t="s">
        <v>12058</v>
      </c>
      <c r="T1456" t="s">
        <v>12059</v>
      </c>
    </row>
    <row r="1457" spans="1:20">
      <c r="A1457" t="s">
        <v>12079</v>
      </c>
      <c r="B1457" t="s">
        <v>62</v>
      </c>
      <c r="C1457" t="s">
        <v>12080</v>
      </c>
      <c r="D1457" t="s">
        <v>9410</v>
      </c>
      <c r="E1457" t="s">
        <v>12081</v>
      </c>
      <c r="F1457" t="s">
        <v>9412</v>
      </c>
      <c r="G1457" t="s">
        <v>9413</v>
      </c>
      <c r="H1457" t="s">
        <v>3162</v>
      </c>
      <c r="I1457" t="s">
        <v>10632</v>
      </c>
      <c r="J1457" t="s">
        <v>3939</v>
      </c>
      <c r="K1457" t="s">
        <v>9445</v>
      </c>
      <c r="L1457" t="s">
        <v>9417</v>
      </c>
      <c r="M1457" t="s">
        <v>11591</v>
      </c>
      <c r="N1457" t="s">
        <v>11536</v>
      </c>
      <c r="O1457" t="s">
        <v>9446</v>
      </c>
      <c r="P1457" t="s">
        <v>9420</v>
      </c>
      <c r="Q1457" t="s">
        <v>9421</v>
      </c>
      <c r="R1457" t="s">
        <v>17</v>
      </c>
      <c r="S1457" t="s">
        <v>8780</v>
      </c>
      <c r="T1457" t="s">
        <v>11592</v>
      </c>
    </row>
    <row r="1458" spans="1:20">
      <c r="A1458" t="s">
        <v>3584</v>
      </c>
      <c r="B1458" t="s">
        <v>20</v>
      </c>
      <c r="C1458" t="s">
        <v>3588</v>
      </c>
      <c r="D1458" t="s">
        <v>9475</v>
      </c>
      <c r="E1458" t="s">
        <v>12082</v>
      </c>
      <c r="F1458" t="s">
        <v>9601</v>
      </c>
      <c r="G1458" t="s">
        <v>9413</v>
      </c>
      <c r="H1458" t="s">
        <v>3162</v>
      </c>
      <c r="I1458" t="s">
        <v>10628</v>
      </c>
      <c r="J1458" t="s">
        <v>3506</v>
      </c>
      <c r="K1458" t="s">
        <v>9445</v>
      </c>
      <c r="L1458" t="s">
        <v>9417</v>
      </c>
      <c r="M1458" t="s">
        <v>11615</v>
      </c>
      <c r="N1458" t="s">
        <v>11543</v>
      </c>
      <c r="O1458" t="s">
        <v>9446</v>
      </c>
      <c r="P1458" t="s">
        <v>9459</v>
      </c>
      <c r="Q1458" t="s">
        <v>9421</v>
      </c>
      <c r="R1458" t="s">
        <v>17</v>
      </c>
      <c r="S1458" t="s">
        <v>3585</v>
      </c>
      <c r="T1458" t="s">
        <v>3587</v>
      </c>
    </row>
    <row r="1459" spans="1:20">
      <c r="A1459" t="s">
        <v>3584</v>
      </c>
      <c r="B1459" t="s">
        <v>20</v>
      </c>
      <c r="C1459" t="s">
        <v>3588</v>
      </c>
      <c r="D1459" t="s">
        <v>9475</v>
      </c>
      <c r="E1459" t="s">
        <v>12082</v>
      </c>
      <c r="F1459" t="s">
        <v>9601</v>
      </c>
      <c r="G1459" t="s">
        <v>9413</v>
      </c>
      <c r="H1459" t="s">
        <v>3162</v>
      </c>
      <c r="I1459" t="s">
        <v>10628</v>
      </c>
      <c r="J1459" t="s">
        <v>3506</v>
      </c>
      <c r="K1459" t="s">
        <v>9416</v>
      </c>
      <c r="L1459" t="s">
        <v>9417</v>
      </c>
      <c r="M1459" t="s">
        <v>11615</v>
      </c>
      <c r="N1459" t="s">
        <v>11543</v>
      </c>
      <c r="O1459" t="s">
        <v>8367</v>
      </c>
      <c r="P1459" t="s">
        <v>10629</v>
      </c>
      <c r="Q1459" t="s">
        <v>9421</v>
      </c>
      <c r="R1459" t="s">
        <v>17</v>
      </c>
      <c r="S1459" t="s">
        <v>3589</v>
      </c>
      <c r="T1459" t="s">
        <v>3591</v>
      </c>
    </row>
    <row r="1460" spans="1:20">
      <c r="A1460" t="s">
        <v>12083</v>
      </c>
      <c r="B1460" t="s">
        <v>10645</v>
      </c>
      <c r="C1460" t="s">
        <v>12084</v>
      </c>
      <c r="D1460" t="s">
        <v>9410</v>
      </c>
      <c r="E1460" t="s">
        <v>12085</v>
      </c>
      <c r="F1460" t="s">
        <v>9412</v>
      </c>
      <c r="G1460" t="s">
        <v>9413</v>
      </c>
      <c r="H1460" t="s">
        <v>3162</v>
      </c>
      <c r="I1460" t="s">
        <v>10628</v>
      </c>
      <c r="J1460" t="s">
        <v>3939</v>
      </c>
      <c r="K1460" t="s">
        <v>9445</v>
      </c>
      <c r="L1460" t="s">
        <v>9417</v>
      </c>
      <c r="M1460" t="s">
        <v>11535</v>
      </c>
      <c r="N1460" t="s">
        <v>11536</v>
      </c>
      <c r="O1460" t="s">
        <v>9446</v>
      </c>
      <c r="P1460" t="s">
        <v>9603</v>
      </c>
      <c r="Q1460" t="s">
        <v>9421</v>
      </c>
      <c r="R1460" t="s">
        <v>9604</v>
      </c>
      <c r="S1460" t="s">
        <v>12086</v>
      </c>
      <c r="T1460" t="s">
        <v>12087</v>
      </c>
    </row>
    <row r="1461" spans="1:20">
      <c r="A1461" t="s">
        <v>12088</v>
      </c>
      <c r="B1461" t="s">
        <v>10645</v>
      </c>
      <c r="C1461" t="s">
        <v>12089</v>
      </c>
      <c r="D1461" t="s">
        <v>9410</v>
      </c>
      <c r="E1461" t="s">
        <v>12090</v>
      </c>
      <c r="F1461" t="s">
        <v>9412</v>
      </c>
      <c r="G1461" t="s">
        <v>9413</v>
      </c>
      <c r="H1461" t="s">
        <v>3162</v>
      </c>
      <c r="I1461" t="s">
        <v>10628</v>
      </c>
      <c r="J1461" t="s">
        <v>3161</v>
      </c>
      <c r="K1461" t="s">
        <v>9445</v>
      </c>
      <c r="L1461" t="s">
        <v>9417</v>
      </c>
      <c r="M1461" t="s">
        <v>11517</v>
      </c>
      <c r="N1461" t="s">
        <v>11518</v>
      </c>
      <c r="O1461" t="s">
        <v>9446</v>
      </c>
      <c r="P1461" t="s">
        <v>9603</v>
      </c>
      <c r="Q1461" t="s">
        <v>9421</v>
      </c>
      <c r="R1461" t="s">
        <v>9604</v>
      </c>
      <c r="S1461" t="s">
        <v>12058</v>
      </c>
      <c r="T1461" t="s">
        <v>12059</v>
      </c>
    </row>
    <row r="1462" spans="1:20">
      <c r="A1462" t="s">
        <v>12091</v>
      </c>
      <c r="B1462" t="s">
        <v>62</v>
      </c>
      <c r="C1462" t="s">
        <v>12092</v>
      </c>
      <c r="D1462" t="s">
        <v>445</v>
      </c>
      <c r="E1462" t="s">
        <v>12093</v>
      </c>
      <c r="F1462" t="s">
        <v>9601</v>
      </c>
      <c r="G1462" t="s">
        <v>9413</v>
      </c>
      <c r="H1462" t="s">
        <v>11516</v>
      </c>
      <c r="I1462" t="s">
        <v>10609</v>
      </c>
      <c r="J1462" t="s">
        <v>3161</v>
      </c>
      <c r="K1462" t="s">
        <v>9445</v>
      </c>
      <c r="L1462" t="s">
        <v>9417</v>
      </c>
      <c r="M1462" t="s">
        <v>11533</v>
      </c>
      <c r="N1462" t="s">
        <v>11518</v>
      </c>
      <c r="O1462" t="s">
        <v>9446</v>
      </c>
      <c r="P1462" t="s">
        <v>9603</v>
      </c>
      <c r="Q1462" t="s">
        <v>9421</v>
      </c>
      <c r="R1462" t="s">
        <v>9604</v>
      </c>
      <c r="S1462" t="s">
        <v>12058</v>
      </c>
      <c r="T1462" t="s">
        <v>12059</v>
      </c>
    </row>
    <row r="1463" spans="1:20">
      <c r="A1463" t="s">
        <v>12094</v>
      </c>
      <c r="B1463" t="s">
        <v>9446</v>
      </c>
      <c r="C1463" t="s">
        <v>12095</v>
      </c>
      <c r="D1463" t="s">
        <v>9410</v>
      </c>
      <c r="E1463" t="s">
        <v>12096</v>
      </c>
      <c r="F1463" t="s">
        <v>9412</v>
      </c>
      <c r="G1463" t="s">
        <v>9413</v>
      </c>
      <c r="H1463" t="s">
        <v>3162</v>
      </c>
      <c r="I1463" t="s">
        <v>10632</v>
      </c>
      <c r="J1463" t="s">
        <v>3161</v>
      </c>
      <c r="K1463" t="s">
        <v>9445</v>
      </c>
      <c r="L1463" t="s">
        <v>9417</v>
      </c>
      <c r="M1463" t="s">
        <v>11533</v>
      </c>
      <c r="N1463" t="s">
        <v>11518</v>
      </c>
      <c r="O1463" t="s">
        <v>9446</v>
      </c>
      <c r="P1463" t="s">
        <v>9603</v>
      </c>
      <c r="Q1463" t="s">
        <v>9421</v>
      </c>
      <c r="R1463" t="s">
        <v>9604</v>
      </c>
      <c r="S1463" t="s">
        <v>12058</v>
      </c>
      <c r="T1463" t="s">
        <v>12059</v>
      </c>
    </row>
    <row r="1464" spans="1:20">
      <c r="A1464" t="s">
        <v>12097</v>
      </c>
      <c r="B1464" t="s">
        <v>9446</v>
      </c>
      <c r="C1464" t="s">
        <v>12098</v>
      </c>
      <c r="D1464" t="s">
        <v>9410</v>
      </c>
      <c r="E1464" t="s">
        <v>12099</v>
      </c>
      <c r="F1464" t="s">
        <v>9601</v>
      </c>
      <c r="G1464" t="s">
        <v>9413</v>
      </c>
      <c r="H1464" t="s">
        <v>11516</v>
      </c>
      <c r="I1464" t="s">
        <v>10443</v>
      </c>
      <c r="J1464" t="s">
        <v>3161</v>
      </c>
      <c r="K1464" t="s">
        <v>9445</v>
      </c>
      <c r="L1464" t="s">
        <v>9417</v>
      </c>
      <c r="M1464" t="s">
        <v>11533</v>
      </c>
      <c r="N1464" t="s">
        <v>11518</v>
      </c>
      <c r="O1464" t="s">
        <v>9446</v>
      </c>
      <c r="P1464" t="s">
        <v>9603</v>
      </c>
      <c r="Q1464" t="s">
        <v>9421</v>
      </c>
      <c r="R1464" t="s">
        <v>9604</v>
      </c>
      <c r="S1464" t="s">
        <v>12058</v>
      </c>
      <c r="T1464" t="s">
        <v>12059</v>
      </c>
    </row>
    <row r="1465" spans="1:20">
      <c r="A1465" t="s">
        <v>3783</v>
      </c>
      <c r="B1465" t="s">
        <v>62</v>
      </c>
      <c r="C1465" t="s">
        <v>12100</v>
      </c>
      <c r="D1465" t="s">
        <v>445</v>
      </c>
      <c r="E1465" t="s">
        <v>12101</v>
      </c>
      <c r="F1465" t="s">
        <v>9412</v>
      </c>
      <c r="G1465" t="s">
        <v>9413</v>
      </c>
      <c r="H1465" t="s">
        <v>11516</v>
      </c>
      <c r="I1465" t="s">
        <v>10609</v>
      </c>
      <c r="J1465" t="s">
        <v>3161</v>
      </c>
      <c r="K1465" t="s">
        <v>9445</v>
      </c>
      <c r="L1465" t="s">
        <v>9417</v>
      </c>
      <c r="M1465" t="s">
        <v>11533</v>
      </c>
      <c r="N1465" t="s">
        <v>11518</v>
      </c>
      <c r="O1465" t="s">
        <v>9446</v>
      </c>
      <c r="P1465" t="s">
        <v>9603</v>
      </c>
      <c r="Q1465" t="s">
        <v>9421</v>
      </c>
      <c r="R1465" t="s">
        <v>9604</v>
      </c>
      <c r="S1465" t="s">
        <v>12058</v>
      </c>
      <c r="T1465" t="s">
        <v>12059</v>
      </c>
    </row>
    <row r="1466" spans="1:20">
      <c r="A1466" t="s">
        <v>12102</v>
      </c>
      <c r="B1466" t="s">
        <v>9409</v>
      </c>
      <c r="C1466" t="s">
        <v>12103</v>
      </c>
      <c r="D1466" t="s">
        <v>9410</v>
      </c>
      <c r="E1466" t="s">
        <v>12104</v>
      </c>
      <c r="F1466" t="s">
        <v>9601</v>
      </c>
      <c r="G1466" t="s">
        <v>9413</v>
      </c>
      <c r="H1466" t="s">
        <v>3162</v>
      </c>
      <c r="I1466" t="s">
        <v>9469</v>
      </c>
      <c r="J1466" t="s">
        <v>3939</v>
      </c>
      <c r="K1466" t="s">
        <v>9416</v>
      </c>
      <c r="L1466" t="s">
        <v>9417</v>
      </c>
      <c r="M1466" t="s">
        <v>11597</v>
      </c>
      <c r="N1466" t="s">
        <v>9430</v>
      </c>
      <c r="O1466" t="s">
        <v>12105</v>
      </c>
      <c r="P1466" t="s">
        <v>9524</v>
      </c>
      <c r="Q1466" t="s">
        <v>9421</v>
      </c>
      <c r="R1466" t="s">
        <v>17</v>
      </c>
      <c r="S1466" t="s">
        <v>12106</v>
      </c>
      <c r="T1466" t="s">
        <v>12107</v>
      </c>
    </row>
    <row r="1467" spans="1:20">
      <c r="A1467" t="s">
        <v>3642</v>
      </c>
      <c r="B1467" t="s">
        <v>62</v>
      </c>
      <c r="C1467" t="s">
        <v>4149</v>
      </c>
      <c r="D1467" t="s">
        <v>445</v>
      </c>
      <c r="E1467" t="s">
        <v>12108</v>
      </c>
      <c r="F1467" t="s">
        <v>9412</v>
      </c>
      <c r="G1467" t="s">
        <v>9413</v>
      </c>
      <c r="H1467" t="s">
        <v>3162</v>
      </c>
      <c r="I1467" t="s">
        <v>10597</v>
      </c>
      <c r="J1467" t="s">
        <v>4051</v>
      </c>
      <c r="K1467" t="s">
        <v>9416</v>
      </c>
      <c r="L1467" t="s">
        <v>9417</v>
      </c>
      <c r="M1467" t="s">
        <v>11744</v>
      </c>
      <c r="N1467" t="s">
        <v>11510</v>
      </c>
      <c r="O1467" t="s">
        <v>9014</v>
      </c>
      <c r="P1467" t="s">
        <v>9420</v>
      </c>
      <c r="Q1467" t="s">
        <v>9421</v>
      </c>
      <c r="R1467" t="s">
        <v>17</v>
      </c>
      <c r="S1467" t="s">
        <v>4146</v>
      </c>
      <c r="T1467" t="s">
        <v>4148</v>
      </c>
    </row>
    <row r="1468" spans="1:20">
      <c r="A1468" t="s">
        <v>12109</v>
      </c>
      <c r="B1468" t="s">
        <v>62</v>
      </c>
      <c r="C1468" t="s">
        <v>12110</v>
      </c>
      <c r="D1468" t="s">
        <v>9410</v>
      </c>
      <c r="E1468" t="s">
        <v>12111</v>
      </c>
      <c r="F1468" t="s">
        <v>9601</v>
      </c>
      <c r="G1468" t="s">
        <v>9413</v>
      </c>
      <c r="H1468" t="s">
        <v>11516</v>
      </c>
      <c r="I1468" t="s">
        <v>9518</v>
      </c>
      <c r="J1468" t="s">
        <v>3161</v>
      </c>
      <c r="K1468" t="s">
        <v>9445</v>
      </c>
      <c r="L1468" t="s">
        <v>9417</v>
      </c>
      <c r="M1468" t="s">
        <v>11517</v>
      </c>
      <c r="N1468" t="s">
        <v>11518</v>
      </c>
      <c r="O1468" t="s">
        <v>9446</v>
      </c>
      <c r="P1468" t="s">
        <v>9603</v>
      </c>
      <c r="Q1468" t="s">
        <v>9421</v>
      </c>
      <c r="R1468" t="s">
        <v>9604</v>
      </c>
      <c r="S1468" t="s">
        <v>12058</v>
      </c>
      <c r="T1468" t="s">
        <v>12059</v>
      </c>
    </row>
    <row r="1469" spans="1:20">
      <c r="A1469" t="s">
        <v>12086</v>
      </c>
      <c r="B1469" t="s">
        <v>62</v>
      </c>
      <c r="C1469" t="s">
        <v>12112</v>
      </c>
      <c r="D1469" t="s">
        <v>9410</v>
      </c>
      <c r="E1469" t="s">
        <v>12113</v>
      </c>
      <c r="F1469" t="s">
        <v>9601</v>
      </c>
      <c r="G1469" t="s">
        <v>9413</v>
      </c>
      <c r="H1469" t="s">
        <v>11516</v>
      </c>
      <c r="I1469" t="s">
        <v>10407</v>
      </c>
      <c r="J1469" t="s">
        <v>3939</v>
      </c>
      <c r="K1469" t="s">
        <v>9416</v>
      </c>
      <c r="L1469" t="s">
        <v>9417</v>
      </c>
      <c r="M1469" t="s">
        <v>11686</v>
      </c>
      <c r="N1469" t="s">
        <v>11536</v>
      </c>
      <c r="O1469" t="s">
        <v>12114</v>
      </c>
      <c r="P1469" t="s">
        <v>9603</v>
      </c>
      <c r="Q1469" t="s">
        <v>9421</v>
      </c>
      <c r="R1469" t="s">
        <v>9604</v>
      </c>
      <c r="S1469" t="s">
        <v>12086</v>
      </c>
      <c r="T1469" t="s">
        <v>12087</v>
      </c>
    </row>
    <row r="1470" spans="1:20">
      <c r="A1470" t="s">
        <v>12115</v>
      </c>
      <c r="B1470" t="s">
        <v>62</v>
      </c>
      <c r="C1470" t="s">
        <v>12116</v>
      </c>
      <c r="D1470" t="s">
        <v>9410</v>
      </c>
      <c r="E1470" t="s">
        <v>12117</v>
      </c>
      <c r="F1470" t="s">
        <v>9601</v>
      </c>
      <c r="G1470" t="s">
        <v>9413</v>
      </c>
      <c r="H1470" t="s">
        <v>11516</v>
      </c>
      <c r="I1470" t="s">
        <v>12004</v>
      </c>
      <c r="J1470" t="s">
        <v>3808</v>
      </c>
      <c r="K1470" t="s">
        <v>9445</v>
      </c>
      <c r="L1470" t="s">
        <v>9417</v>
      </c>
      <c r="M1470" t="s">
        <v>11686</v>
      </c>
      <c r="N1470" t="s">
        <v>11514</v>
      </c>
      <c r="O1470" t="s">
        <v>9446</v>
      </c>
      <c r="P1470" t="s">
        <v>9603</v>
      </c>
      <c r="Q1470" t="s">
        <v>9421</v>
      </c>
      <c r="R1470" t="s">
        <v>9604</v>
      </c>
      <c r="S1470" t="s">
        <v>3758</v>
      </c>
      <c r="T1470" t="s">
        <v>12118</v>
      </c>
    </row>
    <row r="1471" spans="1:20">
      <c r="A1471" t="s">
        <v>12119</v>
      </c>
      <c r="B1471" t="s">
        <v>62</v>
      </c>
      <c r="C1471" t="s">
        <v>12120</v>
      </c>
      <c r="D1471" t="s">
        <v>9410</v>
      </c>
      <c r="E1471" t="s">
        <v>12121</v>
      </c>
      <c r="F1471" t="s">
        <v>9601</v>
      </c>
      <c r="G1471" t="s">
        <v>9413</v>
      </c>
      <c r="H1471" t="s">
        <v>11516</v>
      </c>
      <c r="I1471" t="s">
        <v>9781</v>
      </c>
      <c r="J1471" t="s">
        <v>3808</v>
      </c>
      <c r="K1471" t="s">
        <v>9416</v>
      </c>
      <c r="L1471" t="s">
        <v>9417</v>
      </c>
      <c r="M1471" t="s">
        <v>11624</v>
      </c>
      <c r="N1471" t="s">
        <v>11514</v>
      </c>
      <c r="O1471" t="s">
        <v>12122</v>
      </c>
      <c r="P1471" t="s">
        <v>9603</v>
      </c>
      <c r="Q1471" t="s">
        <v>9421</v>
      </c>
      <c r="R1471" t="s">
        <v>9604</v>
      </c>
      <c r="S1471" t="s">
        <v>3758</v>
      </c>
      <c r="T1471" t="s">
        <v>12118</v>
      </c>
    </row>
    <row r="1472" spans="1:20">
      <c r="A1472" t="s">
        <v>12123</v>
      </c>
      <c r="B1472" t="s">
        <v>62</v>
      </c>
      <c r="C1472" t="s">
        <v>12124</v>
      </c>
      <c r="D1472" t="s">
        <v>9410</v>
      </c>
      <c r="E1472" t="s">
        <v>12125</v>
      </c>
      <c r="F1472" t="s">
        <v>9601</v>
      </c>
      <c r="G1472" t="s">
        <v>9413</v>
      </c>
      <c r="H1472" t="s">
        <v>3162</v>
      </c>
      <c r="I1472" t="s">
        <v>9729</v>
      </c>
      <c r="J1472" t="s">
        <v>3939</v>
      </c>
      <c r="K1472" t="s">
        <v>9445</v>
      </c>
      <c r="L1472" t="s">
        <v>9417</v>
      </c>
      <c r="M1472" t="s">
        <v>11585</v>
      </c>
      <c r="N1472" t="s">
        <v>11536</v>
      </c>
      <c r="O1472" t="s">
        <v>9446</v>
      </c>
      <c r="P1472" t="s">
        <v>9603</v>
      </c>
      <c r="Q1472" t="s">
        <v>9421</v>
      </c>
      <c r="R1472" t="s">
        <v>9604</v>
      </c>
      <c r="S1472" t="s">
        <v>12086</v>
      </c>
      <c r="T1472" t="s">
        <v>12087</v>
      </c>
    </row>
    <row r="1473" spans="1:20">
      <c r="A1473" t="s">
        <v>12126</v>
      </c>
      <c r="B1473" t="s">
        <v>62</v>
      </c>
      <c r="C1473" t="s">
        <v>12127</v>
      </c>
      <c r="D1473" t="s">
        <v>9410</v>
      </c>
      <c r="E1473" t="s">
        <v>12128</v>
      </c>
      <c r="F1473" t="s">
        <v>9601</v>
      </c>
      <c r="G1473" t="s">
        <v>9413</v>
      </c>
      <c r="H1473" t="s">
        <v>11516</v>
      </c>
      <c r="I1473" t="s">
        <v>9441</v>
      </c>
      <c r="J1473" t="s">
        <v>4051</v>
      </c>
      <c r="K1473" t="s">
        <v>9416</v>
      </c>
      <c r="L1473" t="s">
        <v>9417</v>
      </c>
      <c r="M1473" t="s">
        <v>11781</v>
      </c>
      <c r="N1473" t="s">
        <v>11510</v>
      </c>
      <c r="O1473" t="s">
        <v>12129</v>
      </c>
      <c r="P1473" t="s">
        <v>9603</v>
      </c>
      <c r="Q1473" t="s">
        <v>9421</v>
      </c>
      <c r="R1473" t="s">
        <v>9604</v>
      </c>
      <c r="S1473" t="s">
        <v>12126</v>
      </c>
      <c r="T1473" t="s">
        <v>12130</v>
      </c>
    </row>
    <row r="1474" spans="1:20">
      <c r="A1474" t="s">
        <v>3589</v>
      </c>
      <c r="B1474" t="s">
        <v>9409</v>
      </c>
      <c r="C1474" t="s">
        <v>12131</v>
      </c>
      <c r="D1474" t="s">
        <v>9410</v>
      </c>
      <c r="E1474" t="s">
        <v>12132</v>
      </c>
      <c r="F1474" t="s">
        <v>9601</v>
      </c>
      <c r="G1474" t="s">
        <v>9413</v>
      </c>
      <c r="H1474" t="s">
        <v>3162</v>
      </c>
      <c r="I1474" t="s">
        <v>10597</v>
      </c>
      <c r="J1474" t="s">
        <v>3808</v>
      </c>
      <c r="K1474" t="s">
        <v>9445</v>
      </c>
      <c r="L1474" t="s">
        <v>9417</v>
      </c>
      <c r="M1474" t="s">
        <v>11702</v>
      </c>
      <c r="N1474" t="s">
        <v>9430</v>
      </c>
      <c r="O1474" t="s">
        <v>9446</v>
      </c>
      <c r="P1474" t="s">
        <v>9524</v>
      </c>
      <c r="Q1474" t="s">
        <v>9421</v>
      </c>
      <c r="R1474" t="s">
        <v>17</v>
      </c>
      <c r="S1474" t="s">
        <v>12106</v>
      </c>
      <c r="T1474" t="s">
        <v>12107</v>
      </c>
    </row>
    <row r="1475" spans="1:20">
      <c r="A1475" t="s">
        <v>12133</v>
      </c>
      <c r="B1475" t="s">
        <v>20</v>
      </c>
      <c r="C1475" t="s">
        <v>12134</v>
      </c>
      <c r="D1475" t="s">
        <v>9410</v>
      </c>
      <c r="E1475" t="s">
        <v>12135</v>
      </c>
      <c r="F1475" t="s">
        <v>9601</v>
      </c>
      <c r="G1475" t="s">
        <v>9413</v>
      </c>
      <c r="H1475" t="s">
        <v>3162</v>
      </c>
      <c r="I1475" t="s">
        <v>9674</v>
      </c>
      <c r="J1475" t="s">
        <v>3161</v>
      </c>
      <c r="K1475" t="s">
        <v>9445</v>
      </c>
      <c r="L1475" t="s">
        <v>9417</v>
      </c>
      <c r="M1475" t="s">
        <v>11517</v>
      </c>
      <c r="N1475" t="s">
        <v>11518</v>
      </c>
      <c r="O1475" t="s">
        <v>9446</v>
      </c>
      <c r="P1475" t="s">
        <v>9603</v>
      </c>
      <c r="Q1475" t="s">
        <v>9421</v>
      </c>
      <c r="R1475" t="s">
        <v>9604</v>
      </c>
      <c r="S1475" t="s">
        <v>12058</v>
      </c>
      <c r="T1475" t="s">
        <v>12059</v>
      </c>
    </row>
    <row r="1476" spans="1:20">
      <c r="A1476" t="s">
        <v>12136</v>
      </c>
      <c r="B1476" t="s">
        <v>9409</v>
      </c>
      <c r="C1476" t="s">
        <v>12137</v>
      </c>
      <c r="D1476" t="s">
        <v>9410</v>
      </c>
      <c r="E1476" t="s">
        <v>12138</v>
      </c>
      <c r="F1476" t="s">
        <v>9601</v>
      </c>
      <c r="G1476" t="s">
        <v>9413</v>
      </c>
      <c r="H1476" t="s">
        <v>3162</v>
      </c>
      <c r="I1476" t="s">
        <v>10265</v>
      </c>
      <c r="J1476" t="s">
        <v>3161</v>
      </c>
      <c r="K1476" t="s">
        <v>9416</v>
      </c>
      <c r="L1476" t="s">
        <v>9417</v>
      </c>
      <c r="M1476" t="s">
        <v>11656</v>
      </c>
      <c r="N1476" t="s">
        <v>11518</v>
      </c>
      <c r="O1476" t="s">
        <v>12139</v>
      </c>
      <c r="P1476" t="s">
        <v>9603</v>
      </c>
      <c r="Q1476" t="s">
        <v>9421</v>
      </c>
      <c r="R1476" t="s">
        <v>9604</v>
      </c>
      <c r="S1476" t="s">
        <v>12058</v>
      </c>
      <c r="T1476" t="s">
        <v>12059</v>
      </c>
    </row>
    <row r="1477" spans="1:20">
      <c r="A1477" t="s">
        <v>9018</v>
      </c>
      <c r="B1477" t="s">
        <v>9409</v>
      </c>
      <c r="C1477" t="s">
        <v>12140</v>
      </c>
      <c r="D1477" t="s">
        <v>9410</v>
      </c>
      <c r="E1477" t="s">
        <v>12141</v>
      </c>
      <c r="F1477" t="s">
        <v>9601</v>
      </c>
      <c r="G1477" t="s">
        <v>9413</v>
      </c>
      <c r="H1477" t="s">
        <v>3162</v>
      </c>
      <c r="I1477" t="s">
        <v>9462</v>
      </c>
      <c r="J1477" t="s">
        <v>4051</v>
      </c>
      <c r="K1477" t="s">
        <v>9445</v>
      </c>
      <c r="L1477" t="s">
        <v>9417</v>
      </c>
      <c r="M1477" t="s">
        <v>11526</v>
      </c>
      <c r="N1477" t="s">
        <v>9426</v>
      </c>
      <c r="O1477" t="s">
        <v>9446</v>
      </c>
      <c r="P1477" t="s">
        <v>9479</v>
      </c>
      <c r="Q1477" t="s">
        <v>9421</v>
      </c>
      <c r="R1477" t="s">
        <v>43</v>
      </c>
      <c r="S1477" t="s">
        <v>3174</v>
      </c>
      <c r="T1477" t="s">
        <v>3176</v>
      </c>
    </row>
    <row r="1478" spans="1:20">
      <c r="A1478" t="s">
        <v>9018</v>
      </c>
      <c r="B1478" t="s">
        <v>9409</v>
      </c>
      <c r="C1478" t="s">
        <v>12140</v>
      </c>
      <c r="D1478" t="s">
        <v>9410</v>
      </c>
      <c r="E1478" t="s">
        <v>12141</v>
      </c>
      <c r="F1478" t="s">
        <v>9601</v>
      </c>
      <c r="G1478" t="s">
        <v>9413</v>
      </c>
      <c r="H1478" t="s">
        <v>3162</v>
      </c>
      <c r="I1478" t="s">
        <v>9462</v>
      </c>
      <c r="J1478" t="s">
        <v>4051</v>
      </c>
      <c r="K1478" t="s">
        <v>9445</v>
      </c>
      <c r="L1478" t="s">
        <v>9417</v>
      </c>
      <c r="M1478" t="s">
        <v>11526</v>
      </c>
      <c r="N1478" t="s">
        <v>11510</v>
      </c>
      <c r="O1478" t="s">
        <v>9446</v>
      </c>
      <c r="P1478" t="s">
        <v>9603</v>
      </c>
      <c r="Q1478" t="s">
        <v>9421</v>
      </c>
      <c r="R1478" t="s">
        <v>9604</v>
      </c>
      <c r="S1478" t="s">
        <v>12126</v>
      </c>
      <c r="T1478" t="s">
        <v>12130</v>
      </c>
    </row>
    <row r="1479" spans="1:20">
      <c r="A1479" t="s">
        <v>4150</v>
      </c>
      <c r="B1479" t="s">
        <v>62</v>
      </c>
      <c r="C1479" t="s">
        <v>12142</v>
      </c>
      <c r="D1479" t="s">
        <v>445</v>
      </c>
      <c r="E1479" t="s">
        <v>12143</v>
      </c>
      <c r="F1479" t="s">
        <v>9412</v>
      </c>
      <c r="G1479" t="s">
        <v>9413</v>
      </c>
      <c r="H1479" t="s">
        <v>11516</v>
      </c>
      <c r="I1479" t="s">
        <v>10635</v>
      </c>
      <c r="J1479" t="s">
        <v>4051</v>
      </c>
      <c r="K1479" t="s">
        <v>9416</v>
      </c>
      <c r="L1479" t="s">
        <v>9417</v>
      </c>
      <c r="M1479" t="s">
        <v>11528</v>
      </c>
      <c r="N1479" t="s">
        <v>11510</v>
      </c>
      <c r="O1479" t="s">
        <v>9021</v>
      </c>
      <c r="P1479" t="s">
        <v>12144</v>
      </c>
      <c r="Q1479" t="s">
        <v>9421</v>
      </c>
      <c r="R1479" t="s">
        <v>17</v>
      </c>
      <c r="S1479" t="s">
        <v>4150</v>
      </c>
      <c r="T1479" t="s">
        <v>4152</v>
      </c>
    </row>
    <row r="1480" spans="1:20">
      <c r="A1480" t="s">
        <v>3763</v>
      </c>
      <c r="B1480" t="s">
        <v>62</v>
      </c>
      <c r="C1480" t="s">
        <v>8558</v>
      </c>
      <c r="D1480" t="s">
        <v>9448</v>
      </c>
      <c r="E1480" t="s">
        <v>12145</v>
      </c>
      <c r="F1480" t="s">
        <v>9412</v>
      </c>
      <c r="G1480" t="s">
        <v>9413</v>
      </c>
      <c r="H1480" t="s">
        <v>11516</v>
      </c>
      <c r="I1480" t="s">
        <v>9533</v>
      </c>
      <c r="J1480" t="s">
        <v>3619</v>
      </c>
      <c r="K1480" t="s">
        <v>9416</v>
      </c>
      <c r="L1480" t="s">
        <v>9417</v>
      </c>
      <c r="M1480" t="s">
        <v>11572</v>
      </c>
      <c r="N1480" t="s">
        <v>9446</v>
      </c>
      <c r="O1480" t="s">
        <v>8562</v>
      </c>
      <c r="P1480" t="s">
        <v>9655</v>
      </c>
      <c r="Q1480" t="s">
        <v>9421</v>
      </c>
      <c r="R1480" t="s">
        <v>56</v>
      </c>
      <c r="S1480" t="s">
        <v>3763</v>
      </c>
      <c r="T1480" t="s">
        <v>3772</v>
      </c>
    </row>
    <row r="1481" spans="1:20">
      <c r="A1481" t="s">
        <v>3763</v>
      </c>
      <c r="B1481" t="s">
        <v>62</v>
      </c>
      <c r="C1481" t="s">
        <v>8558</v>
      </c>
      <c r="D1481" t="s">
        <v>9448</v>
      </c>
      <c r="E1481" t="s">
        <v>12145</v>
      </c>
      <c r="F1481" t="s">
        <v>9412</v>
      </c>
      <c r="G1481" t="s">
        <v>9413</v>
      </c>
      <c r="H1481" t="s">
        <v>11516</v>
      </c>
      <c r="I1481" t="s">
        <v>9533</v>
      </c>
      <c r="J1481" t="s">
        <v>3619</v>
      </c>
      <c r="K1481" t="s">
        <v>9445</v>
      </c>
      <c r="L1481" t="s">
        <v>9417</v>
      </c>
      <c r="M1481" t="s">
        <v>11572</v>
      </c>
      <c r="N1481" t="s">
        <v>9426</v>
      </c>
      <c r="O1481" t="s">
        <v>9446</v>
      </c>
      <c r="P1481" t="s">
        <v>9655</v>
      </c>
      <c r="Q1481" t="s">
        <v>9421</v>
      </c>
      <c r="R1481" t="s">
        <v>56</v>
      </c>
      <c r="S1481" t="s">
        <v>3383</v>
      </c>
      <c r="T1481" t="s">
        <v>3385</v>
      </c>
    </row>
    <row r="1482" spans="1:20">
      <c r="A1482" t="s">
        <v>3763</v>
      </c>
      <c r="B1482" t="s">
        <v>62</v>
      </c>
      <c r="C1482" t="s">
        <v>8558</v>
      </c>
      <c r="D1482" t="s">
        <v>9448</v>
      </c>
      <c r="E1482" t="s">
        <v>12145</v>
      </c>
      <c r="F1482" t="s">
        <v>9412</v>
      </c>
      <c r="G1482" t="s">
        <v>9413</v>
      </c>
      <c r="H1482" t="s">
        <v>11516</v>
      </c>
      <c r="I1482" t="s">
        <v>9533</v>
      </c>
      <c r="J1482" t="s">
        <v>3619</v>
      </c>
      <c r="K1482" t="s">
        <v>9416</v>
      </c>
      <c r="L1482" t="s">
        <v>9417</v>
      </c>
      <c r="M1482" t="s">
        <v>11572</v>
      </c>
      <c r="N1482" t="s">
        <v>9446</v>
      </c>
      <c r="O1482" t="s">
        <v>8556</v>
      </c>
      <c r="P1482" t="s">
        <v>12146</v>
      </c>
      <c r="Q1482" t="s">
        <v>9421</v>
      </c>
      <c r="R1482" t="s">
        <v>56</v>
      </c>
      <c r="S1482" t="s">
        <v>3764</v>
      </c>
      <c r="T1482" t="s">
        <v>3766</v>
      </c>
    </row>
    <row r="1483" spans="1:20">
      <c r="A1483" t="s">
        <v>3763</v>
      </c>
      <c r="B1483" t="s">
        <v>62</v>
      </c>
      <c r="C1483" t="s">
        <v>8558</v>
      </c>
      <c r="D1483" t="s">
        <v>9448</v>
      </c>
      <c r="E1483" t="s">
        <v>12145</v>
      </c>
      <c r="F1483" t="s">
        <v>9412</v>
      </c>
      <c r="G1483" t="s">
        <v>9413</v>
      </c>
      <c r="H1483" t="s">
        <v>11516</v>
      </c>
      <c r="I1483" t="s">
        <v>9533</v>
      </c>
      <c r="J1483" t="s">
        <v>3619</v>
      </c>
      <c r="K1483" t="s">
        <v>9416</v>
      </c>
      <c r="L1483" t="s">
        <v>9417</v>
      </c>
      <c r="M1483" t="s">
        <v>11572</v>
      </c>
      <c r="N1483" t="s">
        <v>9430</v>
      </c>
      <c r="O1483" t="s">
        <v>8560</v>
      </c>
      <c r="P1483" t="s">
        <v>9655</v>
      </c>
      <c r="Q1483" t="s">
        <v>9421</v>
      </c>
      <c r="R1483" t="s">
        <v>56</v>
      </c>
      <c r="S1483" t="s">
        <v>3768</v>
      </c>
      <c r="T1483" t="s">
        <v>3770</v>
      </c>
    </row>
    <row r="1484" spans="1:20">
      <c r="A1484" t="s">
        <v>4154</v>
      </c>
      <c r="B1484" t="s">
        <v>62</v>
      </c>
      <c r="C1484" t="s">
        <v>12147</v>
      </c>
      <c r="D1484" t="s">
        <v>445</v>
      </c>
      <c r="E1484" t="s">
        <v>12148</v>
      </c>
      <c r="F1484" t="s">
        <v>9412</v>
      </c>
      <c r="G1484" t="s">
        <v>9413</v>
      </c>
      <c r="H1484" t="s">
        <v>11516</v>
      </c>
      <c r="I1484" t="s">
        <v>10407</v>
      </c>
      <c r="J1484" t="s">
        <v>4051</v>
      </c>
      <c r="K1484" t="s">
        <v>9416</v>
      </c>
      <c r="L1484" t="s">
        <v>9417</v>
      </c>
      <c r="M1484" t="s">
        <v>11744</v>
      </c>
      <c r="N1484" t="s">
        <v>11510</v>
      </c>
      <c r="O1484" t="s">
        <v>9027</v>
      </c>
      <c r="P1484" t="s">
        <v>9429</v>
      </c>
      <c r="Q1484" t="s">
        <v>9421</v>
      </c>
      <c r="R1484" t="s">
        <v>52</v>
      </c>
      <c r="S1484" t="s">
        <v>4156</v>
      </c>
      <c r="T1484" t="s">
        <v>4158</v>
      </c>
    </row>
    <row r="1485" spans="1:20">
      <c r="A1485" t="s">
        <v>4154</v>
      </c>
      <c r="B1485" t="s">
        <v>62</v>
      </c>
      <c r="C1485" t="s">
        <v>12147</v>
      </c>
      <c r="D1485" t="s">
        <v>445</v>
      </c>
      <c r="E1485" t="s">
        <v>12148</v>
      </c>
      <c r="F1485" t="s">
        <v>9412</v>
      </c>
      <c r="G1485" t="s">
        <v>9413</v>
      </c>
      <c r="H1485" t="s">
        <v>11516</v>
      </c>
      <c r="I1485" t="s">
        <v>10407</v>
      </c>
      <c r="J1485" t="s">
        <v>4051</v>
      </c>
      <c r="K1485" t="s">
        <v>9445</v>
      </c>
      <c r="L1485" t="s">
        <v>9417</v>
      </c>
      <c r="M1485" t="s">
        <v>11744</v>
      </c>
      <c r="N1485" t="s">
        <v>9426</v>
      </c>
      <c r="O1485" t="s">
        <v>9446</v>
      </c>
      <c r="P1485" t="s">
        <v>9479</v>
      </c>
      <c r="Q1485" t="s">
        <v>9421</v>
      </c>
      <c r="R1485" t="s">
        <v>43</v>
      </c>
      <c r="S1485" t="s">
        <v>3301</v>
      </c>
      <c r="T1485" t="s">
        <v>3303</v>
      </c>
    </row>
    <row r="1486" spans="1:20">
      <c r="A1486" t="s">
        <v>4154</v>
      </c>
      <c r="B1486" t="s">
        <v>62</v>
      </c>
      <c r="C1486" t="s">
        <v>12147</v>
      </c>
      <c r="D1486" t="s">
        <v>445</v>
      </c>
      <c r="E1486" t="s">
        <v>12148</v>
      </c>
      <c r="F1486" t="s">
        <v>9412</v>
      </c>
      <c r="G1486" t="s">
        <v>9413</v>
      </c>
      <c r="H1486" t="s">
        <v>11516</v>
      </c>
      <c r="I1486" t="s">
        <v>10407</v>
      </c>
      <c r="J1486" t="s">
        <v>4051</v>
      </c>
      <c r="K1486" t="s">
        <v>9416</v>
      </c>
      <c r="L1486" t="s">
        <v>9417</v>
      </c>
      <c r="M1486" t="s">
        <v>11744</v>
      </c>
      <c r="N1486" t="s">
        <v>9446</v>
      </c>
      <c r="O1486" t="s">
        <v>9029</v>
      </c>
      <c r="P1486" t="s">
        <v>9655</v>
      </c>
      <c r="Q1486" t="s">
        <v>9421</v>
      </c>
      <c r="R1486" t="s">
        <v>56</v>
      </c>
      <c r="S1486" t="s">
        <v>4159</v>
      </c>
      <c r="T1486" t="s">
        <v>4161</v>
      </c>
    </row>
    <row r="1487" spans="1:20">
      <c r="A1487" t="s">
        <v>3592</v>
      </c>
      <c r="B1487" t="s">
        <v>20</v>
      </c>
      <c r="C1487" t="s">
        <v>8373</v>
      </c>
      <c r="D1487" t="s">
        <v>9677</v>
      </c>
      <c r="E1487" t="s">
        <v>12149</v>
      </c>
      <c r="F1487" t="s">
        <v>9412</v>
      </c>
      <c r="G1487" t="s">
        <v>9413</v>
      </c>
      <c r="H1487" t="s">
        <v>11516</v>
      </c>
      <c r="I1487" t="s">
        <v>10975</v>
      </c>
      <c r="J1487" t="s">
        <v>3506</v>
      </c>
      <c r="K1487" t="s">
        <v>9445</v>
      </c>
      <c r="L1487" t="s">
        <v>9417</v>
      </c>
      <c r="M1487" t="s">
        <v>11577</v>
      </c>
      <c r="N1487" t="s">
        <v>9426</v>
      </c>
      <c r="O1487" t="s">
        <v>9446</v>
      </c>
      <c r="P1487" t="s">
        <v>9479</v>
      </c>
      <c r="Q1487" t="s">
        <v>9421</v>
      </c>
      <c r="R1487" t="s">
        <v>43</v>
      </c>
      <c r="S1487" t="s">
        <v>3597</v>
      </c>
      <c r="T1487" t="s">
        <v>3599</v>
      </c>
    </row>
    <row r="1488" spans="1:20">
      <c r="A1488" t="s">
        <v>3592</v>
      </c>
      <c r="B1488" t="s">
        <v>20</v>
      </c>
      <c r="C1488" t="s">
        <v>8373</v>
      </c>
      <c r="D1488" t="s">
        <v>9677</v>
      </c>
      <c r="E1488" t="s">
        <v>12149</v>
      </c>
      <c r="F1488" t="s">
        <v>9412</v>
      </c>
      <c r="G1488" t="s">
        <v>9413</v>
      </c>
      <c r="H1488" t="s">
        <v>11516</v>
      </c>
      <c r="I1488" t="s">
        <v>10975</v>
      </c>
      <c r="J1488" t="s">
        <v>3506</v>
      </c>
      <c r="K1488" t="s">
        <v>9416</v>
      </c>
      <c r="L1488" t="s">
        <v>9417</v>
      </c>
      <c r="M1488" t="s">
        <v>11577</v>
      </c>
      <c r="N1488" t="s">
        <v>9446</v>
      </c>
      <c r="O1488" t="s">
        <v>8371</v>
      </c>
      <c r="P1488" t="s">
        <v>9655</v>
      </c>
      <c r="Q1488" t="s">
        <v>9421</v>
      </c>
      <c r="R1488" t="s">
        <v>56</v>
      </c>
      <c r="S1488" t="s">
        <v>3593</v>
      </c>
      <c r="T1488" t="s">
        <v>3595</v>
      </c>
    </row>
    <row r="1489" spans="1:20">
      <c r="A1489" t="s">
        <v>12150</v>
      </c>
      <c r="B1489" t="s">
        <v>10645</v>
      </c>
      <c r="C1489" t="s">
        <v>12151</v>
      </c>
      <c r="D1489" t="s">
        <v>9410</v>
      </c>
      <c r="E1489" t="s">
        <v>12152</v>
      </c>
      <c r="F1489" t="s">
        <v>9601</v>
      </c>
      <c r="G1489" t="s">
        <v>9413</v>
      </c>
      <c r="H1489" t="s">
        <v>3162</v>
      </c>
      <c r="I1489" t="s">
        <v>9781</v>
      </c>
      <c r="J1489" t="s">
        <v>3399</v>
      </c>
      <c r="K1489" t="s">
        <v>9416</v>
      </c>
      <c r="L1489" t="s">
        <v>9417</v>
      </c>
      <c r="M1489" t="s">
        <v>11670</v>
      </c>
      <c r="N1489" t="s">
        <v>11550</v>
      </c>
      <c r="O1489" t="s">
        <v>12153</v>
      </c>
      <c r="P1489" t="s">
        <v>9603</v>
      </c>
      <c r="Q1489" t="s">
        <v>9421</v>
      </c>
      <c r="R1489" t="s">
        <v>9604</v>
      </c>
      <c r="S1489" t="s">
        <v>12150</v>
      </c>
      <c r="T1489" t="s">
        <v>12154</v>
      </c>
    </row>
    <row r="1490" spans="1:20">
      <c r="A1490" t="s">
        <v>3773</v>
      </c>
      <c r="B1490" t="s">
        <v>20</v>
      </c>
      <c r="C1490" t="s">
        <v>8564</v>
      </c>
      <c r="D1490" t="s">
        <v>9455</v>
      </c>
      <c r="E1490" t="s">
        <v>12155</v>
      </c>
      <c r="F1490" t="s">
        <v>9412</v>
      </c>
      <c r="G1490" t="s">
        <v>9413</v>
      </c>
      <c r="H1490" t="s">
        <v>11516</v>
      </c>
      <c r="I1490" t="s">
        <v>10452</v>
      </c>
      <c r="J1490" t="s">
        <v>3619</v>
      </c>
      <c r="K1490" t="s">
        <v>9416</v>
      </c>
      <c r="L1490" t="s">
        <v>9417</v>
      </c>
      <c r="M1490" t="s">
        <v>11753</v>
      </c>
      <c r="N1490" t="s">
        <v>9446</v>
      </c>
      <c r="O1490" t="s">
        <v>8568</v>
      </c>
      <c r="P1490" t="s">
        <v>9655</v>
      </c>
      <c r="Q1490" t="s">
        <v>9421</v>
      </c>
      <c r="R1490" t="s">
        <v>56</v>
      </c>
      <c r="S1490" t="s">
        <v>3777</v>
      </c>
      <c r="T1490" t="s">
        <v>3779</v>
      </c>
    </row>
    <row r="1491" spans="1:20">
      <c r="A1491" t="s">
        <v>3773</v>
      </c>
      <c r="B1491" t="s">
        <v>20</v>
      </c>
      <c r="C1491" t="s">
        <v>8564</v>
      </c>
      <c r="D1491" t="s">
        <v>9455</v>
      </c>
      <c r="E1491" t="s">
        <v>12155</v>
      </c>
      <c r="F1491" t="s">
        <v>9412</v>
      </c>
      <c r="G1491" t="s">
        <v>9413</v>
      </c>
      <c r="H1491" t="s">
        <v>11516</v>
      </c>
      <c r="I1491" t="s">
        <v>10452</v>
      </c>
      <c r="J1491" t="s">
        <v>3619</v>
      </c>
      <c r="K1491" t="s">
        <v>9416</v>
      </c>
      <c r="L1491" t="s">
        <v>9417</v>
      </c>
      <c r="M1491" t="s">
        <v>11753</v>
      </c>
      <c r="N1491" t="s">
        <v>9446</v>
      </c>
      <c r="O1491" t="s">
        <v>8570</v>
      </c>
      <c r="P1491" t="s">
        <v>9655</v>
      </c>
      <c r="Q1491" t="s">
        <v>9421</v>
      </c>
      <c r="R1491" t="s">
        <v>56</v>
      </c>
      <c r="S1491" t="s">
        <v>3780</v>
      </c>
      <c r="T1491" t="s">
        <v>3782</v>
      </c>
    </row>
    <row r="1492" spans="1:20">
      <c r="A1492" t="s">
        <v>3773</v>
      </c>
      <c r="B1492" t="s">
        <v>20</v>
      </c>
      <c r="C1492" t="s">
        <v>8564</v>
      </c>
      <c r="D1492" t="s">
        <v>9455</v>
      </c>
      <c r="E1492" t="s">
        <v>12155</v>
      </c>
      <c r="F1492" t="s">
        <v>9412</v>
      </c>
      <c r="G1492" t="s">
        <v>9413</v>
      </c>
      <c r="H1492" t="s">
        <v>11516</v>
      </c>
      <c r="I1492" t="s">
        <v>10452</v>
      </c>
      <c r="J1492" t="s">
        <v>3619</v>
      </c>
      <c r="K1492" t="s">
        <v>9445</v>
      </c>
      <c r="L1492" t="s">
        <v>9417</v>
      </c>
      <c r="M1492" t="s">
        <v>11753</v>
      </c>
      <c r="N1492" t="s">
        <v>9426</v>
      </c>
      <c r="O1492" t="s">
        <v>9446</v>
      </c>
      <c r="P1492" t="s">
        <v>9567</v>
      </c>
      <c r="Q1492" t="s">
        <v>9421</v>
      </c>
      <c r="R1492" t="s">
        <v>43</v>
      </c>
      <c r="S1492" t="s">
        <v>3628</v>
      </c>
      <c r="T1492" t="s">
        <v>3630</v>
      </c>
    </row>
    <row r="1493" spans="1:20">
      <c r="A1493" t="s">
        <v>3773</v>
      </c>
      <c r="B1493" t="s">
        <v>20</v>
      </c>
      <c r="C1493" t="s">
        <v>8564</v>
      </c>
      <c r="D1493" t="s">
        <v>9455</v>
      </c>
      <c r="E1493" t="s">
        <v>12155</v>
      </c>
      <c r="F1493" t="s">
        <v>9412</v>
      </c>
      <c r="G1493" t="s">
        <v>9413</v>
      </c>
      <c r="H1493" t="s">
        <v>11516</v>
      </c>
      <c r="I1493" t="s">
        <v>10452</v>
      </c>
      <c r="J1493" t="s">
        <v>3619</v>
      </c>
      <c r="K1493" t="s">
        <v>9416</v>
      </c>
      <c r="L1493" t="s">
        <v>9417</v>
      </c>
      <c r="M1493" t="s">
        <v>11753</v>
      </c>
      <c r="N1493" t="s">
        <v>9446</v>
      </c>
      <c r="O1493" t="s">
        <v>8566</v>
      </c>
      <c r="P1493" t="s">
        <v>9647</v>
      </c>
      <c r="Q1493" t="s">
        <v>9421</v>
      </c>
      <c r="R1493" t="s">
        <v>84</v>
      </c>
      <c r="S1493" t="s">
        <v>3745</v>
      </c>
      <c r="T1493" t="s">
        <v>3776</v>
      </c>
    </row>
    <row r="1494" spans="1:20">
      <c r="A1494" t="s">
        <v>3773</v>
      </c>
      <c r="B1494" t="s">
        <v>20</v>
      </c>
      <c r="C1494" t="s">
        <v>8564</v>
      </c>
      <c r="D1494" t="s">
        <v>9455</v>
      </c>
      <c r="E1494" t="s">
        <v>12155</v>
      </c>
      <c r="F1494" t="s">
        <v>9412</v>
      </c>
      <c r="G1494" t="s">
        <v>9413</v>
      </c>
      <c r="H1494" t="s">
        <v>11516</v>
      </c>
      <c r="I1494" t="s">
        <v>10452</v>
      </c>
      <c r="J1494" t="s">
        <v>3619</v>
      </c>
      <c r="K1494" t="s">
        <v>9416</v>
      </c>
      <c r="L1494" t="s">
        <v>9417</v>
      </c>
      <c r="M1494" t="s">
        <v>11753</v>
      </c>
      <c r="N1494" t="s">
        <v>9430</v>
      </c>
      <c r="O1494" t="s">
        <v>8572</v>
      </c>
      <c r="P1494" t="s">
        <v>9651</v>
      </c>
      <c r="Q1494" t="s">
        <v>9421</v>
      </c>
      <c r="R1494" t="s">
        <v>56</v>
      </c>
      <c r="S1494" t="s">
        <v>3783</v>
      </c>
      <c r="T1494" t="s">
        <v>3785</v>
      </c>
    </row>
    <row r="1495" spans="1:20">
      <c r="A1495" t="s">
        <v>12156</v>
      </c>
      <c r="B1495" t="s">
        <v>9409</v>
      </c>
      <c r="C1495" t="s">
        <v>12157</v>
      </c>
      <c r="D1495" t="s">
        <v>9410</v>
      </c>
      <c r="E1495" t="s">
        <v>12158</v>
      </c>
      <c r="F1495" t="s">
        <v>9601</v>
      </c>
      <c r="G1495" t="s">
        <v>9413</v>
      </c>
      <c r="H1495" t="s">
        <v>11516</v>
      </c>
      <c r="I1495" t="s">
        <v>9472</v>
      </c>
      <c r="J1495" t="s">
        <v>3161</v>
      </c>
      <c r="K1495" t="s">
        <v>9445</v>
      </c>
      <c r="L1495" t="s">
        <v>9417</v>
      </c>
      <c r="M1495" t="s">
        <v>11533</v>
      </c>
      <c r="N1495" t="s">
        <v>11518</v>
      </c>
      <c r="O1495" t="s">
        <v>9446</v>
      </c>
      <c r="P1495" t="s">
        <v>9603</v>
      </c>
      <c r="Q1495" t="s">
        <v>9421</v>
      </c>
      <c r="R1495" t="s">
        <v>9604</v>
      </c>
      <c r="S1495" t="s">
        <v>12058</v>
      </c>
      <c r="T1495" t="s">
        <v>12059</v>
      </c>
    </row>
    <row r="1496" spans="1:20">
      <c r="A1496" t="s">
        <v>12159</v>
      </c>
      <c r="B1496" t="s">
        <v>62</v>
      </c>
      <c r="C1496" t="s">
        <v>12160</v>
      </c>
      <c r="D1496" t="s">
        <v>9410</v>
      </c>
      <c r="E1496" t="s">
        <v>12158</v>
      </c>
      <c r="F1496" t="s">
        <v>9601</v>
      </c>
      <c r="G1496" t="s">
        <v>9413</v>
      </c>
      <c r="H1496" t="s">
        <v>11516</v>
      </c>
      <c r="I1496" t="s">
        <v>10648</v>
      </c>
      <c r="J1496" t="s">
        <v>3161</v>
      </c>
      <c r="K1496" t="s">
        <v>9445</v>
      </c>
      <c r="L1496" t="s">
        <v>9417</v>
      </c>
      <c r="M1496" t="s">
        <v>11533</v>
      </c>
      <c r="N1496" t="s">
        <v>11518</v>
      </c>
      <c r="O1496" t="s">
        <v>9446</v>
      </c>
      <c r="P1496" t="s">
        <v>9603</v>
      </c>
      <c r="Q1496" t="s">
        <v>9421</v>
      </c>
      <c r="R1496" t="s">
        <v>9604</v>
      </c>
      <c r="S1496" t="s">
        <v>12058</v>
      </c>
      <c r="T1496" t="s">
        <v>12059</v>
      </c>
    </row>
    <row r="1497" spans="1:20">
      <c r="A1497" t="s">
        <v>3600</v>
      </c>
      <c r="B1497" t="s">
        <v>20</v>
      </c>
      <c r="C1497" t="s">
        <v>12161</v>
      </c>
      <c r="D1497" t="s">
        <v>9464</v>
      </c>
      <c r="E1497" t="s">
        <v>12162</v>
      </c>
      <c r="F1497" t="s">
        <v>9412</v>
      </c>
      <c r="G1497" t="s">
        <v>9413</v>
      </c>
      <c r="H1497" t="s">
        <v>12163</v>
      </c>
      <c r="I1497" t="s">
        <v>9781</v>
      </c>
      <c r="J1497" t="s">
        <v>3506</v>
      </c>
      <c r="K1497" t="s">
        <v>9416</v>
      </c>
      <c r="L1497" t="s">
        <v>9417</v>
      </c>
      <c r="M1497" t="s">
        <v>11615</v>
      </c>
      <c r="N1497" t="s">
        <v>9446</v>
      </c>
      <c r="O1497" t="s">
        <v>8376</v>
      </c>
      <c r="P1497" t="s">
        <v>9655</v>
      </c>
      <c r="Q1497" t="s">
        <v>9421</v>
      </c>
      <c r="R1497" t="s">
        <v>56</v>
      </c>
      <c r="S1497" t="s">
        <v>3600</v>
      </c>
      <c r="T1497" t="s">
        <v>3602</v>
      </c>
    </row>
    <row r="1498" spans="1:20">
      <c r="A1498" t="s">
        <v>3600</v>
      </c>
      <c r="B1498" t="s">
        <v>20</v>
      </c>
      <c r="C1498" t="s">
        <v>12161</v>
      </c>
      <c r="D1498" t="s">
        <v>9464</v>
      </c>
      <c r="E1498" t="s">
        <v>12162</v>
      </c>
      <c r="F1498" t="s">
        <v>9412</v>
      </c>
      <c r="G1498" t="s">
        <v>9413</v>
      </c>
      <c r="H1498" t="s">
        <v>12163</v>
      </c>
      <c r="I1498" t="s">
        <v>9781</v>
      </c>
      <c r="J1498" t="s">
        <v>3506</v>
      </c>
      <c r="K1498" t="s">
        <v>9445</v>
      </c>
      <c r="L1498" t="s">
        <v>9417</v>
      </c>
      <c r="M1498" t="s">
        <v>11615</v>
      </c>
      <c r="N1498" t="s">
        <v>9426</v>
      </c>
      <c r="O1498" t="s">
        <v>9446</v>
      </c>
      <c r="P1498" t="s">
        <v>9479</v>
      </c>
      <c r="Q1498" t="s">
        <v>9421</v>
      </c>
      <c r="R1498" t="s">
        <v>43</v>
      </c>
      <c r="S1498" t="s">
        <v>3498</v>
      </c>
      <c r="T1498" t="s">
        <v>3500</v>
      </c>
    </row>
    <row r="1499" spans="1:20">
      <c r="A1499" t="s">
        <v>3326</v>
      </c>
      <c r="B1499" t="s">
        <v>62</v>
      </c>
      <c r="C1499" t="s">
        <v>3327</v>
      </c>
      <c r="D1499" t="s">
        <v>445</v>
      </c>
      <c r="E1499" t="s">
        <v>12164</v>
      </c>
      <c r="F1499" t="s">
        <v>9412</v>
      </c>
      <c r="G1499" t="s">
        <v>9413</v>
      </c>
      <c r="H1499" t="s">
        <v>3162</v>
      </c>
      <c r="I1499" t="s">
        <v>10632</v>
      </c>
      <c r="J1499" t="s">
        <v>3161</v>
      </c>
      <c r="K1499" t="s">
        <v>9416</v>
      </c>
      <c r="L1499" t="s">
        <v>9417</v>
      </c>
      <c r="M1499" t="s">
        <v>11781</v>
      </c>
      <c r="N1499" t="s">
        <v>11518</v>
      </c>
      <c r="O1499" t="s">
        <v>8029</v>
      </c>
      <c r="P1499" t="s">
        <v>9429</v>
      </c>
      <c r="Q1499" t="s">
        <v>9421</v>
      </c>
      <c r="R1499" t="s">
        <v>52</v>
      </c>
      <c r="S1499" t="s">
        <v>3326</v>
      </c>
      <c r="T1499" t="s">
        <v>8030</v>
      </c>
    </row>
    <row r="1500" spans="1:20">
      <c r="A1500" t="s">
        <v>3326</v>
      </c>
      <c r="B1500" t="s">
        <v>62</v>
      </c>
      <c r="C1500" t="s">
        <v>3327</v>
      </c>
      <c r="D1500" t="s">
        <v>445</v>
      </c>
      <c r="E1500" t="s">
        <v>12164</v>
      </c>
      <c r="F1500" t="s">
        <v>9412</v>
      </c>
      <c r="G1500" t="s">
        <v>9413</v>
      </c>
      <c r="H1500" t="s">
        <v>3162</v>
      </c>
      <c r="I1500" t="s">
        <v>10632</v>
      </c>
      <c r="J1500" t="s">
        <v>3161</v>
      </c>
      <c r="K1500" t="s">
        <v>9445</v>
      </c>
      <c r="L1500" t="s">
        <v>9417</v>
      </c>
      <c r="M1500" t="s">
        <v>11781</v>
      </c>
      <c r="N1500" t="s">
        <v>9426</v>
      </c>
      <c r="O1500" t="s">
        <v>9446</v>
      </c>
      <c r="P1500" t="s">
        <v>9479</v>
      </c>
      <c r="Q1500" t="s">
        <v>9421</v>
      </c>
      <c r="R1500" t="s">
        <v>43</v>
      </c>
      <c r="S1500" t="s">
        <v>3301</v>
      </c>
      <c r="T1500" t="s">
        <v>3303</v>
      </c>
    </row>
    <row r="1501" spans="1:20">
      <c r="A1501" t="s">
        <v>4019</v>
      </c>
      <c r="B1501" t="s">
        <v>20</v>
      </c>
      <c r="C1501" t="s">
        <v>8867</v>
      </c>
      <c r="D1501" t="s">
        <v>9455</v>
      </c>
      <c r="E1501" t="s">
        <v>12165</v>
      </c>
      <c r="F1501" t="s">
        <v>9412</v>
      </c>
      <c r="G1501" t="s">
        <v>9413</v>
      </c>
      <c r="H1501" t="s">
        <v>11516</v>
      </c>
      <c r="I1501" t="s">
        <v>9415</v>
      </c>
      <c r="J1501" t="s">
        <v>3939</v>
      </c>
      <c r="K1501" t="s">
        <v>9416</v>
      </c>
      <c r="L1501" t="s">
        <v>9417</v>
      </c>
      <c r="M1501" t="s">
        <v>11535</v>
      </c>
      <c r="N1501" t="s">
        <v>9446</v>
      </c>
      <c r="O1501" t="s">
        <v>8865</v>
      </c>
      <c r="P1501" t="s">
        <v>9655</v>
      </c>
      <c r="Q1501" t="s">
        <v>9421</v>
      </c>
      <c r="R1501" t="s">
        <v>56</v>
      </c>
      <c r="S1501" t="s">
        <v>4020</v>
      </c>
      <c r="T1501" t="s">
        <v>4022</v>
      </c>
    </row>
    <row r="1502" spans="1:20">
      <c r="A1502" t="s">
        <v>4019</v>
      </c>
      <c r="B1502" t="s">
        <v>20</v>
      </c>
      <c r="C1502" t="s">
        <v>8867</v>
      </c>
      <c r="D1502" t="s">
        <v>9455</v>
      </c>
      <c r="E1502" t="s">
        <v>12165</v>
      </c>
      <c r="F1502" t="s">
        <v>9412</v>
      </c>
      <c r="G1502" t="s">
        <v>9413</v>
      </c>
      <c r="H1502" t="s">
        <v>11516</v>
      </c>
      <c r="I1502" t="s">
        <v>9415</v>
      </c>
      <c r="J1502" t="s">
        <v>3939</v>
      </c>
      <c r="K1502" t="s">
        <v>9416</v>
      </c>
      <c r="L1502" t="s">
        <v>9417</v>
      </c>
      <c r="M1502" t="s">
        <v>11535</v>
      </c>
      <c r="N1502" t="s">
        <v>9446</v>
      </c>
      <c r="O1502" t="s">
        <v>8871</v>
      </c>
      <c r="P1502" t="s">
        <v>9655</v>
      </c>
      <c r="Q1502" t="s">
        <v>9421</v>
      </c>
      <c r="R1502" t="s">
        <v>56</v>
      </c>
      <c r="S1502" t="s">
        <v>4027</v>
      </c>
      <c r="T1502" t="s">
        <v>4029</v>
      </c>
    </row>
    <row r="1503" spans="1:20">
      <c r="A1503" t="s">
        <v>4019</v>
      </c>
      <c r="B1503" t="s">
        <v>20</v>
      </c>
      <c r="C1503" t="s">
        <v>8867</v>
      </c>
      <c r="D1503" t="s">
        <v>9455</v>
      </c>
      <c r="E1503" t="s">
        <v>12165</v>
      </c>
      <c r="F1503" t="s">
        <v>9412</v>
      </c>
      <c r="G1503" t="s">
        <v>9413</v>
      </c>
      <c r="H1503" t="s">
        <v>11516</v>
      </c>
      <c r="I1503" t="s">
        <v>9415</v>
      </c>
      <c r="J1503" t="s">
        <v>3939</v>
      </c>
      <c r="K1503" t="s">
        <v>9416</v>
      </c>
      <c r="L1503" t="s">
        <v>9417</v>
      </c>
      <c r="M1503" t="s">
        <v>11535</v>
      </c>
      <c r="N1503" t="s">
        <v>9446</v>
      </c>
      <c r="O1503" t="s">
        <v>8873</v>
      </c>
      <c r="P1503" t="s">
        <v>9647</v>
      </c>
      <c r="Q1503" t="s">
        <v>9421</v>
      </c>
      <c r="R1503" t="s">
        <v>84</v>
      </c>
      <c r="S1503" t="s">
        <v>4030</v>
      </c>
      <c r="T1503" t="s">
        <v>4032</v>
      </c>
    </row>
    <row r="1504" spans="1:20">
      <c r="A1504" t="s">
        <v>4019</v>
      </c>
      <c r="B1504" t="s">
        <v>20</v>
      </c>
      <c r="C1504" t="s">
        <v>8867</v>
      </c>
      <c r="D1504" t="s">
        <v>9455</v>
      </c>
      <c r="E1504" t="s">
        <v>12165</v>
      </c>
      <c r="F1504" t="s">
        <v>9412</v>
      </c>
      <c r="G1504" t="s">
        <v>9413</v>
      </c>
      <c r="H1504" t="s">
        <v>11516</v>
      </c>
      <c r="I1504" t="s">
        <v>9415</v>
      </c>
      <c r="J1504" t="s">
        <v>3939</v>
      </c>
      <c r="K1504" t="s">
        <v>9416</v>
      </c>
      <c r="L1504" t="s">
        <v>9417</v>
      </c>
      <c r="M1504" t="s">
        <v>11535</v>
      </c>
      <c r="N1504" t="s">
        <v>9446</v>
      </c>
      <c r="O1504" t="s">
        <v>8869</v>
      </c>
      <c r="P1504" t="s">
        <v>9655</v>
      </c>
      <c r="Q1504" t="s">
        <v>9421</v>
      </c>
      <c r="R1504" t="s">
        <v>56</v>
      </c>
      <c r="S1504" t="s">
        <v>4024</v>
      </c>
      <c r="T1504" t="s">
        <v>4026</v>
      </c>
    </row>
    <row r="1505" spans="1:20">
      <c r="A1505" t="s">
        <v>12166</v>
      </c>
      <c r="B1505" t="s">
        <v>62</v>
      </c>
      <c r="C1505" t="s">
        <v>12167</v>
      </c>
      <c r="D1505" t="s">
        <v>445</v>
      </c>
      <c r="E1505" t="s">
        <v>12168</v>
      </c>
      <c r="F1505" t="s">
        <v>9601</v>
      </c>
      <c r="G1505" t="s">
        <v>9413</v>
      </c>
      <c r="H1505" t="s">
        <v>11516</v>
      </c>
      <c r="I1505" t="s">
        <v>10609</v>
      </c>
      <c r="J1505" t="s">
        <v>3161</v>
      </c>
      <c r="K1505" t="s">
        <v>9445</v>
      </c>
      <c r="L1505" t="s">
        <v>9417</v>
      </c>
      <c r="M1505" t="s">
        <v>11533</v>
      </c>
      <c r="N1505" t="s">
        <v>11518</v>
      </c>
      <c r="O1505" t="s">
        <v>9446</v>
      </c>
      <c r="P1505" t="s">
        <v>9603</v>
      </c>
      <c r="Q1505" t="s">
        <v>9421</v>
      </c>
      <c r="R1505" t="s">
        <v>9604</v>
      </c>
      <c r="S1505" t="s">
        <v>12058</v>
      </c>
      <c r="T1505" t="s">
        <v>12059</v>
      </c>
    </row>
    <row r="1506" spans="1:20">
      <c r="A1506" t="s">
        <v>3490</v>
      </c>
      <c r="B1506" t="s">
        <v>20</v>
      </c>
      <c r="C1506" t="s">
        <v>8245</v>
      </c>
      <c r="D1506" t="s">
        <v>10052</v>
      </c>
      <c r="E1506" t="s">
        <v>12169</v>
      </c>
      <c r="F1506" t="s">
        <v>9412</v>
      </c>
      <c r="G1506" t="s">
        <v>9413</v>
      </c>
      <c r="H1506" t="s">
        <v>11516</v>
      </c>
      <c r="I1506" t="s">
        <v>9729</v>
      </c>
      <c r="J1506" t="s">
        <v>3399</v>
      </c>
      <c r="K1506" t="s">
        <v>9416</v>
      </c>
      <c r="L1506" t="s">
        <v>9417</v>
      </c>
      <c r="M1506" t="s">
        <v>11858</v>
      </c>
      <c r="N1506" t="s">
        <v>9446</v>
      </c>
      <c r="O1506" t="s">
        <v>8243</v>
      </c>
      <c r="P1506" t="s">
        <v>9655</v>
      </c>
      <c r="Q1506" t="s">
        <v>9421</v>
      </c>
      <c r="R1506" t="s">
        <v>56</v>
      </c>
      <c r="S1506" t="s">
        <v>3490</v>
      </c>
      <c r="T1506" t="s">
        <v>3492</v>
      </c>
    </row>
    <row r="1507" spans="1:20">
      <c r="A1507" t="s">
        <v>12170</v>
      </c>
      <c r="B1507" t="s">
        <v>9409</v>
      </c>
      <c r="C1507" t="s">
        <v>8245</v>
      </c>
      <c r="D1507" t="s">
        <v>9410</v>
      </c>
      <c r="E1507" t="s">
        <v>12171</v>
      </c>
      <c r="F1507" t="s">
        <v>9412</v>
      </c>
      <c r="G1507" t="s">
        <v>10580</v>
      </c>
      <c r="H1507" t="s">
        <v>11516</v>
      </c>
      <c r="I1507" t="s">
        <v>9477</v>
      </c>
      <c r="J1507" t="s">
        <v>3399</v>
      </c>
      <c r="K1507" t="s">
        <v>9445</v>
      </c>
      <c r="L1507" t="s">
        <v>9417</v>
      </c>
      <c r="M1507" t="s">
        <v>11858</v>
      </c>
      <c r="N1507" t="s">
        <v>9446</v>
      </c>
      <c r="O1507" t="s">
        <v>9446</v>
      </c>
      <c r="P1507" t="s">
        <v>9655</v>
      </c>
      <c r="Q1507" t="s">
        <v>9421</v>
      </c>
      <c r="R1507" t="s">
        <v>56</v>
      </c>
      <c r="S1507" t="s">
        <v>3490</v>
      </c>
      <c r="T1507" t="s">
        <v>3492</v>
      </c>
    </row>
    <row r="1508" spans="1:20">
      <c r="A1508" t="s">
        <v>9031</v>
      </c>
      <c r="B1508" t="s">
        <v>10645</v>
      </c>
      <c r="C1508" t="s">
        <v>12172</v>
      </c>
      <c r="D1508" t="s">
        <v>9410</v>
      </c>
      <c r="E1508" t="s">
        <v>12173</v>
      </c>
      <c r="F1508" t="s">
        <v>9412</v>
      </c>
      <c r="G1508" t="s">
        <v>9413</v>
      </c>
      <c r="H1508" t="s">
        <v>3162</v>
      </c>
      <c r="I1508" t="s">
        <v>10582</v>
      </c>
      <c r="J1508" t="s">
        <v>4051</v>
      </c>
      <c r="K1508" t="s">
        <v>9416</v>
      </c>
      <c r="L1508" t="s">
        <v>9417</v>
      </c>
      <c r="M1508" t="s">
        <v>11828</v>
      </c>
      <c r="N1508" t="s">
        <v>11510</v>
      </c>
      <c r="O1508" t="s">
        <v>9032</v>
      </c>
      <c r="P1508" t="s">
        <v>12174</v>
      </c>
      <c r="Q1508" t="s">
        <v>9421</v>
      </c>
      <c r="R1508" t="s">
        <v>52</v>
      </c>
      <c r="S1508" t="s">
        <v>9031</v>
      </c>
      <c r="T1508" t="s">
        <v>12175</v>
      </c>
    </row>
    <row r="1509" spans="1:20">
      <c r="A1509" t="s">
        <v>3604</v>
      </c>
      <c r="B1509" t="s">
        <v>62</v>
      </c>
      <c r="C1509" t="s">
        <v>8380</v>
      </c>
      <c r="D1509" t="s">
        <v>9448</v>
      </c>
      <c r="E1509" t="s">
        <v>12176</v>
      </c>
      <c r="F1509" t="s">
        <v>9412</v>
      </c>
      <c r="G1509" t="s">
        <v>9413</v>
      </c>
      <c r="H1509" t="s">
        <v>11516</v>
      </c>
      <c r="I1509" t="s">
        <v>9628</v>
      </c>
      <c r="J1509" t="s">
        <v>3506</v>
      </c>
      <c r="K1509" t="s">
        <v>9445</v>
      </c>
      <c r="L1509" t="s">
        <v>9417</v>
      </c>
      <c r="M1509" t="s">
        <v>11564</v>
      </c>
      <c r="N1509" t="s">
        <v>9426</v>
      </c>
      <c r="O1509" t="s">
        <v>9446</v>
      </c>
      <c r="P1509" t="s">
        <v>9479</v>
      </c>
      <c r="Q1509" t="s">
        <v>9421</v>
      </c>
      <c r="R1509" t="s">
        <v>43</v>
      </c>
      <c r="S1509" t="s">
        <v>3597</v>
      </c>
      <c r="T1509" t="s">
        <v>3599</v>
      </c>
    </row>
    <row r="1510" spans="1:20">
      <c r="A1510" t="s">
        <v>3604</v>
      </c>
      <c r="B1510" t="s">
        <v>62</v>
      </c>
      <c r="C1510" t="s">
        <v>8380</v>
      </c>
      <c r="D1510" t="s">
        <v>9448</v>
      </c>
      <c r="E1510" t="s">
        <v>12176</v>
      </c>
      <c r="F1510" t="s">
        <v>9412</v>
      </c>
      <c r="G1510" t="s">
        <v>9413</v>
      </c>
      <c r="H1510" t="s">
        <v>11516</v>
      </c>
      <c r="I1510" t="s">
        <v>9628</v>
      </c>
      <c r="J1510" t="s">
        <v>3506</v>
      </c>
      <c r="K1510" t="s">
        <v>9416</v>
      </c>
      <c r="L1510" t="s">
        <v>9417</v>
      </c>
      <c r="M1510" t="s">
        <v>11564</v>
      </c>
      <c r="N1510" t="s">
        <v>9446</v>
      </c>
      <c r="O1510" t="s">
        <v>8382</v>
      </c>
      <c r="P1510" t="s">
        <v>9655</v>
      </c>
      <c r="Q1510" t="s">
        <v>9421</v>
      </c>
      <c r="R1510" t="s">
        <v>56</v>
      </c>
      <c r="S1510" t="s">
        <v>3604</v>
      </c>
      <c r="T1510" t="s">
        <v>3606</v>
      </c>
    </row>
    <row r="1511" spans="1:20">
      <c r="A1511" t="s">
        <v>8384</v>
      </c>
      <c r="B1511" t="s">
        <v>62</v>
      </c>
      <c r="C1511" t="s">
        <v>3607</v>
      </c>
      <c r="D1511" t="s">
        <v>445</v>
      </c>
      <c r="E1511" t="s">
        <v>12177</v>
      </c>
      <c r="F1511" t="s">
        <v>9412</v>
      </c>
      <c r="G1511" t="s">
        <v>9413</v>
      </c>
      <c r="H1511" t="s">
        <v>3162</v>
      </c>
      <c r="I1511" t="s">
        <v>10632</v>
      </c>
      <c r="J1511" t="s">
        <v>3506</v>
      </c>
      <c r="K1511" t="s">
        <v>9445</v>
      </c>
      <c r="L1511" t="s">
        <v>9417</v>
      </c>
      <c r="M1511" t="s">
        <v>11564</v>
      </c>
      <c r="N1511" t="s">
        <v>9446</v>
      </c>
      <c r="O1511" t="s">
        <v>9446</v>
      </c>
      <c r="P1511" t="s">
        <v>9655</v>
      </c>
      <c r="Q1511" t="s">
        <v>9421</v>
      </c>
      <c r="R1511" t="s">
        <v>56</v>
      </c>
      <c r="S1511" t="s">
        <v>3604</v>
      </c>
      <c r="T1511" t="s">
        <v>3606</v>
      </c>
    </row>
    <row r="1512" spans="1:20">
      <c r="A1512" t="s">
        <v>3608</v>
      </c>
      <c r="B1512" t="s">
        <v>20</v>
      </c>
      <c r="C1512" t="s">
        <v>8386</v>
      </c>
      <c r="D1512" t="s">
        <v>9455</v>
      </c>
      <c r="E1512" t="s">
        <v>12178</v>
      </c>
      <c r="F1512" t="s">
        <v>9412</v>
      </c>
      <c r="G1512" t="s">
        <v>9413</v>
      </c>
      <c r="H1512" t="s">
        <v>11516</v>
      </c>
      <c r="I1512" t="s">
        <v>9886</v>
      </c>
      <c r="J1512" t="s">
        <v>3506</v>
      </c>
      <c r="K1512" t="s">
        <v>9416</v>
      </c>
      <c r="L1512" t="s">
        <v>9417</v>
      </c>
      <c r="M1512" t="s">
        <v>11542</v>
      </c>
      <c r="N1512" t="s">
        <v>9446</v>
      </c>
      <c r="O1512" t="s">
        <v>8388</v>
      </c>
      <c r="P1512" t="s">
        <v>9655</v>
      </c>
      <c r="Q1512" t="s">
        <v>9421</v>
      </c>
      <c r="R1512" t="s">
        <v>56</v>
      </c>
      <c r="S1512" t="s">
        <v>3321</v>
      </c>
      <c r="T1512" t="s">
        <v>3611</v>
      </c>
    </row>
    <row r="1513" spans="1:20">
      <c r="A1513" t="s">
        <v>3608</v>
      </c>
      <c r="B1513" t="s">
        <v>20</v>
      </c>
      <c r="C1513" t="s">
        <v>8386</v>
      </c>
      <c r="D1513" t="s">
        <v>9455</v>
      </c>
      <c r="E1513" t="s">
        <v>12178</v>
      </c>
      <c r="F1513" t="s">
        <v>9412</v>
      </c>
      <c r="G1513" t="s">
        <v>9413</v>
      </c>
      <c r="H1513" t="s">
        <v>11516</v>
      </c>
      <c r="I1513" t="s">
        <v>9886</v>
      </c>
      <c r="J1513" t="s">
        <v>3506</v>
      </c>
      <c r="K1513" t="s">
        <v>9416</v>
      </c>
      <c r="L1513" t="s">
        <v>9417</v>
      </c>
      <c r="M1513" t="s">
        <v>11542</v>
      </c>
      <c r="N1513" t="s">
        <v>9446</v>
      </c>
      <c r="O1513" t="s">
        <v>8390</v>
      </c>
      <c r="P1513" t="s">
        <v>9655</v>
      </c>
      <c r="Q1513" t="s">
        <v>9421</v>
      </c>
      <c r="R1513" t="s">
        <v>56</v>
      </c>
      <c r="S1513" t="s">
        <v>3608</v>
      </c>
      <c r="T1513" t="s">
        <v>3613</v>
      </c>
    </row>
    <row r="1514" spans="1:20">
      <c r="A1514" t="s">
        <v>3608</v>
      </c>
      <c r="B1514" t="s">
        <v>20</v>
      </c>
      <c r="C1514" t="s">
        <v>8386</v>
      </c>
      <c r="D1514" t="s">
        <v>9455</v>
      </c>
      <c r="E1514" t="s">
        <v>12178</v>
      </c>
      <c r="F1514" t="s">
        <v>9412</v>
      </c>
      <c r="G1514" t="s">
        <v>9413</v>
      </c>
      <c r="H1514" t="s">
        <v>11516</v>
      </c>
      <c r="I1514" t="s">
        <v>9886</v>
      </c>
      <c r="J1514" t="s">
        <v>3506</v>
      </c>
      <c r="K1514" t="s">
        <v>9445</v>
      </c>
      <c r="L1514" t="s">
        <v>9417</v>
      </c>
      <c r="M1514" t="s">
        <v>11542</v>
      </c>
      <c r="N1514" t="s">
        <v>9426</v>
      </c>
      <c r="O1514" t="s">
        <v>9446</v>
      </c>
      <c r="P1514" t="s">
        <v>9479</v>
      </c>
      <c r="Q1514" t="s">
        <v>9421</v>
      </c>
      <c r="R1514" t="s">
        <v>43</v>
      </c>
      <c r="S1514" t="s">
        <v>3539</v>
      </c>
      <c r="T1514" t="s">
        <v>3541</v>
      </c>
    </row>
    <row r="1515" spans="1:20">
      <c r="A1515" t="s">
        <v>12179</v>
      </c>
      <c r="B1515" t="s">
        <v>10645</v>
      </c>
      <c r="C1515" t="s">
        <v>12180</v>
      </c>
      <c r="D1515" t="s">
        <v>9410</v>
      </c>
      <c r="E1515" t="s">
        <v>12181</v>
      </c>
      <c r="F1515" t="s">
        <v>9601</v>
      </c>
      <c r="G1515" t="s">
        <v>9413</v>
      </c>
      <c r="H1515" t="s">
        <v>3162</v>
      </c>
      <c r="I1515" t="s">
        <v>9482</v>
      </c>
      <c r="J1515" t="s">
        <v>3161</v>
      </c>
      <c r="K1515" t="s">
        <v>9445</v>
      </c>
      <c r="L1515" t="s">
        <v>9417</v>
      </c>
      <c r="M1515" t="s">
        <v>11533</v>
      </c>
      <c r="N1515" t="s">
        <v>11518</v>
      </c>
      <c r="O1515" t="s">
        <v>9446</v>
      </c>
      <c r="P1515" t="s">
        <v>9603</v>
      </c>
      <c r="Q1515" t="s">
        <v>9421</v>
      </c>
      <c r="R1515" t="s">
        <v>9604</v>
      </c>
      <c r="S1515" t="s">
        <v>12058</v>
      </c>
      <c r="T1515" t="s">
        <v>12059</v>
      </c>
    </row>
    <row r="1516" spans="1:20">
      <c r="A1516" t="s">
        <v>8574</v>
      </c>
      <c r="B1516" t="s">
        <v>62</v>
      </c>
      <c r="C1516" t="s">
        <v>12182</v>
      </c>
      <c r="D1516" t="s">
        <v>445</v>
      </c>
      <c r="E1516" t="s">
        <v>12183</v>
      </c>
      <c r="F1516" t="s">
        <v>9412</v>
      </c>
      <c r="G1516" t="s">
        <v>9413</v>
      </c>
      <c r="H1516" t="s">
        <v>3162</v>
      </c>
      <c r="I1516" t="s">
        <v>10628</v>
      </c>
      <c r="J1516" t="s">
        <v>3619</v>
      </c>
      <c r="K1516" t="s">
        <v>9445</v>
      </c>
      <c r="L1516" t="s">
        <v>9417</v>
      </c>
      <c r="M1516" t="s">
        <v>11753</v>
      </c>
      <c r="N1516" t="s">
        <v>9426</v>
      </c>
      <c r="O1516" t="s">
        <v>9446</v>
      </c>
      <c r="P1516" t="s">
        <v>9567</v>
      </c>
      <c r="Q1516" t="s">
        <v>9421</v>
      </c>
      <c r="R1516" t="s">
        <v>43</v>
      </c>
      <c r="S1516" t="s">
        <v>3628</v>
      </c>
      <c r="T1516" t="s">
        <v>3630</v>
      </c>
    </row>
    <row r="1517" spans="1:20">
      <c r="A1517" t="s">
        <v>12184</v>
      </c>
      <c r="B1517" t="s">
        <v>10645</v>
      </c>
      <c r="C1517" t="s">
        <v>12185</v>
      </c>
      <c r="D1517" t="s">
        <v>9410</v>
      </c>
      <c r="E1517" t="s">
        <v>12186</v>
      </c>
      <c r="F1517" t="s">
        <v>9601</v>
      </c>
      <c r="G1517" t="s">
        <v>9413</v>
      </c>
      <c r="H1517" t="s">
        <v>11516</v>
      </c>
      <c r="I1517" t="s">
        <v>10635</v>
      </c>
      <c r="J1517" t="s">
        <v>3619</v>
      </c>
      <c r="K1517" t="s">
        <v>9445</v>
      </c>
      <c r="L1517" t="s">
        <v>9417</v>
      </c>
      <c r="M1517" t="s">
        <v>11651</v>
      </c>
      <c r="N1517" t="s">
        <v>11605</v>
      </c>
      <c r="O1517" t="s">
        <v>9446</v>
      </c>
      <c r="P1517" t="s">
        <v>9603</v>
      </c>
      <c r="Q1517" t="s">
        <v>9421</v>
      </c>
      <c r="R1517" t="s">
        <v>9604</v>
      </c>
      <c r="S1517" t="s">
        <v>3485</v>
      </c>
      <c r="T1517" t="s">
        <v>12187</v>
      </c>
    </row>
    <row r="1518" spans="1:20">
      <c r="A1518" t="s">
        <v>3902</v>
      </c>
      <c r="B1518" t="s">
        <v>20</v>
      </c>
      <c r="C1518" t="s">
        <v>8718</v>
      </c>
      <c r="D1518" t="s">
        <v>9455</v>
      </c>
      <c r="E1518" t="s">
        <v>12188</v>
      </c>
      <c r="F1518" t="s">
        <v>9412</v>
      </c>
      <c r="G1518" t="s">
        <v>9413</v>
      </c>
      <c r="H1518" t="s">
        <v>11516</v>
      </c>
      <c r="I1518" t="s">
        <v>10540</v>
      </c>
      <c r="J1518" t="s">
        <v>3808</v>
      </c>
      <c r="K1518" t="s">
        <v>9416</v>
      </c>
      <c r="L1518" t="s">
        <v>9417</v>
      </c>
      <c r="M1518" t="s">
        <v>11513</v>
      </c>
      <c r="N1518" t="s">
        <v>9446</v>
      </c>
      <c r="O1518" t="s">
        <v>8716</v>
      </c>
      <c r="P1518" t="s">
        <v>9655</v>
      </c>
      <c r="Q1518" t="s">
        <v>9421</v>
      </c>
      <c r="R1518" t="s">
        <v>56</v>
      </c>
      <c r="S1518" t="s">
        <v>3902</v>
      </c>
      <c r="T1518" t="s">
        <v>3904</v>
      </c>
    </row>
    <row r="1519" spans="1:20">
      <c r="A1519" t="s">
        <v>12189</v>
      </c>
      <c r="B1519" t="s">
        <v>62</v>
      </c>
      <c r="C1519" t="s">
        <v>12190</v>
      </c>
      <c r="D1519" t="s">
        <v>9410</v>
      </c>
      <c r="E1519" t="s">
        <v>12191</v>
      </c>
      <c r="F1519" t="s">
        <v>9601</v>
      </c>
      <c r="G1519" t="s">
        <v>9413</v>
      </c>
      <c r="H1519" t="s">
        <v>3162</v>
      </c>
      <c r="I1519" t="s">
        <v>10628</v>
      </c>
      <c r="J1519" t="s">
        <v>3939</v>
      </c>
      <c r="K1519" t="s">
        <v>9445</v>
      </c>
      <c r="L1519" t="s">
        <v>9417</v>
      </c>
      <c r="M1519" t="s">
        <v>11583</v>
      </c>
      <c r="N1519" t="s">
        <v>9430</v>
      </c>
      <c r="O1519" t="s">
        <v>9446</v>
      </c>
      <c r="P1519" t="s">
        <v>9536</v>
      </c>
      <c r="Q1519" t="s">
        <v>9421</v>
      </c>
      <c r="R1519" t="s">
        <v>52</v>
      </c>
      <c r="S1519" t="s">
        <v>9537</v>
      </c>
      <c r="T1519" t="s">
        <v>9538</v>
      </c>
    </row>
    <row r="1520" spans="1:20">
      <c r="A1520" t="s">
        <v>12189</v>
      </c>
      <c r="B1520" t="s">
        <v>62</v>
      </c>
      <c r="C1520" t="s">
        <v>12190</v>
      </c>
      <c r="D1520" t="s">
        <v>9410</v>
      </c>
      <c r="E1520" t="s">
        <v>12191</v>
      </c>
      <c r="F1520" t="s">
        <v>9601</v>
      </c>
      <c r="G1520" t="s">
        <v>9413</v>
      </c>
      <c r="H1520" t="s">
        <v>3162</v>
      </c>
      <c r="I1520" t="s">
        <v>10628</v>
      </c>
      <c r="J1520" t="s">
        <v>3939</v>
      </c>
      <c r="K1520" t="s">
        <v>9445</v>
      </c>
      <c r="L1520" t="s">
        <v>9417</v>
      </c>
      <c r="M1520" t="s">
        <v>11583</v>
      </c>
      <c r="N1520" t="s">
        <v>9430</v>
      </c>
      <c r="O1520" t="s">
        <v>9446</v>
      </c>
      <c r="P1520" t="s">
        <v>9568</v>
      </c>
      <c r="Q1520" t="s">
        <v>9421</v>
      </c>
      <c r="R1520" t="s">
        <v>24</v>
      </c>
      <c r="S1520" t="s">
        <v>1164</v>
      </c>
      <c r="T1520" t="s">
        <v>1166</v>
      </c>
    </row>
    <row r="1521" spans="1:20">
      <c r="A1521" t="s">
        <v>12189</v>
      </c>
      <c r="B1521" t="s">
        <v>62</v>
      </c>
      <c r="C1521" t="s">
        <v>12190</v>
      </c>
      <c r="D1521" t="s">
        <v>9410</v>
      </c>
      <c r="E1521" t="s">
        <v>12191</v>
      </c>
      <c r="F1521" t="s">
        <v>9601</v>
      </c>
      <c r="G1521" t="s">
        <v>9413</v>
      </c>
      <c r="H1521" t="s">
        <v>3162</v>
      </c>
      <c r="I1521" t="s">
        <v>10628</v>
      </c>
      <c r="J1521" t="s">
        <v>3939</v>
      </c>
      <c r="K1521" t="s">
        <v>9445</v>
      </c>
      <c r="L1521" t="s">
        <v>9417</v>
      </c>
      <c r="M1521" t="s">
        <v>11583</v>
      </c>
      <c r="N1521" t="s">
        <v>9426</v>
      </c>
      <c r="O1521" t="s">
        <v>9446</v>
      </c>
      <c r="P1521" t="s">
        <v>10713</v>
      </c>
      <c r="Q1521" t="s">
        <v>9421</v>
      </c>
      <c r="R1521" t="s">
        <v>43</v>
      </c>
      <c r="S1521" t="s">
        <v>2606</v>
      </c>
      <c r="T1521" t="s">
        <v>2608</v>
      </c>
    </row>
    <row r="1522" spans="1:20">
      <c r="A1522" t="s">
        <v>12192</v>
      </c>
      <c r="B1522" t="s">
        <v>9409</v>
      </c>
      <c r="C1522" t="s">
        <v>12193</v>
      </c>
      <c r="D1522" t="s">
        <v>9410</v>
      </c>
      <c r="E1522" t="s">
        <v>12194</v>
      </c>
      <c r="F1522" t="s">
        <v>9412</v>
      </c>
      <c r="G1522" t="s">
        <v>9413</v>
      </c>
      <c r="H1522" t="s">
        <v>11516</v>
      </c>
      <c r="I1522" t="s">
        <v>10150</v>
      </c>
      <c r="J1522" t="s">
        <v>4051</v>
      </c>
      <c r="K1522" t="s">
        <v>9416</v>
      </c>
      <c r="L1522" t="s">
        <v>9417</v>
      </c>
      <c r="M1522" t="s">
        <v>11526</v>
      </c>
      <c r="N1522" t="s">
        <v>9446</v>
      </c>
      <c r="O1522" t="s">
        <v>12195</v>
      </c>
      <c r="P1522" t="s">
        <v>9655</v>
      </c>
      <c r="Q1522" t="s">
        <v>9421</v>
      </c>
      <c r="R1522" t="s">
        <v>56</v>
      </c>
      <c r="S1522" t="s">
        <v>12192</v>
      </c>
      <c r="T1522" t="s">
        <v>12196</v>
      </c>
    </row>
    <row r="1523" spans="1:20">
      <c r="A1523" t="s">
        <v>4163</v>
      </c>
      <c r="B1523" t="s">
        <v>9409</v>
      </c>
      <c r="C1523" t="s">
        <v>12197</v>
      </c>
      <c r="D1523" t="s">
        <v>9410</v>
      </c>
      <c r="E1523" t="s">
        <v>12198</v>
      </c>
      <c r="F1523" t="s">
        <v>9412</v>
      </c>
      <c r="G1523" t="s">
        <v>9413</v>
      </c>
      <c r="H1523" t="s">
        <v>11516</v>
      </c>
      <c r="I1523" t="s">
        <v>9869</v>
      </c>
      <c r="J1523" t="s">
        <v>4051</v>
      </c>
      <c r="K1523" t="s">
        <v>9416</v>
      </c>
      <c r="L1523" t="s">
        <v>9417</v>
      </c>
      <c r="M1523" t="s">
        <v>11744</v>
      </c>
      <c r="N1523" t="s">
        <v>9446</v>
      </c>
      <c r="O1523" t="s">
        <v>12199</v>
      </c>
      <c r="P1523" t="s">
        <v>9655</v>
      </c>
      <c r="Q1523" t="s">
        <v>9421</v>
      </c>
      <c r="R1523" t="s">
        <v>56</v>
      </c>
      <c r="S1523" t="s">
        <v>12200</v>
      </c>
      <c r="T1523" t="s">
        <v>12201</v>
      </c>
    </row>
    <row r="1524" spans="1:20">
      <c r="A1524" t="s">
        <v>4163</v>
      </c>
      <c r="B1524" t="s">
        <v>9409</v>
      </c>
      <c r="C1524" t="s">
        <v>12197</v>
      </c>
      <c r="D1524" t="s">
        <v>9410</v>
      </c>
      <c r="E1524" t="s">
        <v>12198</v>
      </c>
      <c r="F1524" t="s">
        <v>9412</v>
      </c>
      <c r="G1524" t="s">
        <v>9413</v>
      </c>
      <c r="H1524" t="s">
        <v>11516</v>
      </c>
      <c r="I1524" t="s">
        <v>9869</v>
      </c>
      <c r="J1524" t="s">
        <v>4051</v>
      </c>
      <c r="K1524" t="s">
        <v>9416</v>
      </c>
      <c r="L1524" t="s">
        <v>9417</v>
      </c>
      <c r="M1524" t="s">
        <v>11744</v>
      </c>
      <c r="N1524" t="s">
        <v>9446</v>
      </c>
      <c r="O1524" t="s">
        <v>12202</v>
      </c>
      <c r="P1524" t="s">
        <v>10738</v>
      </c>
      <c r="Q1524" t="s">
        <v>9421</v>
      </c>
      <c r="R1524" t="s">
        <v>56</v>
      </c>
      <c r="S1524" t="s">
        <v>12203</v>
      </c>
      <c r="T1524" t="s">
        <v>12204</v>
      </c>
    </row>
    <row r="1525" spans="1:20">
      <c r="A1525" t="s">
        <v>12205</v>
      </c>
      <c r="B1525" t="s">
        <v>9409</v>
      </c>
      <c r="C1525" t="s">
        <v>12206</v>
      </c>
      <c r="D1525" t="s">
        <v>9410</v>
      </c>
      <c r="E1525" t="s">
        <v>12207</v>
      </c>
      <c r="F1525" t="s">
        <v>9601</v>
      </c>
      <c r="G1525" t="s">
        <v>9413</v>
      </c>
      <c r="H1525" t="s">
        <v>12208</v>
      </c>
      <c r="I1525" t="s">
        <v>10228</v>
      </c>
      <c r="J1525" t="s">
        <v>4051</v>
      </c>
      <c r="K1525" t="s">
        <v>9445</v>
      </c>
      <c r="L1525" t="s">
        <v>9417</v>
      </c>
      <c r="M1525" t="s">
        <v>11744</v>
      </c>
      <c r="N1525" t="s">
        <v>9446</v>
      </c>
      <c r="O1525" t="s">
        <v>9446</v>
      </c>
      <c r="P1525" t="s">
        <v>10738</v>
      </c>
      <c r="Q1525" t="s">
        <v>9421</v>
      </c>
      <c r="R1525" t="s">
        <v>56</v>
      </c>
      <c r="S1525" t="s">
        <v>12203</v>
      </c>
      <c r="T1525" t="s">
        <v>12204</v>
      </c>
    </row>
    <row r="1526" spans="1:20">
      <c r="A1526" t="s">
        <v>4162</v>
      </c>
      <c r="B1526" t="s">
        <v>62</v>
      </c>
      <c r="C1526" t="s">
        <v>9038</v>
      </c>
      <c r="D1526" t="s">
        <v>445</v>
      </c>
      <c r="E1526" t="s">
        <v>12209</v>
      </c>
      <c r="F1526" t="s">
        <v>9412</v>
      </c>
      <c r="G1526" t="s">
        <v>9413</v>
      </c>
      <c r="H1526" t="s">
        <v>11516</v>
      </c>
      <c r="I1526" t="s">
        <v>10890</v>
      </c>
      <c r="J1526" t="s">
        <v>4051</v>
      </c>
      <c r="K1526" t="s">
        <v>9416</v>
      </c>
      <c r="L1526" t="s">
        <v>9417</v>
      </c>
      <c r="M1526" t="s">
        <v>11668</v>
      </c>
      <c r="N1526" t="s">
        <v>9446</v>
      </c>
      <c r="O1526" t="s">
        <v>9036</v>
      </c>
      <c r="P1526" t="s">
        <v>9655</v>
      </c>
      <c r="Q1526" t="s">
        <v>9421</v>
      </c>
      <c r="R1526" t="s">
        <v>56</v>
      </c>
      <c r="S1526" t="s">
        <v>4163</v>
      </c>
      <c r="T1526" t="s">
        <v>4165</v>
      </c>
    </row>
    <row r="1527" spans="1:20">
      <c r="A1527" t="s">
        <v>4162</v>
      </c>
      <c r="B1527" t="s">
        <v>62</v>
      </c>
      <c r="C1527" t="s">
        <v>9038</v>
      </c>
      <c r="D1527" t="s">
        <v>445</v>
      </c>
      <c r="E1527" t="s">
        <v>12209</v>
      </c>
      <c r="F1527" t="s">
        <v>9412</v>
      </c>
      <c r="G1527" t="s">
        <v>9413</v>
      </c>
      <c r="H1527" t="s">
        <v>11516</v>
      </c>
      <c r="I1527" t="s">
        <v>10890</v>
      </c>
      <c r="J1527" t="s">
        <v>4051</v>
      </c>
      <c r="K1527" t="s">
        <v>9445</v>
      </c>
      <c r="L1527" t="s">
        <v>9417</v>
      </c>
      <c r="M1527" t="s">
        <v>11668</v>
      </c>
      <c r="N1527" t="s">
        <v>9426</v>
      </c>
      <c r="O1527" t="s">
        <v>9446</v>
      </c>
      <c r="P1527" t="s">
        <v>9479</v>
      </c>
      <c r="Q1527" t="s">
        <v>9421</v>
      </c>
      <c r="R1527" t="s">
        <v>43</v>
      </c>
      <c r="S1527" t="s">
        <v>3498</v>
      </c>
      <c r="T1527" t="s">
        <v>3500</v>
      </c>
    </row>
    <row r="1528" spans="1:20">
      <c r="A1528" t="s">
        <v>12210</v>
      </c>
      <c r="B1528" t="s">
        <v>9409</v>
      </c>
      <c r="C1528" t="s">
        <v>12211</v>
      </c>
      <c r="D1528" t="s">
        <v>9410</v>
      </c>
      <c r="E1528" t="s">
        <v>12212</v>
      </c>
      <c r="F1528" t="s">
        <v>9601</v>
      </c>
      <c r="G1528" t="s">
        <v>9413</v>
      </c>
      <c r="H1528" t="s">
        <v>3162</v>
      </c>
      <c r="I1528" t="s">
        <v>10116</v>
      </c>
      <c r="J1528" t="s">
        <v>3399</v>
      </c>
      <c r="K1528" t="s">
        <v>9445</v>
      </c>
      <c r="L1528" t="s">
        <v>9417</v>
      </c>
      <c r="M1528" t="s">
        <v>11568</v>
      </c>
      <c r="N1528" t="s">
        <v>11550</v>
      </c>
      <c r="O1528" t="s">
        <v>9446</v>
      </c>
      <c r="P1528" t="s">
        <v>9603</v>
      </c>
      <c r="Q1528" t="s">
        <v>9421</v>
      </c>
      <c r="R1528" t="s">
        <v>9604</v>
      </c>
      <c r="S1528" t="s">
        <v>12150</v>
      </c>
      <c r="T1528" t="s">
        <v>12154</v>
      </c>
    </row>
    <row r="1529" spans="1:20">
      <c r="A1529" t="s">
        <v>12213</v>
      </c>
      <c r="B1529" t="s">
        <v>9409</v>
      </c>
      <c r="C1529" t="s">
        <v>12214</v>
      </c>
      <c r="D1529" t="s">
        <v>9410</v>
      </c>
      <c r="E1529" t="s">
        <v>12215</v>
      </c>
      <c r="F1529" t="s">
        <v>9412</v>
      </c>
      <c r="G1529" t="s">
        <v>9413</v>
      </c>
      <c r="H1529" t="s">
        <v>11516</v>
      </c>
      <c r="I1529" t="s">
        <v>9674</v>
      </c>
      <c r="J1529" t="s">
        <v>3161</v>
      </c>
      <c r="K1529" t="s">
        <v>9416</v>
      </c>
      <c r="L1529" t="s">
        <v>9417</v>
      </c>
      <c r="M1529" t="s">
        <v>11517</v>
      </c>
      <c r="N1529" t="s">
        <v>9446</v>
      </c>
      <c r="O1529" t="s">
        <v>12216</v>
      </c>
      <c r="P1529" t="s">
        <v>9655</v>
      </c>
      <c r="Q1529" t="s">
        <v>9421</v>
      </c>
      <c r="R1529" t="s">
        <v>56</v>
      </c>
      <c r="S1529" t="s">
        <v>12213</v>
      </c>
      <c r="T1529" t="s">
        <v>12217</v>
      </c>
    </row>
    <row r="1530" spans="1:20">
      <c r="A1530" t="s">
        <v>12213</v>
      </c>
      <c r="B1530" t="s">
        <v>9409</v>
      </c>
      <c r="C1530" t="s">
        <v>12214</v>
      </c>
      <c r="D1530" t="s">
        <v>9410</v>
      </c>
      <c r="E1530" t="s">
        <v>12215</v>
      </c>
      <c r="F1530" t="s">
        <v>9412</v>
      </c>
      <c r="G1530" t="s">
        <v>9413</v>
      </c>
      <c r="H1530" t="s">
        <v>11516</v>
      </c>
      <c r="I1530" t="s">
        <v>9674</v>
      </c>
      <c r="J1530" t="s">
        <v>3161</v>
      </c>
      <c r="K1530" t="s">
        <v>9416</v>
      </c>
      <c r="L1530" t="s">
        <v>9417</v>
      </c>
      <c r="M1530" t="s">
        <v>11517</v>
      </c>
      <c r="N1530" t="s">
        <v>9446</v>
      </c>
      <c r="O1530" t="s">
        <v>12218</v>
      </c>
      <c r="P1530" t="s">
        <v>9655</v>
      </c>
      <c r="Q1530" t="s">
        <v>9421</v>
      </c>
      <c r="R1530" t="s">
        <v>56</v>
      </c>
      <c r="S1530" t="s">
        <v>12219</v>
      </c>
      <c r="T1530" t="s">
        <v>12220</v>
      </c>
    </row>
    <row r="1531" spans="1:20">
      <c r="A1531" t="s">
        <v>8031</v>
      </c>
      <c r="B1531" t="s">
        <v>9409</v>
      </c>
      <c r="C1531" t="s">
        <v>8035</v>
      </c>
      <c r="D1531" t="s">
        <v>9410</v>
      </c>
      <c r="E1531" t="s">
        <v>12221</v>
      </c>
      <c r="F1531" t="s">
        <v>9412</v>
      </c>
      <c r="G1531" t="s">
        <v>9413</v>
      </c>
      <c r="H1531" t="s">
        <v>11516</v>
      </c>
      <c r="I1531" t="s">
        <v>10452</v>
      </c>
      <c r="J1531" t="s">
        <v>3161</v>
      </c>
      <c r="K1531" t="s">
        <v>9416</v>
      </c>
      <c r="L1531" t="s">
        <v>9417</v>
      </c>
      <c r="M1531" t="s">
        <v>11533</v>
      </c>
      <c r="N1531" t="s">
        <v>9446</v>
      </c>
      <c r="O1531" t="s">
        <v>8033</v>
      </c>
      <c r="P1531" t="s">
        <v>9655</v>
      </c>
      <c r="Q1531" t="s">
        <v>9421</v>
      </c>
      <c r="R1531" t="s">
        <v>56</v>
      </c>
      <c r="S1531" t="s">
        <v>8032</v>
      </c>
      <c r="T1531" t="s">
        <v>12222</v>
      </c>
    </row>
    <row r="1532" spans="1:20">
      <c r="A1532" t="s">
        <v>12223</v>
      </c>
      <c r="B1532" t="s">
        <v>9409</v>
      </c>
      <c r="C1532" t="s">
        <v>12224</v>
      </c>
      <c r="D1532" t="s">
        <v>9410</v>
      </c>
      <c r="E1532" t="s">
        <v>12225</v>
      </c>
      <c r="F1532" t="s">
        <v>9412</v>
      </c>
      <c r="G1532" t="s">
        <v>9413</v>
      </c>
      <c r="H1532" t="s">
        <v>11516</v>
      </c>
      <c r="I1532" t="s">
        <v>9637</v>
      </c>
      <c r="J1532" t="s">
        <v>3399</v>
      </c>
      <c r="K1532" t="s">
        <v>9416</v>
      </c>
      <c r="L1532" t="s">
        <v>9417</v>
      </c>
      <c r="M1532" t="s">
        <v>11552</v>
      </c>
      <c r="N1532" t="s">
        <v>9446</v>
      </c>
      <c r="O1532" t="s">
        <v>12226</v>
      </c>
      <c r="P1532" t="s">
        <v>9655</v>
      </c>
      <c r="Q1532" t="s">
        <v>9421</v>
      </c>
      <c r="R1532" t="s">
        <v>56</v>
      </c>
      <c r="S1532" t="s">
        <v>12227</v>
      </c>
      <c r="T1532" t="s">
        <v>12228</v>
      </c>
    </row>
    <row r="1533" spans="1:20">
      <c r="A1533" t="s">
        <v>12223</v>
      </c>
      <c r="B1533" t="s">
        <v>9409</v>
      </c>
      <c r="C1533" t="s">
        <v>12224</v>
      </c>
      <c r="D1533" t="s">
        <v>9410</v>
      </c>
      <c r="E1533" t="s">
        <v>12225</v>
      </c>
      <c r="F1533" t="s">
        <v>9412</v>
      </c>
      <c r="G1533" t="s">
        <v>9413</v>
      </c>
      <c r="H1533" t="s">
        <v>11516</v>
      </c>
      <c r="I1533" t="s">
        <v>9637</v>
      </c>
      <c r="J1533" t="s">
        <v>3399</v>
      </c>
      <c r="K1533" t="s">
        <v>9416</v>
      </c>
      <c r="L1533" t="s">
        <v>9417</v>
      </c>
      <c r="M1533" t="s">
        <v>11552</v>
      </c>
      <c r="N1533" t="s">
        <v>9446</v>
      </c>
      <c r="O1533" t="s">
        <v>12229</v>
      </c>
      <c r="P1533" t="s">
        <v>9651</v>
      </c>
      <c r="Q1533" t="s">
        <v>9421</v>
      </c>
      <c r="R1533" t="s">
        <v>56</v>
      </c>
      <c r="S1533" t="s">
        <v>12230</v>
      </c>
      <c r="T1533" t="s">
        <v>12231</v>
      </c>
    </row>
    <row r="1534" spans="1:20">
      <c r="A1534" t="s">
        <v>12223</v>
      </c>
      <c r="B1534" t="s">
        <v>9409</v>
      </c>
      <c r="C1534" t="s">
        <v>12224</v>
      </c>
      <c r="D1534" t="s">
        <v>9410</v>
      </c>
      <c r="E1534" t="s">
        <v>12225</v>
      </c>
      <c r="F1534" t="s">
        <v>9412</v>
      </c>
      <c r="G1534" t="s">
        <v>9413</v>
      </c>
      <c r="H1534" t="s">
        <v>11516</v>
      </c>
      <c r="I1534" t="s">
        <v>9637</v>
      </c>
      <c r="J1534" t="s">
        <v>3399</v>
      </c>
      <c r="K1534" t="s">
        <v>9416</v>
      </c>
      <c r="L1534" t="s">
        <v>9417</v>
      </c>
      <c r="M1534" t="s">
        <v>11552</v>
      </c>
      <c r="N1534" t="s">
        <v>9446</v>
      </c>
      <c r="O1534" t="s">
        <v>12232</v>
      </c>
      <c r="P1534" t="s">
        <v>9655</v>
      </c>
      <c r="Q1534" t="s">
        <v>9421</v>
      </c>
      <c r="R1534" t="s">
        <v>56</v>
      </c>
      <c r="S1534" t="s">
        <v>12223</v>
      </c>
      <c r="T1534" t="s">
        <v>12233</v>
      </c>
    </row>
    <row r="1535" spans="1:20">
      <c r="A1535" t="s">
        <v>12234</v>
      </c>
      <c r="B1535" t="s">
        <v>10645</v>
      </c>
      <c r="C1535" t="s">
        <v>12235</v>
      </c>
      <c r="D1535" t="s">
        <v>9410</v>
      </c>
      <c r="E1535" t="s">
        <v>12236</v>
      </c>
      <c r="F1535" t="s">
        <v>9601</v>
      </c>
      <c r="G1535" t="s">
        <v>9413</v>
      </c>
      <c r="H1535" t="s">
        <v>3162</v>
      </c>
      <c r="I1535" t="s">
        <v>10632</v>
      </c>
      <c r="J1535" t="s">
        <v>3619</v>
      </c>
      <c r="K1535" t="s">
        <v>9445</v>
      </c>
      <c r="L1535" t="s">
        <v>9417</v>
      </c>
      <c r="M1535" t="s">
        <v>11753</v>
      </c>
      <c r="N1535" t="s">
        <v>11605</v>
      </c>
      <c r="O1535" t="s">
        <v>9446</v>
      </c>
      <c r="P1535" t="s">
        <v>9603</v>
      </c>
      <c r="Q1535" t="s">
        <v>9421</v>
      </c>
      <c r="R1535" t="s">
        <v>9604</v>
      </c>
      <c r="S1535" t="s">
        <v>3485</v>
      </c>
      <c r="T1535" t="s">
        <v>12187</v>
      </c>
    </row>
    <row r="1536" spans="1:20">
      <c r="A1536" t="s">
        <v>12237</v>
      </c>
      <c r="B1536" t="s">
        <v>9409</v>
      </c>
      <c r="C1536" t="s">
        <v>12238</v>
      </c>
      <c r="D1536" t="s">
        <v>9410</v>
      </c>
      <c r="E1536" t="s">
        <v>12239</v>
      </c>
      <c r="F1536" t="s">
        <v>9412</v>
      </c>
      <c r="G1536" t="s">
        <v>9413</v>
      </c>
      <c r="H1536" t="s">
        <v>11516</v>
      </c>
      <c r="I1536" t="s">
        <v>9813</v>
      </c>
      <c r="J1536" t="s">
        <v>3619</v>
      </c>
      <c r="K1536" t="s">
        <v>9416</v>
      </c>
      <c r="L1536" t="s">
        <v>9417</v>
      </c>
      <c r="M1536" t="s">
        <v>11607</v>
      </c>
      <c r="N1536" t="s">
        <v>9446</v>
      </c>
      <c r="O1536" t="s">
        <v>12240</v>
      </c>
      <c r="P1536" t="s">
        <v>9647</v>
      </c>
      <c r="Q1536" t="s">
        <v>9421</v>
      </c>
      <c r="R1536" t="s">
        <v>84</v>
      </c>
      <c r="S1536" t="s">
        <v>12241</v>
      </c>
      <c r="T1536" t="s">
        <v>12242</v>
      </c>
    </row>
    <row r="1537" spans="1:20">
      <c r="A1537" t="s">
        <v>12237</v>
      </c>
      <c r="B1537" t="s">
        <v>9409</v>
      </c>
      <c r="C1537" t="s">
        <v>12238</v>
      </c>
      <c r="D1537" t="s">
        <v>9410</v>
      </c>
      <c r="E1537" t="s">
        <v>12239</v>
      </c>
      <c r="F1537" t="s">
        <v>9412</v>
      </c>
      <c r="G1537" t="s">
        <v>9413</v>
      </c>
      <c r="H1537" t="s">
        <v>11516</v>
      </c>
      <c r="I1537" t="s">
        <v>9813</v>
      </c>
      <c r="J1537" t="s">
        <v>3619</v>
      </c>
      <c r="K1537" t="s">
        <v>9416</v>
      </c>
      <c r="L1537" t="s">
        <v>9417</v>
      </c>
      <c r="M1537" t="s">
        <v>11607</v>
      </c>
      <c r="N1537" t="s">
        <v>9446</v>
      </c>
      <c r="O1537" t="s">
        <v>12243</v>
      </c>
      <c r="P1537" t="s">
        <v>9655</v>
      </c>
      <c r="Q1537" t="s">
        <v>9421</v>
      </c>
      <c r="R1537" t="s">
        <v>56</v>
      </c>
      <c r="S1537" t="s">
        <v>12244</v>
      </c>
      <c r="T1537" t="s">
        <v>12245</v>
      </c>
    </row>
    <row r="1538" spans="1:20">
      <c r="A1538" t="s">
        <v>12237</v>
      </c>
      <c r="B1538" t="s">
        <v>9409</v>
      </c>
      <c r="C1538" t="s">
        <v>12238</v>
      </c>
      <c r="D1538" t="s">
        <v>9410</v>
      </c>
      <c r="E1538" t="s">
        <v>12239</v>
      </c>
      <c r="F1538" t="s">
        <v>9412</v>
      </c>
      <c r="G1538" t="s">
        <v>9413</v>
      </c>
      <c r="H1538" t="s">
        <v>11516</v>
      </c>
      <c r="I1538" t="s">
        <v>9813</v>
      </c>
      <c r="J1538" t="s">
        <v>3619</v>
      </c>
      <c r="K1538" t="s">
        <v>9416</v>
      </c>
      <c r="L1538" t="s">
        <v>9417</v>
      </c>
      <c r="M1538" t="s">
        <v>11607</v>
      </c>
      <c r="N1538" t="s">
        <v>11605</v>
      </c>
      <c r="O1538" t="s">
        <v>12246</v>
      </c>
      <c r="P1538" t="s">
        <v>9429</v>
      </c>
      <c r="Q1538" t="s">
        <v>9421</v>
      </c>
      <c r="R1538" t="s">
        <v>52</v>
      </c>
      <c r="S1538" t="s">
        <v>12247</v>
      </c>
      <c r="T1538" t="s">
        <v>12248</v>
      </c>
    </row>
    <row r="1539" spans="1:20">
      <c r="A1539" t="s">
        <v>12237</v>
      </c>
      <c r="B1539" t="s">
        <v>9409</v>
      </c>
      <c r="C1539" t="s">
        <v>12238</v>
      </c>
      <c r="D1539" t="s">
        <v>9410</v>
      </c>
      <c r="E1539" t="s">
        <v>12239</v>
      </c>
      <c r="F1539" t="s">
        <v>9412</v>
      </c>
      <c r="G1539" t="s">
        <v>9413</v>
      </c>
      <c r="H1539" t="s">
        <v>11516</v>
      </c>
      <c r="I1539" t="s">
        <v>9813</v>
      </c>
      <c r="J1539" t="s">
        <v>3619</v>
      </c>
      <c r="K1539" t="s">
        <v>9416</v>
      </c>
      <c r="L1539" t="s">
        <v>9417</v>
      </c>
      <c r="M1539" t="s">
        <v>11607</v>
      </c>
      <c r="N1539" t="s">
        <v>9446</v>
      </c>
      <c r="O1539" t="s">
        <v>12249</v>
      </c>
      <c r="P1539" t="s">
        <v>9655</v>
      </c>
      <c r="Q1539" t="s">
        <v>9421</v>
      </c>
      <c r="R1539" t="s">
        <v>56</v>
      </c>
      <c r="S1539" t="s">
        <v>3290</v>
      </c>
      <c r="T1539" t="s">
        <v>12250</v>
      </c>
    </row>
    <row r="1540" spans="1:20">
      <c r="A1540" t="s">
        <v>12251</v>
      </c>
      <c r="B1540" t="s">
        <v>10645</v>
      </c>
      <c r="C1540" t="s">
        <v>12252</v>
      </c>
      <c r="D1540" t="s">
        <v>9410</v>
      </c>
      <c r="E1540" t="s">
        <v>12253</v>
      </c>
      <c r="F1540" t="s">
        <v>9601</v>
      </c>
      <c r="G1540" t="s">
        <v>9413</v>
      </c>
      <c r="H1540" t="s">
        <v>11516</v>
      </c>
      <c r="I1540" t="s">
        <v>10635</v>
      </c>
      <c r="J1540" t="s">
        <v>3619</v>
      </c>
      <c r="K1540" t="s">
        <v>9445</v>
      </c>
      <c r="L1540" t="s">
        <v>9417</v>
      </c>
      <c r="M1540" t="s">
        <v>11649</v>
      </c>
      <c r="N1540" t="s">
        <v>11605</v>
      </c>
      <c r="O1540" t="s">
        <v>9446</v>
      </c>
      <c r="P1540" t="s">
        <v>9603</v>
      </c>
      <c r="Q1540" t="s">
        <v>9421</v>
      </c>
      <c r="R1540" t="s">
        <v>9604</v>
      </c>
      <c r="S1540" t="s">
        <v>3485</v>
      </c>
      <c r="T1540" t="s">
        <v>12187</v>
      </c>
    </row>
    <row r="1541" spans="1:20">
      <c r="A1541" t="s">
        <v>8392</v>
      </c>
      <c r="B1541" t="s">
        <v>10645</v>
      </c>
      <c r="C1541" t="s">
        <v>12254</v>
      </c>
      <c r="D1541" t="s">
        <v>9410</v>
      </c>
      <c r="E1541" t="s">
        <v>12255</v>
      </c>
      <c r="F1541" t="s">
        <v>9412</v>
      </c>
      <c r="G1541" t="s">
        <v>9413</v>
      </c>
      <c r="H1541" t="s">
        <v>3162</v>
      </c>
      <c r="I1541" t="s">
        <v>10582</v>
      </c>
      <c r="J1541" t="s">
        <v>3506</v>
      </c>
      <c r="K1541" t="s">
        <v>9445</v>
      </c>
      <c r="L1541" t="s">
        <v>9417</v>
      </c>
      <c r="M1541" t="s">
        <v>11615</v>
      </c>
      <c r="N1541" t="s">
        <v>9446</v>
      </c>
      <c r="O1541" t="s">
        <v>9446</v>
      </c>
      <c r="P1541" t="s">
        <v>9655</v>
      </c>
      <c r="Q1541" t="s">
        <v>9421</v>
      </c>
      <c r="R1541" t="s">
        <v>56</v>
      </c>
      <c r="S1541" t="s">
        <v>3600</v>
      </c>
      <c r="T1541" t="s">
        <v>3602</v>
      </c>
    </row>
    <row r="1542" spans="1:20">
      <c r="A1542" t="s">
        <v>12256</v>
      </c>
      <c r="B1542" t="s">
        <v>9409</v>
      </c>
      <c r="C1542" t="s">
        <v>12257</v>
      </c>
      <c r="D1542" t="s">
        <v>9410</v>
      </c>
      <c r="E1542" t="s">
        <v>12258</v>
      </c>
      <c r="F1542" t="s">
        <v>9412</v>
      </c>
      <c r="G1542" t="s">
        <v>9413</v>
      </c>
      <c r="H1542" t="s">
        <v>11673</v>
      </c>
      <c r="I1542" t="s">
        <v>9830</v>
      </c>
      <c r="J1542" t="s">
        <v>3808</v>
      </c>
      <c r="K1542" t="s">
        <v>9416</v>
      </c>
      <c r="L1542" t="s">
        <v>9417</v>
      </c>
      <c r="M1542" t="s">
        <v>11686</v>
      </c>
      <c r="N1542" t="s">
        <v>9446</v>
      </c>
      <c r="O1542" t="s">
        <v>12259</v>
      </c>
      <c r="P1542" t="s">
        <v>9655</v>
      </c>
      <c r="Q1542" t="s">
        <v>9421</v>
      </c>
      <c r="R1542" t="s">
        <v>56</v>
      </c>
      <c r="S1542" t="s">
        <v>12260</v>
      </c>
      <c r="T1542" t="s">
        <v>12261</v>
      </c>
    </row>
    <row r="1543" spans="1:20">
      <c r="A1543" t="s">
        <v>12256</v>
      </c>
      <c r="B1543" t="s">
        <v>9409</v>
      </c>
      <c r="C1543" t="s">
        <v>12257</v>
      </c>
      <c r="D1543" t="s">
        <v>9410</v>
      </c>
      <c r="E1543" t="s">
        <v>12258</v>
      </c>
      <c r="F1543" t="s">
        <v>9412</v>
      </c>
      <c r="G1543" t="s">
        <v>9413</v>
      </c>
      <c r="H1543" t="s">
        <v>11673</v>
      </c>
      <c r="I1543" t="s">
        <v>9830</v>
      </c>
      <c r="J1543" t="s">
        <v>3808</v>
      </c>
      <c r="K1543" t="s">
        <v>9416</v>
      </c>
      <c r="L1543" t="s">
        <v>9417</v>
      </c>
      <c r="M1543" t="s">
        <v>11686</v>
      </c>
      <c r="N1543" t="s">
        <v>9446</v>
      </c>
      <c r="O1543" t="s">
        <v>12262</v>
      </c>
      <c r="P1543" t="s">
        <v>9647</v>
      </c>
      <c r="Q1543" t="s">
        <v>9421</v>
      </c>
      <c r="R1543" t="s">
        <v>84</v>
      </c>
      <c r="S1543" t="s">
        <v>12263</v>
      </c>
      <c r="T1543" t="s">
        <v>12264</v>
      </c>
    </row>
    <row r="1544" spans="1:20">
      <c r="A1544" t="s">
        <v>12256</v>
      </c>
      <c r="B1544" t="s">
        <v>9409</v>
      </c>
      <c r="C1544" t="s">
        <v>12257</v>
      </c>
      <c r="D1544" t="s">
        <v>9410</v>
      </c>
      <c r="E1544" t="s">
        <v>12258</v>
      </c>
      <c r="F1544" t="s">
        <v>9412</v>
      </c>
      <c r="G1544" t="s">
        <v>9413</v>
      </c>
      <c r="H1544" t="s">
        <v>11673</v>
      </c>
      <c r="I1544" t="s">
        <v>9830</v>
      </c>
      <c r="J1544" t="s">
        <v>3808</v>
      </c>
      <c r="K1544" t="s">
        <v>9416</v>
      </c>
      <c r="L1544" t="s">
        <v>9417</v>
      </c>
      <c r="M1544" t="s">
        <v>11686</v>
      </c>
      <c r="N1544" t="s">
        <v>9446</v>
      </c>
      <c r="O1544" t="s">
        <v>12265</v>
      </c>
      <c r="P1544" t="s">
        <v>9655</v>
      </c>
      <c r="Q1544" t="s">
        <v>9421</v>
      </c>
      <c r="R1544" t="s">
        <v>56</v>
      </c>
      <c r="S1544" t="s">
        <v>12266</v>
      </c>
      <c r="T1544" t="s">
        <v>12267</v>
      </c>
    </row>
    <row r="1545" spans="1:20">
      <c r="A1545" t="s">
        <v>12256</v>
      </c>
      <c r="B1545" t="s">
        <v>9409</v>
      </c>
      <c r="C1545" t="s">
        <v>12257</v>
      </c>
      <c r="D1545" t="s">
        <v>9410</v>
      </c>
      <c r="E1545" t="s">
        <v>12258</v>
      </c>
      <c r="F1545" t="s">
        <v>9412</v>
      </c>
      <c r="G1545" t="s">
        <v>9413</v>
      </c>
      <c r="H1545" t="s">
        <v>11673</v>
      </c>
      <c r="I1545" t="s">
        <v>9830</v>
      </c>
      <c r="J1545" t="s">
        <v>3808</v>
      </c>
      <c r="K1545" t="s">
        <v>9416</v>
      </c>
      <c r="L1545" t="s">
        <v>9417</v>
      </c>
      <c r="M1545" t="s">
        <v>11686</v>
      </c>
      <c r="N1545" t="s">
        <v>9446</v>
      </c>
      <c r="O1545" t="s">
        <v>12268</v>
      </c>
      <c r="P1545" t="s">
        <v>9655</v>
      </c>
      <c r="Q1545" t="s">
        <v>9421</v>
      </c>
      <c r="R1545" t="s">
        <v>56</v>
      </c>
      <c r="S1545" t="s">
        <v>12269</v>
      </c>
      <c r="T1545" t="s">
        <v>12270</v>
      </c>
    </row>
    <row r="1546" spans="1:20">
      <c r="A1546" t="s">
        <v>12271</v>
      </c>
      <c r="B1546" t="s">
        <v>9446</v>
      </c>
      <c r="C1546" t="s">
        <v>12272</v>
      </c>
      <c r="D1546" t="s">
        <v>9410</v>
      </c>
      <c r="E1546" t="s">
        <v>12273</v>
      </c>
      <c r="F1546" t="s">
        <v>9601</v>
      </c>
      <c r="G1546" t="s">
        <v>9413</v>
      </c>
      <c r="H1546" t="s">
        <v>3162</v>
      </c>
      <c r="I1546" t="s">
        <v>10609</v>
      </c>
      <c r="J1546" t="s">
        <v>3619</v>
      </c>
      <c r="K1546" t="s">
        <v>9416</v>
      </c>
      <c r="L1546" t="s">
        <v>9417</v>
      </c>
      <c r="M1546" t="s">
        <v>11817</v>
      </c>
      <c r="N1546" t="s">
        <v>11605</v>
      </c>
      <c r="O1546" t="s">
        <v>12274</v>
      </c>
      <c r="P1546" t="s">
        <v>9603</v>
      </c>
      <c r="Q1546" t="s">
        <v>9421</v>
      </c>
      <c r="R1546" t="s">
        <v>9604</v>
      </c>
      <c r="S1546" t="s">
        <v>3485</v>
      </c>
      <c r="T1546" t="s">
        <v>12187</v>
      </c>
    </row>
    <row r="1547" spans="1:20">
      <c r="A1547" t="s">
        <v>12275</v>
      </c>
      <c r="B1547" t="s">
        <v>9446</v>
      </c>
      <c r="C1547" t="s">
        <v>12276</v>
      </c>
      <c r="D1547" t="s">
        <v>9410</v>
      </c>
      <c r="E1547" t="s">
        <v>12277</v>
      </c>
      <c r="F1547" t="s">
        <v>9601</v>
      </c>
      <c r="G1547" t="s">
        <v>9413</v>
      </c>
      <c r="H1547" t="s">
        <v>11516</v>
      </c>
      <c r="I1547" t="s">
        <v>10609</v>
      </c>
      <c r="J1547" t="s">
        <v>3619</v>
      </c>
      <c r="K1547" t="s">
        <v>9445</v>
      </c>
      <c r="L1547" t="s">
        <v>9417</v>
      </c>
      <c r="M1547" t="s">
        <v>11651</v>
      </c>
      <c r="N1547" t="s">
        <v>11605</v>
      </c>
      <c r="O1547" t="s">
        <v>9446</v>
      </c>
      <c r="P1547" t="s">
        <v>9603</v>
      </c>
      <c r="Q1547" t="s">
        <v>9421</v>
      </c>
      <c r="R1547" t="s">
        <v>9604</v>
      </c>
      <c r="S1547" t="s">
        <v>3485</v>
      </c>
      <c r="T1547" t="s">
        <v>12187</v>
      </c>
    </row>
    <row r="1548" spans="1:20">
      <c r="A1548" t="s">
        <v>3786</v>
      </c>
      <c r="B1548" t="s">
        <v>20</v>
      </c>
      <c r="C1548" t="s">
        <v>3789</v>
      </c>
      <c r="D1548" t="s">
        <v>9460</v>
      </c>
      <c r="E1548" t="s">
        <v>12278</v>
      </c>
      <c r="F1548" t="s">
        <v>9412</v>
      </c>
      <c r="G1548" t="s">
        <v>9413</v>
      </c>
      <c r="H1548" t="s">
        <v>3162</v>
      </c>
      <c r="I1548" t="s">
        <v>9813</v>
      </c>
      <c r="J1548" t="s">
        <v>3619</v>
      </c>
      <c r="K1548" t="s">
        <v>9416</v>
      </c>
      <c r="L1548" t="s">
        <v>9417</v>
      </c>
      <c r="M1548" t="s">
        <v>11624</v>
      </c>
      <c r="N1548" t="s">
        <v>9446</v>
      </c>
      <c r="O1548" t="s">
        <v>8577</v>
      </c>
      <c r="P1548" t="s">
        <v>9655</v>
      </c>
      <c r="Q1548" t="s">
        <v>9421</v>
      </c>
      <c r="R1548" t="s">
        <v>56</v>
      </c>
      <c r="S1548" t="s">
        <v>3786</v>
      </c>
      <c r="T1548" t="s">
        <v>3788</v>
      </c>
    </row>
    <row r="1549" spans="1:20">
      <c r="A1549" t="s">
        <v>12279</v>
      </c>
      <c r="B1549" t="s">
        <v>10645</v>
      </c>
      <c r="C1549" t="s">
        <v>12280</v>
      </c>
      <c r="D1549" t="s">
        <v>9410</v>
      </c>
      <c r="E1549" t="s">
        <v>12281</v>
      </c>
      <c r="F1549" t="s">
        <v>9601</v>
      </c>
      <c r="G1549" t="s">
        <v>9413</v>
      </c>
      <c r="H1549" t="s">
        <v>11516</v>
      </c>
      <c r="I1549" t="s">
        <v>10635</v>
      </c>
      <c r="J1549" t="s">
        <v>3619</v>
      </c>
      <c r="K1549" t="s">
        <v>9445</v>
      </c>
      <c r="L1549" t="s">
        <v>9417</v>
      </c>
      <c r="M1549" t="s">
        <v>11645</v>
      </c>
      <c r="N1549" t="s">
        <v>11605</v>
      </c>
      <c r="O1549" t="s">
        <v>9446</v>
      </c>
      <c r="P1549" t="s">
        <v>9603</v>
      </c>
      <c r="Q1549" t="s">
        <v>9421</v>
      </c>
      <c r="R1549" t="s">
        <v>9604</v>
      </c>
      <c r="S1549" t="s">
        <v>3485</v>
      </c>
      <c r="T1549" t="s">
        <v>12187</v>
      </c>
    </row>
    <row r="1550" spans="1:20">
      <c r="A1550" t="s">
        <v>3790</v>
      </c>
      <c r="B1550" t="s">
        <v>62</v>
      </c>
      <c r="C1550" t="s">
        <v>8583</v>
      </c>
      <c r="D1550" t="s">
        <v>9448</v>
      </c>
      <c r="E1550" t="s">
        <v>12282</v>
      </c>
      <c r="F1550" t="s">
        <v>9412</v>
      </c>
      <c r="G1550" t="s">
        <v>9413</v>
      </c>
      <c r="H1550" t="s">
        <v>11516</v>
      </c>
      <c r="I1550" t="s">
        <v>9466</v>
      </c>
      <c r="J1550" t="s">
        <v>3619</v>
      </c>
      <c r="K1550" t="s">
        <v>9416</v>
      </c>
      <c r="L1550" t="s">
        <v>9417</v>
      </c>
      <c r="M1550" t="s">
        <v>11649</v>
      </c>
      <c r="N1550" t="s">
        <v>9446</v>
      </c>
      <c r="O1550" t="s">
        <v>8581</v>
      </c>
      <c r="P1550" t="s">
        <v>9655</v>
      </c>
      <c r="Q1550" t="s">
        <v>9421</v>
      </c>
      <c r="R1550" t="s">
        <v>56</v>
      </c>
      <c r="S1550" t="s">
        <v>3790</v>
      </c>
      <c r="T1550" t="s">
        <v>3792</v>
      </c>
    </row>
    <row r="1551" spans="1:20">
      <c r="A1551" t="s">
        <v>12283</v>
      </c>
      <c r="B1551" t="s">
        <v>62</v>
      </c>
      <c r="C1551" t="s">
        <v>12284</v>
      </c>
      <c r="D1551" t="s">
        <v>9410</v>
      </c>
      <c r="E1551" t="s">
        <v>12285</v>
      </c>
      <c r="F1551" t="s">
        <v>9601</v>
      </c>
      <c r="G1551" t="s">
        <v>9413</v>
      </c>
      <c r="H1551" t="s">
        <v>3162</v>
      </c>
      <c r="I1551" t="s">
        <v>10628</v>
      </c>
      <c r="J1551" t="s">
        <v>3939</v>
      </c>
      <c r="K1551" t="s">
        <v>9445</v>
      </c>
      <c r="L1551" t="s">
        <v>9417</v>
      </c>
      <c r="M1551" t="s">
        <v>11583</v>
      </c>
      <c r="N1551" t="s">
        <v>11536</v>
      </c>
      <c r="O1551" t="s">
        <v>9446</v>
      </c>
      <c r="P1551" t="s">
        <v>9603</v>
      </c>
      <c r="Q1551" t="s">
        <v>9421</v>
      </c>
      <c r="R1551" t="s">
        <v>9604</v>
      </c>
      <c r="S1551" t="s">
        <v>12086</v>
      </c>
      <c r="T1551" t="s">
        <v>12087</v>
      </c>
    </row>
    <row r="1552" spans="1:20">
      <c r="A1552" t="s">
        <v>3330</v>
      </c>
      <c r="B1552" t="s">
        <v>20</v>
      </c>
      <c r="C1552" t="s">
        <v>8037</v>
      </c>
      <c r="D1552" t="s">
        <v>9455</v>
      </c>
      <c r="E1552" t="s">
        <v>12286</v>
      </c>
      <c r="F1552" t="s">
        <v>9412</v>
      </c>
      <c r="G1552" t="s">
        <v>9413</v>
      </c>
      <c r="H1552" t="s">
        <v>11516</v>
      </c>
      <c r="I1552" t="s">
        <v>9709</v>
      </c>
      <c r="J1552" t="s">
        <v>3161</v>
      </c>
      <c r="K1552" t="s">
        <v>9416</v>
      </c>
      <c r="L1552" t="s">
        <v>9417</v>
      </c>
      <c r="M1552" t="s">
        <v>11656</v>
      </c>
      <c r="N1552" t="s">
        <v>9446</v>
      </c>
      <c r="O1552" t="s">
        <v>8039</v>
      </c>
      <c r="P1552" t="s">
        <v>9655</v>
      </c>
      <c r="Q1552" t="s">
        <v>9421</v>
      </c>
      <c r="R1552" t="s">
        <v>56</v>
      </c>
      <c r="S1552" t="s">
        <v>3330</v>
      </c>
      <c r="T1552" t="s">
        <v>3333</v>
      </c>
    </row>
    <row r="1553" spans="1:20">
      <c r="A1553" t="s">
        <v>3330</v>
      </c>
      <c r="B1553" t="s">
        <v>20</v>
      </c>
      <c r="C1553" t="s">
        <v>8037</v>
      </c>
      <c r="D1553" t="s">
        <v>9455</v>
      </c>
      <c r="E1553" t="s">
        <v>12286</v>
      </c>
      <c r="F1553" t="s">
        <v>9412</v>
      </c>
      <c r="G1553" t="s">
        <v>9413</v>
      </c>
      <c r="H1553" t="s">
        <v>11516</v>
      </c>
      <c r="I1553" t="s">
        <v>9709</v>
      </c>
      <c r="J1553" t="s">
        <v>3161</v>
      </c>
      <c r="K1553" t="s">
        <v>9445</v>
      </c>
      <c r="L1553" t="s">
        <v>9417</v>
      </c>
      <c r="M1553" t="s">
        <v>11656</v>
      </c>
      <c r="N1553" t="s">
        <v>9426</v>
      </c>
      <c r="O1553" t="s">
        <v>9446</v>
      </c>
      <c r="P1553" t="s">
        <v>9479</v>
      </c>
      <c r="Q1553" t="s">
        <v>9421</v>
      </c>
      <c r="R1553" t="s">
        <v>43</v>
      </c>
      <c r="S1553" t="s">
        <v>3301</v>
      </c>
      <c r="T1553" t="s">
        <v>3303</v>
      </c>
    </row>
    <row r="1554" spans="1:20">
      <c r="A1554" t="s">
        <v>12287</v>
      </c>
      <c r="B1554" t="s">
        <v>9446</v>
      </c>
      <c r="C1554" t="s">
        <v>12288</v>
      </c>
      <c r="D1554" t="s">
        <v>9410</v>
      </c>
      <c r="E1554" t="s">
        <v>12289</v>
      </c>
      <c r="F1554" t="s">
        <v>9601</v>
      </c>
      <c r="G1554" t="s">
        <v>9413</v>
      </c>
      <c r="H1554" t="s">
        <v>11516</v>
      </c>
      <c r="I1554" t="s">
        <v>10635</v>
      </c>
      <c r="J1554" t="s">
        <v>3619</v>
      </c>
      <c r="K1554" t="s">
        <v>9445</v>
      </c>
      <c r="L1554" t="s">
        <v>9417</v>
      </c>
      <c r="M1554" t="s">
        <v>11817</v>
      </c>
      <c r="N1554" t="s">
        <v>11605</v>
      </c>
      <c r="O1554" t="s">
        <v>9446</v>
      </c>
      <c r="P1554" t="s">
        <v>9603</v>
      </c>
      <c r="Q1554" t="s">
        <v>9421</v>
      </c>
      <c r="R1554" t="s">
        <v>9604</v>
      </c>
      <c r="S1554" t="s">
        <v>3485</v>
      </c>
      <c r="T1554" t="s">
        <v>12187</v>
      </c>
    </row>
    <row r="1555" spans="1:20">
      <c r="A1555" t="s">
        <v>4033</v>
      </c>
      <c r="B1555" t="s">
        <v>62</v>
      </c>
      <c r="C1555" t="s">
        <v>12290</v>
      </c>
      <c r="D1555" t="s">
        <v>9448</v>
      </c>
      <c r="E1555" t="s">
        <v>12291</v>
      </c>
      <c r="F1555" t="s">
        <v>9412</v>
      </c>
      <c r="G1555" t="s">
        <v>9413</v>
      </c>
      <c r="H1555" t="s">
        <v>11516</v>
      </c>
      <c r="I1555" t="s">
        <v>9645</v>
      </c>
      <c r="J1555" t="s">
        <v>3939</v>
      </c>
      <c r="K1555" t="s">
        <v>9416</v>
      </c>
      <c r="L1555" t="s">
        <v>9417</v>
      </c>
      <c r="M1555" t="s">
        <v>11822</v>
      </c>
      <c r="N1555" t="s">
        <v>9446</v>
      </c>
      <c r="O1555" t="s">
        <v>8883</v>
      </c>
      <c r="P1555" t="s">
        <v>9655</v>
      </c>
      <c r="Q1555" t="s">
        <v>9421</v>
      </c>
      <c r="R1555" t="s">
        <v>56</v>
      </c>
      <c r="S1555" t="s">
        <v>4043</v>
      </c>
      <c r="T1555" t="s">
        <v>4045</v>
      </c>
    </row>
    <row r="1556" spans="1:20">
      <c r="A1556" t="s">
        <v>4033</v>
      </c>
      <c r="B1556" t="s">
        <v>62</v>
      </c>
      <c r="C1556" t="s">
        <v>12290</v>
      </c>
      <c r="D1556" t="s">
        <v>9448</v>
      </c>
      <c r="E1556" t="s">
        <v>12291</v>
      </c>
      <c r="F1556" t="s">
        <v>9412</v>
      </c>
      <c r="G1556" t="s">
        <v>9413</v>
      </c>
      <c r="H1556" t="s">
        <v>11516</v>
      </c>
      <c r="I1556" t="s">
        <v>9645</v>
      </c>
      <c r="J1556" t="s">
        <v>3939</v>
      </c>
      <c r="K1556" t="s">
        <v>9416</v>
      </c>
      <c r="L1556" t="s">
        <v>9417</v>
      </c>
      <c r="M1556" t="s">
        <v>11822</v>
      </c>
      <c r="N1556" t="s">
        <v>9446</v>
      </c>
      <c r="O1556" t="s">
        <v>8879</v>
      </c>
      <c r="P1556" t="s">
        <v>9655</v>
      </c>
      <c r="Q1556" t="s">
        <v>9421</v>
      </c>
      <c r="R1556" t="s">
        <v>56</v>
      </c>
      <c r="S1556" t="s">
        <v>3316</v>
      </c>
      <c r="T1556" t="s">
        <v>4039</v>
      </c>
    </row>
    <row r="1557" spans="1:20">
      <c r="A1557" t="s">
        <v>4033</v>
      </c>
      <c r="B1557" t="s">
        <v>62</v>
      </c>
      <c r="C1557" t="s">
        <v>12290</v>
      </c>
      <c r="D1557" t="s">
        <v>9448</v>
      </c>
      <c r="E1557" t="s">
        <v>12291</v>
      </c>
      <c r="F1557" t="s">
        <v>9412</v>
      </c>
      <c r="G1557" t="s">
        <v>9413</v>
      </c>
      <c r="H1557" t="s">
        <v>11516</v>
      </c>
      <c r="I1557" t="s">
        <v>9645</v>
      </c>
      <c r="J1557" t="s">
        <v>3939</v>
      </c>
      <c r="K1557" t="s">
        <v>9416</v>
      </c>
      <c r="L1557" t="s">
        <v>9417</v>
      </c>
      <c r="M1557" t="s">
        <v>11822</v>
      </c>
      <c r="N1557" t="s">
        <v>9446</v>
      </c>
      <c r="O1557" t="s">
        <v>8875</v>
      </c>
      <c r="P1557" t="s">
        <v>9655</v>
      </c>
      <c r="Q1557" t="s">
        <v>9421</v>
      </c>
      <c r="R1557" t="s">
        <v>56</v>
      </c>
      <c r="S1557" t="s">
        <v>4034</v>
      </c>
      <c r="T1557" t="s">
        <v>4036</v>
      </c>
    </row>
    <row r="1558" spans="1:20">
      <c r="A1558" t="s">
        <v>4033</v>
      </c>
      <c r="B1558" t="s">
        <v>62</v>
      </c>
      <c r="C1558" t="s">
        <v>12290</v>
      </c>
      <c r="D1558" t="s">
        <v>9448</v>
      </c>
      <c r="E1558" t="s">
        <v>12291</v>
      </c>
      <c r="F1558" t="s">
        <v>9412</v>
      </c>
      <c r="G1558" t="s">
        <v>9413</v>
      </c>
      <c r="H1558" t="s">
        <v>11516</v>
      </c>
      <c r="I1558" t="s">
        <v>9645</v>
      </c>
      <c r="J1558" t="s">
        <v>3939</v>
      </c>
      <c r="K1558" t="s">
        <v>9416</v>
      </c>
      <c r="L1558" t="s">
        <v>9417</v>
      </c>
      <c r="M1558" t="s">
        <v>11822</v>
      </c>
      <c r="N1558" t="s">
        <v>9446</v>
      </c>
      <c r="O1558" t="s">
        <v>8881</v>
      </c>
      <c r="P1558" t="s">
        <v>9655</v>
      </c>
      <c r="Q1558" t="s">
        <v>9421</v>
      </c>
      <c r="R1558" t="s">
        <v>56</v>
      </c>
      <c r="S1558" t="s">
        <v>4040</v>
      </c>
      <c r="T1558" t="s">
        <v>4042</v>
      </c>
    </row>
    <row r="1559" spans="1:20">
      <c r="A1559" t="s">
        <v>3494</v>
      </c>
      <c r="B1559" t="s">
        <v>62</v>
      </c>
      <c r="C1559" t="s">
        <v>8249</v>
      </c>
      <c r="D1559" t="s">
        <v>445</v>
      </c>
      <c r="E1559" t="s">
        <v>12292</v>
      </c>
      <c r="F1559" t="s">
        <v>9412</v>
      </c>
      <c r="G1559" t="s">
        <v>9413</v>
      </c>
      <c r="H1559" t="s">
        <v>11516</v>
      </c>
      <c r="I1559" t="s">
        <v>10476</v>
      </c>
      <c r="J1559" t="s">
        <v>3399</v>
      </c>
      <c r="K1559" t="s">
        <v>9416</v>
      </c>
      <c r="L1559" t="s">
        <v>9417</v>
      </c>
      <c r="M1559" t="s">
        <v>11858</v>
      </c>
      <c r="N1559" t="s">
        <v>11550</v>
      </c>
      <c r="O1559" t="s">
        <v>8247</v>
      </c>
      <c r="P1559" t="s">
        <v>9623</v>
      </c>
      <c r="Q1559" t="s">
        <v>9421</v>
      </c>
      <c r="R1559" t="s">
        <v>24</v>
      </c>
      <c r="S1559" t="s">
        <v>3494</v>
      </c>
      <c r="T1559" t="s">
        <v>3496</v>
      </c>
    </row>
    <row r="1560" spans="1:20">
      <c r="A1560" t="s">
        <v>3494</v>
      </c>
      <c r="B1560" t="s">
        <v>62</v>
      </c>
      <c r="C1560" t="s">
        <v>8249</v>
      </c>
      <c r="D1560" t="s">
        <v>445</v>
      </c>
      <c r="E1560" t="s">
        <v>12292</v>
      </c>
      <c r="F1560" t="s">
        <v>9412</v>
      </c>
      <c r="G1560" t="s">
        <v>9413</v>
      </c>
      <c r="H1560" t="s">
        <v>11516</v>
      </c>
      <c r="I1560" t="s">
        <v>10476</v>
      </c>
      <c r="J1560" t="s">
        <v>3399</v>
      </c>
      <c r="K1560" t="s">
        <v>9445</v>
      </c>
      <c r="L1560" t="s">
        <v>9417</v>
      </c>
      <c r="M1560" t="s">
        <v>11858</v>
      </c>
      <c r="N1560" t="s">
        <v>9426</v>
      </c>
      <c r="O1560" t="s">
        <v>9446</v>
      </c>
      <c r="P1560" t="s">
        <v>9479</v>
      </c>
      <c r="Q1560" t="s">
        <v>9421</v>
      </c>
      <c r="R1560" t="s">
        <v>43</v>
      </c>
      <c r="S1560" t="s">
        <v>3498</v>
      </c>
      <c r="T1560" t="s">
        <v>3500</v>
      </c>
    </row>
    <row r="1561" spans="1:20">
      <c r="A1561" t="s">
        <v>3906</v>
      </c>
      <c r="B1561" t="s">
        <v>20</v>
      </c>
      <c r="C1561" t="s">
        <v>8722</v>
      </c>
      <c r="D1561" t="s">
        <v>9455</v>
      </c>
      <c r="E1561" t="s">
        <v>12293</v>
      </c>
      <c r="F1561" t="s">
        <v>9412</v>
      </c>
      <c r="G1561" t="s">
        <v>9413</v>
      </c>
      <c r="H1561" t="s">
        <v>11516</v>
      </c>
      <c r="I1561" t="s">
        <v>10822</v>
      </c>
      <c r="J1561" t="s">
        <v>3808</v>
      </c>
      <c r="K1561" t="s">
        <v>9416</v>
      </c>
      <c r="L1561" t="s">
        <v>9417</v>
      </c>
      <c r="M1561" t="s">
        <v>11686</v>
      </c>
      <c r="N1561" t="s">
        <v>9446</v>
      </c>
      <c r="O1561" t="s">
        <v>8720</v>
      </c>
      <c r="P1561" t="s">
        <v>9655</v>
      </c>
      <c r="Q1561" t="s">
        <v>9421</v>
      </c>
      <c r="R1561" t="s">
        <v>56</v>
      </c>
      <c r="S1561" t="s">
        <v>3906</v>
      </c>
      <c r="T1561" t="s">
        <v>3908</v>
      </c>
    </row>
    <row r="1562" spans="1:20">
      <c r="A1562" t="s">
        <v>3501</v>
      </c>
      <c r="B1562" t="s">
        <v>62</v>
      </c>
      <c r="C1562" t="s">
        <v>8252</v>
      </c>
      <c r="D1562" t="s">
        <v>445</v>
      </c>
      <c r="E1562" t="s">
        <v>12294</v>
      </c>
      <c r="F1562" t="s">
        <v>9412</v>
      </c>
      <c r="G1562" t="s">
        <v>9413</v>
      </c>
      <c r="H1562" t="s">
        <v>11516</v>
      </c>
      <c r="I1562" t="s">
        <v>10890</v>
      </c>
      <c r="J1562" t="s">
        <v>3399</v>
      </c>
      <c r="K1562" t="s">
        <v>9416</v>
      </c>
      <c r="L1562" t="s">
        <v>9417</v>
      </c>
      <c r="M1562" t="s">
        <v>11858</v>
      </c>
      <c r="N1562" t="s">
        <v>9446</v>
      </c>
      <c r="O1562" t="s">
        <v>8254</v>
      </c>
      <c r="P1562" t="s">
        <v>9655</v>
      </c>
      <c r="Q1562" t="s">
        <v>9421</v>
      </c>
      <c r="R1562" t="s">
        <v>56</v>
      </c>
      <c r="S1562" t="s">
        <v>3503</v>
      </c>
      <c r="T1562" t="s">
        <v>3505</v>
      </c>
    </row>
    <row r="1563" spans="1:20">
      <c r="A1563" t="s">
        <v>3501</v>
      </c>
      <c r="B1563" t="s">
        <v>62</v>
      </c>
      <c r="C1563" t="s">
        <v>8252</v>
      </c>
      <c r="D1563" t="s">
        <v>445</v>
      </c>
      <c r="E1563" t="s">
        <v>12294</v>
      </c>
      <c r="F1563" t="s">
        <v>9412</v>
      </c>
      <c r="G1563" t="s">
        <v>9413</v>
      </c>
      <c r="H1563" t="s">
        <v>11516</v>
      </c>
      <c r="I1563" t="s">
        <v>10890</v>
      </c>
      <c r="J1563" t="s">
        <v>3399</v>
      </c>
      <c r="K1563" t="s">
        <v>9445</v>
      </c>
      <c r="L1563" t="s">
        <v>9417</v>
      </c>
      <c r="M1563" t="s">
        <v>11858</v>
      </c>
      <c r="N1563" t="s">
        <v>9426</v>
      </c>
      <c r="O1563" t="s">
        <v>9446</v>
      </c>
      <c r="P1563" t="s">
        <v>9479</v>
      </c>
      <c r="Q1563" t="s">
        <v>9421</v>
      </c>
      <c r="R1563" t="s">
        <v>43</v>
      </c>
      <c r="S1563" t="s">
        <v>3174</v>
      </c>
      <c r="T1563" t="s">
        <v>3176</v>
      </c>
    </row>
    <row r="1564" spans="1:20">
      <c r="A1564" t="s">
        <v>3334</v>
      </c>
      <c r="B1564" t="s">
        <v>62</v>
      </c>
      <c r="C1564" t="s">
        <v>8049</v>
      </c>
      <c r="D1564" t="s">
        <v>445</v>
      </c>
      <c r="E1564" t="s">
        <v>12295</v>
      </c>
      <c r="F1564" t="s">
        <v>9412</v>
      </c>
      <c r="G1564" t="s">
        <v>9413</v>
      </c>
      <c r="H1564" t="s">
        <v>11516</v>
      </c>
      <c r="I1564" t="s">
        <v>10286</v>
      </c>
      <c r="J1564" t="s">
        <v>3161</v>
      </c>
      <c r="K1564" t="s">
        <v>9416</v>
      </c>
      <c r="L1564" t="s">
        <v>9417</v>
      </c>
      <c r="M1564" t="s">
        <v>11744</v>
      </c>
      <c r="N1564" t="s">
        <v>9446</v>
      </c>
      <c r="O1564" t="s">
        <v>8047</v>
      </c>
      <c r="P1564" t="s">
        <v>9655</v>
      </c>
      <c r="Q1564" t="s">
        <v>9421</v>
      </c>
      <c r="R1564" t="s">
        <v>56</v>
      </c>
      <c r="S1564" t="s">
        <v>3334</v>
      </c>
      <c r="T1564" t="s">
        <v>3336</v>
      </c>
    </row>
    <row r="1565" spans="1:20">
      <c r="A1565" t="s">
        <v>3334</v>
      </c>
      <c r="B1565" t="s">
        <v>62</v>
      </c>
      <c r="C1565" t="s">
        <v>8049</v>
      </c>
      <c r="D1565" t="s">
        <v>445</v>
      </c>
      <c r="E1565" t="s">
        <v>12295</v>
      </c>
      <c r="F1565" t="s">
        <v>9412</v>
      </c>
      <c r="G1565" t="s">
        <v>9413</v>
      </c>
      <c r="H1565" t="s">
        <v>11516</v>
      </c>
      <c r="I1565" t="s">
        <v>10286</v>
      </c>
      <c r="J1565" t="s">
        <v>3161</v>
      </c>
      <c r="K1565" t="s">
        <v>9416</v>
      </c>
      <c r="L1565" t="s">
        <v>9417</v>
      </c>
      <c r="M1565" t="s">
        <v>11744</v>
      </c>
      <c r="N1565" t="s">
        <v>9446</v>
      </c>
      <c r="O1565" t="s">
        <v>8051</v>
      </c>
      <c r="P1565" t="s">
        <v>9651</v>
      </c>
      <c r="Q1565" t="s">
        <v>9421</v>
      </c>
      <c r="R1565" t="s">
        <v>56</v>
      </c>
      <c r="S1565" t="s">
        <v>3338</v>
      </c>
      <c r="T1565" t="s">
        <v>3340</v>
      </c>
    </row>
    <row r="1566" spans="1:20">
      <c r="A1566" t="s">
        <v>3614</v>
      </c>
      <c r="B1566" t="s">
        <v>62</v>
      </c>
      <c r="C1566" t="s">
        <v>8397</v>
      </c>
      <c r="D1566" t="s">
        <v>445</v>
      </c>
      <c r="E1566" t="s">
        <v>12296</v>
      </c>
      <c r="F1566" t="s">
        <v>9412</v>
      </c>
      <c r="G1566" t="s">
        <v>9413</v>
      </c>
      <c r="H1566" t="s">
        <v>11516</v>
      </c>
      <c r="I1566" t="s">
        <v>9714</v>
      </c>
      <c r="J1566" t="s">
        <v>3506</v>
      </c>
      <c r="K1566" t="s">
        <v>9445</v>
      </c>
      <c r="L1566" t="s">
        <v>9417</v>
      </c>
      <c r="M1566" t="s">
        <v>11794</v>
      </c>
      <c r="N1566" t="s">
        <v>9426</v>
      </c>
      <c r="O1566" t="s">
        <v>9446</v>
      </c>
      <c r="P1566" t="s">
        <v>9479</v>
      </c>
      <c r="Q1566" t="s">
        <v>9421</v>
      </c>
      <c r="R1566" t="s">
        <v>43</v>
      </c>
      <c r="S1566" t="s">
        <v>3597</v>
      </c>
      <c r="T1566" t="s">
        <v>3599</v>
      </c>
    </row>
    <row r="1567" spans="1:20">
      <c r="A1567" t="s">
        <v>3614</v>
      </c>
      <c r="B1567" t="s">
        <v>62</v>
      </c>
      <c r="C1567" t="s">
        <v>8397</v>
      </c>
      <c r="D1567" t="s">
        <v>445</v>
      </c>
      <c r="E1567" t="s">
        <v>12296</v>
      </c>
      <c r="F1567" t="s">
        <v>9412</v>
      </c>
      <c r="G1567" t="s">
        <v>9413</v>
      </c>
      <c r="H1567" t="s">
        <v>11516</v>
      </c>
      <c r="I1567" t="s">
        <v>9714</v>
      </c>
      <c r="J1567" t="s">
        <v>3506</v>
      </c>
      <c r="K1567" t="s">
        <v>9416</v>
      </c>
      <c r="L1567" t="s">
        <v>9417</v>
      </c>
      <c r="M1567" t="s">
        <v>11794</v>
      </c>
      <c r="N1567" t="s">
        <v>9446</v>
      </c>
      <c r="O1567" t="s">
        <v>8395</v>
      </c>
      <c r="P1567" t="s">
        <v>9655</v>
      </c>
      <c r="Q1567" t="s">
        <v>9421</v>
      </c>
      <c r="R1567" t="s">
        <v>56</v>
      </c>
      <c r="S1567" t="s">
        <v>3614</v>
      </c>
      <c r="T1567" t="s">
        <v>3616</v>
      </c>
    </row>
    <row r="1568" spans="1:20">
      <c r="A1568" t="s">
        <v>4167</v>
      </c>
      <c r="B1568" t="s">
        <v>62</v>
      </c>
      <c r="C1568" t="s">
        <v>12297</v>
      </c>
      <c r="D1568" t="s">
        <v>445</v>
      </c>
      <c r="E1568" t="s">
        <v>12298</v>
      </c>
      <c r="F1568" t="s">
        <v>9412</v>
      </c>
      <c r="G1568" t="s">
        <v>9413</v>
      </c>
      <c r="H1568" t="s">
        <v>11516</v>
      </c>
      <c r="I1568" t="s">
        <v>10205</v>
      </c>
      <c r="J1568" t="s">
        <v>4051</v>
      </c>
      <c r="K1568" t="s">
        <v>9416</v>
      </c>
      <c r="L1568" t="s">
        <v>9417</v>
      </c>
      <c r="M1568" t="s">
        <v>11668</v>
      </c>
      <c r="N1568" t="s">
        <v>9446</v>
      </c>
      <c r="O1568" t="s">
        <v>9040</v>
      </c>
      <c r="P1568" t="s">
        <v>9655</v>
      </c>
      <c r="Q1568" t="s">
        <v>9421</v>
      </c>
      <c r="R1568" t="s">
        <v>56</v>
      </c>
      <c r="S1568" t="s">
        <v>4168</v>
      </c>
      <c r="T1568" t="s">
        <v>4170</v>
      </c>
    </row>
    <row r="1569" spans="1:20">
      <c r="A1569" t="s">
        <v>4167</v>
      </c>
      <c r="B1569" t="s">
        <v>62</v>
      </c>
      <c r="C1569" t="s">
        <v>12297</v>
      </c>
      <c r="D1569" t="s">
        <v>445</v>
      </c>
      <c r="E1569" t="s">
        <v>12298</v>
      </c>
      <c r="F1569" t="s">
        <v>9412</v>
      </c>
      <c r="G1569" t="s">
        <v>9413</v>
      </c>
      <c r="H1569" t="s">
        <v>11516</v>
      </c>
      <c r="I1569" t="s">
        <v>10205</v>
      </c>
      <c r="J1569" t="s">
        <v>4051</v>
      </c>
      <c r="K1569" t="s">
        <v>9445</v>
      </c>
      <c r="L1569" t="s">
        <v>9417</v>
      </c>
      <c r="M1569" t="s">
        <v>11668</v>
      </c>
      <c r="N1569" t="s">
        <v>9426</v>
      </c>
      <c r="O1569" t="s">
        <v>9446</v>
      </c>
      <c r="P1569" t="s">
        <v>9479</v>
      </c>
      <c r="Q1569" t="s">
        <v>9421</v>
      </c>
      <c r="R1569" t="s">
        <v>43</v>
      </c>
      <c r="S1569" t="s">
        <v>3498</v>
      </c>
      <c r="T1569" t="s">
        <v>3500</v>
      </c>
    </row>
    <row r="1570" spans="1:20">
      <c r="A1570" t="s">
        <v>4172</v>
      </c>
      <c r="B1570" t="s">
        <v>62</v>
      </c>
      <c r="C1570" t="s">
        <v>4175</v>
      </c>
      <c r="D1570" t="s">
        <v>12299</v>
      </c>
      <c r="E1570" t="s">
        <v>12300</v>
      </c>
      <c r="F1570" t="s">
        <v>9412</v>
      </c>
      <c r="G1570" t="s">
        <v>9413</v>
      </c>
      <c r="H1570" t="s">
        <v>3162</v>
      </c>
      <c r="I1570" t="s">
        <v>10597</v>
      </c>
      <c r="J1570" t="s">
        <v>4051</v>
      </c>
      <c r="K1570" t="s">
        <v>9416</v>
      </c>
      <c r="L1570" t="s">
        <v>9417</v>
      </c>
      <c r="M1570" t="s">
        <v>11744</v>
      </c>
      <c r="N1570" t="s">
        <v>9446</v>
      </c>
      <c r="O1570" t="s">
        <v>9044</v>
      </c>
      <c r="P1570" t="s">
        <v>9655</v>
      </c>
      <c r="Q1570" t="s">
        <v>9421</v>
      </c>
      <c r="R1570" t="s">
        <v>56</v>
      </c>
      <c r="S1570" t="s">
        <v>4172</v>
      </c>
      <c r="T1570" t="s">
        <v>4174</v>
      </c>
    </row>
    <row r="1571" spans="1:20">
      <c r="A1571" t="s">
        <v>3341</v>
      </c>
      <c r="B1571" t="s">
        <v>62</v>
      </c>
      <c r="C1571" t="s">
        <v>12301</v>
      </c>
      <c r="D1571" t="s">
        <v>445</v>
      </c>
      <c r="E1571" t="s">
        <v>12302</v>
      </c>
      <c r="F1571" t="s">
        <v>9412</v>
      </c>
      <c r="G1571" t="s">
        <v>9413</v>
      </c>
      <c r="H1571" t="s">
        <v>11516</v>
      </c>
      <c r="I1571" t="s">
        <v>10286</v>
      </c>
      <c r="J1571" t="s">
        <v>3161</v>
      </c>
      <c r="K1571" t="s">
        <v>9445</v>
      </c>
      <c r="L1571" t="s">
        <v>9417</v>
      </c>
      <c r="M1571" t="s">
        <v>11517</v>
      </c>
      <c r="N1571" t="s">
        <v>9426</v>
      </c>
      <c r="O1571" t="s">
        <v>9446</v>
      </c>
      <c r="P1571" t="s">
        <v>9655</v>
      </c>
      <c r="Q1571" t="s">
        <v>9421</v>
      </c>
      <c r="R1571" t="s">
        <v>56</v>
      </c>
      <c r="S1571" t="s">
        <v>3345</v>
      </c>
      <c r="T1571" t="s">
        <v>3347</v>
      </c>
    </row>
    <row r="1572" spans="1:20">
      <c r="A1572" t="s">
        <v>3341</v>
      </c>
      <c r="B1572" t="s">
        <v>62</v>
      </c>
      <c r="C1572" t="s">
        <v>12301</v>
      </c>
      <c r="D1572" t="s">
        <v>445</v>
      </c>
      <c r="E1572" t="s">
        <v>12302</v>
      </c>
      <c r="F1572" t="s">
        <v>9412</v>
      </c>
      <c r="G1572" t="s">
        <v>9413</v>
      </c>
      <c r="H1572" t="s">
        <v>11516</v>
      </c>
      <c r="I1572" t="s">
        <v>10286</v>
      </c>
      <c r="J1572" t="s">
        <v>3161</v>
      </c>
      <c r="K1572" t="s">
        <v>9416</v>
      </c>
      <c r="L1572" t="s">
        <v>9417</v>
      </c>
      <c r="M1572" t="s">
        <v>11517</v>
      </c>
      <c r="N1572" t="s">
        <v>9446</v>
      </c>
      <c r="O1572" t="s">
        <v>8053</v>
      </c>
      <c r="P1572" t="s">
        <v>9651</v>
      </c>
      <c r="Q1572" t="s">
        <v>9421</v>
      </c>
      <c r="R1572" t="s">
        <v>56</v>
      </c>
      <c r="S1572" t="s">
        <v>3341</v>
      </c>
      <c r="T1572" t="s">
        <v>3343</v>
      </c>
    </row>
    <row r="1573" spans="1:20">
      <c r="A1573" t="s">
        <v>3794</v>
      </c>
      <c r="B1573" t="s">
        <v>20</v>
      </c>
      <c r="C1573" t="s">
        <v>3798</v>
      </c>
      <c r="D1573" t="s">
        <v>9460</v>
      </c>
      <c r="E1573" t="s">
        <v>12303</v>
      </c>
      <c r="F1573" t="s">
        <v>9601</v>
      </c>
      <c r="G1573" t="s">
        <v>9413</v>
      </c>
      <c r="H1573" t="s">
        <v>3162</v>
      </c>
      <c r="I1573" t="s">
        <v>10628</v>
      </c>
      <c r="J1573" t="s">
        <v>3619</v>
      </c>
      <c r="K1573" t="s">
        <v>9416</v>
      </c>
      <c r="L1573" t="s">
        <v>9417</v>
      </c>
      <c r="M1573" t="s">
        <v>11753</v>
      </c>
      <c r="N1573" t="s">
        <v>11605</v>
      </c>
      <c r="O1573" t="s">
        <v>8586</v>
      </c>
      <c r="P1573" t="s">
        <v>9420</v>
      </c>
      <c r="Q1573" t="s">
        <v>9421</v>
      </c>
      <c r="R1573" t="s">
        <v>17</v>
      </c>
      <c r="S1573" t="s">
        <v>8585</v>
      </c>
      <c r="T1573" t="s">
        <v>12303</v>
      </c>
    </row>
    <row r="1574" spans="1:20">
      <c r="A1574" t="s">
        <v>12304</v>
      </c>
      <c r="B1574" t="s">
        <v>9409</v>
      </c>
      <c r="C1574" t="s">
        <v>12305</v>
      </c>
      <c r="D1574" t="s">
        <v>9410</v>
      </c>
      <c r="E1574" t="s">
        <v>12306</v>
      </c>
      <c r="F1574" t="s">
        <v>9412</v>
      </c>
      <c r="G1574" t="s">
        <v>9413</v>
      </c>
      <c r="H1574" t="s">
        <v>11516</v>
      </c>
      <c r="I1574" t="s">
        <v>11638</v>
      </c>
      <c r="J1574" t="s">
        <v>3808</v>
      </c>
      <c r="K1574" t="s">
        <v>9416</v>
      </c>
      <c r="L1574" t="s">
        <v>9417</v>
      </c>
      <c r="M1574" t="s">
        <v>11686</v>
      </c>
      <c r="N1574" t="s">
        <v>9446</v>
      </c>
      <c r="O1574" t="s">
        <v>12307</v>
      </c>
      <c r="P1574" t="s">
        <v>9651</v>
      </c>
      <c r="Q1574" t="s">
        <v>9421</v>
      </c>
      <c r="R1574" t="s">
        <v>56</v>
      </c>
      <c r="S1574" t="s">
        <v>12308</v>
      </c>
      <c r="T1574" t="s">
        <v>12309</v>
      </c>
    </row>
    <row r="1575" spans="1:20">
      <c r="A1575" t="s">
        <v>3348</v>
      </c>
      <c r="B1575" t="s">
        <v>62</v>
      </c>
      <c r="C1575" t="s">
        <v>8061</v>
      </c>
      <c r="D1575" t="s">
        <v>9448</v>
      </c>
      <c r="E1575" t="s">
        <v>12310</v>
      </c>
      <c r="F1575" t="s">
        <v>9412</v>
      </c>
      <c r="G1575" t="s">
        <v>9413</v>
      </c>
      <c r="H1575" t="s">
        <v>11516</v>
      </c>
      <c r="I1575" t="s">
        <v>10562</v>
      </c>
      <c r="J1575" t="s">
        <v>3161</v>
      </c>
      <c r="K1575" t="s">
        <v>9416</v>
      </c>
      <c r="L1575" t="s">
        <v>9417</v>
      </c>
      <c r="M1575" t="s">
        <v>11744</v>
      </c>
      <c r="N1575" t="s">
        <v>9446</v>
      </c>
      <c r="O1575" t="s">
        <v>8059</v>
      </c>
      <c r="P1575" t="s">
        <v>9651</v>
      </c>
      <c r="Q1575" t="s">
        <v>9421</v>
      </c>
      <c r="R1575" t="s">
        <v>56</v>
      </c>
      <c r="S1575" t="s">
        <v>3348</v>
      </c>
      <c r="T1575" t="s">
        <v>3350</v>
      </c>
    </row>
    <row r="1576" spans="1:20">
      <c r="A1576" t="s">
        <v>12311</v>
      </c>
      <c r="B1576" t="s">
        <v>62</v>
      </c>
      <c r="C1576" t="s">
        <v>12312</v>
      </c>
      <c r="D1576" t="s">
        <v>9410</v>
      </c>
      <c r="E1576" t="s">
        <v>12313</v>
      </c>
      <c r="F1576" t="s">
        <v>9601</v>
      </c>
      <c r="G1576" t="s">
        <v>9413</v>
      </c>
      <c r="H1576" t="s">
        <v>11516</v>
      </c>
      <c r="I1576" t="s">
        <v>9709</v>
      </c>
      <c r="J1576" t="s">
        <v>3808</v>
      </c>
      <c r="K1576" t="s">
        <v>9445</v>
      </c>
      <c r="L1576" t="s">
        <v>9417</v>
      </c>
      <c r="M1576" t="s">
        <v>11709</v>
      </c>
      <c r="N1576" t="s">
        <v>11514</v>
      </c>
      <c r="O1576" t="s">
        <v>9446</v>
      </c>
      <c r="P1576" t="s">
        <v>9603</v>
      </c>
      <c r="Q1576" t="s">
        <v>9421</v>
      </c>
      <c r="R1576" t="s">
        <v>9604</v>
      </c>
      <c r="S1576" t="s">
        <v>3758</v>
      </c>
      <c r="T1576" t="s">
        <v>12118</v>
      </c>
    </row>
    <row r="1577" spans="1:20">
      <c r="A1577" t="s">
        <v>3352</v>
      </c>
      <c r="B1577" t="s">
        <v>20</v>
      </c>
      <c r="C1577" t="s">
        <v>8065</v>
      </c>
      <c r="D1577" t="s">
        <v>9666</v>
      </c>
      <c r="E1577" t="s">
        <v>12314</v>
      </c>
      <c r="F1577" t="s">
        <v>9412</v>
      </c>
      <c r="G1577" t="s">
        <v>9413</v>
      </c>
      <c r="H1577" t="s">
        <v>11516</v>
      </c>
      <c r="I1577" t="s">
        <v>9469</v>
      </c>
      <c r="J1577" t="s">
        <v>3161</v>
      </c>
      <c r="K1577" t="s">
        <v>9416</v>
      </c>
      <c r="L1577" t="s">
        <v>9417</v>
      </c>
      <c r="M1577" t="s">
        <v>11744</v>
      </c>
      <c r="N1577" t="s">
        <v>9446</v>
      </c>
      <c r="O1577" t="s">
        <v>8063</v>
      </c>
      <c r="P1577" t="s">
        <v>9655</v>
      </c>
      <c r="Q1577" t="s">
        <v>9421</v>
      </c>
      <c r="R1577" t="s">
        <v>56</v>
      </c>
      <c r="S1577" t="s">
        <v>3352</v>
      </c>
      <c r="T1577" t="s">
        <v>3354</v>
      </c>
    </row>
    <row r="1578" spans="1:20">
      <c r="A1578" t="s">
        <v>3910</v>
      </c>
      <c r="B1578" t="s">
        <v>20</v>
      </c>
      <c r="C1578" t="s">
        <v>8726</v>
      </c>
      <c r="D1578" t="s">
        <v>9464</v>
      </c>
      <c r="E1578" t="s">
        <v>12315</v>
      </c>
      <c r="F1578" t="s">
        <v>9412</v>
      </c>
      <c r="G1578" t="s">
        <v>9413</v>
      </c>
      <c r="H1578" t="s">
        <v>11516</v>
      </c>
      <c r="I1578" t="s">
        <v>10265</v>
      </c>
      <c r="J1578" t="s">
        <v>3808</v>
      </c>
      <c r="K1578" t="s">
        <v>9445</v>
      </c>
      <c r="L1578" t="s">
        <v>9417</v>
      </c>
      <c r="M1578" t="s">
        <v>11686</v>
      </c>
      <c r="N1578" t="s">
        <v>9426</v>
      </c>
      <c r="O1578" t="s">
        <v>9446</v>
      </c>
      <c r="P1578" t="s">
        <v>9655</v>
      </c>
      <c r="Q1578" t="s">
        <v>9421</v>
      </c>
      <c r="R1578" t="s">
        <v>56</v>
      </c>
      <c r="S1578" t="s">
        <v>3383</v>
      </c>
      <c r="T1578" t="s">
        <v>3385</v>
      </c>
    </row>
    <row r="1579" spans="1:20">
      <c r="A1579" t="s">
        <v>3910</v>
      </c>
      <c r="B1579" t="s">
        <v>20</v>
      </c>
      <c r="C1579" t="s">
        <v>8726</v>
      </c>
      <c r="D1579" t="s">
        <v>9464</v>
      </c>
      <c r="E1579" t="s">
        <v>12315</v>
      </c>
      <c r="F1579" t="s">
        <v>9412</v>
      </c>
      <c r="G1579" t="s">
        <v>9413</v>
      </c>
      <c r="H1579" t="s">
        <v>11516</v>
      </c>
      <c r="I1579" t="s">
        <v>10265</v>
      </c>
      <c r="J1579" t="s">
        <v>3808</v>
      </c>
      <c r="K1579" t="s">
        <v>9416</v>
      </c>
      <c r="L1579" t="s">
        <v>9417</v>
      </c>
      <c r="M1579" t="s">
        <v>11686</v>
      </c>
      <c r="N1579" t="s">
        <v>9446</v>
      </c>
      <c r="O1579" t="s">
        <v>8724</v>
      </c>
      <c r="P1579" t="s">
        <v>9655</v>
      </c>
      <c r="Q1579" t="s">
        <v>9421</v>
      </c>
      <c r="R1579" t="s">
        <v>56</v>
      </c>
      <c r="S1579" t="s">
        <v>3910</v>
      </c>
      <c r="T1579" t="s">
        <v>3912</v>
      </c>
    </row>
    <row r="1580" spans="1:20">
      <c r="A1580" t="s">
        <v>4046</v>
      </c>
      <c r="B1580" t="s">
        <v>20</v>
      </c>
      <c r="C1580" t="s">
        <v>4050</v>
      </c>
      <c r="D1580" t="s">
        <v>9460</v>
      </c>
      <c r="E1580" t="s">
        <v>12316</v>
      </c>
      <c r="F1580" t="s">
        <v>9601</v>
      </c>
      <c r="G1580" t="s">
        <v>9413</v>
      </c>
      <c r="H1580" t="s">
        <v>3162</v>
      </c>
      <c r="I1580" t="s">
        <v>10470</v>
      </c>
      <c r="J1580" t="s">
        <v>3939</v>
      </c>
      <c r="K1580" t="s">
        <v>9416</v>
      </c>
      <c r="L1580" t="s">
        <v>9417</v>
      </c>
      <c r="M1580" t="s">
        <v>11572</v>
      </c>
      <c r="N1580" t="s">
        <v>9446</v>
      </c>
      <c r="O1580" t="s">
        <v>8885</v>
      </c>
      <c r="P1580" t="s">
        <v>9647</v>
      </c>
      <c r="Q1580" t="s">
        <v>9421</v>
      </c>
      <c r="R1580" t="s">
        <v>84</v>
      </c>
      <c r="S1580" t="s">
        <v>4047</v>
      </c>
      <c r="T1580" t="s">
        <v>4049</v>
      </c>
    </row>
    <row r="1581" spans="1:20">
      <c r="A1581" t="s">
        <v>12317</v>
      </c>
      <c r="B1581" t="s">
        <v>9409</v>
      </c>
      <c r="C1581" t="s">
        <v>12318</v>
      </c>
      <c r="D1581" t="s">
        <v>9410</v>
      </c>
      <c r="E1581" t="s">
        <v>12319</v>
      </c>
      <c r="F1581" t="s">
        <v>9601</v>
      </c>
      <c r="G1581" t="s">
        <v>9413</v>
      </c>
      <c r="H1581" t="s">
        <v>3162</v>
      </c>
      <c r="I1581" t="s">
        <v>11478</v>
      </c>
      <c r="J1581" t="s">
        <v>3619</v>
      </c>
      <c r="K1581" t="s">
        <v>9416</v>
      </c>
      <c r="L1581" t="s">
        <v>9417</v>
      </c>
      <c r="M1581" t="s">
        <v>11634</v>
      </c>
      <c r="N1581" t="s">
        <v>9446</v>
      </c>
      <c r="O1581" t="s">
        <v>12320</v>
      </c>
      <c r="P1581" t="s">
        <v>9655</v>
      </c>
      <c r="Q1581" t="s">
        <v>9421</v>
      </c>
      <c r="R1581" t="s">
        <v>56</v>
      </c>
      <c r="S1581" t="s">
        <v>12321</v>
      </c>
      <c r="T1581" t="s">
        <v>12322</v>
      </c>
    </row>
    <row r="1582" spans="1:20">
      <c r="A1582" t="s">
        <v>3799</v>
      </c>
      <c r="B1582" t="s">
        <v>62</v>
      </c>
      <c r="C1582" t="s">
        <v>12323</v>
      </c>
      <c r="D1582" t="s">
        <v>445</v>
      </c>
      <c r="E1582" t="s">
        <v>12324</v>
      </c>
      <c r="F1582" t="s">
        <v>9412</v>
      </c>
      <c r="G1582" t="s">
        <v>9413</v>
      </c>
      <c r="H1582" t="s">
        <v>11516</v>
      </c>
      <c r="I1582" t="s">
        <v>12004</v>
      </c>
      <c r="J1582" t="s">
        <v>3619</v>
      </c>
      <c r="K1582" t="s">
        <v>9445</v>
      </c>
      <c r="L1582" t="s">
        <v>9417</v>
      </c>
      <c r="M1582" t="s">
        <v>11651</v>
      </c>
      <c r="N1582" t="s">
        <v>9426</v>
      </c>
      <c r="O1582" t="s">
        <v>9446</v>
      </c>
      <c r="P1582" t="s">
        <v>9479</v>
      </c>
      <c r="Q1582" t="s">
        <v>9421</v>
      </c>
      <c r="R1582" t="s">
        <v>43</v>
      </c>
      <c r="S1582" t="s">
        <v>3416</v>
      </c>
      <c r="T1582" t="s">
        <v>3418</v>
      </c>
    </row>
    <row r="1583" spans="1:20">
      <c r="A1583" t="s">
        <v>3799</v>
      </c>
      <c r="B1583" t="s">
        <v>62</v>
      </c>
      <c r="C1583" t="s">
        <v>12323</v>
      </c>
      <c r="D1583" t="s">
        <v>445</v>
      </c>
      <c r="E1583" t="s">
        <v>12324</v>
      </c>
      <c r="F1583" t="s">
        <v>9412</v>
      </c>
      <c r="G1583" t="s">
        <v>9413</v>
      </c>
      <c r="H1583" t="s">
        <v>11516</v>
      </c>
      <c r="I1583" t="s">
        <v>12004</v>
      </c>
      <c r="J1583" t="s">
        <v>3619</v>
      </c>
      <c r="K1583" t="s">
        <v>9416</v>
      </c>
      <c r="L1583" t="s">
        <v>9417</v>
      </c>
      <c r="M1583" t="s">
        <v>11651</v>
      </c>
      <c r="N1583" t="s">
        <v>9446</v>
      </c>
      <c r="O1583" t="s">
        <v>8592</v>
      </c>
      <c r="P1583" t="s">
        <v>9655</v>
      </c>
      <c r="Q1583" t="s">
        <v>9421</v>
      </c>
      <c r="R1583" t="s">
        <v>56</v>
      </c>
      <c r="S1583" t="s">
        <v>3799</v>
      </c>
      <c r="T1583" t="s">
        <v>3802</v>
      </c>
    </row>
    <row r="1584" spans="1:20">
      <c r="A1584" t="s">
        <v>9048</v>
      </c>
      <c r="B1584" t="s">
        <v>62</v>
      </c>
      <c r="C1584" t="s">
        <v>9049</v>
      </c>
      <c r="D1584" t="s">
        <v>9448</v>
      </c>
      <c r="E1584" t="s">
        <v>12325</v>
      </c>
      <c r="F1584" t="s">
        <v>9601</v>
      </c>
      <c r="G1584" t="s">
        <v>9413</v>
      </c>
      <c r="H1584" t="s">
        <v>11516</v>
      </c>
      <c r="I1584" t="s">
        <v>9682</v>
      </c>
      <c r="J1584" t="s">
        <v>4051</v>
      </c>
      <c r="K1584" t="s">
        <v>9445</v>
      </c>
      <c r="L1584" t="s">
        <v>9417</v>
      </c>
      <c r="M1584" t="s">
        <v>11744</v>
      </c>
      <c r="N1584" t="s">
        <v>9426</v>
      </c>
      <c r="O1584" t="s">
        <v>9446</v>
      </c>
      <c r="P1584" t="s">
        <v>9623</v>
      </c>
      <c r="Q1584" t="s">
        <v>9421</v>
      </c>
      <c r="R1584" t="s">
        <v>24</v>
      </c>
      <c r="S1584" t="s">
        <v>3544</v>
      </c>
      <c r="T1584" t="s">
        <v>3546</v>
      </c>
    </row>
    <row r="1585" spans="1:20">
      <c r="A1585" t="s">
        <v>3914</v>
      </c>
      <c r="B1585" t="s">
        <v>20</v>
      </c>
      <c r="C1585" t="s">
        <v>8730</v>
      </c>
      <c r="D1585" t="s">
        <v>9475</v>
      </c>
      <c r="E1585" t="s">
        <v>12326</v>
      </c>
      <c r="F1585" t="s">
        <v>9412</v>
      </c>
      <c r="G1585" t="s">
        <v>9413</v>
      </c>
      <c r="H1585" t="s">
        <v>11516</v>
      </c>
      <c r="I1585" t="s">
        <v>11072</v>
      </c>
      <c r="J1585" t="s">
        <v>3808</v>
      </c>
      <c r="K1585" t="s">
        <v>9416</v>
      </c>
      <c r="L1585" t="s">
        <v>9417</v>
      </c>
      <c r="M1585" t="s">
        <v>11686</v>
      </c>
      <c r="N1585" t="s">
        <v>9446</v>
      </c>
      <c r="O1585" t="s">
        <v>8728</v>
      </c>
      <c r="P1585" t="s">
        <v>9647</v>
      </c>
      <c r="Q1585" t="s">
        <v>9421</v>
      </c>
      <c r="R1585" t="s">
        <v>84</v>
      </c>
      <c r="S1585" t="s">
        <v>3915</v>
      </c>
      <c r="T1585" t="s">
        <v>3917</v>
      </c>
    </row>
    <row r="1586" spans="1:20">
      <c r="A1586" t="s">
        <v>3919</v>
      </c>
      <c r="B1586" t="s">
        <v>62</v>
      </c>
      <c r="C1586" t="s">
        <v>8734</v>
      </c>
      <c r="D1586" t="s">
        <v>445</v>
      </c>
      <c r="E1586" t="s">
        <v>12327</v>
      </c>
      <c r="F1586" t="s">
        <v>9412</v>
      </c>
      <c r="G1586" t="s">
        <v>9413</v>
      </c>
      <c r="H1586" t="s">
        <v>11516</v>
      </c>
      <c r="I1586" t="s">
        <v>10492</v>
      </c>
      <c r="J1586" t="s">
        <v>3808</v>
      </c>
      <c r="K1586" t="s">
        <v>9416</v>
      </c>
      <c r="L1586" t="s">
        <v>9417</v>
      </c>
      <c r="M1586" t="s">
        <v>11513</v>
      </c>
      <c r="N1586" t="s">
        <v>9426</v>
      </c>
      <c r="O1586" t="s">
        <v>8128</v>
      </c>
      <c r="P1586" t="s">
        <v>9479</v>
      </c>
      <c r="Q1586" t="s">
        <v>9421</v>
      </c>
      <c r="R1586" t="s">
        <v>43</v>
      </c>
      <c r="S1586" t="s">
        <v>3416</v>
      </c>
      <c r="T1586" t="s">
        <v>3418</v>
      </c>
    </row>
    <row r="1587" spans="1:20">
      <c r="A1587" t="s">
        <v>3919</v>
      </c>
      <c r="B1587" t="s">
        <v>62</v>
      </c>
      <c r="C1587" t="s">
        <v>8734</v>
      </c>
      <c r="D1587" t="s">
        <v>445</v>
      </c>
      <c r="E1587" t="s">
        <v>12327</v>
      </c>
      <c r="F1587" t="s">
        <v>9412</v>
      </c>
      <c r="G1587" t="s">
        <v>9413</v>
      </c>
      <c r="H1587" t="s">
        <v>11516</v>
      </c>
      <c r="I1587" t="s">
        <v>10492</v>
      </c>
      <c r="J1587" t="s">
        <v>3808</v>
      </c>
      <c r="K1587" t="s">
        <v>9416</v>
      </c>
      <c r="L1587" t="s">
        <v>9417</v>
      </c>
      <c r="M1587" t="s">
        <v>11513</v>
      </c>
      <c r="N1587" t="s">
        <v>9446</v>
      </c>
      <c r="O1587" t="s">
        <v>8736</v>
      </c>
      <c r="P1587" t="s">
        <v>9655</v>
      </c>
      <c r="Q1587" t="s">
        <v>9421</v>
      </c>
      <c r="R1587" t="s">
        <v>56</v>
      </c>
      <c r="S1587" t="s">
        <v>3919</v>
      </c>
      <c r="T1587" t="s">
        <v>12328</v>
      </c>
    </row>
    <row r="1588" spans="1:20">
      <c r="A1588" t="s">
        <v>3919</v>
      </c>
      <c r="B1588" t="s">
        <v>62</v>
      </c>
      <c r="C1588" t="s">
        <v>8734</v>
      </c>
      <c r="D1588" t="s">
        <v>445</v>
      </c>
      <c r="E1588" t="s">
        <v>12327</v>
      </c>
      <c r="F1588" t="s">
        <v>9412</v>
      </c>
      <c r="G1588" t="s">
        <v>9413</v>
      </c>
      <c r="H1588" t="s">
        <v>11516</v>
      </c>
      <c r="I1588" t="s">
        <v>10492</v>
      </c>
      <c r="J1588" t="s">
        <v>3808</v>
      </c>
      <c r="K1588" t="s">
        <v>9416</v>
      </c>
      <c r="L1588" t="s">
        <v>9417</v>
      </c>
      <c r="M1588" t="s">
        <v>11513</v>
      </c>
      <c r="N1588" t="s">
        <v>9446</v>
      </c>
      <c r="O1588" t="s">
        <v>8732</v>
      </c>
      <c r="P1588" t="s">
        <v>9647</v>
      </c>
      <c r="Q1588" t="s">
        <v>9421</v>
      </c>
      <c r="R1588" t="s">
        <v>84</v>
      </c>
      <c r="S1588" t="s">
        <v>3920</v>
      </c>
      <c r="T1588" t="s">
        <v>3922</v>
      </c>
    </row>
    <row r="1589" spans="1:20">
      <c r="A1589" t="s">
        <v>3926</v>
      </c>
      <c r="B1589" t="s">
        <v>62</v>
      </c>
      <c r="C1589" t="s">
        <v>8740</v>
      </c>
      <c r="D1589" t="s">
        <v>445</v>
      </c>
      <c r="E1589" t="s">
        <v>12329</v>
      </c>
      <c r="F1589" t="s">
        <v>9412</v>
      </c>
      <c r="G1589" t="s">
        <v>9413</v>
      </c>
      <c r="H1589" t="s">
        <v>11516</v>
      </c>
      <c r="I1589" t="s">
        <v>9714</v>
      </c>
      <c r="J1589" t="s">
        <v>3808</v>
      </c>
      <c r="K1589" t="s">
        <v>9416</v>
      </c>
      <c r="L1589" t="s">
        <v>9417</v>
      </c>
      <c r="M1589" t="s">
        <v>11572</v>
      </c>
      <c r="N1589" t="s">
        <v>9446</v>
      </c>
      <c r="O1589" t="s">
        <v>8738</v>
      </c>
      <c r="P1589" t="s">
        <v>9655</v>
      </c>
      <c r="Q1589" t="s">
        <v>9421</v>
      </c>
      <c r="R1589" t="s">
        <v>56</v>
      </c>
      <c r="S1589" t="s">
        <v>3926</v>
      </c>
      <c r="T1589" t="s">
        <v>3928</v>
      </c>
    </row>
    <row r="1590" spans="1:20">
      <c r="A1590" t="s">
        <v>3926</v>
      </c>
      <c r="B1590" t="s">
        <v>62</v>
      </c>
      <c r="C1590" t="s">
        <v>8740</v>
      </c>
      <c r="D1590" t="s">
        <v>445</v>
      </c>
      <c r="E1590" t="s">
        <v>12329</v>
      </c>
      <c r="F1590" t="s">
        <v>9412</v>
      </c>
      <c r="G1590" t="s">
        <v>9413</v>
      </c>
      <c r="H1590" t="s">
        <v>11516</v>
      </c>
      <c r="I1590" t="s">
        <v>9714</v>
      </c>
      <c r="J1590" t="s">
        <v>3808</v>
      </c>
      <c r="K1590" t="s">
        <v>9445</v>
      </c>
      <c r="L1590" t="s">
        <v>9417</v>
      </c>
      <c r="M1590" t="s">
        <v>11572</v>
      </c>
      <c r="N1590" t="s">
        <v>9426</v>
      </c>
      <c r="O1590" t="s">
        <v>9446</v>
      </c>
      <c r="P1590" t="s">
        <v>9655</v>
      </c>
      <c r="Q1590" t="s">
        <v>9421</v>
      </c>
      <c r="R1590" t="s">
        <v>56</v>
      </c>
      <c r="S1590" t="s">
        <v>3383</v>
      </c>
      <c r="T1590" t="s">
        <v>3385</v>
      </c>
    </row>
    <row r="1591" spans="1:20">
      <c r="A1591" t="s">
        <v>3930</v>
      </c>
      <c r="B1591" t="s">
        <v>62</v>
      </c>
      <c r="C1591" t="s">
        <v>8744</v>
      </c>
      <c r="D1591" t="s">
        <v>445</v>
      </c>
      <c r="E1591" t="s">
        <v>8743</v>
      </c>
      <c r="F1591" t="s">
        <v>9412</v>
      </c>
      <c r="G1591" t="s">
        <v>9413</v>
      </c>
      <c r="H1591" t="s">
        <v>11516</v>
      </c>
      <c r="I1591" t="s">
        <v>10492</v>
      </c>
      <c r="J1591" t="s">
        <v>3808</v>
      </c>
      <c r="K1591" t="s">
        <v>9445</v>
      </c>
      <c r="L1591" t="s">
        <v>9417</v>
      </c>
      <c r="M1591" t="s">
        <v>11686</v>
      </c>
      <c r="N1591" t="s">
        <v>9426</v>
      </c>
      <c r="O1591" t="s">
        <v>9446</v>
      </c>
      <c r="P1591" t="s">
        <v>9655</v>
      </c>
      <c r="Q1591" t="s">
        <v>9421</v>
      </c>
      <c r="R1591" t="s">
        <v>56</v>
      </c>
      <c r="S1591" t="s">
        <v>3383</v>
      </c>
      <c r="T1591" t="s">
        <v>3385</v>
      </c>
    </row>
    <row r="1592" spans="1:20">
      <c r="A1592" t="s">
        <v>3930</v>
      </c>
      <c r="B1592" t="s">
        <v>62</v>
      </c>
      <c r="C1592" t="s">
        <v>8744</v>
      </c>
      <c r="D1592" t="s">
        <v>445</v>
      </c>
      <c r="E1592" t="s">
        <v>8743</v>
      </c>
      <c r="F1592" t="s">
        <v>9412</v>
      </c>
      <c r="G1592" t="s">
        <v>9413</v>
      </c>
      <c r="H1592" t="s">
        <v>11516</v>
      </c>
      <c r="I1592" t="s">
        <v>10492</v>
      </c>
      <c r="J1592" t="s">
        <v>3808</v>
      </c>
      <c r="K1592" t="s">
        <v>9416</v>
      </c>
      <c r="L1592" t="s">
        <v>9417</v>
      </c>
      <c r="M1592" t="s">
        <v>11686</v>
      </c>
      <c r="N1592" t="s">
        <v>9446</v>
      </c>
      <c r="O1592" t="s">
        <v>8742</v>
      </c>
      <c r="P1592" t="s">
        <v>9647</v>
      </c>
      <c r="Q1592" t="s">
        <v>9421</v>
      </c>
      <c r="R1592" t="s">
        <v>84</v>
      </c>
      <c r="S1592" t="s">
        <v>3914</v>
      </c>
      <c r="T1592" t="s">
        <v>3932</v>
      </c>
    </row>
    <row r="1593" spans="1:20">
      <c r="A1593" t="s">
        <v>12330</v>
      </c>
      <c r="B1593" t="s">
        <v>9409</v>
      </c>
      <c r="C1593" t="s">
        <v>12331</v>
      </c>
      <c r="D1593" t="s">
        <v>9410</v>
      </c>
      <c r="E1593" t="s">
        <v>12332</v>
      </c>
      <c r="F1593" t="s">
        <v>9601</v>
      </c>
      <c r="G1593" t="s">
        <v>9413</v>
      </c>
      <c r="H1593" t="s">
        <v>11516</v>
      </c>
      <c r="I1593" t="s">
        <v>9771</v>
      </c>
      <c r="J1593" t="s">
        <v>3399</v>
      </c>
      <c r="K1593" t="s">
        <v>9416</v>
      </c>
      <c r="L1593" t="s">
        <v>9417</v>
      </c>
      <c r="M1593" t="s">
        <v>11834</v>
      </c>
      <c r="N1593" t="s">
        <v>9446</v>
      </c>
      <c r="O1593" t="s">
        <v>12333</v>
      </c>
      <c r="P1593" t="s">
        <v>9655</v>
      </c>
      <c r="Q1593" t="s">
        <v>9421</v>
      </c>
      <c r="R1593" t="s">
        <v>56</v>
      </c>
      <c r="S1593" t="s">
        <v>12334</v>
      </c>
      <c r="T1593" t="s">
        <v>12335</v>
      </c>
    </row>
    <row r="1594" spans="1:20">
      <c r="A1594" t="s">
        <v>3345</v>
      </c>
      <c r="B1594" t="s">
        <v>62</v>
      </c>
      <c r="C1594" t="s">
        <v>8069</v>
      </c>
      <c r="D1594" t="s">
        <v>445</v>
      </c>
      <c r="E1594" t="s">
        <v>12336</v>
      </c>
      <c r="F1594" t="s">
        <v>9412</v>
      </c>
      <c r="G1594" t="s">
        <v>9413</v>
      </c>
      <c r="H1594" t="s">
        <v>11516</v>
      </c>
      <c r="I1594" t="s">
        <v>9751</v>
      </c>
      <c r="J1594" t="s">
        <v>3161</v>
      </c>
      <c r="K1594" t="s">
        <v>9416</v>
      </c>
      <c r="L1594" t="s">
        <v>9417</v>
      </c>
      <c r="M1594" t="s">
        <v>11533</v>
      </c>
      <c r="N1594" t="s">
        <v>11518</v>
      </c>
      <c r="O1594" t="s">
        <v>8067</v>
      </c>
      <c r="P1594" t="s">
        <v>9459</v>
      </c>
      <c r="Q1594" t="s">
        <v>9421</v>
      </c>
      <c r="R1594" t="s">
        <v>17</v>
      </c>
      <c r="S1594" t="s">
        <v>3356</v>
      </c>
      <c r="T1594" t="s">
        <v>3358</v>
      </c>
    </row>
    <row r="1595" spans="1:20">
      <c r="A1595" t="s">
        <v>3360</v>
      </c>
      <c r="B1595" t="s">
        <v>62</v>
      </c>
      <c r="C1595" t="s">
        <v>8071</v>
      </c>
      <c r="D1595" t="s">
        <v>445</v>
      </c>
      <c r="E1595" t="s">
        <v>12337</v>
      </c>
      <c r="F1595" t="s">
        <v>9412</v>
      </c>
      <c r="G1595" t="s">
        <v>9413</v>
      </c>
      <c r="H1595" t="s">
        <v>11516</v>
      </c>
      <c r="I1595" t="s">
        <v>9528</v>
      </c>
      <c r="J1595" t="s">
        <v>3161</v>
      </c>
      <c r="K1595" t="s">
        <v>9416</v>
      </c>
      <c r="L1595" t="s">
        <v>9417</v>
      </c>
      <c r="M1595" t="s">
        <v>11517</v>
      </c>
      <c r="N1595" t="s">
        <v>9426</v>
      </c>
      <c r="O1595" t="s">
        <v>8057</v>
      </c>
      <c r="P1595" t="s">
        <v>9655</v>
      </c>
      <c r="Q1595" t="s">
        <v>9421</v>
      </c>
      <c r="R1595" t="s">
        <v>56</v>
      </c>
      <c r="S1595" t="s">
        <v>3345</v>
      </c>
      <c r="T1595" t="s">
        <v>3347</v>
      </c>
    </row>
    <row r="1596" spans="1:20">
      <c r="A1596" t="s">
        <v>4176</v>
      </c>
      <c r="B1596" t="s">
        <v>62</v>
      </c>
      <c r="C1596" t="s">
        <v>12338</v>
      </c>
      <c r="D1596" t="s">
        <v>445</v>
      </c>
      <c r="E1596" t="s">
        <v>12339</v>
      </c>
      <c r="F1596" t="s">
        <v>9601</v>
      </c>
      <c r="G1596" t="s">
        <v>9413</v>
      </c>
      <c r="H1596" t="s">
        <v>3162</v>
      </c>
      <c r="I1596" t="s">
        <v>11478</v>
      </c>
      <c r="J1596" t="s">
        <v>4051</v>
      </c>
      <c r="K1596" t="s">
        <v>9445</v>
      </c>
      <c r="L1596" t="s">
        <v>9417</v>
      </c>
      <c r="M1596" t="s">
        <v>11744</v>
      </c>
      <c r="N1596" t="s">
        <v>9426</v>
      </c>
      <c r="O1596" t="s">
        <v>9446</v>
      </c>
      <c r="P1596" t="s">
        <v>9655</v>
      </c>
      <c r="Q1596" t="s">
        <v>9421</v>
      </c>
      <c r="R1596" t="s">
        <v>56</v>
      </c>
      <c r="S1596" t="s">
        <v>3345</v>
      </c>
      <c r="T1596" t="s">
        <v>3347</v>
      </c>
    </row>
    <row r="1597" spans="1:20">
      <c r="A1597" t="s">
        <v>4176</v>
      </c>
      <c r="B1597" t="s">
        <v>62</v>
      </c>
      <c r="C1597" t="s">
        <v>12338</v>
      </c>
      <c r="D1597" t="s">
        <v>445</v>
      </c>
      <c r="E1597" t="s">
        <v>12339</v>
      </c>
      <c r="F1597" t="s">
        <v>9601</v>
      </c>
      <c r="G1597" t="s">
        <v>9413</v>
      </c>
      <c r="H1597" t="s">
        <v>3162</v>
      </c>
      <c r="I1597" t="s">
        <v>11478</v>
      </c>
      <c r="J1597" t="s">
        <v>4051</v>
      </c>
      <c r="K1597" t="s">
        <v>9416</v>
      </c>
      <c r="L1597" t="s">
        <v>9417</v>
      </c>
      <c r="M1597" t="s">
        <v>11744</v>
      </c>
      <c r="N1597" t="s">
        <v>9446</v>
      </c>
      <c r="O1597" t="s">
        <v>9051</v>
      </c>
      <c r="P1597" t="s">
        <v>9655</v>
      </c>
      <c r="Q1597" t="s">
        <v>9421</v>
      </c>
      <c r="R1597" t="s">
        <v>56</v>
      </c>
      <c r="S1597" t="s">
        <v>4177</v>
      </c>
      <c r="T1597" t="s">
        <v>4179</v>
      </c>
    </row>
    <row r="1598" spans="1:20">
      <c r="A1598" t="s">
        <v>3362</v>
      </c>
      <c r="B1598" t="s">
        <v>62</v>
      </c>
      <c r="C1598" t="s">
        <v>8075</v>
      </c>
      <c r="D1598" t="s">
        <v>445</v>
      </c>
      <c r="E1598" t="s">
        <v>12340</v>
      </c>
      <c r="F1598" t="s">
        <v>9601</v>
      </c>
      <c r="G1598" t="s">
        <v>9413</v>
      </c>
      <c r="H1598" t="s">
        <v>11516</v>
      </c>
      <c r="I1598" t="s">
        <v>9819</v>
      </c>
      <c r="J1598" t="s">
        <v>3161</v>
      </c>
      <c r="K1598" t="s">
        <v>9416</v>
      </c>
      <c r="L1598" t="s">
        <v>9417</v>
      </c>
      <c r="M1598" t="s">
        <v>11744</v>
      </c>
      <c r="N1598" t="s">
        <v>9446</v>
      </c>
      <c r="O1598" t="s">
        <v>8079</v>
      </c>
      <c r="P1598" t="s">
        <v>9655</v>
      </c>
      <c r="Q1598" t="s">
        <v>9421</v>
      </c>
      <c r="R1598" t="s">
        <v>56</v>
      </c>
      <c r="S1598" t="s">
        <v>3370</v>
      </c>
      <c r="T1598" t="s">
        <v>3372</v>
      </c>
    </row>
    <row r="1599" spans="1:20">
      <c r="A1599" t="s">
        <v>3362</v>
      </c>
      <c r="B1599" t="s">
        <v>62</v>
      </c>
      <c r="C1599" t="s">
        <v>8075</v>
      </c>
      <c r="D1599" t="s">
        <v>445</v>
      </c>
      <c r="E1599" t="s">
        <v>12340</v>
      </c>
      <c r="F1599" t="s">
        <v>9601</v>
      </c>
      <c r="G1599" t="s">
        <v>9413</v>
      </c>
      <c r="H1599" t="s">
        <v>11516</v>
      </c>
      <c r="I1599" t="s">
        <v>9819</v>
      </c>
      <c r="J1599" t="s">
        <v>3161</v>
      </c>
      <c r="K1599" t="s">
        <v>9416</v>
      </c>
      <c r="L1599" t="s">
        <v>9417</v>
      </c>
      <c r="M1599" t="s">
        <v>11744</v>
      </c>
      <c r="N1599" t="s">
        <v>9446</v>
      </c>
      <c r="O1599" t="s">
        <v>8073</v>
      </c>
      <c r="P1599" t="s">
        <v>9655</v>
      </c>
      <c r="Q1599" t="s">
        <v>9421</v>
      </c>
      <c r="R1599" t="s">
        <v>56</v>
      </c>
      <c r="S1599" t="s">
        <v>3363</v>
      </c>
      <c r="T1599" t="s">
        <v>3365</v>
      </c>
    </row>
    <row r="1600" spans="1:20">
      <c r="A1600" t="s">
        <v>3362</v>
      </c>
      <c r="B1600" t="s">
        <v>62</v>
      </c>
      <c r="C1600" t="s">
        <v>8075</v>
      </c>
      <c r="D1600" t="s">
        <v>445</v>
      </c>
      <c r="E1600" t="s">
        <v>12340</v>
      </c>
      <c r="F1600" t="s">
        <v>9601</v>
      </c>
      <c r="G1600" t="s">
        <v>9413</v>
      </c>
      <c r="H1600" t="s">
        <v>11516</v>
      </c>
      <c r="I1600" t="s">
        <v>9819</v>
      </c>
      <c r="J1600" t="s">
        <v>3161</v>
      </c>
      <c r="K1600" t="s">
        <v>9416</v>
      </c>
      <c r="L1600" t="s">
        <v>9417</v>
      </c>
      <c r="M1600" t="s">
        <v>11744</v>
      </c>
      <c r="N1600" t="s">
        <v>9446</v>
      </c>
      <c r="O1600" t="s">
        <v>8077</v>
      </c>
      <c r="P1600" t="s">
        <v>9655</v>
      </c>
      <c r="Q1600" t="s">
        <v>9421</v>
      </c>
      <c r="R1600" t="s">
        <v>56</v>
      </c>
      <c r="S1600" t="s">
        <v>3367</v>
      </c>
      <c r="T1600" t="s">
        <v>3369</v>
      </c>
    </row>
    <row r="1601" spans="1:20">
      <c r="A1601" t="s">
        <v>4181</v>
      </c>
      <c r="B1601" t="s">
        <v>20</v>
      </c>
      <c r="C1601" t="s">
        <v>4185</v>
      </c>
      <c r="D1601" t="s">
        <v>9455</v>
      </c>
      <c r="E1601" t="s">
        <v>12341</v>
      </c>
      <c r="F1601" t="s">
        <v>9601</v>
      </c>
      <c r="G1601" t="s">
        <v>9413</v>
      </c>
      <c r="H1601" t="s">
        <v>3162</v>
      </c>
      <c r="I1601" t="s">
        <v>10261</v>
      </c>
      <c r="J1601" t="s">
        <v>4051</v>
      </c>
      <c r="K1601" t="s">
        <v>9416</v>
      </c>
      <c r="L1601" t="s">
        <v>9417</v>
      </c>
      <c r="M1601" t="s">
        <v>11538</v>
      </c>
      <c r="N1601" t="s">
        <v>9446</v>
      </c>
      <c r="O1601" t="s">
        <v>9055</v>
      </c>
      <c r="P1601" t="s">
        <v>9647</v>
      </c>
      <c r="Q1601" t="s">
        <v>9421</v>
      </c>
      <c r="R1601" t="s">
        <v>84</v>
      </c>
      <c r="S1601" t="s">
        <v>4182</v>
      </c>
      <c r="T1601" t="s">
        <v>4184</v>
      </c>
    </row>
    <row r="1602" spans="1:20">
      <c r="A1602" t="s">
        <v>3373</v>
      </c>
      <c r="B1602" t="s">
        <v>62</v>
      </c>
      <c r="C1602" t="s">
        <v>12342</v>
      </c>
      <c r="D1602" t="s">
        <v>445</v>
      </c>
      <c r="E1602" t="s">
        <v>12343</v>
      </c>
      <c r="F1602" t="s">
        <v>9601</v>
      </c>
      <c r="G1602" t="s">
        <v>9413</v>
      </c>
      <c r="H1602" t="s">
        <v>3162</v>
      </c>
      <c r="I1602" t="s">
        <v>10400</v>
      </c>
      <c r="J1602" t="s">
        <v>3161</v>
      </c>
      <c r="K1602" t="s">
        <v>9416</v>
      </c>
      <c r="L1602" t="s">
        <v>9417</v>
      </c>
      <c r="M1602" t="s">
        <v>11517</v>
      </c>
      <c r="N1602" t="s">
        <v>9446</v>
      </c>
      <c r="O1602" t="s">
        <v>8087</v>
      </c>
      <c r="P1602" t="s">
        <v>12344</v>
      </c>
      <c r="Q1602" t="s">
        <v>9421</v>
      </c>
      <c r="R1602" t="s">
        <v>56</v>
      </c>
      <c r="S1602" t="s">
        <v>3373</v>
      </c>
      <c r="T1602" t="s">
        <v>3382</v>
      </c>
    </row>
    <row r="1603" spans="1:20">
      <c r="A1603" t="s">
        <v>3373</v>
      </c>
      <c r="B1603" t="s">
        <v>62</v>
      </c>
      <c r="C1603" t="s">
        <v>12342</v>
      </c>
      <c r="D1603" t="s">
        <v>445</v>
      </c>
      <c r="E1603" t="s">
        <v>12343</v>
      </c>
      <c r="F1603" t="s">
        <v>9601</v>
      </c>
      <c r="G1603" t="s">
        <v>9413</v>
      </c>
      <c r="H1603" t="s">
        <v>3162</v>
      </c>
      <c r="I1603" t="s">
        <v>10400</v>
      </c>
      <c r="J1603" t="s">
        <v>3161</v>
      </c>
      <c r="K1603" t="s">
        <v>9416</v>
      </c>
      <c r="L1603" t="s">
        <v>9417</v>
      </c>
      <c r="M1603" t="s">
        <v>11517</v>
      </c>
      <c r="N1603" t="s">
        <v>9446</v>
      </c>
      <c r="O1603" t="s">
        <v>8081</v>
      </c>
      <c r="P1603" t="s">
        <v>9655</v>
      </c>
      <c r="Q1603" t="s">
        <v>9421</v>
      </c>
      <c r="R1603" t="s">
        <v>56</v>
      </c>
      <c r="S1603" t="s">
        <v>3374</v>
      </c>
      <c r="T1603" t="s">
        <v>3376</v>
      </c>
    </row>
    <row r="1604" spans="1:20">
      <c r="A1604" t="s">
        <v>3373</v>
      </c>
      <c r="B1604" t="s">
        <v>62</v>
      </c>
      <c r="C1604" t="s">
        <v>12342</v>
      </c>
      <c r="D1604" t="s">
        <v>445</v>
      </c>
      <c r="E1604" t="s">
        <v>12343</v>
      </c>
      <c r="F1604" t="s">
        <v>9601</v>
      </c>
      <c r="G1604" t="s">
        <v>9413</v>
      </c>
      <c r="H1604" t="s">
        <v>3162</v>
      </c>
      <c r="I1604" t="s">
        <v>10400</v>
      </c>
      <c r="J1604" t="s">
        <v>3161</v>
      </c>
      <c r="K1604" t="s">
        <v>9445</v>
      </c>
      <c r="L1604" t="s">
        <v>9417</v>
      </c>
      <c r="M1604" t="s">
        <v>11517</v>
      </c>
      <c r="N1604" t="s">
        <v>9426</v>
      </c>
      <c r="O1604" t="s">
        <v>9446</v>
      </c>
      <c r="P1604" t="s">
        <v>9655</v>
      </c>
      <c r="Q1604" t="s">
        <v>9421</v>
      </c>
      <c r="R1604" t="s">
        <v>56</v>
      </c>
      <c r="S1604" t="s">
        <v>3383</v>
      </c>
      <c r="T1604" t="s">
        <v>3385</v>
      </c>
    </row>
    <row r="1605" spans="1:20">
      <c r="A1605" t="s">
        <v>3373</v>
      </c>
      <c r="B1605" t="s">
        <v>62</v>
      </c>
      <c r="C1605" t="s">
        <v>12342</v>
      </c>
      <c r="D1605" t="s">
        <v>445</v>
      </c>
      <c r="E1605" t="s">
        <v>12343</v>
      </c>
      <c r="F1605" t="s">
        <v>9601</v>
      </c>
      <c r="G1605" t="s">
        <v>9413</v>
      </c>
      <c r="H1605" t="s">
        <v>3162</v>
      </c>
      <c r="I1605" t="s">
        <v>10400</v>
      </c>
      <c r="J1605" t="s">
        <v>3161</v>
      </c>
      <c r="K1605" t="s">
        <v>9416</v>
      </c>
      <c r="L1605" t="s">
        <v>9417</v>
      </c>
      <c r="M1605" t="s">
        <v>11517</v>
      </c>
      <c r="N1605" t="s">
        <v>9446</v>
      </c>
      <c r="O1605" t="s">
        <v>8085</v>
      </c>
      <c r="P1605" t="s">
        <v>9651</v>
      </c>
      <c r="Q1605" t="s">
        <v>9421</v>
      </c>
      <c r="R1605" t="s">
        <v>56</v>
      </c>
      <c r="S1605" t="s">
        <v>3378</v>
      </c>
      <c r="T1605" t="s">
        <v>3380</v>
      </c>
    </row>
    <row r="1606" spans="1:20">
      <c r="A1606" t="s">
        <v>8594</v>
      </c>
      <c r="B1606" t="s">
        <v>62</v>
      </c>
      <c r="C1606" t="s">
        <v>12345</v>
      </c>
      <c r="D1606" t="s">
        <v>10271</v>
      </c>
      <c r="E1606" t="s">
        <v>12346</v>
      </c>
      <c r="F1606" t="s">
        <v>9412</v>
      </c>
      <c r="G1606" t="s">
        <v>10580</v>
      </c>
      <c r="H1606" t="s">
        <v>3162</v>
      </c>
      <c r="I1606" t="s">
        <v>9435</v>
      </c>
      <c r="J1606" t="s">
        <v>3619</v>
      </c>
      <c r="K1606" t="s">
        <v>9445</v>
      </c>
      <c r="L1606" t="s">
        <v>9417</v>
      </c>
      <c r="M1606" t="s">
        <v>11597</v>
      </c>
      <c r="N1606" t="s">
        <v>9446</v>
      </c>
      <c r="O1606" t="s">
        <v>9446</v>
      </c>
      <c r="P1606" t="s">
        <v>9655</v>
      </c>
      <c r="Q1606" t="s">
        <v>9421</v>
      </c>
      <c r="R1606" t="s">
        <v>56</v>
      </c>
      <c r="S1606" t="s">
        <v>3352</v>
      </c>
      <c r="T1606" t="s">
        <v>3354</v>
      </c>
    </row>
    <row r="1607" spans="1:20">
      <c r="A1607" t="s">
        <v>3934</v>
      </c>
      <c r="B1607" t="s">
        <v>62</v>
      </c>
      <c r="C1607" t="s">
        <v>3938</v>
      </c>
      <c r="D1607" t="s">
        <v>445</v>
      </c>
      <c r="E1607" t="s">
        <v>12347</v>
      </c>
      <c r="F1607" t="s">
        <v>9601</v>
      </c>
      <c r="G1607" t="s">
        <v>9413</v>
      </c>
      <c r="H1607" t="s">
        <v>3162</v>
      </c>
      <c r="I1607" t="s">
        <v>10452</v>
      </c>
      <c r="J1607" t="s">
        <v>3808</v>
      </c>
      <c r="K1607" t="s">
        <v>9416</v>
      </c>
      <c r="L1607" t="s">
        <v>9417</v>
      </c>
      <c r="M1607" t="s">
        <v>11521</v>
      </c>
      <c r="N1607" t="s">
        <v>9446</v>
      </c>
      <c r="O1607" t="s">
        <v>8746</v>
      </c>
      <c r="P1607" t="s">
        <v>9651</v>
      </c>
      <c r="Q1607" t="s">
        <v>9421</v>
      </c>
      <c r="R1607" t="s">
        <v>56</v>
      </c>
      <c r="S1607" t="s">
        <v>3935</v>
      </c>
      <c r="T1607" t="s">
        <v>3937</v>
      </c>
    </row>
    <row r="1608" spans="1:20">
      <c r="A1608" t="s">
        <v>12348</v>
      </c>
      <c r="B1608" t="s">
        <v>9409</v>
      </c>
      <c r="C1608" t="s">
        <v>12349</v>
      </c>
      <c r="D1608" t="s">
        <v>9410</v>
      </c>
      <c r="E1608" t="s">
        <v>12350</v>
      </c>
      <c r="F1608" t="s">
        <v>9601</v>
      </c>
      <c r="G1608" t="s">
        <v>10660</v>
      </c>
      <c r="H1608" t="s">
        <v>3162</v>
      </c>
      <c r="I1608" t="s">
        <v>9576</v>
      </c>
      <c r="J1608" t="s">
        <v>3161</v>
      </c>
      <c r="K1608" t="s">
        <v>9416</v>
      </c>
      <c r="L1608" t="s">
        <v>9417</v>
      </c>
      <c r="M1608" t="s">
        <v>11528</v>
      </c>
      <c r="N1608" t="s">
        <v>9426</v>
      </c>
      <c r="O1608" t="s">
        <v>7988</v>
      </c>
      <c r="P1608" t="s">
        <v>9479</v>
      </c>
      <c r="Q1608" t="s">
        <v>9421</v>
      </c>
      <c r="R1608" t="s">
        <v>43</v>
      </c>
      <c r="S1608" t="s">
        <v>3301</v>
      </c>
      <c r="T1608" t="s">
        <v>3303</v>
      </c>
    </row>
    <row r="1609" spans="1:20">
      <c r="A1609" t="s">
        <v>12348</v>
      </c>
      <c r="B1609" t="s">
        <v>9409</v>
      </c>
      <c r="C1609" t="s">
        <v>12349</v>
      </c>
      <c r="D1609" t="s">
        <v>9410</v>
      </c>
      <c r="E1609" t="s">
        <v>12350</v>
      </c>
      <c r="F1609" t="s">
        <v>9601</v>
      </c>
      <c r="G1609" t="s">
        <v>10660</v>
      </c>
      <c r="H1609" t="s">
        <v>3162</v>
      </c>
      <c r="I1609" t="s">
        <v>9576</v>
      </c>
      <c r="J1609" t="s">
        <v>3161</v>
      </c>
      <c r="K1609" t="s">
        <v>9445</v>
      </c>
      <c r="L1609" t="s">
        <v>9417</v>
      </c>
      <c r="M1609" t="s">
        <v>11528</v>
      </c>
      <c r="N1609" t="s">
        <v>11518</v>
      </c>
      <c r="O1609" t="s">
        <v>9446</v>
      </c>
      <c r="P1609" t="s">
        <v>9603</v>
      </c>
      <c r="Q1609" t="s">
        <v>9421</v>
      </c>
      <c r="R1609" t="s">
        <v>9604</v>
      </c>
      <c r="S1609" t="s">
        <v>12058</v>
      </c>
      <c r="T1609" t="s">
        <v>12059</v>
      </c>
    </row>
    <row r="1610" spans="1:20">
      <c r="A1610" t="s">
        <v>12351</v>
      </c>
      <c r="B1610" t="s">
        <v>9409</v>
      </c>
      <c r="C1610" t="s">
        <v>12352</v>
      </c>
      <c r="D1610" t="s">
        <v>9410</v>
      </c>
      <c r="E1610" t="s">
        <v>12353</v>
      </c>
      <c r="F1610" t="s">
        <v>9601</v>
      </c>
      <c r="G1610" t="s">
        <v>9413</v>
      </c>
      <c r="H1610" t="s">
        <v>3162</v>
      </c>
      <c r="I1610" t="s">
        <v>9813</v>
      </c>
      <c r="J1610" t="s">
        <v>3619</v>
      </c>
      <c r="K1610" t="s">
        <v>9416</v>
      </c>
      <c r="L1610" t="s">
        <v>9417</v>
      </c>
      <c r="M1610" t="s">
        <v>11611</v>
      </c>
      <c r="N1610" t="s">
        <v>9430</v>
      </c>
      <c r="O1610" t="s">
        <v>12354</v>
      </c>
      <c r="P1610" t="s">
        <v>9459</v>
      </c>
      <c r="Q1610" t="s">
        <v>9421</v>
      </c>
      <c r="R1610" t="s">
        <v>17</v>
      </c>
      <c r="S1610" t="s">
        <v>12102</v>
      </c>
      <c r="T1610" t="s">
        <v>12355</v>
      </c>
    </row>
    <row r="1611" spans="1:20">
      <c r="A1611" t="s">
        <v>12356</v>
      </c>
      <c r="B1611" t="s">
        <v>9409</v>
      </c>
      <c r="C1611" t="s">
        <v>12357</v>
      </c>
      <c r="D1611" t="s">
        <v>9410</v>
      </c>
      <c r="E1611" t="s">
        <v>12358</v>
      </c>
      <c r="F1611" t="s">
        <v>9601</v>
      </c>
      <c r="G1611" t="s">
        <v>9413</v>
      </c>
      <c r="H1611" t="s">
        <v>3162</v>
      </c>
      <c r="I1611" t="s">
        <v>10261</v>
      </c>
      <c r="J1611" t="s">
        <v>3399</v>
      </c>
      <c r="K1611" t="s">
        <v>9416</v>
      </c>
      <c r="L1611" t="s">
        <v>9417</v>
      </c>
      <c r="M1611" t="s">
        <v>11858</v>
      </c>
      <c r="N1611" t="s">
        <v>9446</v>
      </c>
      <c r="O1611" t="s">
        <v>12359</v>
      </c>
      <c r="P1611" t="s">
        <v>9655</v>
      </c>
      <c r="Q1611" t="s">
        <v>9421</v>
      </c>
      <c r="R1611" t="s">
        <v>56</v>
      </c>
      <c r="S1611" t="s">
        <v>12356</v>
      </c>
      <c r="T1611" t="s">
        <v>12360</v>
      </c>
    </row>
    <row r="1612" spans="1:20">
      <c r="A1612" t="s">
        <v>12361</v>
      </c>
      <c r="B1612" t="s">
        <v>9409</v>
      </c>
      <c r="C1612" t="s">
        <v>12362</v>
      </c>
      <c r="D1612" t="s">
        <v>9410</v>
      </c>
      <c r="E1612" t="s">
        <v>12363</v>
      </c>
      <c r="F1612" t="s">
        <v>9601</v>
      </c>
      <c r="G1612" t="s">
        <v>9413</v>
      </c>
      <c r="H1612" t="s">
        <v>3162</v>
      </c>
      <c r="I1612" t="s">
        <v>9518</v>
      </c>
      <c r="J1612" t="s">
        <v>4051</v>
      </c>
      <c r="K1612" t="s">
        <v>9445</v>
      </c>
      <c r="L1612" t="s">
        <v>9417</v>
      </c>
      <c r="M1612" t="s">
        <v>11828</v>
      </c>
      <c r="N1612" t="s">
        <v>11510</v>
      </c>
      <c r="O1612" t="s">
        <v>9446</v>
      </c>
      <c r="P1612" t="s">
        <v>9420</v>
      </c>
      <c r="Q1612" t="s">
        <v>9421</v>
      </c>
      <c r="R1612" t="s">
        <v>17</v>
      </c>
      <c r="S1612" t="s">
        <v>4099</v>
      </c>
      <c r="T1612" t="s">
        <v>4101</v>
      </c>
    </row>
    <row r="1613" spans="1:20">
      <c r="A1613" t="s">
        <v>4186</v>
      </c>
      <c r="B1613" t="s">
        <v>62</v>
      </c>
      <c r="C1613" t="s">
        <v>9061</v>
      </c>
      <c r="D1613" t="s">
        <v>445</v>
      </c>
      <c r="E1613" t="s">
        <v>12364</v>
      </c>
      <c r="F1613" t="s">
        <v>9601</v>
      </c>
      <c r="G1613" t="s">
        <v>9413</v>
      </c>
      <c r="H1613" t="s">
        <v>11516</v>
      </c>
      <c r="I1613" t="s">
        <v>9466</v>
      </c>
      <c r="J1613" t="s">
        <v>4051</v>
      </c>
      <c r="K1613" t="s">
        <v>9416</v>
      </c>
      <c r="L1613" t="s">
        <v>9417</v>
      </c>
      <c r="M1613" t="s">
        <v>11668</v>
      </c>
      <c r="N1613" t="s">
        <v>9446</v>
      </c>
      <c r="O1613" t="s">
        <v>9059</v>
      </c>
      <c r="P1613" t="s">
        <v>12365</v>
      </c>
      <c r="Q1613" t="s">
        <v>9421</v>
      </c>
      <c r="R1613" t="s">
        <v>84</v>
      </c>
      <c r="S1613" t="s">
        <v>4187</v>
      </c>
      <c r="T1613" t="s">
        <v>4189</v>
      </c>
    </row>
    <row r="1614" spans="1:20">
      <c r="A1614" t="s">
        <v>12366</v>
      </c>
      <c r="B1614" t="s">
        <v>9409</v>
      </c>
      <c r="C1614" t="s">
        <v>12367</v>
      </c>
      <c r="D1614" t="s">
        <v>9410</v>
      </c>
      <c r="E1614" t="s">
        <v>12368</v>
      </c>
      <c r="F1614" t="s">
        <v>9601</v>
      </c>
      <c r="G1614" t="s">
        <v>9413</v>
      </c>
      <c r="H1614" t="s">
        <v>3162</v>
      </c>
      <c r="I1614" t="s">
        <v>9720</v>
      </c>
      <c r="J1614" t="s">
        <v>3939</v>
      </c>
      <c r="K1614" t="s">
        <v>9416</v>
      </c>
      <c r="L1614" t="s">
        <v>9417</v>
      </c>
      <c r="M1614" t="s">
        <v>11588</v>
      </c>
      <c r="N1614" t="s">
        <v>9446</v>
      </c>
      <c r="O1614" t="s">
        <v>12369</v>
      </c>
      <c r="P1614" t="s">
        <v>9655</v>
      </c>
      <c r="Q1614" t="s">
        <v>9421</v>
      </c>
      <c r="R1614" t="s">
        <v>56</v>
      </c>
      <c r="S1614" t="s">
        <v>12370</v>
      </c>
      <c r="T1614" t="s">
        <v>12371</v>
      </c>
    </row>
    <row r="1615" spans="1:20">
      <c r="A1615" t="s">
        <v>8399</v>
      </c>
      <c r="B1615" t="s">
        <v>20</v>
      </c>
      <c r="C1615" t="s">
        <v>12372</v>
      </c>
      <c r="D1615" t="s">
        <v>9460</v>
      </c>
      <c r="E1615" t="s">
        <v>12373</v>
      </c>
      <c r="F1615" t="s">
        <v>9601</v>
      </c>
      <c r="G1615" t="s">
        <v>9413</v>
      </c>
      <c r="H1615" t="s">
        <v>3162</v>
      </c>
      <c r="I1615" t="s">
        <v>10465</v>
      </c>
      <c r="J1615" t="s">
        <v>3506</v>
      </c>
      <c r="K1615" t="s">
        <v>9445</v>
      </c>
      <c r="L1615" t="s">
        <v>9417</v>
      </c>
      <c r="M1615" t="s">
        <v>11577</v>
      </c>
      <c r="N1615" t="s">
        <v>9426</v>
      </c>
      <c r="O1615" t="s">
        <v>9446</v>
      </c>
      <c r="P1615" t="s">
        <v>9623</v>
      </c>
      <c r="Q1615" t="s">
        <v>9421</v>
      </c>
      <c r="R1615" t="s">
        <v>24</v>
      </c>
      <c r="S1615" t="s">
        <v>3552</v>
      </c>
      <c r="T1615" t="s">
        <v>3554</v>
      </c>
    </row>
    <row r="1616" spans="1:20">
      <c r="A1616" t="s">
        <v>3597</v>
      </c>
      <c r="B1616" t="s">
        <v>20</v>
      </c>
      <c r="C1616" t="s">
        <v>8402</v>
      </c>
      <c r="D1616" t="s">
        <v>9460</v>
      </c>
      <c r="E1616" t="s">
        <v>12374</v>
      </c>
      <c r="F1616" t="s">
        <v>9412</v>
      </c>
      <c r="G1616" t="s">
        <v>9413</v>
      </c>
      <c r="H1616" t="s">
        <v>11516</v>
      </c>
      <c r="I1616" t="s">
        <v>10261</v>
      </c>
      <c r="J1616" t="s">
        <v>3506</v>
      </c>
      <c r="K1616" t="s">
        <v>9416</v>
      </c>
      <c r="L1616" t="s">
        <v>9417</v>
      </c>
      <c r="M1616" t="s">
        <v>11654</v>
      </c>
      <c r="N1616" t="s">
        <v>9426</v>
      </c>
      <c r="O1616" t="s">
        <v>8375</v>
      </c>
      <c r="P1616" t="s">
        <v>9479</v>
      </c>
      <c r="Q1616" t="s">
        <v>9421</v>
      </c>
      <c r="R1616" t="s">
        <v>43</v>
      </c>
      <c r="S1616" t="s">
        <v>3597</v>
      </c>
      <c r="T1616" t="s">
        <v>3599</v>
      </c>
    </row>
    <row r="1617" spans="1:20">
      <c r="A1617" t="s">
        <v>12375</v>
      </c>
      <c r="B1617" t="s">
        <v>9409</v>
      </c>
      <c r="C1617" t="s">
        <v>12376</v>
      </c>
      <c r="D1617" t="s">
        <v>9410</v>
      </c>
      <c r="E1617" t="s">
        <v>12377</v>
      </c>
      <c r="F1617" t="s">
        <v>9601</v>
      </c>
      <c r="G1617" t="s">
        <v>9413</v>
      </c>
      <c r="H1617" t="s">
        <v>11516</v>
      </c>
      <c r="I1617" t="s">
        <v>10177</v>
      </c>
      <c r="J1617" t="s">
        <v>3808</v>
      </c>
      <c r="K1617" t="s">
        <v>9445</v>
      </c>
      <c r="L1617" t="s">
        <v>9417</v>
      </c>
      <c r="M1617" t="s">
        <v>11622</v>
      </c>
      <c r="N1617" t="s">
        <v>11514</v>
      </c>
      <c r="O1617" t="s">
        <v>9446</v>
      </c>
      <c r="P1617" t="s">
        <v>9459</v>
      </c>
      <c r="Q1617" t="s">
        <v>9421</v>
      </c>
      <c r="R1617" t="s">
        <v>17</v>
      </c>
      <c r="S1617" t="s">
        <v>3848</v>
      </c>
      <c r="T1617" t="s">
        <v>3850</v>
      </c>
    </row>
    <row r="1618" spans="1:20">
      <c r="A1618" t="s">
        <v>12378</v>
      </c>
      <c r="B1618" t="s">
        <v>9409</v>
      </c>
      <c r="C1618" t="s">
        <v>12379</v>
      </c>
      <c r="D1618" t="s">
        <v>9410</v>
      </c>
      <c r="E1618" t="s">
        <v>12380</v>
      </c>
      <c r="F1618" t="s">
        <v>9412</v>
      </c>
      <c r="G1618" t="s">
        <v>10760</v>
      </c>
      <c r="H1618" t="s">
        <v>11516</v>
      </c>
      <c r="I1618" t="s">
        <v>10434</v>
      </c>
      <c r="J1618" t="s">
        <v>3939</v>
      </c>
      <c r="K1618" t="s">
        <v>9445</v>
      </c>
      <c r="L1618" t="s">
        <v>9417</v>
      </c>
      <c r="M1618" t="s">
        <v>11591</v>
      </c>
      <c r="N1618" t="s">
        <v>9426</v>
      </c>
      <c r="O1618" t="s">
        <v>9446</v>
      </c>
      <c r="P1618" t="s">
        <v>9479</v>
      </c>
      <c r="Q1618" t="s">
        <v>9421</v>
      </c>
      <c r="R1618" t="s">
        <v>43</v>
      </c>
      <c r="S1618" t="s">
        <v>3597</v>
      </c>
      <c r="T1618" t="s">
        <v>3599</v>
      </c>
    </row>
    <row r="1619" spans="1:20">
      <c r="A1619" t="s">
        <v>12381</v>
      </c>
      <c r="B1619" t="s">
        <v>9409</v>
      </c>
      <c r="C1619" t="s">
        <v>12382</v>
      </c>
      <c r="D1619" t="s">
        <v>9410</v>
      </c>
      <c r="E1619" t="s">
        <v>12383</v>
      </c>
      <c r="F1619" t="s">
        <v>9412</v>
      </c>
      <c r="G1619" t="s">
        <v>10760</v>
      </c>
      <c r="H1619" t="s">
        <v>11516</v>
      </c>
      <c r="I1619" t="s">
        <v>10822</v>
      </c>
      <c r="J1619" t="s">
        <v>3939</v>
      </c>
      <c r="K1619" t="s">
        <v>9445</v>
      </c>
      <c r="L1619" t="s">
        <v>9417</v>
      </c>
      <c r="M1619" t="s">
        <v>11585</v>
      </c>
      <c r="N1619" t="s">
        <v>11536</v>
      </c>
      <c r="O1619" t="s">
        <v>9446</v>
      </c>
      <c r="P1619" t="s">
        <v>9420</v>
      </c>
      <c r="Q1619" t="s">
        <v>9421</v>
      </c>
      <c r="R1619" t="s">
        <v>17</v>
      </c>
      <c r="S1619" t="s">
        <v>8771</v>
      </c>
      <c r="T1619" t="s">
        <v>11586</v>
      </c>
    </row>
    <row r="1620" spans="1:20">
      <c r="A1620" t="s">
        <v>8889</v>
      </c>
      <c r="B1620" t="s">
        <v>62</v>
      </c>
      <c r="C1620" t="s">
        <v>12384</v>
      </c>
      <c r="D1620" t="s">
        <v>9448</v>
      </c>
      <c r="E1620" t="s">
        <v>12385</v>
      </c>
      <c r="F1620" t="s">
        <v>9412</v>
      </c>
      <c r="G1620" t="s">
        <v>10760</v>
      </c>
      <c r="H1620" t="s">
        <v>3162</v>
      </c>
      <c r="I1620" t="s">
        <v>9766</v>
      </c>
      <c r="J1620" t="s">
        <v>3939</v>
      </c>
      <c r="K1620" t="s">
        <v>9445</v>
      </c>
      <c r="L1620" t="s">
        <v>9417</v>
      </c>
      <c r="M1620" t="s">
        <v>11591</v>
      </c>
      <c r="N1620" t="s">
        <v>9426</v>
      </c>
      <c r="O1620" t="s">
        <v>9446</v>
      </c>
      <c r="P1620" t="s">
        <v>9479</v>
      </c>
      <c r="Q1620" t="s">
        <v>9421</v>
      </c>
      <c r="R1620" t="s">
        <v>43</v>
      </c>
      <c r="S1620" t="s">
        <v>3416</v>
      </c>
      <c r="T1620" t="s">
        <v>3418</v>
      </c>
    </row>
    <row r="1621" spans="1:20">
      <c r="A1621" t="s">
        <v>12386</v>
      </c>
      <c r="B1621" t="s">
        <v>9409</v>
      </c>
      <c r="C1621" t="s">
        <v>8783</v>
      </c>
      <c r="D1621" t="s">
        <v>9410</v>
      </c>
      <c r="E1621" t="s">
        <v>12387</v>
      </c>
      <c r="F1621" t="s">
        <v>9412</v>
      </c>
      <c r="G1621" t="s">
        <v>10760</v>
      </c>
      <c r="H1621" t="s">
        <v>11516</v>
      </c>
      <c r="I1621" t="s">
        <v>9771</v>
      </c>
      <c r="J1621" t="s">
        <v>3939</v>
      </c>
      <c r="K1621" t="s">
        <v>9445</v>
      </c>
      <c r="L1621" t="s">
        <v>9417</v>
      </c>
      <c r="M1621" t="s">
        <v>11591</v>
      </c>
      <c r="N1621" t="s">
        <v>11536</v>
      </c>
      <c r="O1621" t="s">
        <v>9446</v>
      </c>
      <c r="P1621" t="s">
        <v>9420</v>
      </c>
      <c r="Q1621" t="s">
        <v>9421</v>
      </c>
      <c r="R1621" t="s">
        <v>17</v>
      </c>
      <c r="S1621" t="s">
        <v>8780</v>
      </c>
      <c r="T1621" t="s">
        <v>11592</v>
      </c>
    </row>
    <row r="1622" spans="1:20">
      <c r="A1622" t="s">
        <v>12388</v>
      </c>
      <c r="B1622" t="s">
        <v>9409</v>
      </c>
      <c r="C1622" t="s">
        <v>12389</v>
      </c>
      <c r="D1622" t="s">
        <v>9410</v>
      </c>
      <c r="E1622" t="s">
        <v>12390</v>
      </c>
      <c r="F1622" t="s">
        <v>9601</v>
      </c>
      <c r="G1622" t="s">
        <v>9413</v>
      </c>
      <c r="H1622" t="s">
        <v>3162</v>
      </c>
      <c r="I1622" t="s">
        <v>9874</v>
      </c>
      <c r="J1622" t="s">
        <v>3161</v>
      </c>
      <c r="K1622" t="s">
        <v>9416</v>
      </c>
      <c r="L1622" t="s">
        <v>9417</v>
      </c>
      <c r="M1622" t="s">
        <v>11744</v>
      </c>
      <c r="N1622" t="s">
        <v>9426</v>
      </c>
      <c r="O1622" t="s">
        <v>8043</v>
      </c>
      <c r="P1622" t="s">
        <v>9479</v>
      </c>
      <c r="Q1622" t="s">
        <v>9421</v>
      </c>
      <c r="R1622" t="s">
        <v>43</v>
      </c>
      <c r="S1622" t="s">
        <v>8042</v>
      </c>
      <c r="T1622" t="s">
        <v>12391</v>
      </c>
    </row>
    <row r="1623" spans="1:20">
      <c r="A1623" t="s">
        <v>12392</v>
      </c>
      <c r="B1623" t="s">
        <v>9409</v>
      </c>
      <c r="C1623" t="s">
        <v>12393</v>
      </c>
      <c r="D1623" t="s">
        <v>9410</v>
      </c>
      <c r="E1623" t="s">
        <v>12394</v>
      </c>
      <c r="F1623" t="s">
        <v>9412</v>
      </c>
      <c r="G1623" t="s">
        <v>9413</v>
      </c>
      <c r="H1623" t="s">
        <v>11516</v>
      </c>
      <c r="I1623" t="s">
        <v>10877</v>
      </c>
      <c r="J1623" t="s">
        <v>3161</v>
      </c>
      <c r="K1623" t="s">
        <v>9445</v>
      </c>
      <c r="L1623" t="s">
        <v>9417</v>
      </c>
      <c r="M1623" t="s">
        <v>11656</v>
      </c>
      <c r="N1623" t="s">
        <v>11518</v>
      </c>
      <c r="O1623" t="s">
        <v>9446</v>
      </c>
      <c r="P1623" t="s">
        <v>9420</v>
      </c>
      <c r="Q1623" t="s">
        <v>9421</v>
      </c>
      <c r="R1623" t="s">
        <v>17</v>
      </c>
      <c r="S1623" t="s">
        <v>7928</v>
      </c>
      <c r="T1623" t="s">
        <v>11675</v>
      </c>
    </row>
    <row r="1624" spans="1:20">
      <c r="A1624" t="s">
        <v>3386</v>
      </c>
      <c r="B1624" t="s">
        <v>62</v>
      </c>
      <c r="C1624" t="s">
        <v>3390</v>
      </c>
      <c r="D1624" t="s">
        <v>9448</v>
      </c>
      <c r="E1624" t="s">
        <v>12395</v>
      </c>
      <c r="F1624" t="s">
        <v>9412</v>
      </c>
      <c r="G1624" t="s">
        <v>9413</v>
      </c>
      <c r="H1624" t="s">
        <v>3162</v>
      </c>
      <c r="I1624" t="s">
        <v>9506</v>
      </c>
      <c r="J1624" t="s">
        <v>3161</v>
      </c>
      <c r="K1624" t="s">
        <v>9416</v>
      </c>
      <c r="L1624" t="s">
        <v>9417</v>
      </c>
      <c r="M1624" t="s">
        <v>11656</v>
      </c>
      <c r="N1624" t="s">
        <v>11518</v>
      </c>
      <c r="O1624" t="s">
        <v>8091</v>
      </c>
      <c r="P1624" t="s">
        <v>9429</v>
      </c>
      <c r="Q1624" t="s">
        <v>9421</v>
      </c>
      <c r="R1624" t="s">
        <v>52</v>
      </c>
      <c r="S1624" t="s">
        <v>3391</v>
      </c>
      <c r="T1624" t="s">
        <v>3393</v>
      </c>
    </row>
    <row r="1625" spans="1:20">
      <c r="A1625" t="s">
        <v>3386</v>
      </c>
      <c r="B1625" t="s">
        <v>62</v>
      </c>
      <c r="C1625" t="s">
        <v>3390</v>
      </c>
      <c r="D1625" t="s">
        <v>9448</v>
      </c>
      <c r="E1625" t="s">
        <v>12395</v>
      </c>
      <c r="F1625" t="s">
        <v>9412</v>
      </c>
      <c r="G1625" t="s">
        <v>9413</v>
      </c>
      <c r="H1625" t="s">
        <v>3162</v>
      </c>
      <c r="I1625" t="s">
        <v>9506</v>
      </c>
      <c r="J1625" t="s">
        <v>3161</v>
      </c>
      <c r="K1625" t="s">
        <v>9416</v>
      </c>
      <c r="L1625" t="s">
        <v>9417</v>
      </c>
      <c r="M1625" t="s">
        <v>11656</v>
      </c>
      <c r="N1625" t="s">
        <v>9446</v>
      </c>
      <c r="O1625" t="s">
        <v>6900</v>
      </c>
      <c r="P1625" t="s">
        <v>9655</v>
      </c>
      <c r="Q1625" t="s">
        <v>9421</v>
      </c>
      <c r="R1625" t="s">
        <v>56</v>
      </c>
      <c r="S1625" t="s">
        <v>3387</v>
      </c>
      <c r="T1625" t="s">
        <v>3389</v>
      </c>
    </row>
    <row r="1626" spans="1:20">
      <c r="A1626" t="s">
        <v>12396</v>
      </c>
      <c r="B1626" t="s">
        <v>9409</v>
      </c>
      <c r="C1626" t="s">
        <v>12397</v>
      </c>
      <c r="D1626" t="s">
        <v>9410</v>
      </c>
      <c r="E1626" t="s">
        <v>12398</v>
      </c>
      <c r="F1626" t="s">
        <v>9412</v>
      </c>
      <c r="G1626" t="s">
        <v>10760</v>
      </c>
      <c r="H1626" t="s">
        <v>11516</v>
      </c>
      <c r="I1626" t="s">
        <v>9771</v>
      </c>
      <c r="J1626" t="s">
        <v>3939</v>
      </c>
      <c r="K1626" t="s">
        <v>9445</v>
      </c>
      <c r="L1626" t="s">
        <v>9417</v>
      </c>
      <c r="M1626" t="s">
        <v>11822</v>
      </c>
      <c r="N1626" t="s">
        <v>9426</v>
      </c>
      <c r="O1626" t="s">
        <v>9446</v>
      </c>
      <c r="P1626" t="s">
        <v>9479</v>
      </c>
      <c r="Q1626" t="s">
        <v>9421</v>
      </c>
      <c r="R1626" t="s">
        <v>43</v>
      </c>
      <c r="S1626" t="s">
        <v>3597</v>
      </c>
      <c r="T1626" t="s">
        <v>3599</v>
      </c>
    </row>
    <row r="1627" spans="1:20">
      <c r="A1627" t="s">
        <v>12399</v>
      </c>
      <c r="B1627" t="s">
        <v>9409</v>
      </c>
      <c r="C1627" t="s">
        <v>12400</v>
      </c>
      <c r="D1627" t="s">
        <v>9410</v>
      </c>
      <c r="E1627" t="s">
        <v>12401</v>
      </c>
      <c r="F1627" t="s">
        <v>9601</v>
      </c>
      <c r="G1627" t="s">
        <v>9413</v>
      </c>
      <c r="H1627" t="s">
        <v>3162</v>
      </c>
      <c r="I1627" t="s">
        <v>9874</v>
      </c>
      <c r="J1627" t="s">
        <v>3506</v>
      </c>
      <c r="K1627" t="s">
        <v>9445</v>
      </c>
      <c r="L1627" t="s">
        <v>9417</v>
      </c>
      <c r="M1627" t="s">
        <v>11615</v>
      </c>
      <c r="N1627" t="s">
        <v>11543</v>
      </c>
      <c r="O1627" t="s">
        <v>9446</v>
      </c>
      <c r="P1627" t="s">
        <v>9420</v>
      </c>
      <c r="Q1627" t="s">
        <v>9421</v>
      </c>
      <c r="R1627" t="s">
        <v>17</v>
      </c>
      <c r="S1627" t="s">
        <v>3555</v>
      </c>
      <c r="T1627" t="s">
        <v>3557</v>
      </c>
    </row>
    <row r="1628" spans="1:20">
      <c r="A1628" t="s">
        <v>12402</v>
      </c>
      <c r="B1628" t="s">
        <v>9409</v>
      </c>
      <c r="C1628" t="s">
        <v>8425</v>
      </c>
      <c r="D1628" t="s">
        <v>9410</v>
      </c>
      <c r="E1628" t="s">
        <v>12403</v>
      </c>
      <c r="F1628" t="s">
        <v>9412</v>
      </c>
      <c r="G1628" t="s">
        <v>10760</v>
      </c>
      <c r="H1628" t="s">
        <v>11516</v>
      </c>
      <c r="I1628" t="s">
        <v>12404</v>
      </c>
      <c r="J1628" t="s">
        <v>3619</v>
      </c>
      <c r="K1628" t="s">
        <v>9445</v>
      </c>
      <c r="L1628" t="s">
        <v>9417</v>
      </c>
      <c r="M1628" t="s">
        <v>11645</v>
      </c>
      <c r="N1628" t="s">
        <v>11605</v>
      </c>
      <c r="O1628" t="s">
        <v>9446</v>
      </c>
      <c r="P1628" t="s">
        <v>9420</v>
      </c>
      <c r="Q1628" t="s">
        <v>9421</v>
      </c>
      <c r="R1628" t="s">
        <v>17</v>
      </c>
      <c r="S1628" t="s">
        <v>3645</v>
      </c>
      <c r="T1628" t="s">
        <v>3647</v>
      </c>
    </row>
    <row r="1629" spans="1:20">
      <c r="A1629" t="s">
        <v>8750</v>
      </c>
      <c r="B1629" t="s">
        <v>62</v>
      </c>
      <c r="C1629" t="s">
        <v>12405</v>
      </c>
      <c r="D1629" t="s">
        <v>445</v>
      </c>
      <c r="E1629" t="s">
        <v>12406</v>
      </c>
      <c r="F1629" t="s">
        <v>9412</v>
      </c>
      <c r="G1629" t="s">
        <v>10760</v>
      </c>
      <c r="H1629" t="s">
        <v>3162</v>
      </c>
      <c r="I1629" t="s">
        <v>11276</v>
      </c>
      <c r="J1629" t="s">
        <v>3808</v>
      </c>
      <c r="K1629" t="s">
        <v>9445</v>
      </c>
      <c r="L1629" t="s">
        <v>9417</v>
      </c>
      <c r="M1629" t="s">
        <v>11624</v>
      </c>
      <c r="N1629" t="s">
        <v>11514</v>
      </c>
      <c r="O1629" t="s">
        <v>9446</v>
      </c>
      <c r="P1629" t="s">
        <v>9459</v>
      </c>
      <c r="Q1629" t="s">
        <v>9421</v>
      </c>
      <c r="R1629" t="s">
        <v>17</v>
      </c>
      <c r="S1629" t="s">
        <v>8751</v>
      </c>
      <c r="T1629" t="s">
        <v>11632</v>
      </c>
    </row>
    <row r="1630" spans="1:20">
      <c r="A1630" t="s">
        <v>8756</v>
      </c>
      <c r="B1630" t="s">
        <v>62</v>
      </c>
      <c r="C1630" t="s">
        <v>3837</v>
      </c>
      <c r="D1630" t="s">
        <v>9448</v>
      </c>
      <c r="E1630" t="s">
        <v>12407</v>
      </c>
      <c r="F1630" t="s">
        <v>9412</v>
      </c>
      <c r="G1630" t="s">
        <v>10760</v>
      </c>
      <c r="H1630" t="s">
        <v>3162</v>
      </c>
      <c r="I1630" t="s">
        <v>11276</v>
      </c>
      <c r="J1630" t="s">
        <v>3808</v>
      </c>
      <c r="K1630" t="s">
        <v>9445</v>
      </c>
      <c r="L1630" t="s">
        <v>9417</v>
      </c>
      <c r="M1630" t="s">
        <v>11634</v>
      </c>
      <c r="N1630" t="s">
        <v>11514</v>
      </c>
      <c r="O1630" t="s">
        <v>9446</v>
      </c>
      <c r="P1630" t="s">
        <v>9420</v>
      </c>
      <c r="Q1630" t="s">
        <v>9421</v>
      </c>
      <c r="R1630" t="s">
        <v>17</v>
      </c>
      <c r="S1630" t="s">
        <v>3834</v>
      </c>
      <c r="T1630" t="s">
        <v>3836</v>
      </c>
    </row>
    <row r="1631" spans="1:20">
      <c r="A1631" t="s">
        <v>12408</v>
      </c>
      <c r="B1631" t="s">
        <v>9409</v>
      </c>
      <c r="C1631" t="s">
        <v>12409</v>
      </c>
      <c r="D1631" t="s">
        <v>9410</v>
      </c>
      <c r="E1631" t="s">
        <v>12410</v>
      </c>
      <c r="F1631" t="s">
        <v>9601</v>
      </c>
      <c r="G1631" t="s">
        <v>9413</v>
      </c>
      <c r="H1631" t="s">
        <v>3162</v>
      </c>
      <c r="I1631" t="s">
        <v>9466</v>
      </c>
      <c r="J1631" t="s">
        <v>3808</v>
      </c>
      <c r="K1631" t="s">
        <v>9445</v>
      </c>
      <c r="L1631" t="s">
        <v>9417</v>
      </c>
      <c r="M1631" t="s">
        <v>11709</v>
      </c>
      <c r="N1631" t="s">
        <v>11514</v>
      </c>
      <c r="O1631" t="s">
        <v>9446</v>
      </c>
      <c r="P1631" t="s">
        <v>11315</v>
      </c>
      <c r="Q1631" t="s">
        <v>9421</v>
      </c>
      <c r="R1631" t="s">
        <v>17</v>
      </c>
      <c r="S1631" t="s">
        <v>11706</v>
      </c>
      <c r="T1631" t="s">
        <v>11711</v>
      </c>
    </row>
    <row r="1632" spans="1:20">
      <c r="A1632" t="s">
        <v>4191</v>
      </c>
      <c r="B1632" t="s">
        <v>62</v>
      </c>
      <c r="C1632" t="s">
        <v>9063</v>
      </c>
      <c r="D1632" t="s">
        <v>445</v>
      </c>
      <c r="E1632" t="s">
        <v>12411</v>
      </c>
      <c r="F1632" t="s">
        <v>9601</v>
      </c>
      <c r="G1632" t="s">
        <v>9413</v>
      </c>
      <c r="H1632" t="s">
        <v>11516</v>
      </c>
      <c r="I1632" t="s">
        <v>9522</v>
      </c>
      <c r="J1632" t="s">
        <v>4051</v>
      </c>
      <c r="K1632" t="s">
        <v>9416</v>
      </c>
      <c r="L1632" t="s">
        <v>9417</v>
      </c>
      <c r="M1632" t="s">
        <v>12412</v>
      </c>
      <c r="N1632" t="s">
        <v>11510</v>
      </c>
      <c r="O1632" t="s">
        <v>9007</v>
      </c>
      <c r="P1632" t="s">
        <v>9623</v>
      </c>
      <c r="Q1632" t="s">
        <v>9421</v>
      </c>
      <c r="R1632" t="s">
        <v>24</v>
      </c>
      <c r="S1632" t="s">
        <v>4192</v>
      </c>
      <c r="T1632" t="s">
        <v>4194</v>
      </c>
    </row>
    <row r="1633" spans="1:20">
      <c r="A1633" t="s">
        <v>4191</v>
      </c>
      <c r="B1633" t="s">
        <v>62</v>
      </c>
      <c r="C1633" t="s">
        <v>9063</v>
      </c>
      <c r="D1633" t="s">
        <v>445</v>
      </c>
      <c r="E1633" t="s">
        <v>12411</v>
      </c>
      <c r="F1633" t="s">
        <v>9601</v>
      </c>
      <c r="G1633" t="s">
        <v>9413</v>
      </c>
      <c r="H1633" t="s">
        <v>11516</v>
      </c>
      <c r="I1633" t="s">
        <v>9522</v>
      </c>
      <c r="J1633" t="s">
        <v>4051</v>
      </c>
      <c r="K1633" t="s">
        <v>9445</v>
      </c>
      <c r="L1633" t="s">
        <v>9417</v>
      </c>
      <c r="M1633" t="s">
        <v>12412</v>
      </c>
      <c r="N1633" t="s">
        <v>11510</v>
      </c>
      <c r="O1633" t="s">
        <v>9446</v>
      </c>
      <c r="P1633" t="s">
        <v>9603</v>
      </c>
      <c r="Q1633" t="s">
        <v>9421</v>
      </c>
      <c r="R1633" t="s">
        <v>9604</v>
      </c>
      <c r="S1633" t="s">
        <v>12126</v>
      </c>
      <c r="T1633" t="s">
        <v>12130</v>
      </c>
    </row>
    <row r="1634" spans="1:20">
      <c r="A1634" t="s">
        <v>12413</v>
      </c>
      <c r="B1634" t="s">
        <v>9409</v>
      </c>
      <c r="C1634" t="s">
        <v>8912</v>
      </c>
      <c r="D1634" t="s">
        <v>9410</v>
      </c>
      <c r="E1634" t="s">
        <v>12414</v>
      </c>
      <c r="F1634" t="s">
        <v>9412</v>
      </c>
      <c r="G1634" t="s">
        <v>12415</v>
      </c>
      <c r="H1634" t="s">
        <v>11516</v>
      </c>
      <c r="I1634" t="s">
        <v>12416</v>
      </c>
      <c r="J1634" t="s">
        <v>4051</v>
      </c>
      <c r="K1634" t="s">
        <v>9445</v>
      </c>
      <c r="L1634" t="s">
        <v>9417</v>
      </c>
      <c r="M1634" t="s">
        <v>11658</v>
      </c>
      <c r="N1634" t="s">
        <v>11510</v>
      </c>
      <c r="O1634" t="s">
        <v>9446</v>
      </c>
      <c r="P1634" t="s">
        <v>9420</v>
      </c>
      <c r="Q1634" t="s">
        <v>9421</v>
      </c>
      <c r="R1634" t="s">
        <v>17</v>
      </c>
      <c r="S1634" t="s">
        <v>4071</v>
      </c>
      <c r="T1634" t="s">
        <v>4073</v>
      </c>
    </row>
    <row r="1635" spans="1:20">
      <c r="A1635" t="s">
        <v>8758</v>
      </c>
      <c r="B1635" t="s">
        <v>62</v>
      </c>
      <c r="C1635" t="s">
        <v>12417</v>
      </c>
      <c r="D1635" t="s">
        <v>445</v>
      </c>
      <c r="E1635" t="s">
        <v>12418</v>
      </c>
      <c r="F1635" t="s">
        <v>9412</v>
      </c>
      <c r="G1635" t="s">
        <v>10760</v>
      </c>
      <c r="H1635" t="s">
        <v>3162</v>
      </c>
      <c r="I1635" t="s">
        <v>10761</v>
      </c>
      <c r="J1635" t="s">
        <v>3808</v>
      </c>
      <c r="K1635" t="s">
        <v>9445</v>
      </c>
      <c r="L1635" t="s">
        <v>9417</v>
      </c>
      <c r="M1635" t="s">
        <v>11611</v>
      </c>
      <c r="N1635" t="s">
        <v>9426</v>
      </c>
      <c r="O1635" t="s">
        <v>9446</v>
      </c>
      <c r="P1635" t="s">
        <v>9479</v>
      </c>
      <c r="Q1635" t="s">
        <v>9421</v>
      </c>
      <c r="R1635" t="s">
        <v>43</v>
      </c>
      <c r="S1635" t="s">
        <v>3416</v>
      </c>
      <c r="T1635" t="s">
        <v>3418</v>
      </c>
    </row>
    <row r="1636" spans="1:20">
      <c r="A1636" t="s">
        <v>8097</v>
      </c>
      <c r="B1636" t="s">
        <v>20</v>
      </c>
      <c r="C1636" t="s">
        <v>12419</v>
      </c>
      <c r="D1636" t="s">
        <v>9475</v>
      </c>
      <c r="E1636" t="s">
        <v>12420</v>
      </c>
      <c r="F1636" t="s">
        <v>9601</v>
      </c>
      <c r="G1636" t="s">
        <v>9413</v>
      </c>
      <c r="H1636" t="s">
        <v>3162</v>
      </c>
      <c r="I1636" t="s">
        <v>12421</v>
      </c>
      <c r="J1636" t="s">
        <v>3161</v>
      </c>
      <c r="K1636" t="s">
        <v>9445</v>
      </c>
      <c r="L1636" t="s">
        <v>9417</v>
      </c>
      <c r="M1636" t="s">
        <v>11656</v>
      </c>
      <c r="N1636" t="s">
        <v>9426</v>
      </c>
      <c r="O1636" t="s">
        <v>9446</v>
      </c>
      <c r="P1636" t="s">
        <v>9623</v>
      </c>
      <c r="Q1636" t="s">
        <v>9421</v>
      </c>
      <c r="R1636" t="s">
        <v>24</v>
      </c>
      <c r="S1636" t="s">
        <v>3238</v>
      </c>
      <c r="T1636" t="s">
        <v>3240</v>
      </c>
    </row>
    <row r="1637" spans="1:20">
      <c r="A1637" t="s">
        <v>8100</v>
      </c>
      <c r="B1637" t="s">
        <v>9409</v>
      </c>
      <c r="C1637" t="s">
        <v>8101</v>
      </c>
      <c r="D1637" t="s">
        <v>9410</v>
      </c>
      <c r="E1637" t="s">
        <v>12422</v>
      </c>
      <c r="F1637" t="s">
        <v>9601</v>
      </c>
      <c r="G1637" t="s">
        <v>9413</v>
      </c>
      <c r="H1637" t="s">
        <v>11516</v>
      </c>
      <c r="I1637" t="s">
        <v>9466</v>
      </c>
      <c r="J1637" t="s">
        <v>3161</v>
      </c>
      <c r="K1637" t="s">
        <v>9445</v>
      </c>
      <c r="L1637" t="s">
        <v>9417</v>
      </c>
      <c r="M1637" t="s">
        <v>11517</v>
      </c>
      <c r="N1637" t="s">
        <v>11518</v>
      </c>
      <c r="O1637" t="s">
        <v>9446</v>
      </c>
      <c r="P1637" t="s">
        <v>9420</v>
      </c>
      <c r="Q1637" t="s">
        <v>9421</v>
      </c>
      <c r="R1637" t="s">
        <v>17</v>
      </c>
      <c r="S1637" t="s">
        <v>3170</v>
      </c>
      <c r="T1637" t="s">
        <v>3172</v>
      </c>
    </row>
    <row r="1638" spans="1:20">
      <c r="A1638" t="s">
        <v>12423</v>
      </c>
      <c r="B1638" t="s">
        <v>20</v>
      </c>
      <c r="C1638" t="s">
        <v>12424</v>
      </c>
      <c r="D1638" t="s">
        <v>9475</v>
      </c>
      <c r="E1638" t="s">
        <v>12425</v>
      </c>
      <c r="F1638" t="s">
        <v>9601</v>
      </c>
      <c r="G1638" t="s">
        <v>9413</v>
      </c>
      <c r="H1638" t="s">
        <v>11516</v>
      </c>
      <c r="I1638" t="s">
        <v>9729</v>
      </c>
      <c r="J1638" t="s">
        <v>3161</v>
      </c>
      <c r="K1638" t="s">
        <v>9445</v>
      </c>
      <c r="L1638" t="s">
        <v>9417</v>
      </c>
      <c r="M1638" t="s">
        <v>11620</v>
      </c>
      <c r="N1638" t="s">
        <v>9426</v>
      </c>
      <c r="O1638" t="s">
        <v>9446</v>
      </c>
      <c r="P1638" t="s">
        <v>10713</v>
      </c>
      <c r="Q1638" t="s">
        <v>9421</v>
      </c>
      <c r="R1638" t="s">
        <v>43</v>
      </c>
      <c r="S1638" t="s">
        <v>2606</v>
      </c>
      <c r="T1638" t="s">
        <v>2608</v>
      </c>
    </row>
    <row r="1639" spans="1:20">
      <c r="A1639" t="s">
        <v>12426</v>
      </c>
      <c r="B1639" t="s">
        <v>9409</v>
      </c>
      <c r="C1639" t="s">
        <v>12427</v>
      </c>
      <c r="D1639" t="s">
        <v>9410</v>
      </c>
      <c r="E1639" t="s">
        <v>12428</v>
      </c>
      <c r="F1639" t="s">
        <v>9601</v>
      </c>
      <c r="G1639" t="s">
        <v>9413</v>
      </c>
      <c r="H1639" t="s">
        <v>11516</v>
      </c>
      <c r="I1639" t="s">
        <v>10281</v>
      </c>
      <c r="J1639" t="s">
        <v>3808</v>
      </c>
      <c r="K1639" t="s">
        <v>9445</v>
      </c>
      <c r="L1639" t="s">
        <v>9417</v>
      </c>
      <c r="M1639" t="s">
        <v>11622</v>
      </c>
      <c r="N1639" t="s">
        <v>9426</v>
      </c>
      <c r="O1639" t="s">
        <v>9446</v>
      </c>
      <c r="P1639" t="s">
        <v>9524</v>
      </c>
      <c r="Q1639" t="s">
        <v>9421</v>
      </c>
      <c r="R1639" t="s">
        <v>24</v>
      </c>
      <c r="S1639" t="s">
        <v>3167</v>
      </c>
      <c r="T1639" t="s">
        <v>3169</v>
      </c>
    </row>
    <row r="1640" spans="1:20">
      <c r="A1640" t="s">
        <v>3803</v>
      </c>
      <c r="B1640" t="s">
        <v>62</v>
      </c>
      <c r="C1640" t="s">
        <v>8599</v>
      </c>
      <c r="D1640" t="s">
        <v>9448</v>
      </c>
      <c r="E1640" t="s">
        <v>12429</v>
      </c>
      <c r="F1640" t="s">
        <v>9601</v>
      </c>
      <c r="G1640" t="s">
        <v>9413</v>
      </c>
      <c r="H1640" t="s">
        <v>11516</v>
      </c>
      <c r="I1640" t="s">
        <v>10010</v>
      </c>
      <c r="J1640" t="s">
        <v>3619</v>
      </c>
      <c r="K1640" t="s">
        <v>9416</v>
      </c>
      <c r="L1640" t="s">
        <v>9417</v>
      </c>
      <c r="M1640" t="s">
        <v>11649</v>
      </c>
      <c r="N1640" t="s">
        <v>11605</v>
      </c>
      <c r="O1640" t="s">
        <v>8597</v>
      </c>
      <c r="P1640" t="s">
        <v>9420</v>
      </c>
      <c r="Q1640" t="s">
        <v>9421</v>
      </c>
      <c r="R1640" t="s">
        <v>17</v>
      </c>
      <c r="S1640" t="s">
        <v>3804</v>
      </c>
      <c r="T1640" t="s">
        <v>3806</v>
      </c>
    </row>
    <row r="1641" spans="1:20">
      <c r="A1641" t="s">
        <v>4196</v>
      </c>
      <c r="B1641" t="s">
        <v>62</v>
      </c>
      <c r="C1641" t="s">
        <v>12430</v>
      </c>
      <c r="D1641" t="s">
        <v>9448</v>
      </c>
      <c r="E1641" t="s">
        <v>12431</v>
      </c>
      <c r="F1641" t="s">
        <v>9601</v>
      </c>
      <c r="G1641" t="s">
        <v>9413</v>
      </c>
      <c r="H1641" t="s">
        <v>11516</v>
      </c>
      <c r="I1641" t="s">
        <v>9435</v>
      </c>
      <c r="J1641" t="s">
        <v>4051</v>
      </c>
      <c r="K1641" t="s">
        <v>9445</v>
      </c>
      <c r="L1641" t="s">
        <v>9417</v>
      </c>
      <c r="M1641" t="s">
        <v>11658</v>
      </c>
      <c r="N1641" t="s">
        <v>9426</v>
      </c>
      <c r="O1641" t="s">
        <v>9446</v>
      </c>
      <c r="P1641" t="s">
        <v>9479</v>
      </c>
      <c r="Q1641" t="s">
        <v>9421</v>
      </c>
      <c r="R1641" t="s">
        <v>43</v>
      </c>
      <c r="S1641" t="s">
        <v>3174</v>
      </c>
      <c r="T1641" t="s">
        <v>3176</v>
      </c>
    </row>
    <row r="1642" spans="1:20">
      <c r="A1642" t="s">
        <v>4196</v>
      </c>
      <c r="B1642" t="s">
        <v>62</v>
      </c>
      <c r="C1642" t="s">
        <v>12430</v>
      </c>
      <c r="D1642" t="s">
        <v>9448</v>
      </c>
      <c r="E1642" t="s">
        <v>12431</v>
      </c>
      <c r="F1642" t="s">
        <v>9601</v>
      </c>
      <c r="G1642" t="s">
        <v>9413</v>
      </c>
      <c r="H1642" t="s">
        <v>11516</v>
      </c>
      <c r="I1642" t="s">
        <v>9435</v>
      </c>
      <c r="J1642" t="s">
        <v>4051</v>
      </c>
      <c r="K1642" t="s">
        <v>9416</v>
      </c>
      <c r="L1642" t="s">
        <v>9417</v>
      </c>
      <c r="M1642" t="s">
        <v>11658</v>
      </c>
      <c r="N1642" t="s">
        <v>9430</v>
      </c>
      <c r="O1642" t="s">
        <v>9067</v>
      </c>
      <c r="P1642" t="s">
        <v>10988</v>
      </c>
      <c r="Q1642" t="s">
        <v>9421</v>
      </c>
      <c r="R1642" t="s">
        <v>43</v>
      </c>
      <c r="S1642" t="s">
        <v>4198</v>
      </c>
      <c r="T1642" t="s">
        <v>4200</v>
      </c>
    </row>
    <row r="1643" spans="1:20">
      <c r="A1643" t="s">
        <v>3394</v>
      </c>
      <c r="B1643" t="s">
        <v>62</v>
      </c>
      <c r="C1643" t="s">
        <v>12432</v>
      </c>
      <c r="D1643" t="s">
        <v>445</v>
      </c>
      <c r="E1643" t="s">
        <v>12433</v>
      </c>
      <c r="F1643" t="s">
        <v>9601</v>
      </c>
      <c r="G1643" t="s">
        <v>9413</v>
      </c>
      <c r="H1643" t="s">
        <v>3162</v>
      </c>
      <c r="I1643" t="s">
        <v>10010</v>
      </c>
      <c r="J1643" t="s">
        <v>3161</v>
      </c>
      <c r="K1643" t="s">
        <v>9416</v>
      </c>
      <c r="L1643" t="s">
        <v>9417</v>
      </c>
      <c r="M1643" t="s">
        <v>11744</v>
      </c>
      <c r="N1643" t="s">
        <v>9446</v>
      </c>
      <c r="O1643" t="s">
        <v>8103</v>
      </c>
      <c r="P1643" t="s">
        <v>9647</v>
      </c>
      <c r="Q1643" t="s">
        <v>9421</v>
      </c>
      <c r="R1643" t="s">
        <v>84</v>
      </c>
      <c r="S1643" t="s">
        <v>3395</v>
      </c>
      <c r="T1643" t="s">
        <v>3397</v>
      </c>
    </row>
    <row r="1644" spans="1:20">
      <c r="A1644" t="s">
        <v>12434</v>
      </c>
      <c r="B1644" t="s">
        <v>9409</v>
      </c>
      <c r="C1644" t="s">
        <v>12435</v>
      </c>
      <c r="D1644" t="s">
        <v>9410</v>
      </c>
      <c r="E1644" t="s">
        <v>12436</v>
      </c>
      <c r="F1644" t="s">
        <v>9412</v>
      </c>
      <c r="G1644" t="s">
        <v>9413</v>
      </c>
      <c r="H1644" t="s">
        <v>11516</v>
      </c>
      <c r="I1644" t="s">
        <v>10509</v>
      </c>
      <c r="J1644" t="s">
        <v>3939</v>
      </c>
      <c r="K1644" t="s">
        <v>9416</v>
      </c>
      <c r="L1644" t="s">
        <v>9417</v>
      </c>
      <c r="M1644" t="s">
        <v>11591</v>
      </c>
      <c r="N1644" t="s">
        <v>11536</v>
      </c>
      <c r="O1644" t="s">
        <v>12437</v>
      </c>
      <c r="P1644" t="s">
        <v>9420</v>
      </c>
      <c r="Q1644" t="s">
        <v>9421</v>
      </c>
      <c r="R1644" t="s">
        <v>17</v>
      </c>
      <c r="S1644" t="s">
        <v>12438</v>
      </c>
      <c r="T1644" t="s">
        <v>586</v>
      </c>
    </row>
    <row r="1645" spans="1:20">
      <c r="A1645" t="s">
        <v>8601</v>
      </c>
      <c r="B1645" t="s">
        <v>62</v>
      </c>
      <c r="C1645" t="s">
        <v>12439</v>
      </c>
      <c r="D1645" t="s">
        <v>12299</v>
      </c>
      <c r="E1645" t="s">
        <v>12440</v>
      </c>
      <c r="F1645" t="s">
        <v>9412</v>
      </c>
      <c r="G1645" t="s">
        <v>9413</v>
      </c>
      <c r="H1645" t="s">
        <v>3162</v>
      </c>
      <c r="I1645" t="s">
        <v>11327</v>
      </c>
      <c r="J1645" t="s">
        <v>3619</v>
      </c>
      <c r="K1645" t="s">
        <v>9445</v>
      </c>
      <c r="L1645" t="s">
        <v>9417</v>
      </c>
      <c r="M1645" t="s">
        <v>11607</v>
      </c>
      <c r="N1645" t="s">
        <v>11605</v>
      </c>
      <c r="O1645" t="s">
        <v>9446</v>
      </c>
      <c r="P1645" t="s">
        <v>9623</v>
      </c>
      <c r="Q1645" t="s">
        <v>9421</v>
      </c>
      <c r="R1645" t="s">
        <v>24</v>
      </c>
      <c r="S1645" t="s">
        <v>3624</v>
      </c>
      <c r="T1645" t="s">
        <v>3626</v>
      </c>
    </row>
    <row r="1646" spans="1:20">
      <c r="A1646" t="s">
        <v>12441</v>
      </c>
      <c r="B1646" t="s">
        <v>9409</v>
      </c>
      <c r="C1646" t="s">
        <v>12442</v>
      </c>
      <c r="D1646" t="s">
        <v>9410</v>
      </c>
      <c r="E1646" t="s">
        <v>12443</v>
      </c>
      <c r="F1646" t="s">
        <v>9601</v>
      </c>
      <c r="G1646" t="s">
        <v>9413</v>
      </c>
      <c r="H1646" t="s">
        <v>12444</v>
      </c>
      <c r="I1646" t="s">
        <v>9781</v>
      </c>
      <c r="J1646" t="s">
        <v>3161</v>
      </c>
      <c r="K1646" t="s">
        <v>9445</v>
      </c>
      <c r="L1646" t="s">
        <v>9417</v>
      </c>
      <c r="M1646" t="s">
        <v>11533</v>
      </c>
      <c r="N1646" t="s">
        <v>9426</v>
      </c>
      <c r="O1646" t="s">
        <v>9446</v>
      </c>
      <c r="P1646" t="s">
        <v>9479</v>
      </c>
      <c r="Q1646" t="s">
        <v>9421</v>
      </c>
      <c r="R1646" t="s">
        <v>43</v>
      </c>
      <c r="S1646" t="s">
        <v>3174</v>
      </c>
      <c r="T1646" t="s">
        <v>3176</v>
      </c>
    </row>
    <row r="1647" spans="1:20">
      <c r="A1647" t="s">
        <v>12445</v>
      </c>
      <c r="B1647" t="s">
        <v>62</v>
      </c>
      <c r="C1647" t="s">
        <v>12446</v>
      </c>
      <c r="D1647" t="s">
        <v>445</v>
      </c>
      <c r="E1647" t="s">
        <v>12447</v>
      </c>
      <c r="F1647" t="s">
        <v>9601</v>
      </c>
      <c r="G1647" t="s">
        <v>9413</v>
      </c>
      <c r="H1647" t="s">
        <v>11516</v>
      </c>
      <c r="I1647" t="s">
        <v>9522</v>
      </c>
      <c r="J1647" t="s">
        <v>4051</v>
      </c>
      <c r="K1647" t="s">
        <v>9445</v>
      </c>
      <c r="L1647" t="s">
        <v>9417</v>
      </c>
      <c r="M1647" t="s">
        <v>11744</v>
      </c>
      <c r="N1647" t="s">
        <v>11510</v>
      </c>
      <c r="O1647" t="s">
        <v>9446</v>
      </c>
      <c r="P1647" t="s">
        <v>9603</v>
      </c>
      <c r="Q1647" t="s">
        <v>9421</v>
      </c>
      <c r="R1647" t="s">
        <v>9604</v>
      </c>
      <c r="S1647" t="s">
        <v>12126</v>
      </c>
      <c r="T1647" t="s">
        <v>12130</v>
      </c>
    </row>
    <row r="1648" spans="1:20">
      <c r="A1648" t="s">
        <v>12448</v>
      </c>
      <c r="B1648" t="s">
        <v>9409</v>
      </c>
      <c r="C1648" t="s">
        <v>8323</v>
      </c>
      <c r="D1648" t="s">
        <v>9410</v>
      </c>
      <c r="E1648" t="s">
        <v>12449</v>
      </c>
      <c r="F1648" t="s">
        <v>9412</v>
      </c>
      <c r="G1648" t="s">
        <v>12450</v>
      </c>
      <c r="H1648" t="s">
        <v>11516</v>
      </c>
      <c r="I1648" t="s">
        <v>11072</v>
      </c>
      <c r="J1648" t="s">
        <v>3506</v>
      </c>
      <c r="K1648" t="s">
        <v>9445</v>
      </c>
      <c r="L1648" t="s">
        <v>9417</v>
      </c>
      <c r="M1648" t="s">
        <v>11564</v>
      </c>
      <c r="N1648" t="s">
        <v>9426</v>
      </c>
      <c r="O1648" t="s">
        <v>9446</v>
      </c>
      <c r="P1648" t="s">
        <v>9479</v>
      </c>
      <c r="Q1648" t="s">
        <v>9421</v>
      </c>
      <c r="R1648" t="s">
        <v>43</v>
      </c>
      <c r="S1648" t="s">
        <v>3539</v>
      </c>
      <c r="T1648" t="s">
        <v>3541</v>
      </c>
    </row>
    <row r="1649" spans="1:20">
      <c r="A1649" t="s">
        <v>8761</v>
      </c>
      <c r="B1649" t="s">
        <v>62</v>
      </c>
      <c r="C1649" t="s">
        <v>8699</v>
      </c>
      <c r="D1649" t="s">
        <v>445</v>
      </c>
      <c r="E1649" t="s">
        <v>12451</v>
      </c>
      <c r="F1649" t="s">
        <v>9412</v>
      </c>
      <c r="G1649" t="s">
        <v>12450</v>
      </c>
      <c r="H1649" t="s">
        <v>11516</v>
      </c>
      <c r="I1649" t="s">
        <v>10589</v>
      </c>
      <c r="J1649" t="s">
        <v>3808</v>
      </c>
      <c r="K1649" t="s">
        <v>9445</v>
      </c>
      <c r="L1649" t="s">
        <v>9417</v>
      </c>
      <c r="M1649" t="s">
        <v>11622</v>
      </c>
      <c r="N1649" t="s">
        <v>11514</v>
      </c>
      <c r="O1649" t="s">
        <v>9446</v>
      </c>
      <c r="P1649" t="s">
        <v>9429</v>
      </c>
      <c r="Q1649" t="s">
        <v>9421</v>
      </c>
      <c r="R1649" t="s">
        <v>52</v>
      </c>
      <c r="S1649" t="s">
        <v>3882</v>
      </c>
      <c r="T1649" t="s">
        <v>3884</v>
      </c>
    </row>
    <row r="1650" spans="1:20">
      <c r="A1650" t="s">
        <v>12452</v>
      </c>
      <c r="B1650" t="s">
        <v>9409</v>
      </c>
      <c r="C1650" t="s">
        <v>12453</v>
      </c>
      <c r="D1650" t="s">
        <v>9410</v>
      </c>
      <c r="E1650" t="s">
        <v>12454</v>
      </c>
      <c r="F1650" t="s">
        <v>9412</v>
      </c>
      <c r="G1650" t="s">
        <v>9413</v>
      </c>
      <c r="H1650" t="s">
        <v>12455</v>
      </c>
      <c r="I1650" t="s">
        <v>11638</v>
      </c>
      <c r="J1650" t="s">
        <v>4201</v>
      </c>
      <c r="K1650" t="s">
        <v>9416</v>
      </c>
      <c r="L1650" t="s">
        <v>9417</v>
      </c>
      <c r="M1650" t="s">
        <v>12456</v>
      </c>
      <c r="N1650" t="s">
        <v>12457</v>
      </c>
      <c r="O1650" t="s">
        <v>12458</v>
      </c>
      <c r="P1650" t="s">
        <v>9420</v>
      </c>
      <c r="Q1650" t="s">
        <v>9421</v>
      </c>
      <c r="R1650" t="s">
        <v>17</v>
      </c>
      <c r="S1650" t="s">
        <v>12452</v>
      </c>
      <c r="T1650" t="s">
        <v>12459</v>
      </c>
    </row>
    <row r="1651" spans="1:20">
      <c r="A1651" t="s">
        <v>4203</v>
      </c>
      <c r="B1651" t="s">
        <v>20</v>
      </c>
      <c r="C1651" t="s">
        <v>4206</v>
      </c>
      <c r="D1651" t="s">
        <v>9460</v>
      </c>
      <c r="E1651" t="s">
        <v>12460</v>
      </c>
      <c r="F1651" t="s">
        <v>9412</v>
      </c>
      <c r="G1651" t="s">
        <v>9413</v>
      </c>
      <c r="H1651" t="s">
        <v>4202</v>
      </c>
      <c r="I1651" t="s">
        <v>10302</v>
      </c>
      <c r="J1651" t="s">
        <v>4201</v>
      </c>
      <c r="K1651" t="s">
        <v>9445</v>
      </c>
      <c r="L1651" t="s">
        <v>9417</v>
      </c>
      <c r="M1651" t="s">
        <v>12461</v>
      </c>
      <c r="N1651" t="s">
        <v>9426</v>
      </c>
      <c r="O1651" t="s">
        <v>9446</v>
      </c>
      <c r="P1651" t="s">
        <v>9567</v>
      </c>
      <c r="Q1651" t="s">
        <v>9421</v>
      </c>
      <c r="R1651" t="s">
        <v>43</v>
      </c>
      <c r="S1651" t="s">
        <v>4207</v>
      </c>
      <c r="T1651" t="s">
        <v>4209</v>
      </c>
    </row>
    <row r="1652" spans="1:20">
      <c r="A1652" t="s">
        <v>4203</v>
      </c>
      <c r="B1652" t="s">
        <v>20</v>
      </c>
      <c r="C1652" t="s">
        <v>4206</v>
      </c>
      <c r="D1652" t="s">
        <v>9460</v>
      </c>
      <c r="E1652" t="s">
        <v>12460</v>
      </c>
      <c r="F1652" t="s">
        <v>9412</v>
      </c>
      <c r="G1652" t="s">
        <v>9413</v>
      </c>
      <c r="H1652" t="s">
        <v>4202</v>
      </c>
      <c r="I1652" t="s">
        <v>10302</v>
      </c>
      <c r="J1652" t="s">
        <v>4201</v>
      </c>
      <c r="K1652" t="s">
        <v>9416</v>
      </c>
      <c r="L1652" t="s">
        <v>9417</v>
      </c>
      <c r="M1652" t="s">
        <v>12461</v>
      </c>
      <c r="N1652" t="s">
        <v>12457</v>
      </c>
      <c r="O1652" t="s">
        <v>9069</v>
      </c>
      <c r="P1652" t="s">
        <v>9429</v>
      </c>
      <c r="Q1652" t="s">
        <v>9421</v>
      </c>
      <c r="R1652" t="s">
        <v>52</v>
      </c>
      <c r="S1652" t="s">
        <v>4203</v>
      </c>
      <c r="T1652" t="s">
        <v>4205</v>
      </c>
    </row>
    <row r="1653" spans="1:20">
      <c r="A1653" t="s">
        <v>4210</v>
      </c>
      <c r="B1653" t="s">
        <v>20</v>
      </c>
      <c r="C1653" t="s">
        <v>9077</v>
      </c>
      <c r="D1653" t="s">
        <v>9666</v>
      </c>
      <c r="E1653" t="s">
        <v>12462</v>
      </c>
      <c r="F1653" t="s">
        <v>9412</v>
      </c>
      <c r="G1653" t="s">
        <v>9413</v>
      </c>
      <c r="H1653" t="s">
        <v>12455</v>
      </c>
      <c r="I1653" t="s">
        <v>10265</v>
      </c>
      <c r="J1653" t="s">
        <v>4201</v>
      </c>
      <c r="K1653" t="s">
        <v>9416</v>
      </c>
      <c r="L1653" t="s">
        <v>9417</v>
      </c>
      <c r="M1653" t="s">
        <v>12463</v>
      </c>
      <c r="N1653" t="s">
        <v>12457</v>
      </c>
      <c r="O1653" t="s">
        <v>9075</v>
      </c>
      <c r="P1653" t="s">
        <v>9420</v>
      </c>
      <c r="Q1653" t="s">
        <v>9421</v>
      </c>
      <c r="R1653" t="s">
        <v>17</v>
      </c>
      <c r="S1653" t="s">
        <v>4210</v>
      </c>
      <c r="T1653" t="s">
        <v>4212</v>
      </c>
    </row>
    <row r="1654" spans="1:20">
      <c r="A1654" t="s">
        <v>4214</v>
      </c>
      <c r="B1654" t="s">
        <v>20</v>
      </c>
      <c r="C1654" t="s">
        <v>9081</v>
      </c>
      <c r="D1654" t="s">
        <v>9475</v>
      </c>
      <c r="E1654" t="s">
        <v>12464</v>
      </c>
      <c r="F1654" t="s">
        <v>9412</v>
      </c>
      <c r="G1654" t="s">
        <v>9413</v>
      </c>
      <c r="H1654" t="s">
        <v>12455</v>
      </c>
      <c r="I1654" t="s">
        <v>10470</v>
      </c>
      <c r="J1654" t="s">
        <v>4201</v>
      </c>
      <c r="K1654" t="s">
        <v>9416</v>
      </c>
      <c r="L1654" t="s">
        <v>9417</v>
      </c>
      <c r="M1654" t="s">
        <v>12465</v>
      </c>
      <c r="N1654" t="s">
        <v>12457</v>
      </c>
      <c r="O1654" t="s">
        <v>9079</v>
      </c>
      <c r="P1654" t="s">
        <v>9420</v>
      </c>
      <c r="Q1654" t="s">
        <v>9421</v>
      </c>
      <c r="R1654" t="s">
        <v>17</v>
      </c>
      <c r="S1654" t="s">
        <v>4214</v>
      </c>
      <c r="T1654" t="s">
        <v>4216</v>
      </c>
    </row>
    <row r="1655" spans="1:20">
      <c r="A1655" t="s">
        <v>4214</v>
      </c>
      <c r="B1655" t="s">
        <v>20</v>
      </c>
      <c r="C1655" t="s">
        <v>9081</v>
      </c>
      <c r="D1655" t="s">
        <v>9475</v>
      </c>
      <c r="E1655" t="s">
        <v>12464</v>
      </c>
      <c r="F1655" t="s">
        <v>9412</v>
      </c>
      <c r="G1655" t="s">
        <v>9413</v>
      </c>
      <c r="H1655" t="s">
        <v>12455</v>
      </c>
      <c r="I1655" t="s">
        <v>10470</v>
      </c>
      <c r="J1655" t="s">
        <v>4201</v>
      </c>
      <c r="K1655" t="s">
        <v>9445</v>
      </c>
      <c r="L1655" t="s">
        <v>9417</v>
      </c>
      <c r="M1655" t="s">
        <v>12465</v>
      </c>
      <c r="N1655" t="s">
        <v>9426</v>
      </c>
      <c r="O1655" t="s">
        <v>9446</v>
      </c>
      <c r="P1655" t="s">
        <v>9567</v>
      </c>
      <c r="Q1655" t="s">
        <v>9421</v>
      </c>
      <c r="R1655" t="s">
        <v>43</v>
      </c>
      <c r="S1655" t="s">
        <v>4207</v>
      </c>
      <c r="T1655" t="s">
        <v>4209</v>
      </c>
    </row>
    <row r="1656" spans="1:20">
      <c r="A1656" t="s">
        <v>4218</v>
      </c>
      <c r="B1656" t="s">
        <v>20</v>
      </c>
      <c r="C1656" t="s">
        <v>12466</v>
      </c>
      <c r="D1656" t="s">
        <v>9475</v>
      </c>
      <c r="E1656" t="s">
        <v>12467</v>
      </c>
      <c r="F1656" t="s">
        <v>9412</v>
      </c>
      <c r="G1656" t="s">
        <v>9413</v>
      </c>
      <c r="H1656" t="s">
        <v>12455</v>
      </c>
      <c r="I1656" t="s">
        <v>9466</v>
      </c>
      <c r="J1656" t="s">
        <v>4201</v>
      </c>
      <c r="K1656" t="s">
        <v>9416</v>
      </c>
      <c r="L1656" t="s">
        <v>9417</v>
      </c>
      <c r="M1656" t="s">
        <v>12465</v>
      </c>
      <c r="N1656" t="s">
        <v>12457</v>
      </c>
      <c r="O1656" t="s">
        <v>9083</v>
      </c>
      <c r="P1656" t="s">
        <v>9459</v>
      </c>
      <c r="Q1656" t="s">
        <v>9421</v>
      </c>
      <c r="R1656" t="s">
        <v>17</v>
      </c>
      <c r="S1656" t="s">
        <v>4218</v>
      </c>
      <c r="T1656" t="s">
        <v>4220</v>
      </c>
    </row>
    <row r="1657" spans="1:20">
      <c r="A1657" t="s">
        <v>4222</v>
      </c>
      <c r="B1657" t="s">
        <v>62</v>
      </c>
      <c r="C1657" t="s">
        <v>9089</v>
      </c>
      <c r="D1657" t="s">
        <v>445</v>
      </c>
      <c r="E1657" t="s">
        <v>12468</v>
      </c>
      <c r="F1657" t="s">
        <v>9412</v>
      </c>
      <c r="G1657" t="s">
        <v>9413</v>
      </c>
      <c r="H1657" t="s">
        <v>12455</v>
      </c>
      <c r="I1657" t="s">
        <v>10589</v>
      </c>
      <c r="J1657" t="s">
        <v>4201</v>
      </c>
      <c r="K1657" t="s">
        <v>9445</v>
      </c>
      <c r="L1657" t="s">
        <v>9417</v>
      </c>
      <c r="M1657" t="s">
        <v>12456</v>
      </c>
      <c r="N1657" t="s">
        <v>9426</v>
      </c>
      <c r="O1657" t="s">
        <v>9446</v>
      </c>
      <c r="P1657" t="s">
        <v>9623</v>
      </c>
      <c r="Q1657" t="s">
        <v>9421</v>
      </c>
      <c r="R1657" t="s">
        <v>24</v>
      </c>
      <c r="S1657" t="s">
        <v>4226</v>
      </c>
      <c r="T1657" t="s">
        <v>4228</v>
      </c>
    </row>
    <row r="1658" spans="1:20">
      <c r="A1658" t="s">
        <v>4222</v>
      </c>
      <c r="B1658" t="s">
        <v>62</v>
      </c>
      <c r="C1658" t="s">
        <v>9089</v>
      </c>
      <c r="D1658" t="s">
        <v>445</v>
      </c>
      <c r="E1658" t="s">
        <v>12468</v>
      </c>
      <c r="F1658" t="s">
        <v>9412</v>
      </c>
      <c r="G1658" t="s">
        <v>9413</v>
      </c>
      <c r="H1658" t="s">
        <v>12455</v>
      </c>
      <c r="I1658" t="s">
        <v>10589</v>
      </c>
      <c r="J1658" t="s">
        <v>4201</v>
      </c>
      <c r="K1658" t="s">
        <v>9416</v>
      </c>
      <c r="L1658" t="s">
        <v>9417</v>
      </c>
      <c r="M1658" t="s">
        <v>12456</v>
      </c>
      <c r="N1658" t="s">
        <v>12457</v>
      </c>
      <c r="O1658" t="s">
        <v>9087</v>
      </c>
      <c r="P1658" t="s">
        <v>9420</v>
      </c>
      <c r="Q1658" t="s">
        <v>9421</v>
      </c>
      <c r="R1658" t="s">
        <v>17</v>
      </c>
      <c r="S1658" t="s">
        <v>4222</v>
      </c>
      <c r="T1658" t="s">
        <v>4224</v>
      </c>
    </row>
    <row r="1659" spans="1:20">
      <c r="A1659" t="s">
        <v>4229</v>
      </c>
      <c r="B1659" t="s">
        <v>20</v>
      </c>
      <c r="C1659" t="s">
        <v>4232</v>
      </c>
      <c r="D1659" t="s">
        <v>9460</v>
      </c>
      <c r="E1659" t="s">
        <v>12469</v>
      </c>
      <c r="F1659" t="s">
        <v>9412</v>
      </c>
      <c r="G1659" t="s">
        <v>9413</v>
      </c>
      <c r="H1659" t="s">
        <v>4202</v>
      </c>
      <c r="I1659" t="s">
        <v>9415</v>
      </c>
      <c r="J1659" t="s">
        <v>4201</v>
      </c>
      <c r="K1659" t="s">
        <v>9445</v>
      </c>
      <c r="L1659" t="s">
        <v>9417</v>
      </c>
      <c r="M1659" t="s">
        <v>12465</v>
      </c>
      <c r="N1659" t="s">
        <v>9426</v>
      </c>
      <c r="O1659" t="s">
        <v>9446</v>
      </c>
      <c r="P1659" t="s">
        <v>9567</v>
      </c>
      <c r="Q1659" t="s">
        <v>9421</v>
      </c>
      <c r="R1659" t="s">
        <v>43</v>
      </c>
      <c r="S1659" t="s">
        <v>4233</v>
      </c>
      <c r="T1659" t="s">
        <v>4235</v>
      </c>
    </row>
    <row r="1660" spans="1:20">
      <c r="A1660" t="s">
        <v>4229</v>
      </c>
      <c r="B1660" t="s">
        <v>20</v>
      </c>
      <c r="C1660" t="s">
        <v>4232</v>
      </c>
      <c r="D1660" t="s">
        <v>9460</v>
      </c>
      <c r="E1660" t="s">
        <v>12469</v>
      </c>
      <c r="F1660" t="s">
        <v>9412</v>
      </c>
      <c r="G1660" t="s">
        <v>9413</v>
      </c>
      <c r="H1660" t="s">
        <v>4202</v>
      </c>
      <c r="I1660" t="s">
        <v>9415</v>
      </c>
      <c r="J1660" t="s">
        <v>4201</v>
      </c>
      <c r="K1660" t="s">
        <v>9416</v>
      </c>
      <c r="L1660" t="s">
        <v>9417</v>
      </c>
      <c r="M1660" t="s">
        <v>12465</v>
      </c>
      <c r="N1660" t="s">
        <v>12457</v>
      </c>
      <c r="O1660" t="s">
        <v>9091</v>
      </c>
      <c r="P1660" t="s">
        <v>9429</v>
      </c>
      <c r="Q1660" t="s">
        <v>9421</v>
      </c>
      <c r="R1660" t="s">
        <v>52</v>
      </c>
      <c r="S1660" t="s">
        <v>4229</v>
      </c>
      <c r="T1660" t="s">
        <v>4231</v>
      </c>
    </row>
    <row r="1661" spans="1:20">
      <c r="A1661" t="s">
        <v>9097</v>
      </c>
      <c r="B1661" t="s">
        <v>9409</v>
      </c>
      <c r="C1661" t="s">
        <v>9100</v>
      </c>
      <c r="D1661" t="s">
        <v>9410</v>
      </c>
      <c r="E1661" t="s">
        <v>12470</v>
      </c>
      <c r="F1661" t="s">
        <v>9412</v>
      </c>
      <c r="G1661" t="s">
        <v>9413</v>
      </c>
      <c r="H1661" t="s">
        <v>12455</v>
      </c>
      <c r="I1661" t="s">
        <v>11285</v>
      </c>
      <c r="J1661" t="s">
        <v>4201</v>
      </c>
      <c r="K1661" t="s">
        <v>9416</v>
      </c>
      <c r="L1661" t="s">
        <v>9417</v>
      </c>
      <c r="M1661" t="s">
        <v>12471</v>
      </c>
      <c r="N1661" t="s">
        <v>12457</v>
      </c>
      <c r="O1661" t="s">
        <v>9098</v>
      </c>
      <c r="P1661" t="s">
        <v>9420</v>
      </c>
      <c r="Q1661" t="s">
        <v>9421</v>
      </c>
      <c r="R1661" t="s">
        <v>17</v>
      </c>
      <c r="S1661" t="s">
        <v>9097</v>
      </c>
      <c r="T1661" t="s">
        <v>12472</v>
      </c>
    </row>
    <row r="1662" spans="1:20">
      <c r="A1662" t="s">
        <v>4236</v>
      </c>
      <c r="B1662" t="s">
        <v>20</v>
      </c>
      <c r="C1662" t="s">
        <v>12473</v>
      </c>
      <c r="D1662" t="s">
        <v>9464</v>
      </c>
      <c r="E1662" t="s">
        <v>12474</v>
      </c>
      <c r="F1662" t="s">
        <v>9412</v>
      </c>
      <c r="G1662" t="s">
        <v>9413</v>
      </c>
      <c r="H1662" t="s">
        <v>4202</v>
      </c>
      <c r="I1662" t="s">
        <v>9495</v>
      </c>
      <c r="J1662" t="s">
        <v>4201</v>
      </c>
      <c r="K1662" t="s">
        <v>9416</v>
      </c>
      <c r="L1662" t="s">
        <v>9417</v>
      </c>
      <c r="M1662" t="s">
        <v>12475</v>
      </c>
      <c r="N1662" t="s">
        <v>12457</v>
      </c>
      <c r="O1662" t="s">
        <v>9102</v>
      </c>
      <c r="P1662" t="s">
        <v>9420</v>
      </c>
      <c r="Q1662" t="s">
        <v>9421</v>
      </c>
      <c r="R1662" t="s">
        <v>17</v>
      </c>
      <c r="S1662" t="s">
        <v>4236</v>
      </c>
      <c r="T1662" t="s">
        <v>4238</v>
      </c>
    </row>
    <row r="1663" spans="1:20">
      <c r="A1663" t="s">
        <v>4240</v>
      </c>
      <c r="B1663" t="s">
        <v>62</v>
      </c>
      <c r="C1663" t="s">
        <v>9108</v>
      </c>
      <c r="D1663" t="s">
        <v>9448</v>
      </c>
      <c r="E1663" t="s">
        <v>12476</v>
      </c>
      <c r="F1663" t="s">
        <v>9412</v>
      </c>
      <c r="G1663" t="s">
        <v>9413</v>
      </c>
      <c r="H1663" t="s">
        <v>12455</v>
      </c>
      <c r="I1663" t="s">
        <v>10465</v>
      </c>
      <c r="J1663" t="s">
        <v>4201</v>
      </c>
      <c r="K1663" t="s">
        <v>9416</v>
      </c>
      <c r="L1663" t="s">
        <v>9417</v>
      </c>
      <c r="M1663" t="s">
        <v>12477</v>
      </c>
      <c r="N1663" t="s">
        <v>12457</v>
      </c>
      <c r="O1663" t="s">
        <v>9106</v>
      </c>
      <c r="P1663" t="s">
        <v>9420</v>
      </c>
      <c r="Q1663" t="s">
        <v>9421</v>
      </c>
      <c r="R1663" t="s">
        <v>17</v>
      </c>
      <c r="S1663" t="s">
        <v>4240</v>
      </c>
      <c r="T1663" t="s">
        <v>4242</v>
      </c>
    </row>
    <row r="1664" spans="1:20">
      <c r="A1664" t="s">
        <v>4244</v>
      </c>
      <c r="B1664" t="s">
        <v>20</v>
      </c>
      <c r="C1664" t="s">
        <v>4248</v>
      </c>
      <c r="D1664" t="s">
        <v>9666</v>
      </c>
      <c r="E1664" t="s">
        <v>12478</v>
      </c>
      <c r="F1664" t="s">
        <v>9412</v>
      </c>
      <c r="G1664" t="s">
        <v>9413</v>
      </c>
      <c r="H1664" t="s">
        <v>4202</v>
      </c>
      <c r="I1664" t="s">
        <v>9435</v>
      </c>
      <c r="J1664" t="s">
        <v>4201</v>
      </c>
      <c r="K1664" t="s">
        <v>9416</v>
      </c>
      <c r="L1664" t="s">
        <v>9417</v>
      </c>
      <c r="M1664" t="s">
        <v>12475</v>
      </c>
      <c r="N1664" t="s">
        <v>12457</v>
      </c>
      <c r="O1664" t="s">
        <v>9110</v>
      </c>
      <c r="P1664" t="s">
        <v>9420</v>
      </c>
      <c r="Q1664" t="s">
        <v>9421</v>
      </c>
      <c r="R1664" t="s">
        <v>17</v>
      </c>
      <c r="S1664" t="s">
        <v>4245</v>
      </c>
      <c r="T1664" t="s">
        <v>4247</v>
      </c>
    </row>
    <row r="1665" spans="1:20">
      <c r="A1665" t="s">
        <v>9113</v>
      </c>
      <c r="B1665" t="s">
        <v>9409</v>
      </c>
      <c r="C1665" t="s">
        <v>9117</v>
      </c>
      <c r="D1665" t="s">
        <v>9410</v>
      </c>
      <c r="E1665" t="s">
        <v>12479</v>
      </c>
      <c r="F1665" t="s">
        <v>9412</v>
      </c>
      <c r="G1665" t="s">
        <v>9413</v>
      </c>
      <c r="H1665" t="s">
        <v>12455</v>
      </c>
      <c r="I1665" t="s">
        <v>9441</v>
      </c>
      <c r="J1665" t="s">
        <v>4201</v>
      </c>
      <c r="K1665" t="s">
        <v>9416</v>
      </c>
      <c r="L1665" t="s">
        <v>9417</v>
      </c>
      <c r="M1665" t="s">
        <v>12480</v>
      </c>
      <c r="N1665" t="s">
        <v>12457</v>
      </c>
      <c r="O1665" t="s">
        <v>9119</v>
      </c>
      <c r="P1665" t="s">
        <v>9420</v>
      </c>
      <c r="Q1665" t="s">
        <v>9421</v>
      </c>
      <c r="R1665" t="s">
        <v>17</v>
      </c>
      <c r="S1665" t="s">
        <v>9113</v>
      </c>
      <c r="T1665" t="s">
        <v>12481</v>
      </c>
    </row>
    <row r="1666" spans="1:20">
      <c r="A1666" t="s">
        <v>9113</v>
      </c>
      <c r="B1666" t="s">
        <v>9409</v>
      </c>
      <c r="C1666" t="s">
        <v>9117</v>
      </c>
      <c r="D1666" t="s">
        <v>9410</v>
      </c>
      <c r="E1666" t="s">
        <v>12479</v>
      </c>
      <c r="F1666" t="s">
        <v>9412</v>
      </c>
      <c r="G1666" t="s">
        <v>9413</v>
      </c>
      <c r="H1666" t="s">
        <v>12455</v>
      </c>
      <c r="I1666" t="s">
        <v>9441</v>
      </c>
      <c r="J1666" t="s">
        <v>4201</v>
      </c>
      <c r="K1666" t="s">
        <v>9416</v>
      </c>
      <c r="L1666" t="s">
        <v>9417</v>
      </c>
      <c r="M1666" t="s">
        <v>12480</v>
      </c>
      <c r="N1666" t="s">
        <v>12457</v>
      </c>
      <c r="O1666" t="s">
        <v>9115</v>
      </c>
      <c r="P1666" t="s">
        <v>9420</v>
      </c>
      <c r="Q1666" t="s">
        <v>9421</v>
      </c>
      <c r="R1666" t="s">
        <v>17</v>
      </c>
      <c r="S1666" t="s">
        <v>9114</v>
      </c>
      <c r="T1666" t="s">
        <v>12482</v>
      </c>
    </row>
    <row r="1667" spans="1:20">
      <c r="A1667" t="s">
        <v>4249</v>
      </c>
      <c r="B1667" t="s">
        <v>20</v>
      </c>
      <c r="C1667" t="s">
        <v>4252</v>
      </c>
      <c r="D1667" t="s">
        <v>9464</v>
      </c>
      <c r="E1667" t="s">
        <v>12483</v>
      </c>
      <c r="F1667" t="s">
        <v>9412</v>
      </c>
      <c r="G1667" t="s">
        <v>9413</v>
      </c>
      <c r="H1667" t="s">
        <v>4202</v>
      </c>
      <c r="I1667" t="s">
        <v>9729</v>
      </c>
      <c r="J1667" t="s">
        <v>4201</v>
      </c>
      <c r="K1667" t="s">
        <v>9416</v>
      </c>
      <c r="L1667" t="s">
        <v>9417</v>
      </c>
      <c r="M1667" t="s">
        <v>12484</v>
      </c>
      <c r="N1667" t="s">
        <v>12457</v>
      </c>
      <c r="O1667" t="s">
        <v>9121</v>
      </c>
      <c r="P1667" t="s">
        <v>9420</v>
      </c>
      <c r="Q1667" t="s">
        <v>9421</v>
      </c>
      <c r="R1667" t="s">
        <v>17</v>
      </c>
      <c r="S1667" t="s">
        <v>4249</v>
      </c>
      <c r="T1667" t="s">
        <v>4251</v>
      </c>
    </row>
    <row r="1668" spans="1:20">
      <c r="A1668" t="s">
        <v>4253</v>
      </c>
      <c r="B1668" t="s">
        <v>20</v>
      </c>
      <c r="C1668" t="s">
        <v>4256</v>
      </c>
      <c r="D1668" t="s">
        <v>10329</v>
      </c>
      <c r="E1668" t="s">
        <v>12485</v>
      </c>
      <c r="F1668" t="s">
        <v>9412</v>
      </c>
      <c r="G1668" t="s">
        <v>9413</v>
      </c>
      <c r="H1668" t="s">
        <v>4202</v>
      </c>
      <c r="I1668" t="s">
        <v>9466</v>
      </c>
      <c r="J1668" t="s">
        <v>4201</v>
      </c>
      <c r="K1668" t="s">
        <v>9416</v>
      </c>
      <c r="L1668" t="s">
        <v>9417</v>
      </c>
      <c r="M1668" t="s">
        <v>12484</v>
      </c>
      <c r="N1668" t="s">
        <v>12457</v>
      </c>
      <c r="O1668" t="s">
        <v>9125</v>
      </c>
      <c r="P1668" t="s">
        <v>9420</v>
      </c>
      <c r="Q1668" t="s">
        <v>9421</v>
      </c>
      <c r="R1668" t="s">
        <v>17</v>
      </c>
      <c r="S1668" t="s">
        <v>4253</v>
      </c>
      <c r="T1668" t="s">
        <v>4255</v>
      </c>
    </row>
    <row r="1669" spans="1:20">
      <c r="A1669" t="s">
        <v>4257</v>
      </c>
      <c r="B1669" t="s">
        <v>20</v>
      </c>
      <c r="C1669" t="s">
        <v>9131</v>
      </c>
      <c r="D1669" t="s">
        <v>9475</v>
      </c>
      <c r="E1669" t="s">
        <v>12486</v>
      </c>
      <c r="F1669" t="s">
        <v>9412</v>
      </c>
      <c r="G1669" t="s">
        <v>9413</v>
      </c>
      <c r="H1669" t="s">
        <v>12455</v>
      </c>
      <c r="I1669" t="s">
        <v>10877</v>
      </c>
      <c r="J1669" t="s">
        <v>4201</v>
      </c>
      <c r="K1669" t="s">
        <v>9416</v>
      </c>
      <c r="L1669" t="s">
        <v>9417</v>
      </c>
      <c r="M1669" t="s">
        <v>12487</v>
      </c>
      <c r="N1669" t="s">
        <v>12457</v>
      </c>
      <c r="O1669" t="s">
        <v>9129</v>
      </c>
      <c r="P1669" t="s">
        <v>9459</v>
      </c>
      <c r="Q1669" t="s">
        <v>9421</v>
      </c>
      <c r="R1669" t="s">
        <v>17</v>
      </c>
      <c r="S1669" t="s">
        <v>4257</v>
      </c>
      <c r="T1669" t="s">
        <v>4259</v>
      </c>
    </row>
    <row r="1670" spans="1:20">
      <c r="A1670" t="s">
        <v>4261</v>
      </c>
      <c r="B1670" t="s">
        <v>20</v>
      </c>
      <c r="C1670" t="s">
        <v>4264</v>
      </c>
      <c r="D1670" t="s">
        <v>9464</v>
      </c>
      <c r="E1670" t="s">
        <v>12488</v>
      </c>
      <c r="F1670" t="s">
        <v>9412</v>
      </c>
      <c r="G1670" t="s">
        <v>9413</v>
      </c>
      <c r="H1670" t="s">
        <v>4202</v>
      </c>
      <c r="I1670" t="s">
        <v>9792</v>
      </c>
      <c r="J1670" t="s">
        <v>4201</v>
      </c>
      <c r="K1670" t="s">
        <v>9416</v>
      </c>
      <c r="L1670" t="s">
        <v>9417</v>
      </c>
      <c r="M1670" t="s">
        <v>12487</v>
      </c>
      <c r="N1670" t="s">
        <v>12457</v>
      </c>
      <c r="O1670" t="s">
        <v>9133</v>
      </c>
      <c r="P1670" t="s">
        <v>9420</v>
      </c>
      <c r="Q1670" t="s">
        <v>9421</v>
      </c>
      <c r="R1670" t="s">
        <v>17</v>
      </c>
      <c r="S1670" t="s">
        <v>4261</v>
      </c>
      <c r="T1670" t="s">
        <v>4263</v>
      </c>
    </row>
    <row r="1671" spans="1:20">
      <c r="A1671" t="s">
        <v>4265</v>
      </c>
      <c r="B1671" t="s">
        <v>20</v>
      </c>
      <c r="C1671" t="s">
        <v>4268</v>
      </c>
      <c r="D1671" t="s">
        <v>9677</v>
      </c>
      <c r="E1671" t="s">
        <v>12489</v>
      </c>
      <c r="F1671" t="s">
        <v>9412</v>
      </c>
      <c r="G1671" t="s">
        <v>9413</v>
      </c>
      <c r="H1671" t="s">
        <v>4202</v>
      </c>
      <c r="I1671" t="s">
        <v>9819</v>
      </c>
      <c r="J1671" t="s">
        <v>4201</v>
      </c>
      <c r="K1671" t="s">
        <v>9416</v>
      </c>
      <c r="L1671" t="s">
        <v>9417</v>
      </c>
      <c r="M1671" t="s">
        <v>12490</v>
      </c>
      <c r="N1671" t="s">
        <v>12457</v>
      </c>
      <c r="O1671" t="s">
        <v>9137</v>
      </c>
      <c r="P1671" t="s">
        <v>9420</v>
      </c>
      <c r="Q1671" t="s">
        <v>9421</v>
      </c>
      <c r="R1671" t="s">
        <v>17</v>
      </c>
      <c r="S1671" t="s">
        <v>4265</v>
      </c>
      <c r="T1671" t="s">
        <v>4267</v>
      </c>
    </row>
    <row r="1672" spans="1:20">
      <c r="A1672" t="s">
        <v>9141</v>
      </c>
      <c r="B1672" t="s">
        <v>9409</v>
      </c>
      <c r="C1672" t="s">
        <v>9144</v>
      </c>
      <c r="D1672" t="s">
        <v>9410</v>
      </c>
      <c r="E1672" t="s">
        <v>12491</v>
      </c>
      <c r="F1672" t="s">
        <v>9412</v>
      </c>
      <c r="G1672" t="s">
        <v>9413</v>
      </c>
      <c r="H1672" t="s">
        <v>12455</v>
      </c>
      <c r="I1672" t="s">
        <v>9729</v>
      </c>
      <c r="J1672" t="s">
        <v>4201</v>
      </c>
      <c r="K1672" t="s">
        <v>9416</v>
      </c>
      <c r="L1672" t="s">
        <v>9417</v>
      </c>
      <c r="M1672" t="s">
        <v>12461</v>
      </c>
      <c r="N1672" t="s">
        <v>12457</v>
      </c>
      <c r="O1672" t="s">
        <v>9142</v>
      </c>
      <c r="P1672" t="s">
        <v>9420</v>
      </c>
      <c r="Q1672" t="s">
        <v>9421</v>
      </c>
      <c r="R1672" t="s">
        <v>17</v>
      </c>
      <c r="S1672" t="s">
        <v>9141</v>
      </c>
      <c r="T1672" t="s">
        <v>12492</v>
      </c>
    </row>
    <row r="1673" spans="1:20">
      <c r="A1673" t="s">
        <v>4269</v>
      </c>
      <c r="B1673" t="s">
        <v>20</v>
      </c>
      <c r="C1673" t="s">
        <v>9148</v>
      </c>
      <c r="D1673" t="s">
        <v>9455</v>
      </c>
      <c r="E1673" t="s">
        <v>12493</v>
      </c>
      <c r="F1673" t="s">
        <v>9412</v>
      </c>
      <c r="G1673" t="s">
        <v>9413</v>
      </c>
      <c r="H1673" t="s">
        <v>12455</v>
      </c>
      <c r="I1673" t="s">
        <v>9482</v>
      </c>
      <c r="J1673" t="s">
        <v>4201</v>
      </c>
      <c r="K1673" t="s">
        <v>9445</v>
      </c>
      <c r="L1673" t="s">
        <v>9417</v>
      </c>
      <c r="M1673" t="s">
        <v>12471</v>
      </c>
      <c r="N1673" t="s">
        <v>9426</v>
      </c>
      <c r="O1673" t="s">
        <v>9446</v>
      </c>
      <c r="P1673" t="s">
        <v>11022</v>
      </c>
      <c r="Q1673" t="s">
        <v>9421</v>
      </c>
      <c r="R1673" t="s">
        <v>84</v>
      </c>
      <c r="S1673" t="s">
        <v>4273</v>
      </c>
      <c r="T1673" t="s">
        <v>4275</v>
      </c>
    </row>
    <row r="1674" spans="1:20">
      <c r="A1674" t="s">
        <v>4269</v>
      </c>
      <c r="B1674" t="s">
        <v>20</v>
      </c>
      <c r="C1674" t="s">
        <v>9148</v>
      </c>
      <c r="D1674" t="s">
        <v>9455</v>
      </c>
      <c r="E1674" t="s">
        <v>12493</v>
      </c>
      <c r="F1674" t="s">
        <v>9412</v>
      </c>
      <c r="G1674" t="s">
        <v>9413</v>
      </c>
      <c r="H1674" t="s">
        <v>12455</v>
      </c>
      <c r="I1674" t="s">
        <v>9482</v>
      </c>
      <c r="J1674" t="s">
        <v>4201</v>
      </c>
      <c r="K1674" t="s">
        <v>9416</v>
      </c>
      <c r="L1674" t="s">
        <v>9417</v>
      </c>
      <c r="M1674" t="s">
        <v>12471</v>
      </c>
      <c r="N1674" t="s">
        <v>12457</v>
      </c>
      <c r="O1674" t="s">
        <v>9146</v>
      </c>
      <c r="P1674" t="s">
        <v>9429</v>
      </c>
      <c r="Q1674" t="s">
        <v>9421</v>
      </c>
      <c r="R1674" t="s">
        <v>52</v>
      </c>
      <c r="S1674" t="s">
        <v>4269</v>
      </c>
      <c r="T1674" t="s">
        <v>4271</v>
      </c>
    </row>
    <row r="1675" spans="1:20">
      <c r="A1675" t="s">
        <v>4233</v>
      </c>
      <c r="B1675" t="s">
        <v>9409</v>
      </c>
      <c r="C1675" t="s">
        <v>12494</v>
      </c>
      <c r="D1675" t="s">
        <v>9410</v>
      </c>
      <c r="E1675" t="s">
        <v>12495</v>
      </c>
      <c r="F1675" t="s">
        <v>9412</v>
      </c>
      <c r="G1675" t="s">
        <v>9413</v>
      </c>
      <c r="H1675" t="s">
        <v>12455</v>
      </c>
      <c r="I1675" t="s">
        <v>11638</v>
      </c>
      <c r="J1675" t="s">
        <v>4201</v>
      </c>
      <c r="K1675" t="s">
        <v>9445</v>
      </c>
      <c r="L1675" t="s">
        <v>9417</v>
      </c>
      <c r="M1675" t="s">
        <v>12463</v>
      </c>
      <c r="N1675" t="s">
        <v>9426</v>
      </c>
      <c r="O1675" t="s">
        <v>9446</v>
      </c>
      <c r="P1675" t="s">
        <v>9567</v>
      </c>
      <c r="Q1675" t="s">
        <v>9421</v>
      </c>
      <c r="R1675" t="s">
        <v>43</v>
      </c>
      <c r="S1675" t="s">
        <v>4233</v>
      </c>
      <c r="T1675" t="s">
        <v>4235</v>
      </c>
    </row>
    <row r="1676" spans="1:20">
      <c r="A1676" t="s">
        <v>9152</v>
      </c>
      <c r="B1676" t="s">
        <v>9409</v>
      </c>
      <c r="C1676" t="s">
        <v>9155</v>
      </c>
      <c r="D1676" t="s">
        <v>9410</v>
      </c>
      <c r="E1676" t="s">
        <v>12496</v>
      </c>
      <c r="F1676" t="s">
        <v>9412</v>
      </c>
      <c r="G1676" t="s">
        <v>9413</v>
      </c>
      <c r="H1676" t="s">
        <v>12455</v>
      </c>
      <c r="I1676" t="s">
        <v>12497</v>
      </c>
      <c r="J1676" t="s">
        <v>4201</v>
      </c>
      <c r="K1676" t="s">
        <v>9416</v>
      </c>
      <c r="L1676" t="s">
        <v>9417</v>
      </c>
      <c r="M1676" t="s">
        <v>12498</v>
      </c>
      <c r="N1676" t="s">
        <v>12457</v>
      </c>
      <c r="O1676" t="s">
        <v>9153</v>
      </c>
      <c r="P1676" t="s">
        <v>9420</v>
      </c>
      <c r="Q1676" t="s">
        <v>9421</v>
      </c>
      <c r="R1676" t="s">
        <v>17</v>
      </c>
      <c r="S1676" t="s">
        <v>9152</v>
      </c>
      <c r="T1676" t="s">
        <v>12499</v>
      </c>
    </row>
    <row r="1677" spans="1:20">
      <c r="A1677" t="s">
        <v>9160</v>
      </c>
      <c r="B1677" t="s">
        <v>9409</v>
      </c>
      <c r="C1677" t="s">
        <v>9163</v>
      </c>
      <c r="D1677" t="s">
        <v>9410</v>
      </c>
      <c r="E1677" t="s">
        <v>12500</v>
      </c>
      <c r="F1677" t="s">
        <v>9412</v>
      </c>
      <c r="G1677" t="s">
        <v>9413</v>
      </c>
      <c r="H1677" t="s">
        <v>12455</v>
      </c>
      <c r="I1677" t="s">
        <v>10302</v>
      </c>
      <c r="J1677" t="s">
        <v>4201</v>
      </c>
      <c r="K1677" t="s">
        <v>9416</v>
      </c>
      <c r="L1677" t="s">
        <v>9417</v>
      </c>
      <c r="M1677" t="s">
        <v>12484</v>
      </c>
      <c r="N1677" t="s">
        <v>12457</v>
      </c>
      <c r="O1677" t="s">
        <v>9161</v>
      </c>
      <c r="P1677" t="s">
        <v>9429</v>
      </c>
      <c r="Q1677" t="s">
        <v>9421</v>
      </c>
      <c r="R1677" t="s">
        <v>52</v>
      </c>
      <c r="S1677" t="s">
        <v>9160</v>
      </c>
      <c r="T1677" t="s">
        <v>12501</v>
      </c>
    </row>
    <row r="1678" spans="1:20">
      <c r="A1678" t="s">
        <v>9165</v>
      </c>
      <c r="B1678" t="s">
        <v>9409</v>
      </c>
      <c r="C1678" t="s">
        <v>9168</v>
      </c>
      <c r="D1678" t="s">
        <v>9410</v>
      </c>
      <c r="E1678" t="s">
        <v>12502</v>
      </c>
      <c r="F1678" t="s">
        <v>9412</v>
      </c>
      <c r="G1678" t="s">
        <v>9413</v>
      </c>
      <c r="H1678" t="s">
        <v>12455</v>
      </c>
      <c r="I1678" t="s">
        <v>9674</v>
      </c>
      <c r="J1678" t="s">
        <v>4201</v>
      </c>
      <c r="K1678" t="s">
        <v>9416</v>
      </c>
      <c r="L1678" t="s">
        <v>9417</v>
      </c>
      <c r="M1678" t="s">
        <v>12498</v>
      </c>
      <c r="N1678" t="s">
        <v>12457</v>
      </c>
      <c r="O1678" t="s">
        <v>9166</v>
      </c>
      <c r="P1678" t="s">
        <v>9420</v>
      </c>
      <c r="Q1678" t="s">
        <v>9421</v>
      </c>
      <c r="R1678" t="s">
        <v>17</v>
      </c>
      <c r="S1678" t="s">
        <v>9165</v>
      </c>
      <c r="T1678" t="s">
        <v>12503</v>
      </c>
    </row>
    <row r="1679" spans="1:20">
      <c r="A1679" t="s">
        <v>4276</v>
      </c>
      <c r="B1679" t="s">
        <v>20</v>
      </c>
      <c r="C1679" t="s">
        <v>4279</v>
      </c>
      <c r="D1679" t="s">
        <v>9464</v>
      </c>
      <c r="E1679" t="s">
        <v>12504</v>
      </c>
      <c r="F1679" t="s">
        <v>9412</v>
      </c>
      <c r="G1679" t="s">
        <v>9413</v>
      </c>
      <c r="H1679" t="s">
        <v>4202</v>
      </c>
      <c r="I1679" t="s">
        <v>9787</v>
      </c>
      <c r="J1679" t="s">
        <v>4201</v>
      </c>
      <c r="K1679" t="s">
        <v>9445</v>
      </c>
      <c r="L1679" t="s">
        <v>9417</v>
      </c>
      <c r="M1679" t="s">
        <v>12498</v>
      </c>
      <c r="N1679" t="s">
        <v>9426</v>
      </c>
      <c r="O1679" t="s">
        <v>9446</v>
      </c>
      <c r="P1679" t="s">
        <v>9567</v>
      </c>
      <c r="Q1679" t="s">
        <v>9421</v>
      </c>
      <c r="R1679" t="s">
        <v>43</v>
      </c>
      <c r="S1679" t="s">
        <v>4207</v>
      </c>
      <c r="T1679" t="s">
        <v>4209</v>
      </c>
    </row>
    <row r="1680" spans="1:20">
      <c r="A1680" t="s">
        <v>4276</v>
      </c>
      <c r="B1680" t="s">
        <v>20</v>
      </c>
      <c r="C1680" t="s">
        <v>4279</v>
      </c>
      <c r="D1680" t="s">
        <v>9464</v>
      </c>
      <c r="E1680" t="s">
        <v>12504</v>
      </c>
      <c r="F1680" t="s">
        <v>9412</v>
      </c>
      <c r="G1680" t="s">
        <v>9413</v>
      </c>
      <c r="H1680" t="s">
        <v>4202</v>
      </c>
      <c r="I1680" t="s">
        <v>9787</v>
      </c>
      <c r="J1680" t="s">
        <v>4201</v>
      </c>
      <c r="K1680" t="s">
        <v>9416</v>
      </c>
      <c r="L1680" t="s">
        <v>9417</v>
      </c>
      <c r="M1680" t="s">
        <v>12498</v>
      </c>
      <c r="N1680" t="s">
        <v>12457</v>
      </c>
      <c r="O1680" t="s">
        <v>9170</v>
      </c>
      <c r="P1680" t="s">
        <v>9420</v>
      </c>
      <c r="Q1680" t="s">
        <v>9421</v>
      </c>
      <c r="R1680" t="s">
        <v>17</v>
      </c>
      <c r="S1680" t="s">
        <v>4276</v>
      </c>
      <c r="T1680" t="s">
        <v>4278</v>
      </c>
    </row>
    <row r="1681" spans="1:20">
      <c r="A1681" t="s">
        <v>9174</v>
      </c>
      <c r="B1681" t="s">
        <v>9409</v>
      </c>
      <c r="C1681" t="s">
        <v>9177</v>
      </c>
      <c r="D1681" t="s">
        <v>9410</v>
      </c>
      <c r="E1681" t="s">
        <v>12505</v>
      </c>
      <c r="F1681" t="s">
        <v>9412</v>
      </c>
      <c r="G1681" t="s">
        <v>9413</v>
      </c>
      <c r="H1681" t="s">
        <v>12455</v>
      </c>
      <c r="I1681" t="s">
        <v>9415</v>
      </c>
      <c r="J1681" t="s">
        <v>4201</v>
      </c>
      <c r="K1681" t="s">
        <v>9416</v>
      </c>
      <c r="L1681" t="s">
        <v>9417</v>
      </c>
      <c r="M1681" t="s">
        <v>12480</v>
      </c>
      <c r="N1681" t="s">
        <v>12457</v>
      </c>
      <c r="O1681" t="s">
        <v>9175</v>
      </c>
      <c r="P1681" t="s">
        <v>9420</v>
      </c>
      <c r="Q1681" t="s">
        <v>9421</v>
      </c>
      <c r="R1681" t="s">
        <v>17</v>
      </c>
      <c r="S1681" t="s">
        <v>9174</v>
      </c>
      <c r="T1681" t="s">
        <v>12506</v>
      </c>
    </row>
    <row r="1682" spans="1:20">
      <c r="A1682" t="s">
        <v>4280</v>
      </c>
      <c r="B1682" t="s">
        <v>20</v>
      </c>
      <c r="C1682" t="s">
        <v>4283</v>
      </c>
      <c r="D1682" t="s">
        <v>9460</v>
      </c>
      <c r="E1682" t="s">
        <v>12507</v>
      </c>
      <c r="F1682" t="s">
        <v>9412</v>
      </c>
      <c r="G1682" t="s">
        <v>9413</v>
      </c>
      <c r="H1682" t="s">
        <v>4202</v>
      </c>
      <c r="I1682" t="s">
        <v>9482</v>
      </c>
      <c r="J1682" t="s">
        <v>4201</v>
      </c>
      <c r="K1682" t="s">
        <v>9416</v>
      </c>
      <c r="L1682" t="s">
        <v>9417</v>
      </c>
      <c r="M1682" t="s">
        <v>12471</v>
      </c>
      <c r="N1682" t="s">
        <v>12457</v>
      </c>
      <c r="O1682" t="s">
        <v>9179</v>
      </c>
      <c r="P1682" t="s">
        <v>9420</v>
      </c>
      <c r="Q1682" t="s">
        <v>9421</v>
      </c>
      <c r="R1682" t="s">
        <v>17</v>
      </c>
      <c r="S1682" t="s">
        <v>4280</v>
      </c>
      <c r="T1682" t="s">
        <v>4282</v>
      </c>
    </row>
    <row r="1683" spans="1:20">
      <c r="A1683" t="s">
        <v>4280</v>
      </c>
      <c r="B1683" t="s">
        <v>20</v>
      </c>
      <c r="C1683" t="s">
        <v>4283</v>
      </c>
      <c r="D1683" t="s">
        <v>9460</v>
      </c>
      <c r="E1683" t="s">
        <v>12507</v>
      </c>
      <c r="F1683" t="s">
        <v>9412</v>
      </c>
      <c r="G1683" t="s">
        <v>9413</v>
      </c>
      <c r="H1683" t="s">
        <v>4202</v>
      </c>
      <c r="I1683" t="s">
        <v>9482</v>
      </c>
      <c r="J1683" t="s">
        <v>4201</v>
      </c>
      <c r="K1683" t="s">
        <v>9445</v>
      </c>
      <c r="L1683" t="s">
        <v>9417</v>
      </c>
      <c r="M1683" t="s">
        <v>12471</v>
      </c>
      <c r="N1683" t="s">
        <v>9426</v>
      </c>
      <c r="O1683" t="s">
        <v>9446</v>
      </c>
      <c r="P1683" t="s">
        <v>9567</v>
      </c>
      <c r="Q1683" t="s">
        <v>9421</v>
      </c>
      <c r="R1683" t="s">
        <v>43</v>
      </c>
      <c r="S1683" t="s">
        <v>4207</v>
      </c>
      <c r="T1683" t="s">
        <v>4209</v>
      </c>
    </row>
    <row r="1684" spans="1:20">
      <c r="A1684" t="s">
        <v>4284</v>
      </c>
      <c r="B1684" t="s">
        <v>62</v>
      </c>
      <c r="C1684" t="s">
        <v>9183</v>
      </c>
      <c r="D1684" t="s">
        <v>9448</v>
      </c>
      <c r="E1684" t="s">
        <v>12508</v>
      </c>
      <c r="F1684" t="s">
        <v>9412</v>
      </c>
      <c r="G1684" t="s">
        <v>9413</v>
      </c>
      <c r="H1684" t="s">
        <v>12455</v>
      </c>
      <c r="I1684" t="s">
        <v>10975</v>
      </c>
      <c r="J1684" t="s">
        <v>4201</v>
      </c>
      <c r="K1684" t="s">
        <v>9416</v>
      </c>
      <c r="L1684" t="s">
        <v>9417</v>
      </c>
      <c r="M1684" t="s">
        <v>12456</v>
      </c>
      <c r="N1684" t="s">
        <v>12457</v>
      </c>
      <c r="O1684" t="s">
        <v>9185</v>
      </c>
      <c r="P1684" t="s">
        <v>9429</v>
      </c>
      <c r="Q1684" t="s">
        <v>9421</v>
      </c>
      <c r="R1684" t="s">
        <v>52</v>
      </c>
      <c r="S1684" t="s">
        <v>4284</v>
      </c>
      <c r="T1684" t="s">
        <v>4287</v>
      </c>
    </row>
    <row r="1685" spans="1:20">
      <c r="A1685" t="s">
        <v>4284</v>
      </c>
      <c r="B1685" t="s">
        <v>62</v>
      </c>
      <c r="C1685" t="s">
        <v>9183</v>
      </c>
      <c r="D1685" t="s">
        <v>9448</v>
      </c>
      <c r="E1685" t="s">
        <v>12508</v>
      </c>
      <c r="F1685" t="s">
        <v>9412</v>
      </c>
      <c r="G1685" t="s">
        <v>9413</v>
      </c>
      <c r="H1685" t="s">
        <v>12455</v>
      </c>
      <c r="I1685" t="s">
        <v>10975</v>
      </c>
      <c r="J1685" t="s">
        <v>4201</v>
      </c>
      <c r="K1685" t="s">
        <v>9445</v>
      </c>
      <c r="L1685" t="s">
        <v>9417</v>
      </c>
      <c r="M1685" t="s">
        <v>12456</v>
      </c>
      <c r="N1685" t="s">
        <v>9426</v>
      </c>
      <c r="O1685" t="s">
        <v>9446</v>
      </c>
      <c r="P1685" t="s">
        <v>9567</v>
      </c>
      <c r="Q1685" t="s">
        <v>9421</v>
      </c>
      <c r="R1685" t="s">
        <v>43</v>
      </c>
      <c r="S1685" t="s">
        <v>4233</v>
      </c>
      <c r="T1685" t="s">
        <v>4235</v>
      </c>
    </row>
    <row r="1686" spans="1:20">
      <c r="A1686" t="s">
        <v>9187</v>
      </c>
      <c r="B1686" t="s">
        <v>9409</v>
      </c>
      <c r="C1686" t="s">
        <v>9190</v>
      </c>
      <c r="D1686" t="s">
        <v>9410</v>
      </c>
      <c r="E1686" t="s">
        <v>12509</v>
      </c>
      <c r="F1686" t="s">
        <v>9412</v>
      </c>
      <c r="G1686" t="s">
        <v>9413</v>
      </c>
      <c r="H1686" t="s">
        <v>12455</v>
      </c>
      <c r="I1686" t="s">
        <v>10261</v>
      </c>
      <c r="J1686" t="s">
        <v>4201</v>
      </c>
      <c r="K1686" t="s">
        <v>9416</v>
      </c>
      <c r="L1686" t="s">
        <v>9417</v>
      </c>
      <c r="M1686" t="s">
        <v>12480</v>
      </c>
      <c r="N1686" t="s">
        <v>12457</v>
      </c>
      <c r="O1686" t="s">
        <v>9188</v>
      </c>
      <c r="P1686" t="s">
        <v>9459</v>
      </c>
      <c r="Q1686" t="s">
        <v>9421</v>
      </c>
      <c r="R1686" t="s">
        <v>17</v>
      </c>
      <c r="S1686" t="s">
        <v>9187</v>
      </c>
      <c r="T1686" t="s">
        <v>12510</v>
      </c>
    </row>
    <row r="1687" spans="1:20">
      <c r="A1687" t="s">
        <v>4288</v>
      </c>
      <c r="B1687" t="s">
        <v>20</v>
      </c>
      <c r="C1687" t="s">
        <v>9194</v>
      </c>
      <c r="D1687" t="s">
        <v>9464</v>
      </c>
      <c r="E1687" t="s">
        <v>12511</v>
      </c>
      <c r="F1687" t="s">
        <v>9412</v>
      </c>
      <c r="G1687" t="s">
        <v>9413</v>
      </c>
      <c r="H1687" t="s">
        <v>12455</v>
      </c>
      <c r="I1687" t="s">
        <v>10434</v>
      </c>
      <c r="J1687" t="s">
        <v>4201</v>
      </c>
      <c r="K1687" t="s">
        <v>9416</v>
      </c>
      <c r="L1687" t="s">
        <v>9417</v>
      </c>
      <c r="M1687" t="s">
        <v>12465</v>
      </c>
      <c r="N1687" t="s">
        <v>12457</v>
      </c>
      <c r="O1687" t="s">
        <v>9192</v>
      </c>
      <c r="P1687" t="s">
        <v>9420</v>
      </c>
      <c r="Q1687" t="s">
        <v>9421</v>
      </c>
      <c r="R1687" t="s">
        <v>17</v>
      </c>
      <c r="S1687" t="s">
        <v>4288</v>
      </c>
      <c r="T1687" t="s">
        <v>4290</v>
      </c>
    </row>
    <row r="1688" spans="1:20">
      <c r="A1688" t="s">
        <v>4288</v>
      </c>
      <c r="B1688" t="s">
        <v>20</v>
      </c>
      <c r="C1688" t="s">
        <v>9194</v>
      </c>
      <c r="D1688" t="s">
        <v>9464</v>
      </c>
      <c r="E1688" t="s">
        <v>12511</v>
      </c>
      <c r="F1688" t="s">
        <v>9412</v>
      </c>
      <c r="G1688" t="s">
        <v>9413</v>
      </c>
      <c r="H1688" t="s">
        <v>12455</v>
      </c>
      <c r="I1688" t="s">
        <v>10434</v>
      </c>
      <c r="J1688" t="s">
        <v>4201</v>
      </c>
      <c r="K1688" t="s">
        <v>9445</v>
      </c>
      <c r="L1688" t="s">
        <v>9417</v>
      </c>
      <c r="M1688" t="s">
        <v>12465</v>
      </c>
      <c r="N1688" t="s">
        <v>9426</v>
      </c>
      <c r="O1688" t="s">
        <v>9446</v>
      </c>
      <c r="P1688" t="s">
        <v>9567</v>
      </c>
      <c r="Q1688" t="s">
        <v>9421</v>
      </c>
      <c r="R1688" t="s">
        <v>43</v>
      </c>
      <c r="S1688" t="s">
        <v>4207</v>
      </c>
      <c r="T1688" t="s">
        <v>4209</v>
      </c>
    </row>
    <row r="1689" spans="1:20">
      <c r="A1689" t="s">
        <v>9196</v>
      </c>
      <c r="B1689" t="s">
        <v>9409</v>
      </c>
      <c r="C1689" t="s">
        <v>9199</v>
      </c>
      <c r="D1689" t="s">
        <v>9410</v>
      </c>
      <c r="E1689" t="s">
        <v>12512</v>
      </c>
      <c r="F1689" t="s">
        <v>9412</v>
      </c>
      <c r="G1689" t="s">
        <v>9413</v>
      </c>
      <c r="H1689" t="s">
        <v>12455</v>
      </c>
      <c r="I1689" t="s">
        <v>9518</v>
      </c>
      <c r="J1689" t="s">
        <v>4201</v>
      </c>
      <c r="K1689" t="s">
        <v>9416</v>
      </c>
      <c r="L1689" t="s">
        <v>9417</v>
      </c>
      <c r="M1689" t="s">
        <v>12461</v>
      </c>
      <c r="N1689" t="s">
        <v>12457</v>
      </c>
      <c r="O1689" t="s">
        <v>9197</v>
      </c>
      <c r="P1689" t="s">
        <v>9420</v>
      </c>
      <c r="Q1689" t="s">
        <v>9421</v>
      </c>
      <c r="R1689" t="s">
        <v>17</v>
      </c>
      <c r="S1689" t="s">
        <v>9196</v>
      </c>
      <c r="T1689" t="s">
        <v>12513</v>
      </c>
    </row>
    <row r="1690" spans="1:20">
      <c r="A1690" t="s">
        <v>4292</v>
      </c>
      <c r="B1690" t="s">
        <v>20</v>
      </c>
      <c r="C1690" t="s">
        <v>4295</v>
      </c>
      <c r="D1690" t="s">
        <v>9464</v>
      </c>
      <c r="E1690" t="s">
        <v>12514</v>
      </c>
      <c r="F1690" t="s">
        <v>9412</v>
      </c>
      <c r="G1690" t="s">
        <v>9413</v>
      </c>
      <c r="H1690" t="s">
        <v>4202</v>
      </c>
      <c r="I1690" t="s">
        <v>10066</v>
      </c>
      <c r="J1690" t="s">
        <v>4201</v>
      </c>
      <c r="K1690" t="s">
        <v>9416</v>
      </c>
      <c r="L1690" t="s">
        <v>9417</v>
      </c>
      <c r="M1690" t="s">
        <v>12477</v>
      </c>
      <c r="N1690" t="s">
        <v>12457</v>
      </c>
      <c r="O1690" t="s">
        <v>9201</v>
      </c>
      <c r="P1690" t="s">
        <v>9459</v>
      </c>
      <c r="Q1690" t="s">
        <v>9421</v>
      </c>
      <c r="R1690" t="s">
        <v>17</v>
      </c>
      <c r="S1690" t="s">
        <v>4292</v>
      </c>
      <c r="T1690" t="s">
        <v>4294</v>
      </c>
    </row>
    <row r="1691" spans="1:20">
      <c r="A1691" t="s">
        <v>4296</v>
      </c>
      <c r="B1691" t="s">
        <v>20</v>
      </c>
      <c r="C1691" t="s">
        <v>9206</v>
      </c>
      <c r="D1691" t="s">
        <v>9464</v>
      </c>
      <c r="E1691" t="s">
        <v>12515</v>
      </c>
      <c r="F1691" t="s">
        <v>9412</v>
      </c>
      <c r="G1691" t="s">
        <v>9413</v>
      </c>
      <c r="H1691" t="s">
        <v>12455</v>
      </c>
      <c r="I1691" t="s">
        <v>9576</v>
      </c>
      <c r="J1691" t="s">
        <v>4201</v>
      </c>
      <c r="K1691" t="s">
        <v>9416</v>
      </c>
      <c r="L1691" t="s">
        <v>9417</v>
      </c>
      <c r="M1691" t="s">
        <v>12480</v>
      </c>
      <c r="N1691" t="s">
        <v>9426</v>
      </c>
      <c r="O1691" t="s">
        <v>9205</v>
      </c>
      <c r="P1691" t="s">
        <v>9623</v>
      </c>
      <c r="Q1691" t="s">
        <v>9421</v>
      </c>
      <c r="R1691" t="s">
        <v>24</v>
      </c>
      <c r="S1691" t="s">
        <v>4226</v>
      </c>
      <c r="T1691" t="s">
        <v>4228</v>
      </c>
    </row>
    <row r="1692" spans="1:20">
      <c r="A1692" t="s">
        <v>12516</v>
      </c>
      <c r="B1692" t="s">
        <v>9409</v>
      </c>
      <c r="C1692" t="s">
        <v>12517</v>
      </c>
      <c r="D1692" t="s">
        <v>9410</v>
      </c>
      <c r="E1692" t="s">
        <v>12518</v>
      </c>
      <c r="F1692" t="s">
        <v>9412</v>
      </c>
      <c r="G1692" t="s">
        <v>9413</v>
      </c>
      <c r="H1692" t="s">
        <v>12455</v>
      </c>
      <c r="I1692" t="s">
        <v>9576</v>
      </c>
      <c r="J1692" t="s">
        <v>4201</v>
      </c>
      <c r="K1692" t="s">
        <v>9416</v>
      </c>
      <c r="L1692" t="s">
        <v>9417</v>
      </c>
      <c r="M1692" t="s">
        <v>12461</v>
      </c>
      <c r="N1692" t="s">
        <v>12457</v>
      </c>
      <c r="O1692" t="s">
        <v>12519</v>
      </c>
      <c r="P1692" t="s">
        <v>9420</v>
      </c>
      <c r="Q1692" t="s">
        <v>9421</v>
      </c>
      <c r="R1692" t="s">
        <v>17</v>
      </c>
      <c r="S1692" t="s">
        <v>12516</v>
      </c>
      <c r="T1692" t="s">
        <v>12520</v>
      </c>
    </row>
    <row r="1693" spans="1:20">
      <c r="A1693" t="s">
        <v>4298</v>
      </c>
      <c r="B1693" t="s">
        <v>20</v>
      </c>
      <c r="C1693" t="s">
        <v>9210</v>
      </c>
      <c r="D1693" t="s">
        <v>9460</v>
      </c>
      <c r="E1693" t="s">
        <v>12521</v>
      </c>
      <c r="F1693" t="s">
        <v>9412</v>
      </c>
      <c r="G1693" t="s">
        <v>9413</v>
      </c>
      <c r="H1693" t="s">
        <v>12455</v>
      </c>
      <c r="I1693" t="s">
        <v>9482</v>
      </c>
      <c r="J1693" t="s">
        <v>4201</v>
      </c>
      <c r="K1693" t="s">
        <v>9416</v>
      </c>
      <c r="L1693" t="s">
        <v>9417</v>
      </c>
      <c r="M1693" t="s">
        <v>12465</v>
      </c>
      <c r="N1693" t="s">
        <v>12457</v>
      </c>
      <c r="O1693" t="s">
        <v>9208</v>
      </c>
      <c r="P1693" t="s">
        <v>9420</v>
      </c>
      <c r="Q1693" t="s">
        <v>9421</v>
      </c>
      <c r="R1693" t="s">
        <v>17</v>
      </c>
      <c r="S1693" t="s">
        <v>4298</v>
      </c>
      <c r="T1693" t="s">
        <v>4300</v>
      </c>
    </row>
    <row r="1694" spans="1:20">
      <c r="A1694" t="s">
        <v>4302</v>
      </c>
      <c r="B1694" t="s">
        <v>62</v>
      </c>
      <c r="C1694" t="s">
        <v>9214</v>
      </c>
      <c r="D1694" t="s">
        <v>445</v>
      </c>
      <c r="E1694" t="s">
        <v>12522</v>
      </c>
      <c r="F1694" t="s">
        <v>9412</v>
      </c>
      <c r="G1694" t="s">
        <v>9413</v>
      </c>
      <c r="H1694" t="s">
        <v>12455</v>
      </c>
      <c r="I1694" t="s">
        <v>10400</v>
      </c>
      <c r="J1694" t="s">
        <v>4201</v>
      </c>
      <c r="K1694" t="s">
        <v>9445</v>
      </c>
      <c r="L1694" t="s">
        <v>9417</v>
      </c>
      <c r="M1694" t="s">
        <v>12498</v>
      </c>
      <c r="N1694" t="s">
        <v>9426</v>
      </c>
      <c r="O1694" t="s">
        <v>9446</v>
      </c>
      <c r="P1694" t="s">
        <v>11022</v>
      </c>
      <c r="Q1694" t="s">
        <v>9421</v>
      </c>
      <c r="R1694" t="s">
        <v>84</v>
      </c>
      <c r="S1694" t="s">
        <v>4273</v>
      </c>
      <c r="T1694" t="s">
        <v>4275</v>
      </c>
    </row>
    <row r="1695" spans="1:20">
      <c r="A1695" t="s">
        <v>4302</v>
      </c>
      <c r="B1695" t="s">
        <v>62</v>
      </c>
      <c r="C1695" t="s">
        <v>9214</v>
      </c>
      <c r="D1695" t="s">
        <v>445</v>
      </c>
      <c r="E1695" t="s">
        <v>12522</v>
      </c>
      <c r="F1695" t="s">
        <v>9412</v>
      </c>
      <c r="G1695" t="s">
        <v>9413</v>
      </c>
      <c r="H1695" t="s">
        <v>12455</v>
      </c>
      <c r="I1695" t="s">
        <v>10400</v>
      </c>
      <c r="J1695" t="s">
        <v>4201</v>
      </c>
      <c r="K1695" t="s">
        <v>9416</v>
      </c>
      <c r="L1695" t="s">
        <v>9417</v>
      </c>
      <c r="M1695" t="s">
        <v>12498</v>
      </c>
      <c r="N1695" t="s">
        <v>12457</v>
      </c>
      <c r="O1695" t="s">
        <v>9216</v>
      </c>
      <c r="P1695" t="s">
        <v>9429</v>
      </c>
      <c r="Q1695" t="s">
        <v>9421</v>
      </c>
      <c r="R1695" t="s">
        <v>52</v>
      </c>
      <c r="S1695" t="s">
        <v>4307</v>
      </c>
      <c r="T1695" t="s">
        <v>4309</v>
      </c>
    </row>
    <row r="1696" spans="1:20">
      <c r="A1696" t="s">
        <v>4302</v>
      </c>
      <c r="B1696" t="s">
        <v>62</v>
      </c>
      <c r="C1696" t="s">
        <v>9214</v>
      </c>
      <c r="D1696" t="s">
        <v>445</v>
      </c>
      <c r="E1696" t="s">
        <v>12522</v>
      </c>
      <c r="F1696" t="s">
        <v>9412</v>
      </c>
      <c r="G1696" t="s">
        <v>9413</v>
      </c>
      <c r="H1696" t="s">
        <v>12455</v>
      </c>
      <c r="I1696" t="s">
        <v>10400</v>
      </c>
      <c r="J1696" t="s">
        <v>4201</v>
      </c>
      <c r="K1696" t="s">
        <v>9416</v>
      </c>
      <c r="L1696" t="s">
        <v>9417</v>
      </c>
      <c r="M1696" t="s">
        <v>12498</v>
      </c>
      <c r="N1696" t="s">
        <v>12457</v>
      </c>
      <c r="O1696" t="s">
        <v>9212</v>
      </c>
      <c r="P1696" t="s">
        <v>9655</v>
      </c>
      <c r="Q1696" t="s">
        <v>9421</v>
      </c>
      <c r="R1696" t="s">
        <v>56</v>
      </c>
      <c r="S1696" t="s">
        <v>4303</v>
      </c>
      <c r="T1696" t="s">
        <v>4305</v>
      </c>
    </row>
    <row r="1697" spans="1:20">
      <c r="A1697" t="s">
        <v>4302</v>
      </c>
      <c r="B1697" t="s">
        <v>62</v>
      </c>
      <c r="C1697" t="s">
        <v>9214</v>
      </c>
      <c r="D1697" t="s">
        <v>445</v>
      </c>
      <c r="E1697" t="s">
        <v>12522</v>
      </c>
      <c r="F1697" t="s">
        <v>9412</v>
      </c>
      <c r="G1697" t="s">
        <v>9413</v>
      </c>
      <c r="H1697" t="s">
        <v>12455</v>
      </c>
      <c r="I1697" t="s">
        <v>10400</v>
      </c>
      <c r="J1697" t="s">
        <v>4201</v>
      </c>
      <c r="K1697" t="s">
        <v>9416</v>
      </c>
      <c r="L1697" t="s">
        <v>9417</v>
      </c>
      <c r="M1697" t="s">
        <v>12498</v>
      </c>
      <c r="N1697" t="s">
        <v>9446</v>
      </c>
      <c r="O1697" t="s">
        <v>9218</v>
      </c>
      <c r="P1697" t="s">
        <v>9655</v>
      </c>
      <c r="Q1697" t="s">
        <v>9421</v>
      </c>
      <c r="R1697" t="s">
        <v>56</v>
      </c>
      <c r="S1697" t="s">
        <v>4310</v>
      </c>
      <c r="T1697" t="s">
        <v>4312</v>
      </c>
    </row>
    <row r="1698" spans="1:20">
      <c r="A1698" t="s">
        <v>4313</v>
      </c>
      <c r="B1698" t="s">
        <v>20</v>
      </c>
      <c r="C1698" t="s">
        <v>9222</v>
      </c>
      <c r="D1698" t="s">
        <v>9475</v>
      </c>
      <c r="E1698" t="s">
        <v>12523</v>
      </c>
      <c r="F1698" t="s">
        <v>9412</v>
      </c>
      <c r="G1698" t="s">
        <v>9413</v>
      </c>
      <c r="H1698" t="s">
        <v>12455</v>
      </c>
      <c r="I1698" t="s">
        <v>9830</v>
      </c>
      <c r="J1698" t="s">
        <v>4201</v>
      </c>
      <c r="K1698" t="s">
        <v>9416</v>
      </c>
      <c r="L1698" t="s">
        <v>9417</v>
      </c>
      <c r="M1698" t="s">
        <v>12490</v>
      </c>
      <c r="N1698" t="s">
        <v>12457</v>
      </c>
      <c r="O1698" t="s">
        <v>9220</v>
      </c>
      <c r="P1698" t="s">
        <v>9420</v>
      </c>
      <c r="Q1698" t="s">
        <v>9421</v>
      </c>
      <c r="R1698" t="s">
        <v>17</v>
      </c>
      <c r="S1698" t="s">
        <v>4313</v>
      </c>
      <c r="T1698" t="s">
        <v>4315</v>
      </c>
    </row>
    <row r="1699" spans="1:20">
      <c r="A1699" t="s">
        <v>4317</v>
      </c>
      <c r="B1699" t="s">
        <v>20</v>
      </c>
      <c r="C1699" t="s">
        <v>9226</v>
      </c>
      <c r="D1699" t="s">
        <v>9677</v>
      </c>
      <c r="E1699" t="s">
        <v>12524</v>
      </c>
      <c r="F1699" t="s">
        <v>9412</v>
      </c>
      <c r="G1699" t="s">
        <v>9413</v>
      </c>
      <c r="H1699" t="s">
        <v>12455</v>
      </c>
      <c r="I1699" t="s">
        <v>9830</v>
      </c>
      <c r="J1699" t="s">
        <v>4201</v>
      </c>
      <c r="K1699" t="s">
        <v>9416</v>
      </c>
      <c r="L1699" t="s">
        <v>9417</v>
      </c>
      <c r="M1699" t="s">
        <v>12484</v>
      </c>
      <c r="N1699" t="s">
        <v>12457</v>
      </c>
      <c r="O1699" t="s">
        <v>9224</v>
      </c>
      <c r="P1699" t="s">
        <v>9420</v>
      </c>
      <c r="Q1699" t="s">
        <v>9421</v>
      </c>
      <c r="R1699" t="s">
        <v>17</v>
      </c>
      <c r="S1699" t="s">
        <v>4317</v>
      </c>
      <c r="T1699" t="s">
        <v>4319</v>
      </c>
    </row>
    <row r="1700" spans="1:20">
      <c r="A1700" t="s">
        <v>12525</v>
      </c>
      <c r="B1700" t="s">
        <v>9409</v>
      </c>
      <c r="C1700" t="s">
        <v>12526</v>
      </c>
      <c r="D1700" t="s">
        <v>9410</v>
      </c>
      <c r="E1700" t="s">
        <v>12527</v>
      </c>
      <c r="F1700" t="s">
        <v>9412</v>
      </c>
      <c r="G1700" t="s">
        <v>9413</v>
      </c>
      <c r="H1700" t="s">
        <v>12455</v>
      </c>
      <c r="I1700" t="s">
        <v>9466</v>
      </c>
      <c r="J1700" t="s">
        <v>4201</v>
      </c>
      <c r="K1700" t="s">
        <v>9416</v>
      </c>
      <c r="L1700" t="s">
        <v>9417</v>
      </c>
      <c r="M1700" t="s">
        <v>12477</v>
      </c>
      <c r="N1700" t="s">
        <v>12457</v>
      </c>
      <c r="O1700" t="s">
        <v>12528</v>
      </c>
      <c r="P1700" t="s">
        <v>9420</v>
      </c>
      <c r="Q1700" t="s">
        <v>9421</v>
      </c>
      <c r="R1700" t="s">
        <v>17</v>
      </c>
      <c r="S1700" t="s">
        <v>12525</v>
      </c>
      <c r="T1700" t="s">
        <v>12529</v>
      </c>
    </row>
    <row r="1701" spans="1:20">
      <c r="A1701" t="s">
        <v>4321</v>
      </c>
      <c r="B1701" t="s">
        <v>20</v>
      </c>
      <c r="C1701" t="s">
        <v>4325</v>
      </c>
      <c r="D1701" t="s">
        <v>9898</v>
      </c>
      <c r="E1701" t="s">
        <v>12530</v>
      </c>
      <c r="F1701" t="s">
        <v>9412</v>
      </c>
      <c r="G1701" t="s">
        <v>9413</v>
      </c>
      <c r="H1701" t="s">
        <v>4202</v>
      </c>
      <c r="I1701" t="s">
        <v>9709</v>
      </c>
      <c r="J1701" t="s">
        <v>4201</v>
      </c>
      <c r="K1701" t="s">
        <v>9416</v>
      </c>
      <c r="L1701" t="s">
        <v>9417</v>
      </c>
      <c r="M1701" t="s">
        <v>12475</v>
      </c>
      <c r="N1701" t="s">
        <v>12457</v>
      </c>
      <c r="O1701" t="s">
        <v>9228</v>
      </c>
      <c r="P1701" t="s">
        <v>9420</v>
      </c>
      <c r="Q1701" t="s">
        <v>9421</v>
      </c>
      <c r="R1701" t="s">
        <v>17</v>
      </c>
      <c r="S1701" t="s">
        <v>4322</v>
      </c>
      <c r="T1701" t="s">
        <v>4324</v>
      </c>
    </row>
    <row r="1702" spans="1:20">
      <c r="A1702" t="s">
        <v>9232</v>
      </c>
      <c r="B1702" t="s">
        <v>9409</v>
      </c>
      <c r="C1702" t="s">
        <v>9236</v>
      </c>
      <c r="D1702" t="s">
        <v>9410</v>
      </c>
      <c r="E1702" t="s">
        <v>12531</v>
      </c>
      <c r="F1702" t="s">
        <v>9412</v>
      </c>
      <c r="G1702" t="s">
        <v>9413</v>
      </c>
      <c r="H1702" t="s">
        <v>12455</v>
      </c>
      <c r="I1702" t="s">
        <v>9874</v>
      </c>
      <c r="J1702" t="s">
        <v>4201</v>
      </c>
      <c r="K1702" t="s">
        <v>9416</v>
      </c>
      <c r="L1702" t="s">
        <v>9417</v>
      </c>
      <c r="M1702" t="s">
        <v>12475</v>
      </c>
      <c r="N1702" t="s">
        <v>12457</v>
      </c>
      <c r="O1702" t="s">
        <v>9234</v>
      </c>
      <c r="P1702" t="s">
        <v>9647</v>
      </c>
      <c r="Q1702" t="s">
        <v>9421</v>
      </c>
      <c r="R1702" t="s">
        <v>84</v>
      </c>
      <c r="S1702" t="s">
        <v>9233</v>
      </c>
      <c r="T1702" t="s">
        <v>12532</v>
      </c>
    </row>
    <row r="1703" spans="1:20">
      <c r="A1703" t="s">
        <v>9232</v>
      </c>
      <c r="B1703" t="s">
        <v>9409</v>
      </c>
      <c r="C1703" t="s">
        <v>9236</v>
      </c>
      <c r="D1703" t="s">
        <v>9410</v>
      </c>
      <c r="E1703" t="s">
        <v>12531</v>
      </c>
      <c r="F1703" t="s">
        <v>9412</v>
      </c>
      <c r="G1703" t="s">
        <v>9413</v>
      </c>
      <c r="H1703" t="s">
        <v>12455</v>
      </c>
      <c r="I1703" t="s">
        <v>9874</v>
      </c>
      <c r="J1703" t="s">
        <v>4201</v>
      </c>
      <c r="K1703" t="s">
        <v>9416</v>
      </c>
      <c r="L1703" t="s">
        <v>9417</v>
      </c>
      <c r="M1703" t="s">
        <v>12475</v>
      </c>
      <c r="N1703" t="s">
        <v>12457</v>
      </c>
      <c r="O1703" t="s">
        <v>9238</v>
      </c>
      <c r="P1703" t="s">
        <v>9429</v>
      </c>
      <c r="Q1703" t="s">
        <v>9421</v>
      </c>
      <c r="R1703" t="s">
        <v>52</v>
      </c>
      <c r="S1703" t="s">
        <v>9232</v>
      </c>
      <c r="T1703" t="s">
        <v>12533</v>
      </c>
    </row>
    <row r="1704" spans="1:20">
      <c r="A1704" t="s">
        <v>12534</v>
      </c>
      <c r="B1704" t="s">
        <v>9409</v>
      </c>
      <c r="C1704" t="s">
        <v>12535</v>
      </c>
      <c r="D1704" t="s">
        <v>9410</v>
      </c>
      <c r="E1704" t="s">
        <v>12536</v>
      </c>
      <c r="F1704" t="s">
        <v>9412</v>
      </c>
      <c r="G1704" t="s">
        <v>9413</v>
      </c>
      <c r="H1704" t="s">
        <v>12455</v>
      </c>
      <c r="I1704" t="s">
        <v>9462</v>
      </c>
      <c r="J1704" t="s">
        <v>4201</v>
      </c>
      <c r="K1704" t="s">
        <v>9416</v>
      </c>
      <c r="L1704" t="s">
        <v>9417</v>
      </c>
      <c r="M1704" t="s">
        <v>12461</v>
      </c>
      <c r="N1704" t="s">
        <v>12457</v>
      </c>
      <c r="O1704" t="s">
        <v>12537</v>
      </c>
      <c r="P1704" t="s">
        <v>9420</v>
      </c>
      <c r="Q1704" t="s">
        <v>9421</v>
      </c>
      <c r="R1704" t="s">
        <v>17</v>
      </c>
      <c r="S1704" t="s">
        <v>12534</v>
      </c>
      <c r="T1704" t="s">
        <v>12538</v>
      </c>
    </row>
    <row r="1705" spans="1:20">
      <c r="A1705" t="s">
        <v>4326</v>
      </c>
      <c r="B1705" t="s">
        <v>62</v>
      </c>
      <c r="C1705" t="s">
        <v>9242</v>
      </c>
      <c r="D1705" t="s">
        <v>9448</v>
      </c>
      <c r="E1705" t="s">
        <v>12539</v>
      </c>
      <c r="F1705" t="s">
        <v>9412</v>
      </c>
      <c r="G1705" t="s">
        <v>9413</v>
      </c>
      <c r="H1705" t="s">
        <v>12455</v>
      </c>
      <c r="I1705" t="s">
        <v>9628</v>
      </c>
      <c r="J1705" t="s">
        <v>4201</v>
      </c>
      <c r="K1705" t="s">
        <v>9416</v>
      </c>
      <c r="L1705" t="s">
        <v>9417</v>
      </c>
      <c r="M1705" t="s">
        <v>12487</v>
      </c>
      <c r="N1705" t="s">
        <v>12457</v>
      </c>
      <c r="O1705" t="s">
        <v>9240</v>
      </c>
      <c r="P1705" t="s">
        <v>9429</v>
      </c>
      <c r="Q1705" t="s">
        <v>9421</v>
      </c>
      <c r="R1705" t="s">
        <v>52</v>
      </c>
      <c r="S1705" t="s">
        <v>4326</v>
      </c>
      <c r="T1705" t="s">
        <v>4328</v>
      </c>
    </row>
    <row r="1706" spans="1:20">
      <c r="A1706" t="s">
        <v>4330</v>
      </c>
      <c r="B1706" t="s">
        <v>62</v>
      </c>
      <c r="C1706" t="s">
        <v>9246</v>
      </c>
      <c r="D1706" t="s">
        <v>9448</v>
      </c>
      <c r="E1706" t="s">
        <v>12540</v>
      </c>
      <c r="F1706" t="s">
        <v>9412</v>
      </c>
      <c r="G1706" t="s">
        <v>9413</v>
      </c>
      <c r="H1706" t="s">
        <v>12455</v>
      </c>
      <c r="I1706" t="s">
        <v>9415</v>
      </c>
      <c r="J1706" t="s">
        <v>4201</v>
      </c>
      <c r="K1706" t="s">
        <v>9416</v>
      </c>
      <c r="L1706" t="s">
        <v>9417</v>
      </c>
      <c r="M1706" t="s">
        <v>12477</v>
      </c>
      <c r="N1706" t="s">
        <v>12457</v>
      </c>
      <c r="O1706" t="s">
        <v>9244</v>
      </c>
      <c r="P1706" t="s">
        <v>9420</v>
      </c>
      <c r="Q1706" t="s">
        <v>9421</v>
      </c>
      <c r="R1706" t="s">
        <v>17</v>
      </c>
      <c r="S1706" t="s">
        <v>4330</v>
      </c>
      <c r="T1706" t="s">
        <v>4332</v>
      </c>
    </row>
    <row r="1707" spans="1:20">
      <c r="A1707" t="s">
        <v>9248</v>
      </c>
      <c r="B1707" t="s">
        <v>9409</v>
      </c>
      <c r="C1707" t="s">
        <v>9251</v>
      </c>
      <c r="D1707" t="s">
        <v>9410</v>
      </c>
      <c r="E1707" t="s">
        <v>12541</v>
      </c>
      <c r="F1707" t="s">
        <v>9412</v>
      </c>
      <c r="G1707" t="s">
        <v>9413</v>
      </c>
      <c r="H1707" t="s">
        <v>12455</v>
      </c>
      <c r="I1707" t="s">
        <v>9441</v>
      </c>
      <c r="J1707" t="s">
        <v>4201</v>
      </c>
      <c r="K1707" t="s">
        <v>9416</v>
      </c>
      <c r="L1707" t="s">
        <v>9417</v>
      </c>
      <c r="M1707" t="s">
        <v>12471</v>
      </c>
      <c r="N1707" t="s">
        <v>12457</v>
      </c>
      <c r="O1707" t="s">
        <v>9249</v>
      </c>
      <c r="P1707" t="s">
        <v>9420</v>
      </c>
      <c r="Q1707" t="s">
        <v>9421</v>
      </c>
      <c r="R1707" t="s">
        <v>17</v>
      </c>
      <c r="S1707" t="s">
        <v>9248</v>
      </c>
      <c r="T1707" t="s">
        <v>12542</v>
      </c>
    </row>
    <row r="1708" spans="1:20">
      <c r="A1708" t="s">
        <v>9253</v>
      </c>
      <c r="B1708" t="s">
        <v>9409</v>
      </c>
      <c r="C1708" t="s">
        <v>9256</v>
      </c>
      <c r="D1708" t="s">
        <v>9410</v>
      </c>
      <c r="E1708" t="s">
        <v>12543</v>
      </c>
      <c r="F1708" t="s">
        <v>9412</v>
      </c>
      <c r="G1708" t="s">
        <v>9413</v>
      </c>
      <c r="H1708" t="s">
        <v>12455</v>
      </c>
      <c r="I1708" t="s">
        <v>9736</v>
      </c>
      <c r="J1708" t="s">
        <v>4201</v>
      </c>
      <c r="K1708" t="s">
        <v>9416</v>
      </c>
      <c r="L1708" t="s">
        <v>9417</v>
      </c>
      <c r="M1708" t="s">
        <v>12498</v>
      </c>
      <c r="N1708" t="s">
        <v>12457</v>
      </c>
      <c r="O1708" t="s">
        <v>9254</v>
      </c>
      <c r="P1708" t="s">
        <v>9420</v>
      </c>
      <c r="Q1708" t="s">
        <v>9421</v>
      </c>
      <c r="R1708" t="s">
        <v>17</v>
      </c>
      <c r="S1708" t="s">
        <v>9253</v>
      </c>
      <c r="T1708" t="s">
        <v>12544</v>
      </c>
    </row>
    <row r="1709" spans="1:20">
      <c r="A1709" t="s">
        <v>4334</v>
      </c>
      <c r="B1709" t="s">
        <v>20</v>
      </c>
      <c r="C1709" t="s">
        <v>9260</v>
      </c>
      <c r="D1709" t="s">
        <v>9464</v>
      </c>
      <c r="E1709" t="s">
        <v>12545</v>
      </c>
      <c r="F1709" t="s">
        <v>9412</v>
      </c>
      <c r="G1709" t="s">
        <v>9413</v>
      </c>
      <c r="H1709" t="s">
        <v>12455</v>
      </c>
      <c r="I1709" t="s">
        <v>9415</v>
      </c>
      <c r="J1709" t="s">
        <v>4201</v>
      </c>
      <c r="K1709" t="s">
        <v>9416</v>
      </c>
      <c r="L1709" t="s">
        <v>9417</v>
      </c>
      <c r="M1709" t="s">
        <v>12465</v>
      </c>
      <c r="N1709" t="s">
        <v>12457</v>
      </c>
      <c r="O1709" t="s">
        <v>9258</v>
      </c>
      <c r="P1709" t="s">
        <v>9420</v>
      </c>
      <c r="Q1709" t="s">
        <v>9421</v>
      </c>
      <c r="R1709" t="s">
        <v>17</v>
      </c>
      <c r="S1709" t="s">
        <v>4334</v>
      </c>
      <c r="T1709" t="s">
        <v>4336</v>
      </c>
    </row>
    <row r="1710" spans="1:20">
      <c r="A1710" t="s">
        <v>4338</v>
      </c>
      <c r="B1710" t="s">
        <v>62</v>
      </c>
      <c r="C1710" t="s">
        <v>9264</v>
      </c>
      <c r="D1710" t="s">
        <v>445</v>
      </c>
      <c r="E1710" t="s">
        <v>12546</v>
      </c>
      <c r="F1710" t="s">
        <v>9412</v>
      </c>
      <c r="G1710" t="s">
        <v>9413</v>
      </c>
      <c r="H1710" t="s">
        <v>12455</v>
      </c>
      <c r="I1710" t="s">
        <v>11072</v>
      </c>
      <c r="J1710" t="s">
        <v>4201</v>
      </c>
      <c r="K1710" t="s">
        <v>9416</v>
      </c>
      <c r="L1710" t="s">
        <v>9417</v>
      </c>
      <c r="M1710" t="s">
        <v>12463</v>
      </c>
      <c r="N1710" t="s">
        <v>12457</v>
      </c>
      <c r="O1710" t="s">
        <v>9262</v>
      </c>
      <c r="P1710" t="s">
        <v>9420</v>
      </c>
      <c r="Q1710" t="s">
        <v>9421</v>
      </c>
      <c r="R1710" t="s">
        <v>17</v>
      </c>
      <c r="S1710" t="s">
        <v>4338</v>
      </c>
      <c r="T1710" t="s">
        <v>4340</v>
      </c>
    </row>
    <row r="1711" spans="1:20">
      <c r="A1711" t="s">
        <v>4342</v>
      </c>
      <c r="B1711" t="s">
        <v>20</v>
      </c>
      <c r="C1711" t="s">
        <v>9268</v>
      </c>
      <c r="D1711" t="s">
        <v>9460</v>
      </c>
      <c r="E1711" t="s">
        <v>12547</v>
      </c>
      <c r="F1711" t="s">
        <v>9412</v>
      </c>
      <c r="G1711" t="s">
        <v>9413</v>
      </c>
      <c r="H1711" t="s">
        <v>12455</v>
      </c>
      <c r="I1711" t="s">
        <v>10474</v>
      </c>
      <c r="J1711" t="s">
        <v>4201</v>
      </c>
      <c r="K1711" t="s">
        <v>9445</v>
      </c>
      <c r="L1711" t="s">
        <v>9417</v>
      </c>
      <c r="M1711" t="s">
        <v>12475</v>
      </c>
      <c r="N1711" t="s">
        <v>9426</v>
      </c>
      <c r="O1711" t="s">
        <v>9446</v>
      </c>
      <c r="P1711" t="s">
        <v>9567</v>
      </c>
      <c r="Q1711" t="s">
        <v>9421</v>
      </c>
      <c r="R1711" t="s">
        <v>43</v>
      </c>
      <c r="S1711" t="s">
        <v>4207</v>
      </c>
      <c r="T1711" t="s">
        <v>4209</v>
      </c>
    </row>
    <row r="1712" spans="1:20">
      <c r="A1712" t="s">
        <v>4342</v>
      </c>
      <c r="B1712" t="s">
        <v>20</v>
      </c>
      <c r="C1712" t="s">
        <v>9268</v>
      </c>
      <c r="D1712" t="s">
        <v>9460</v>
      </c>
      <c r="E1712" t="s">
        <v>12547</v>
      </c>
      <c r="F1712" t="s">
        <v>9412</v>
      </c>
      <c r="G1712" t="s">
        <v>9413</v>
      </c>
      <c r="H1712" t="s">
        <v>12455</v>
      </c>
      <c r="I1712" t="s">
        <v>10474</v>
      </c>
      <c r="J1712" t="s">
        <v>4201</v>
      </c>
      <c r="K1712" t="s">
        <v>9416</v>
      </c>
      <c r="L1712" t="s">
        <v>9417</v>
      </c>
      <c r="M1712" t="s">
        <v>12475</v>
      </c>
      <c r="N1712" t="s">
        <v>12457</v>
      </c>
      <c r="O1712" t="s">
        <v>9266</v>
      </c>
      <c r="P1712" t="s">
        <v>9420</v>
      </c>
      <c r="Q1712" t="s">
        <v>9421</v>
      </c>
      <c r="R1712" t="s">
        <v>17</v>
      </c>
      <c r="S1712" t="s">
        <v>4342</v>
      </c>
      <c r="T1712" t="s">
        <v>4344</v>
      </c>
    </row>
    <row r="1713" spans="1:20">
      <c r="A1713" t="s">
        <v>4346</v>
      </c>
      <c r="B1713" t="s">
        <v>62</v>
      </c>
      <c r="C1713" t="s">
        <v>9272</v>
      </c>
      <c r="D1713" t="s">
        <v>445</v>
      </c>
      <c r="E1713" t="s">
        <v>12548</v>
      </c>
      <c r="F1713" t="s">
        <v>9412</v>
      </c>
      <c r="G1713" t="s">
        <v>9413</v>
      </c>
      <c r="H1713" t="s">
        <v>12455</v>
      </c>
      <c r="I1713" t="s">
        <v>9714</v>
      </c>
      <c r="J1713" t="s">
        <v>4201</v>
      </c>
      <c r="K1713" t="s">
        <v>9416</v>
      </c>
      <c r="L1713" t="s">
        <v>9417</v>
      </c>
      <c r="M1713" t="s">
        <v>12498</v>
      </c>
      <c r="N1713" t="s">
        <v>12457</v>
      </c>
      <c r="O1713" t="s">
        <v>9270</v>
      </c>
      <c r="P1713" t="s">
        <v>9420</v>
      </c>
      <c r="Q1713" t="s">
        <v>9421</v>
      </c>
      <c r="R1713" t="s">
        <v>17</v>
      </c>
      <c r="S1713" t="s">
        <v>4346</v>
      </c>
      <c r="T1713" t="s">
        <v>4348</v>
      </c>
    </row>
    <row r="1714" spans="1:20">
      <c r="A1714" t="s">
        <v>4346</v>
      </c>
      <c r="B1714" t="s">
        <v>62</v>
      </c>
      <c r="C1714" t="s">
        <v>9272</v>
      </c>
      <c r="D1714" t="s">
        <v>445</v>
      </c>
      <c r="E1714" t="s">
        <v>12548</v>
      </c>
      <c r="F1714" t="s">
        <v>9412</v>
      </c>
      <c r="G1714" t="s">
        <v>9413</v>
      </c>
      <c r="H1714" t="s">
        <v>12455</v>
      </c>
      <c r="I1714" t="s">
        <v>9714</v>
      </c>
      <c r="J1714" t="s">
        <v>4201</v>
      </c>
      <c r="K1714" t="s">
        <v>9445</v>
      </c>
      <c r="L1714" t="s">
        <v>9417</v>
      </c>
      <c r="M1714" t="s">
        <v>12498</v>
      </c>
      <c r="N1714" t="s">
        <v>9426</v>
      </c>
      <c r="O1714" t="s">
        <v>9446</v>
      </c>
      <c r="P1714" t="s">
        <v>9623</v>
      </c>
      <c r="Q1714" t="s">
        <v>9421</v>
      </c>
      <c r="R1714" t="s">
        <v>24</v>
      </c>
      <c r="S1714" t="s">
        <v>4226</v>
      </c>
      <c r="T1714" t="s">
        <v>4228</v>
      </c>
    </row>
    <row r="1715" spans="1:20">
      <c r="A1715" t="s">
        <v>4350</v>
      </c>
      <c r="B1715" t="s">
        <v>20</v>
      </c>
      <c r="C1715" t="s">
        <v>4353</v>
      </c>
      <c r="D1715" t="s">
        <v>9475</v>
      </c>
      <c r="E1715" t="s">
        <v>12549</v>
      </c>
      <c r="F1715" t="s">
        <v>9601</v>
      </c>
      <c r="G1715" t="s">
        <v>9413</v>
      </c>
      <c r="H1715" t="s">
        <v>12455</v>
      </c>
      <c r="I1715" t="s">
        <v>9502</v>
      </c>
      <c r="J1715" t="s">
        <v>4201</v>
      </c>
      <c r="K1715" t="s">
        <v>9416</v>
      </c>
      <c r="L1715" t="s">
        <v>9417</v>
      </c>
      <c r="M1715" t="s">
        <v>12480</v>
      </c>
      <c r="N1715" t="s">
        <v>12457</v>
      </c>
      <c r="O1715" t="s">
        <v>9274</v>
      </c>
      <c r="P1715" t="s">
        <v>9420</v>
      </c>
      <c r="Q1715" t="s">
        <v>9421</v>
      </c>
      <c r="R1715" t="s">
        <v>17</v>
      </c>
      <c r="S1715" t="s">
        <v>4350</v>
      </c>
      <c r="T1715" t="s">
        <v>4352</v>
      </c>
    </row>
    <row r="1716" spans="1:20">
      <c r="A1716" t="s">
        <v>4354</v>
      </c>
      <c r="B1716" t="s">
        <v>20</v>
      </c>
      <c r="C1716" t="s">
        <v>4357</v>
      </c>
      <c r="D1716" t="s">
        <v>9460</v>
      </c>
      <c r="E1716" t="s">
        <v>12550</v>
      </c>
      <c r="F1716" t="s">
        <v>9412</v>
      </c>
      <c r="G1716" t="s">
        <v>9413</v>
      </c>
      <c r="H1716" t="s">
        <v>4202</v>
      </c>
      <c r="I1716" t="s">
        <v>10434</v>
      </c>
      <c r="J1716" t="s">
        <v>4201</v>
      </c>
      <c r="K1716" t="s">
        <v>9416</v>
      </c>
      <c r="L1716" t="s">
        <v>9417</v>
      </c>
      <c r="M1716" t="s">
        <v>12498</v>
      </c>
      <c r="N1716" t="s">
        <v>12457</v>
      </c>
      <c r="O1716" t="s">
        <v>9278</v>
      </c>
      <c r="P1716" t="s">
        <v>9420</v>
      </c>
      <c r="Q1716" t="s">
        <v>9421</v>
      </c>
      <c r="R1716" t="s">
        <v>17</v>
      </c>
      <c r="S1716" t="s">
        <v>4354</v>
      </c>
      <c r="T1716" t="s">
        <v>4356</v>
      </c>
    </row>
    <row r="1717" spans="1:20">
      <c r="A1717" t="s">
        <v>4358</v>
      </c>
      <c r="B1717" t="s">
        <v>62</v>
      </c>
      <c r="C1717" t="s">
        <v>9284</v>
      </c>
      <c r="D1717" t="s">
        <v>9448</v>
      </c>
      <c r="E1717" t="s">
        <v>12551</v>
      </c>
      <c r="F1717" t="s">
        <v>9412</v>
      </c>
      <c r="G1717" t="s">
        <v>9413</v>
      </c>
      <c r="H1717" t="s">
        <v>12455</v>
      </c>
      <c r="I1717" t="s">
        <v>10822</v>
      </c>
      <c r="J1717" t="s">
        <v>4201</v>
      </c>
      <c r="K1717" t="s">
        <v>9416</v>
      </c>
      <c r="L1717" t="s">
        <v>9417</v>
      </c>
      <c r="M1717" t="s">
        <v>12480</v>
      </c>
      <c r="N1717" t="s">
        <v>12457</v>
      </c>
      <c r="O1717" t="s">
        <v>9282</v>
      </c>
      <c r="P1717" t="s">
        <v>9429</v>
      </c>
      <c r="Q1717" t="s">
        <v>9421</v>
      </c>
      <c r="R1717" t="s">
        <v>52</v>
      </c>
      <c r="S1717" t="s">
        <v>4358</v>
      </c>
      <c r="T1717" t="s">
        <v>4361</v>
      </c>
    </row>
    <row r="1718" spans="1:20">
      <c r="A1718" t="s">
        <v>4358</v>
      </c>
      <c r="B1718" t="s">
        <v>62</v>
      </c>
      <c r="C1718" t="s">
        <v>9284</v>
      </c>
      <c r="D1718" t="s">
        <v>9448</v>
      </c>
      <c r="E1718" t="s">
        <v>12551</v>
      </c>
      <c r="F1718" t="s">
        <v>9412</v>
      </c>
      <c r="G1718" t="s">
        <v>9413</v>
      </c>
      <c r="H1718" t="s">
        <v>12455</v>
      </c>
      <c r="I1718" t="s">
        <v>10822</v>
      </c>
      <c r="J1718" t="s">
        <v>4201</v>
      </c>
      <c r="K1718" t="s">
        <v>9445</v>
      </c>
      <c r="L1718" t="s">
        <v>9417</v>
      </c>
      <c r="M1718" t="s">
        <v>12480</v>
      </c>
      <c r="N1718" t="s">
        <v>9426</v>
      </c>
      <c r="O1718" t="s">
        <v>9446</v>
      </c>
      <c r="P1718" t="s">
        <v>9567</v>
      </c>
      <c r="Q1718" t="s">
        <v>9421</v>
      </c>
      <c r="R1718" t="s">
        <v>43</v>
      </c>
      <c r="S1718" t="s">
        <v>4233</v>
      </c>
      <c r="T1718" t="s">
        <v>4235</v>
      </c>
    </row>
    <row r="1719" spans="1:20">
      <c r="A1719" t="s">
        <v>4358</v>
      </c>
      <c r="B1719" t="s">
        <v>62</v>
      </c>
      <c r="C1719" t="s">
        <v>9284</v>
      </c>
      <c r="D1719" t="s">
        <v>9448</v>
      </c>
      <c r="E1719" t="s">
        <v>12551</v>
      </c>
      <c r="F1719" t="s">
        <v>9412</v>
      </c>
      <c r="G1719" t="s">
        <v>9413</v>
      </c>
      <c r="H1719" t="s">
        <v>12455</v>
      </c>
      <c r="I1719" t="s">
        <v>10822</v>
      </c>
      <c r="J1719" t="s">
        <v>4201</v>
      </c>
      <c r="K1719" t="s">
        <v>9445</v>
      </c>
      <c r="L1719" t="s">
        <v>9417</v>
      </c>
      <c r="M1719" t="s">
        <v>12480</v>
      </c>
      <c r="N1719" t="s">
        <v>9426</v>
      </c>
      <c r="O1719" t="s">
        <v>9446</v>
      </c>
      <c r="P1719" t="s">
        <v>9623</v>
      </c>
      <c r="Q1719" t="s">
        <v>9421</v>
      </c>
      <c r="R1719" t="s">
        <v>24</v>
      </c>
      <c r="S1719" t="s">
        <v>4226</v>
      </c>
      <c r="T1719" t="s">
        <v>4228</v>
      </c>
    </row>
    <row r="1720" spans="1:20">
      <c r="A1720" t="s">
        <v>4362</v>
      </c>
      <c r="B1720" t="s">
        <v>62</v>
      </c>
      <c r="C1720" t="s">
        <v>4365</v>
      </c>
      <c r="D1720" t="s">
        <v>445</v>
      </c>
      <c r="E1720" t="s">
        <v>12552</v>
      </c>
      <c r="F1720" t="s">
        <v>9412</v>
      </c>
      <c r="G1720" t="s">
        <v>9413</v>
      </c>
      <c r="H1720" t="s">
        <v>12455</v>
      </c>
      <c r="I1720" t="s">
        <v>10509</v>
      </c>
      <c r="J1720" t="s">
        <v>4201</v>
      </c>
      <c r="K1720" t="s">
        <v>9416</v>
      </c>
      <c r="L1720" t="s">
        <v>9417</v>
      </c>
      <c r="M1720" t="s">
        <v>12463</v>
      </c>
      <c r="N1720" t="s">
        <v>12457</v>
      </c>
      <c r="O1720" t="s">
        <v>9286</v>
      </c>
      <c r="P1720" t="s">
        <v>9420</v>
      </c>
      <c r="Q1720" t="s">
        <v>9421</v>
      </c>
      <c r="R1720" t="s">
        <v>17</v>
      </c>
      <c r="S1720" t="s">
        <v>4362</v>
      </c>
      <c r="T1720" t="s">
        <v>4364</v>
      </c>
    </row>
    <row r="1721" spans="1:20">
      <c r="A1721" t="s">
        <v>4366</v>
      </c>
      <c r="B1721" t="s">
        <v>62</v>
      </c>
      <c r="C1721" t="s">
        <v>9292</v>
      </c>
      <c r="D1721" t="s">
        <v>445</v>
      </c>
      <c r="E1721" t="s">
        <v>12553</v>
      </c>
      <c r="F1721" t="s">
        <v>9601</v>
      </c>
      <c r="G1721" t="s">
        <v>9413</v>
      </c>
      <c r="H1721" t="s">
        <v>12554</v>
      </c>
      <c r="I1721" t="s">
        <v>10452</v>
      </c>
      <c r="J1721" t="s">
        <v>4201</v>
      </c>
      <c r="K1721" t="s">
        <v>9416</v>
      </c>
      <c r="L1721" t="s">
        <v>9417</v>
      </c>
      <c r="M1721" t="s">
        <v>12487</v>
      </c>
      <c r="N1721" t="s">
        <v>12457</v>
      </c>
      <c r="O1721" t="s">
        <v>9290</v>
      </c>
      <c r="P1721" t="s">
        <v>9420</v>
      </c>
      <c r="Q1721" t="s">
        <v>9421</v>
      </c>
      <c r="R1721" t="s">
        <v>17</v>
      </c>
      <c r="S1721" t="s">
        <v>4367</v>
      </c>
      <c r="T1721" t="s">
        <v>4369</v>
      </c>
    </row>
    <row r="1722" spans="1:20">
      <c r="A1722" t="s">
        <v>4367</v>
      </c>
      <c r="B1722" t="s">
        <v>62</v>
      </c>
      <c r="C1722" t="s">
        <v>12555</v>
      </c>
      <c r="D1722" t="s">
        <v>9410</v>
      </c>
      <c r="E1722" t="s">
        <v>12556</v>
      </c>
      <c r="F1722" t="s">
        <v>9601</v>
      </c>
      <c r="G1722" t="s">
        <v>9413</v>
      </c>
      <c r="H1722" t="s">
        <v>12455</v>
      </c>
      <c r="I1722" t="s">
        <v>10509</v>
      </c>
      <c r="J1722" t="s">
        <v>4201</v>
      </c>
      <c r="K1722" t="s">
        <v>9445</v>
      </c>
      <c r="L1722" t="s">
        <v>9417</v>
      </c>
      <c r="M1722" t="s">
        <v>12498</v>
      </c>
      <c r="N1722" t="s">
        <v>12457</v>
      </c>
      <c r="O1722" t="s">
        <v>9446</v>
      </c>
      <c r="P1722" t="s">
        <v>9603</v>
      </c>
      <c r="Q1722" t="s">
        <v>9421</v>
      </c>
      <c r="R1722" t="s">
        <v>9604</v>
      </c>
      <c r="S1722" t="s">
        <v>4366</v>
      </c>
      <c r="T1722" t="s">
        <v>12557</v>
      </c>
    </row>
    <row r="1723" spans="1:20">
      <c r="A1723" t="s">
        <v>4371</v>
      </c>
      <c r="B1723" t="s">
        <v>62</v>
      </c>
      <c r="C1723" t="s">
        <v>9296</v>
      </c>
      <c r="D1723" t="s">
        <v>9448</v>
      </c>
      <c r="E1723" t="s">
        <v>12558</v>
      </c>
      <c r="F1723" t="s">
        <v>9412</v>
      </c>
      <c r="G1723" t="s">
        <v>9413</v>
      </c>
      <c r="H1723" t="s">
        <v>12455</v>
      </c>
      <c r="I1723" t="s">
        <v>10474</v>
      </c>
      <c r="J1723" t="s">
        <v>4201</v>
      </c>
      <c r="K1723" t="s">
        <v>9416</v>
      </c>
      <c r="L1723" t="s">
        <v>9417</v>
      </c>
      <c r="M1723" t="s">
        <v>12498</v>
      </c>
      <c r="N1723" t="s">
        <v>12457</v>
      </c>
      <c r="O1723" t="s">
        <v>9294</v>
      </c>
      <c r="P1723" t="s">
        <v>9420</v>
      </c>
      <c r="Q1723" t="s">
        <v>9421</v>
      </c>
      <c r="R1723" t="s">
        <v>17</v>
      </c>
      <c r="S1723" t="s">
        <v>4371</v>
      </c>
      <c r="T1723" t="s">
        <v>4373</v>
      </c>
    </row>
    <row r="1724" spans="1:20">
      <c r="A1724" t="s">
        <v>9298</v>
      </c>
      <c r="B1724" t="s">
        <v>62</v>
      </c>
      <c r="C1724" t="s">
        <v>12559</v>
      </c>
      <c r="D1724" t="s">
        <v>445</v>
      </c>
      <c r="E1724" t="s">
        <v>12560</v>
      </c>
      <c r="F1724" t="s">
        <v>9412</v>
      </c>
      <c r="G1724" t="s">
        <v>9413</v>
      </c>
      <c r="H1724" t="s">
        <v>4202</v>
      </c>
      <c r="I1724" t="s">
        <v>10632</v>
      </c>
      <c r="J1724" t="s">
        <v>4201</v>
      </c>
      <c r="K1724" t="s">
        <v>9445</v>
      </c>
      <c r="L1724" t="s">
        <v>9417</v>
      </c>
      <c r="M1724" t="s">
        <v>12475</v>
      </c>
      <c r="N1724" t="s">
        <v>9426</v>
      </c>
      <c r="O1724" t="s">
        <v>9446</v>
      </c>
      <c r="P1724" t="s">
        <v>9623</v>
      </c>
      <c r="Q1724" t="s">
        <v>9421</v>
      </c>
      <c r="R1724" t="s">
        <v>24</v>
      </c>
      <c r="S1724" t="s">
        <v>4226</v>
      </c>
      <c r="T1724" t="s">
        <v>4228</v>
      </c>
    </row>
    <row r="1725" spans="1:20">
      <c r="A1725" t="s">
        <v>9298</v>
      </c>
      <c r="B1725" t="s">
        <v>62</v>
      </c>
      <c r="C1725" t="s">
        <v>12559</v>
      </c>
      <c r="D1725" t="s">
        <v>445</v>
      </c>
      <c r="E1725" t="s">
        <v>12560</v>
      </c>
      <c r="F1725" t="s">
        <v>9412</v>
      </c>
      <c r="G1725" t="s">
        <v>9413</v>
      </c>
      <c r="H1725" t="s">
        <v>4202</v>
      </c>
      <c r="I1725" t="s">
        <v>10632</v>
      </c>
      <c r="J1725" t="s">
        <v>4201</v>
      </c>
      <c r="K1725" t="s">
        <v>9416</v>
      </c>
      <c r="L1725" t="s">
        <v>9417</v>
      </c>
      <c r="M1725" t="s">
        <v>12475</v>
      </c>
      <c r="N1725" t="s">
        <v>12457</v>
      </c>
      <c r="O1725" t="s">
        <v>12561</v>
      </c>
      <c r="P1725" t="s">
        <v>12562</v>
      </c>
      <c r="Q1725" t="s">
        <v>9421</v>
      </c>
      <c r="R1725" t="s">
        <v>84</v>
      </c>
      <c r="S1725" t="s">
        <v>12563</v>
      </c>
      <c r="T1725" t="s">
        <v>12564</v>
      </c>
    </row>
    <row r="1726" spans="1:20">
      <c r="A1726" t="s">
        <v>9298</v>
      </c>
      <c r="B1726" t="s">
        <v>62</v>
      </c>
      <c r="C1726" t="s">
        <v>12559</v>
      </c>
      <c r="D1726" t="s">
        <v>445</v>
      </c>
      <c r="E1726" t="s">
        <v>12560</v>
      </c>
      <c r="F1726" t="s">
        <v>9412</v>
      </c>
      <c r="G1726" t="s">
        <v>9413</v>
      </c>
      <c r="H1726" t="s">
        <v>4202</v>
      </c>
      <c r="I1726" t="s">
        <v>10632</v>
      </c>
      <c r="J1726" t="s">
        <v>4201</v>
      </c>
      <c r="K1726" t="s">
        <v>9416</v>
      </c>
      <c r="L1726" t="s">
        <v>9417</v>
      </c>
      <c r="M1726" t="s">
        <v>12475</v>
      </c>
      <c r="N1726" t="s">
        <v>12457</v>
      </c>
      <c r="O1726" t="s">
        <v>9300</v>
      </c>
      <c r="P1726" t="s">
        <v>9420</v>
      </c>
      <c r="Q1726" t="s">
        <v>9421</v>
      </c>
      <c r="R1726" t="s">
        <v>17</v>
      </c>
      <c r="S1726" t="s">
        <v>9299</v>
      </c>
      <c r="T1726" t="s">
        <v>12565</v>
      </c>
    </row>
    <row r="1727" spans="1:20">
      <c r="A1727" t="s">
        <v>4375</v>
      </c>
      <c r="B1727" t="s">
        <v>62</v>
      </c>
      <c r="C1727" t="s">
        <v>4378</v>
      </c>
      <c r="D1727" t="s">
        <v>445</v>
      </c>
      <c r="E1727" t="s">
        <v>12566</v>
      </c>
      <c r="F1727" t="s">
        <v>9412</v>
      </c>
      <c r="G1727" t="s">
        <v>9413</v>
      </c>
      <c r="H1727" t="s">
        <v>12455</v>
      </c>
      <c r="I1727" t="s">
        <v>10407</v>
      </c>
      <c r="J1727" t="s">
        <v>4201</v>
      </c>
      <c r="K1727" t="s">
        <v>9445</v>
      </c>
      <c r="L1727" t="s">
        <v>9417</v>
      </c>
      <c r="M1727" t="s">
        <v>12475</v>
      </c>
      <c r="N1727" t="s">
        <v>9426</v>
      </c>
      <c r="O1727" t="s">
        <v>9446</v>
      </c>
      <c r="P1727" t="s">
        <v>9623</v>
      </c>
      <c r="Q1727" t="s">
        <v>9421</v>
      </c>
      <c r="R1727" t="s">
        <v>24</v>
      </c>
      <c r="S1727" t="s">
        <v>4226</v>
      </c>
      <c r="T1727" t="s">
        <v>4228</v>
      </c>
    </row>
    <row r="1728" spans="1:20">
      <c r="A1728" t="s">
        <v>4375</v>
      </c>
      <c r="B1728" t="s">
        <v>62</v>
      </c>
      <c r="C1728" t="s">
        <v>4378</v>
      </c>
      <c r="D1728" t="s">
        <v>445</v>
      </c>
      <c r="E1728" t="s">
        <v>12566</v>
      </c>
      <c r="F1728" t="s">
        <v>9412</v>
      </c>
      <c r="G1728" t="s">
        <v>9413</v>
      </c>
      <c r="H1728" t="s">
        <v>12455</v>
      </c>
      <c r="I1728" t="s">
        <v>10407</v>
      </c>
      <c r="J1728" t="s">
        <v>4201</v>
      </c>
      <c r="K1728" t="s">
        <v>9416</v>
      </c>
      <c r="L1728" t="s">
        <v>9417</v>
      </c>
      <c r="M1728" t="s">
        <v>12475</v>
      </c>
      <c r="N1728" t="s">
        <v>12457</v>
      </c>
      <c r="O1728" t="s">
        <v>9304</v>
      </c>
      <c r="P1728" t="s">
        <v>9623</v>
      </c>
      <c r="Q1728" t="s">
        <v>9421</v>
      </c>
      <c r="R1728" t="s">
        <v>24</v>
      </c>
      <c r="S1728" t="s">
        <v>4321</v>
      </c>
      <c r="T1728" t="s">
        <v>4377</v>
      </c>
    </row>
    <row r="1729" spans="1:20">
      <c r="A1729" t="s">
        <v>4379</v>
      </c>
      <c r="B1729" t="s">
        <v>20</v>
      </c>
      <c r="C1729" t="s">
        <v>9310</v>
      </c>
      <c r="D1729" t="s">
        <v>9455</v>
      </c>
      <c r="E1729" t="s">
        <v>12567</v>
      </c>
      <c r="F1729" t="s">
        <v>9412</v>
      </c>
      <c r="G1729" t="s">
        <v>9413</v>
      </c>
      <c r="H1729" t="s">
        <v>12455</v>
      </c>
      <c r="I1729" t="s">
        <v>10474</v>
      </c>
      <c r="J1729" t="s">
        <v>4201</v>
      </c>
      <c r="K1729" t="s">
        <v>9416</v>
      </c>
      <c r="L1729" t="s">
        <v>9417</v>
      </c>
      <c r="M1729" t="s">
        <v>12498</v>
      </c>
      <c r="N1729" t="s">
        <v>12457</v>
      </c>
      <c r="O1729" t="s">
        <v>9308</v>
      </c>
      <c r="P1729" t="s">
        <v>9429</v>
      </c>
      <c r="Q1729" t="s">
        <v>9421</v>
      </c>
      <c r="R1729" t="s">
        <v>52</v>
      </c>
      <c r="S1729" t="s">
        <v>4379</v>
      </c>
      <c r="T1729" t="s">
        <v>4381</v>
      </c>
    </row>
    <row r="1730" spans="1:20">
      <c r="A1730" t="s">
        <v>9312</v>
      </c>
      <c r="B1730" t="s">
        <v>62</v>
      </c>
      <c r="C1730" t="s">
        <v>12568</v>
      </c>
      <c r="D1730" t="s">
        <v>9410</v>
      </c>
      <c r="E1730" t="s">
        <v>12569</v>
      </c>
      <c r="F1730" t="s">
        <v>9601</v>
      </c>
      <c r="G1730" t="s">
        <v>9413</v>
      </c>
      <c r="H1730" t="s">
        <v>4202</v>
      </c>
      <c r="I1730" t="s">
        <v>10632</v>
      </c>
      <c r="J1730" t="s">
        <v>4201</v>
      </c>
      <c r="K1730" t="s">
        <v>9445</v>
      </c>
      <c r="L1730" t="s">
        <v>9417</v>
      </c>
      <c r="M1730" t="s">
        <v>12484</v>
      </c>
      <c r="N1730" t="s">
        <v>9426</v>
      </c>
      <c r="O1730" t="s">
        <v>9446</v>
      </c>
      <c r="P1730" t="s">
        <v>9623</v>
      </c>
      <c r="Q1730" t="s">
        <v>9421</v>
      </c>
      <c r="R1730" t="s">
        <v>24</v>
      </c>
      <c r="S1730" t="s">
        <v>4226</v>
      </c>
      <c r="T1730" t="s">
        <v>4228</v>
      </c>
    </row>
    <row r="1731" spans="1:20">
      <c r="A1731" t="s">
        <v>4383</v>
      </c>
      <c r="B1731" t="s">
        <v>20</v>
      </c>
      <c r="C1731" t="s">
        <v>9315</v>
      </c>
      <c r="D1731" t="s">
        <v>9666</v>
      </c>
      <c r="E1731" t="s">
        <v>12570</v>
      </c>
      <c r="F1731" t="s">
        <v>9412</v>
      </c>
      <c r="G1731" t="s">
        <v>9413</v>
      </c>
      <c r="H1731" t="s">
        <v>12455</v>
      </c>
      <c r="I1731" t="s">
        <v>11444</v>
      </c>
      <c r="J1731" t="s">
        <v>4201</v>
      </c>
      <c r="K1731" t="s">
        <v>9445</v>
      </c>
      <c r="L1731" t="s">
        <v>9417</v>
      </c>
      <c r="M1731" t="s">
        <v>12465</v>
      </c>
      <c r="N1731" t="s">
        <v>9426</v>
      </c>
      <c r="O1731" t="s">
        <v>9446</v>
      </c>
      <c r="P1731" t="s">
        <v>9567</v>
      </c>
      <c r="Q1731" t="s">
        <v>9421</v>
      </c>
      <c r="R1731" t="s">
        <v>43</v>
      </c>
      <c r="S1731" t="s">
        <v>4233</v>
      </c>
      <c r="T1731" t="s">
        <v>4235</v>
      </c>
    </row>
    <row r="1732" spans="1:20">
      <c r="A1732" t="s">
        <v>4383</v>
      </c>
      <c r="B1732" t="s">
        <v>20</v>
      </c>
      <c r="C1732" t="s">
        <v>9315</v>
      </c>
      <c r="D1732" t="s">
        <v>9666</v>
      </c>
      <c r="E1732" t="s">
        <v>12570</v>
      </c>
      <c r="F1732" t="s">
        <v>9412</v>
      </c>
      <c r="G1732" t="s">
        <v>9413</v>
      </c>
      <c r="H1732" t="s">
        <v>12455</v>
      </c>
      <c r="I1732" t="s">
        <v>11444</v>
      </c>
      <c r="J1732" t="s">
        <v>4201</v>
      </c>
      <c r="K1732" t="s">
        <v>9416</v>
      </c>
      <c r="L1732" t="s">
        <v>9417</v>
      </c>
      <c r="M1732" t="s">
        <v>12465</v>
      </c>
      <c r="N1732" t="s">
        <v>12457</v>
      </c>
      <c r="O1732" t="s">
        <v>9317</v>
      </c>
      <c r="P1732" t="s">
        <v>9429</v>
      </c>
      <c r="Q1732" t="s">
        <v>9421</v>
      </c>
      <c r="R1732" t="s">
        <v>52</v>
      </c>
      <c r="S1732" t="s">
        <v>4383</v>
      </c>
      <c r="T1732" t="s">
        <v>4386</v>
      </c>
    </row>
    <row r="1733" spans="1:20">
      <c r="A1733" t="s">
        <v>12571</v>
      </c>
      <c r="B1733" t="s">
        <v>62</v>
      </c>
      <c r="C1733" t="s">
        <v>12572</v>
      </c>
      <c r="D1733" t="s">
        <v>9410</v>
      </c>
      <c r="E1733" t="s">
        <v>12573</v>
      </c>
      <c r="F1733" t="s">
        <v>9601</v>
      </c>
      <c r="G1733" t="s">
        <v>9413</v>
      </c>
      <c r="H1733" t="s">
        <v>12455</v>
      </c>
      <c r="I1733" t="s">
        <v>10434</v>
      </c>
      <c r="J1733" t="s">
        <v>4201</v>
      </c>
      <c r="K1733" t="s">
        <v>9416</v>
      </c>
      <c r="L1733" t="s">
        <v>9417</v>
      </c>
      <c r="M1733" t="s">
        <v>12480</v>
      </c>
      <c r="N1733" t="s">
        <v>12457</v>
      </c>
      <c r="O1733" t="s">
        <v>12574</v>
      </c>
      <c r="P1733" t="s">
        <v>9603</v>
      </c>
      <c r="Q1733" t="s">
        <v>9421</v>
      </c>
      <c r="R1733" t="s">
        <v>9604</v>
      </c>
      <c r="S1733" t="s">
        <v>4366</v>
      </c>
      <c r="T1733" t="s">
        <v>12557</v>
      </c>
    </row>
    <row r="1734" spans="1:20">
      <c r="A1734" t="s">
        <v>4434</v>
      </c>
      <c r="B1734" t="s">
        <v>9409</v>
      </c>
      <c r="C1734" t="s">
        <v>9321</v>
      </c>
      <c r="D1734" t="s">
        <v>9410</v>
      </c>
      <c r="E1734" t="s">
        <v>12575</v>
      </c>
      <c r="F1734" t="s">
        <v>11278</v>
      </c>
      <c r="G1734" t="s">
        <v>9413</v>
      </c>
      <c r="H1734" t="s">
        <v>12455</v>
      </c>
      <c r="I1734" t="s">
        <v>9441</v>
      </c>
      <c r="J1734" t="s">
        <v>4201</v>
      </c>
      <c r="K1734" t="s">
        <v>9416</v>
      </c>
      <c r="L1734" t="s">
        <v>9417</v>
      </c>
      <c r="M1734" t="s">
        <v>12480</v>
      </c>
      <c r="N1734" t="s">
        <v>9430</v>
      </c>
      <c r="O1734" t="s">
        <v>9319</v>
      </c>
      <c r="P1734" t="s">
        <v>11012</v>
      </c>
      <c r="Q1734" t="s">
        <v>9421</v>
      </c>
      <c r="R1734" t="s">
        <v>17</v>
      </c>
      <c r="S1734" t="s">
        <v>4431</v>
      </c>
      <c r="T1734" t="s">
        <v>4433</v>
      </c>
    </row>
    <row r="1735" spans="1:20">
      <c r="A1735" t="s">
        <v>12576</v>
      </c>
      <c r="B1735" t="s">
        <v>9409</v>
      </c>
      <c r="C1735" t="s">
        <v>12577</v>
      </c>
      <c r="D1735" t="s">
        <v>9410</v>
      </c>
      <c r="E1735" t="s">
        <v>12578</v>
      </c>
      <c r="F1735" t="s">
        <v>9601</v>
      </c>
      <c r="G1735" t="s">
        <v>9413</v>
      </c>
      <c r="H1735" t="s">
        <v>4202</v>
      </c>
      <c r="I1735" t="s">
        <v>10202</v>
      </c>
      <c r="J1735" t="s">
        <v>4201</v>
      </c>
      <c r="K1735" t="s">
        <v>9445</v>
      </c>
      <c r="L1735" t="s">
        <v>9417</v>
      </c>
      <c r="M1735" t="s">
        <v>12475</v>
      </c>
      <c r="N1735" t="s">
        <v>12457</v>
      </c>
      <c r="O1735" t="s">
        <v>9446</v>
      </c>
      <c r="P1735" t="s">
        <v>9647</v>
      </c>
      <c r="Q1735" t="s">
        <v>9421</v>
      </c>
      <c r="R1735" t="s">
        <v>84</v>
      </c>
      <c r="S1735" t="s">
        <v>9233</v>
      </c>
      <c r="T1735" t="s">
        <v>12532</v>
      </c>
    </row>
    <row r="1736" spans="1:20">
      <c r="A1736" t="s">
        <v>4387</v>
      </c>
      <c r="B1736" t="s">
        <v>62</v>
      </c>
      <c r="C1736" t="s">
        <v>4388</v>
      </c>
      <c r="D1736" t="s">
        <v>445</v>
      </c>
      <c r="E1736" t="s">
        <v>12579</v>
      </c>
      <c r="F1736" t="s">
        <v>9412</v>
      </c>
      <c r="G1736" t="s">
        <v>9413</v>
      </c>
      <c r="H1736" t="s">
        <v>4202</v>
      </c>
      <c r="I1736" t="s">
        <v>10632</v>
      </c>
      <c r="J1736" t="s">
        <v>4201</v>
      </c>
      <c r="K1736" t="s">
        <v>9416</v>
      </c>
      <c r="L1736" t="s">
        <v>9417</v>
      </c>
      <c r="M1736" t="s">
        <v>12480</v>
      </c>
      <c r="N1736" t="s">
        <v>9426</v>
      </c>
      <c r="O1736" t="s">
        <v>9150</v>
      </c>
      <c r="P1736" t="s">
        <v>11022</v>
      </c>
      <c r="Q1736" t="s">
        <v>9421</v>
      </c>
      <c r="R1736" t="s">
        <v>84</v>
      </c>
      <c r="S1736" t="s">
        <v>4273</v>
      </c>
      <c r="T1736" t="s">
        <v>4275</v>
      </c>
    </row>
    <row r="1737" spans="1:20">
      <c r="A1737" t="s">
        <v>9157</v>
      </c>
      <c r="B1737" t="s">
        <v>62</v>
      </c>
      <c r="C1737" t="s">
        <v>12580</v>
      </c>
      <c r="D1737" t="s">
        <v>445</v>
      </c>
      <c r="E1737" t="s">
        <v>12581</v>
      </c>
      <c r="F1737" t="s">
        <v>9412</v>
      </c>
      <c r="G1737" t="s">
        <v>9413</v>
      </c>
      <c r="H1737" t="s">
        <v>4202</v>
      </c>
      <c r="I1737" t="s">
        <v>10628</v>
      </c>
      <c r="J1737" t="s">
        <v>4201</v>
      </c>
      <c r="K1737" t="s">
        <v>9445</v>
      </c>
      <c r="L1737" t="s">
        <v>9417</v>
      </c>
      <c r="M1737" t="s">
        <v>12471</v>
      </c>
      <c r="N1737" t="s">
        <v>9426</v>
      </c>
      <c r="O1737" t="s">
        <v>9446</v>
      </c>
      <c r="P1737" t="s">
        <v>9567</v>
      </c>
      <c r="Q1737" t="s">
        <v>9421</v>
      </c>
      <c r="R1737" t="s">
        <v>43</v>
      </c>
      <c r="S1737" t="s">
        <v>4207</v>
      </c>
      <c r="T1737" t="s">
        <v>4209</v>
      </c>
    </row>
    <row r="1738" spans="1:20">
      <c r="A1738" t="s">
        <v>12582</v>
      </c>
      <c r="B1738" t="s">
        <v>10645</v>
      </c>
      <c r="C1738" t="s">
        <v>12583</v>
      </c>
      <c r="D1738" t="s">
        <v>9410</v>
      </c>
      <c r="E1738" t="s">
        <v>12584</v>
      </c>
      <c r="F1738" t="s">
        <v>9601</v>
      </c>
      <c r="G1738" t="s">
        <v>9413</v>
      </c>
      <c r="H1738" t="s">
        <v>12455</v>
      </c>
      <c r="I1738" t="s">
        <v>10635</v>
      </c>
      <c r="J1738" t="s">
        <v>4201</v>
      </c>
      <c r="K1738" t="s">
        <v>9445</v>
      </c>
      <c r="L1738" t="s">
        <v>9417</v>
      </c>
      <c r="M1738" t="s">
        <v>12498</v>
      </c>
      <c r="N1738" t="s">
        <v>12457</v>
      </c>
      <c r="O1738" t="s">
        <v>9446</v>
      </c>
      <c r="P1738" t="s">
        <v>9603</v>
      </c>
      <c r="Q1738" t="s">
        <v>9421</v>
      </c>
      <c r="R1738" t="s">
        <v>9604</v>
      </c>
      <c r="S1738" t="s">
        <v>4366</v>
      </c>
      <c r="T1738" t="s">
        <v>12557</v>
      </c>
    </row>
    <row r="1739" spans="1:20">
      <c r="A1739" t="s">
        <v>12585</v>
      </c>
      <c r="B1739" t="s">
        <v>10645</v>
      </c>
      <c r="C1739" t="s">
        <v>12586</v>
      </c>
      <c r="D1739" t="s">
        <v>9410</v>
      </c>
      <c r="E1739" t="s">
        <v>12587</v>
      </c>
      <c r="F1739" t="s">
        <v>9601</v>
      </c>
      <c r="G1739" t="s">
        <v>9413</v>
      </c>
      <c r="H1739" t="s">
        <v>12455</v>
      </c>
      <c r="I1739" t="s">
        <v>10635</v>
      </c>
      <c r="J1739" t="s">
        <v>4201</v>
      </c>
      <c r="K1739" t="s">
        <v>9445</v>
      </c>
      <c r="L1739" t="s">
        <v>9417</v>
      </c>
      <c r="M1739" t="s">
        <v>12461</v>
      </c>
      <c r="N1739" t="s">
        <v>12457</v>
      </c>
      <c r="O1739" t="s">
        <v>9446</v>
      </c>
      <c r="P1739" t="s">
        <v>9603</v>
      </c>
      <c r="Q1739" t="s">
        <v>9421</v>
      </c>
      <c r="R1739" t="s">
        <v>9604</v>
      </c>
      <c r="S1739" t="s">
        <v>4366</v>
      </c>
      <c r="T1739" t="s">
        <v>12557</v>
      </c>
    </row>
    <row r="1740" spans="1:20">
      <c r="A1740" t="s">
        <v>12588</v>
      </c>
      <c r="B1740" t="s">
        <v>9446</v>
      </c>
      <c r="C1740" t="s">
        <v>12589</v>
      </c>
      <c r="D1740" t="s">
        <v>9410</v>
      </c>
      <c r="E1740" t="s">
        <v>12590</v>
      </c>
      <c r="F1740" t="s">
        <v>9601</v>
      </c>
      <c r="G1740" t="s">
        <v>9413</v>
      </c>
      <c r="H1740" t="s">
        <v>12455</v>
      </c>
      <c r="I1740" t="s">
        <v>10635</v>
      </c>
      <c r="J1740" t="s">
        <v>4201</v>
      </c>
      <c r="K1740" t="s">
        <v>9445</v>
      </c>
      <c r="L1740" t="s">
        <v>9417</v>
      </c>
      <c r="M1740" t="s">
        <v>12498</v>
      </c>
      <c r="N1740" t="s">
        <v>12457</v>
      </c>
      <c r="O1740" t="s">
        <v>9446</v>
      </c>
      <c r="P1740" t="s">
        <v>9603</v>
      </c>
      <c r="Q1740" t="s">
        <v>9421</v>
      </c>
      <c r="R1740" t="s">
        <v>9604</v>
      </c>
      <c r="S1740" t="s">
        <v>4366</v>
      </c>
      <c r="T1740" t="s">
        <v>12557</v>
      </c>
    </row>
    <row r="1741" spans="1:20">
      <c r="A1741" t="s">
        <v>12591</v>
      </c>
      <c r="B1741" t="s">
        <v>10645</v>
      </c>
      <c r="C1741" t="s">
        <v>12592</v>
      </c>
      <c r="D1741" t="s">
        <v>9410</v>
      </c>
      <c r="E1741" t="s">
        <v>12593</v>
      </c>
      <c r="F1741" t="s">
        <v>9601</v>
      </c>
      <c r="G1741" t="s">
        <v>9413</v>
      </c>
      <c r="H1741" t="s">
        <v>12455</v>
      </c>
      <c r="I1741" t="s">
        <v>10635</v>
      </c>
      <c r="J1741" t="s">
        <v>4201</v>
      </c>
      <c r="K1741" t="s">
        <v>9445</v>
      </c>
      <c r="L1741" t="s">
        <v>9417</v>
      </c>
      <c r="M1741" t="s">
        <v>12490</v>
      </c>
      <c r="N1741" t="s">
        <v>12457</v>
      </c>
      <c r="O1741" t="s">
        <v>9446</v>
      </c>
      <c r="P1741" t="s">
        <v>9603</v>
      </c>
      <c r="Q1741" t="s">
        <v>9421</v>
      </c>
      <c r="R1741" t="s">
        <v>9604</v>
      </c>
      <c r="S1741" t="s">
        <v>4366</v>
      </c>
      <c r="T1741" t="s">
        <v>12557</v>
      </c>
    </row>
    <row r="1742" spans="1:20">
      <c r="A1742" t="s">
        <v>12594</v>
      </c>
      <c r="B1742" t="s">
        <v>10645</v>
      </c>
      <c r="C1742" t="s">
        <v>12595</v>
      </c>
      <c r="D1742" t="s">
        <v>9410</v>
      </c>
      <c r="E1742" t="s">
        <v>12596</v>
      </c>
      <c r="F1742" t="s">
        <v>9601</v>
      </c>
      <c r="G1742" t="s">
        <v>9413</v>
      </c>
      <c r="H1742" t="s">
        <v>4202</v>
      </c>
      <c r="I1742" t="s">
        <v>10635</v>
      </c>
      <c r="J1742" t="s">
        <v>4201</v>
      </c>
      <c r="K1742" t="s">
        <v>9445</v>
      </c>
      <c r="L1742" t="s">
        <v>9417</v>
      </c>
      <c r="M1742" t="s">
        <v>12490</v>
      </c>
      <c r="N1742" t="s">
        <v>12457</v>
      </c>
      <c r="O1742" t="s">
        <v>9446</v>
      </c>
      <c r="P1742" t="s">
        <v>9603</v>
      </c>
      <c r="Q1742" t="s">
        <v>9421</v>
      </c>
      <c r="R1742" t="s">
        <v>9604</v>
      </c>
      <c r="S1742" t="s">
        <v>4366</v>
      </c>
      <c r="T1742" t="s">
        <v>12557</v>
      </c>
    </row>
    <row r="1743" spans="1:20">
      <c r="A1743" t="s">
        <v>12597</v>
      </c>
      <c r="B1743" t="s">
        <v>10645</v>
      </c>
      <c r="C1743" t="s">
        <v>12598</v>
      </c>
      <c r="D1743" t="s">
        <v>9410</v>
      </c>
      <c r="E1743" t="s">
        <v>12599</v>
      </c>
      <c r="F1743" t="s">
        <v>9601</v>
      </c>
      <c r="G1743" t="s">
        <v>9413</v>
      </c>
      <c r="H1743" t="s">
        <v>4202</v>
      </c>
      <c r="I1743" t="s">
        <v>10635</v>
      </c>
      <c r="J1743" t="s">
        <v>4201</v>
      </c>
      <c r="K1743" t="s">
        <v>9445</v>
      </c>
      <c r="L1743" t="s">
        <v>9417</v>
      </c>
      <c r="M1743" t="s">
        <v>12498</v>
      </c>
      <c r="N1743" t="s">
        <v>12457</v>
      </c>
      <c r="O1743" t="s">
        <v>9446</v>
      </c>
      <c r="P1743" t="s">
        <v>9603</v>
      </c>
      <c r="Q1743" t="s">
        <v>9421</v>
      </c>
      <c r="R1743" t="s">
        <v>9604</v>
      </c>
      <c r="S1743" t="s">
        <v>4366</v>
      </c>
      <c r="T1743" t="s">
        <v>12557</v>
      </c>
    </row>
    <row r="1744" spans="1:20">
      <c r="A1744" t="s">
        <v>12600</v>
      </c>
      <c r="B1744" t="s">
        <v>10645</v>
      </c>
      <c r="C1744" t="s">
        <v>12601</v>
      </c>
      <c r="D1744" t="s">
        <v>9410</v>
      </c>
      <c r="E1744" t="s">
        <v>12602</v>
      </c>
      <c r="F1744" t="s">
        <v>9601</v>
      </c>
      <c r="G1744" t="s">
        <v>9413</v>
      </c>
      <c r="H1744" t="s">
        <v>4202</v>
      </c>
      <c r="I1744" t="s">
        <v>10635</v>
      </c>
      <c r="J1744" t="s">
        <v>4201</v>
      </c>
      <c r="K1744" t="s">
        <v>9445</v>
      </c>
      <c r="L1744" t="s">
        <v>9417</v>
      </c>
      <c r="M1744" t="s">
        <v>12463</v>
      </c>
      <c r="N1744" t="s">
        <v>12457</v>
      </c>
      <c r="O1744" t="s">
        <v>9446</v>
      </c>
      <c r="P1744" t="s">
        <v>9603</v>
      </c>
      <c r="Q1744" t="s">
        <v>9421</v>
      </c>
      <c r="R1744" t="s">
        <v>9604</v>
      </c>
      <c r="S1744" t="s">
        <v>4366</v>
      </c>
      <c r="T1744" t="s">
        <v>12557</v>
      </c>
    </row>
    <row r="1745" spans="1:20">
      <c r="A1745" t="s">
        <v>12603</v>
      </c>
      <c r="B1745" t="s">
        <v>62</v>
      </c>
      <c r="C1745" t="s">
        <v>12604</v>
      </c>
      <c r="D1745" t="s">
        <v>9410</v>
      </c>
      <c r="E1745" t="s">
        <v>12605</v>
      </c>
      <c r="F1745" t="s">
        <v>9601</v>
      </c>
      <c r="G1745" t="s">
        <v>9413</v>
      </c>
      <c r="H1745" t="s">
        <v>4202</v>
      </c>
      <c r="I1745" t="s">
        <v>10628</v>
      </c>
      <c r="J1745" t="s">
        <v>4201</v>
      </c>
      <c r="K1745" t="s">
        <v>9445</v>
      </c>
      <c r="L1745" t="s">
        <v>9417</v>
      </c>
      <c r="M1745" t="s">
        <v>12484</v>
      </c>
      <c r="N1745" t="s">
        <v>12457</v>
      </c>
      <c r="O1745" t="s">
        <v>9446</v>
      </c>
      <c r="P1745" t="s">
        <v>9603</v>
      </c>
      <c r="Q1745" t="s">
        <v>9421</v>
      </c>
      <c r="R1745" t="s">
        <v>9604</v>
      </c>
      <c r="S1745" t="s">
        <v>4366</v>
      </c>
      <c r="T1745" t="s">
        <v>12557</v>
      </c>
    </row>
    <row r="1746" spans="1:20">
      <c r="A1746" t="s">
        <v>12606</v>
      </c>
      <c r="B1746" t="s">
        <v>62</v>
      </c>
      <c r="C1746" t="s">
        <v>12607</v>
      </c>
      <c r="D1746" t="s">
        <v>9410</v>
      </c>
      <c r="E1746" t="s">
        <v>12608</v>
      </c>
      <c r="F1746" t="s">
        <v>9601</v>
      </c>
      <c r="G1746" t="s">
        <v>9413</v>
      </c>
      <c r="H1746" t="s">
        <v>4202</v>
      </c>
      <c r="I1746" t="s">
        <v>10628</v>
      </c>
      <c r="J1746" t="s">
        <v>4201</v>
      </c>
      <c r="K1746" t="s">
        <v>9445</v>
      </c>
      <c r="L1746" t="s">
        <v>9417</v>
      </c>
      <c r="M1746" t="s">
        <v>12477</v>
      </c>
      <c r="N1746" t="s">
        <v>12457</v>
      </c>
      <c r="O1746" t="s">
        <v>9446</v>
      </c>
      <c r="P1746" t="s">
        <v>9603</v>
      </c>
      <c r="Q1746" t="s">
        <v>9421</v>
      </c>
      <c r="R1746" t="s">
        <v>9604</v>
      </c>
      <c r="S1746" t="s">
        <v>4366</v>
      </c>
      <c r="T1746" t="s">
        <v>12557</v>
      </c>
    </row>
    <row r="1747" spans="1:20">
      <c r="A1747" t="s">
        <v>12609</v>
      </c>
      <c r="B1747" t="s">
        <v>10645</v>
      </c>
      <c r="C1747" t="s">
        <v>12610</v>
      </c>
      <c r="D1747" t="s">
        <v>9410</v>
      </c>
      <c r="E1747" t="s">
        <v>12611</v>
      </c>
      <c r="F1747" t="s">
        <v>9601</v>
      </c>
      <c r="G1747" t="s">
        <v>9413</v>
      </c>
      <c r="H1747" t="s">
        <v>12455</v>
      </c>
      <c r="I1747" t="s">
        <v>10635</v>
      </c>
      <c r="J1747" t="s">
        <v>4201</v>
      </c>
      <c r="K1747" t="s">
        <v>9445</v>
      </c>
      <c r="L1747" t="s">
        <v>9417</v>
      </c>
      <c r="M1747" t="s">
        <v>12477</v>
      </c>
      <c r="N1747" t="s">
        <v>12457</v>
      </c>
      <c r="O1747" t="s">
        <v>9446</v>
      </c>
      <c r="P1747" t="s">
        <v>9603</v>
      </c>
      <c r="Q1747" t="s">
        <v>9421</v>
      </c>
      <c r="R1747" t="s">
        <v>9604</v>
      </c>
      <c r="S1747" t="s">
        <v>4366</v>
      </c>
      <c r="T1747" t="s">
        <v>12557</v>
      </c>
    </row>
    <row r="1748" spans="1:20">
      <c r="A1748" t="s">
        <v>9327</v>
      </c>
      <c r="B1748" t="s">
        <v>20</v>
      </c>
      <c r="C1748" t="s">
        <v>12612</v>
      </c>
      <c r="D1748" t="s">
        <v>9460</v>
      </c>
      <c r="E1748" t="s">
        <v>12613</v>
      </c>
      <c r="F1748" t="s">
        <v>9601</v>
      </c>
      <c r="G1748" t="s">
        <v>9413</v>
      </c>
      <c r="H1748" t="s">
        <v>4202</v>
      </c>
      <c r="I1748" t="s">
        <v>10628</v>
      </c>
      <c r="J1748" t="s">
        <v>4201</v>
      </c>
      <c r="K1748" t="s">
        <v>9445</v>
      </c>
      <c r="L1748" t="s">
        <v>9417</v>
      </c>
      <c r="M1748" t="s">
        <v>12498</v>
      </c>
      <c r="N1748" t="s">
        <v>9426</v>
      </c>
      <c r="O1748" t="s">
        <v>9446</v>
      </c>
      <c r="P1748" t="s">
        <v>9567</v>
      </c>
      <c r="Q1748" t="s">
        <v>9421</v>
      </c>
      <c r="R1748" t="s">
        <v>43</v>
      </c>
      <c r="S1748" t="s">
        <v>4233</v>
      </c>
      <c r="T1748" t="s">
        <v>4235</v>
      </c>
    </row>
    <row r="1749" spans="1:20">
      <c r="A1749" t="s">
        <v>4389</v>
      </c>
      <c r="B1749" t="s">
        <v>20</v>
      </c>
      <c r="C1749" t="s">
        <v>9330</v>
      </c>
      <c r="D1749" t="s">
        <v>9666</v>
      </c>
      <c r="E1749" t="s">
        <v>12614</v>
      </c>
      <c r="F1749" t="s">
        <v>9412</v>
      </c>
      <c r="G1749" t="s">
        <v>9413</v>
      </c>
      <c r="H1749" t="s">
        <v>12455</v>
      </c>
      <c r="I1749" t="s">
        <v>10402</v>
      </c>
      <c r="J1749" t="s">
        <v>4201</v>
      </c>
      <c r="K1749" t="s">
        <v>9416</v>
      </c>
      <c r="L1749" t="s">
        <v>9417</v>
      </c>
      <c r="M1749" t="s">
        <v>12461</v>
      </c>
      <c r="N1749" t="s">
        <v>9446</v>
      </c>
      <c r="O1749" t="s">
        <v>9332</v>
      </c>
      <c r="P1749" t="s">
        <v>9655</v>
      </c>
      <c r="Q1749" t="s">
        <v>9421</v>
      </c>
      <c r="R1749" t="s">
        <v>56</v>
      </c>
      <c r="S1749" t="s">
        <v>4391</v>
      </c>
      <c r="T1749" t="s">
        <v>4393</v>
      </c>
    </row>
    <row r="1750" spans="1:20">
      <c r="A1750" t="s">
        <v>4389</v>
      </c>
      <c r="B1750" t="s">
        <v>20</v>
      </c>
      <c r="C1750" t="s">
        <v>9330</v>
      </c>
      <c r="D1750" t="s">
        <v>9666</v>
      </c>
      <c r="E1750" t="s">
        <v>12614</v>
      </c>
      <c r="F1750" t="s">
        <v>9412</v>
      </c>
      <c r="G1750" t="s">
        <v>9413</v>
      </c>
      <c r="H1750" t="s">
        <v>12455</v>
      </c>
      <c r="I1750" t="s">
        <v>10402</v>
      </c>
      <c r="J1750" t="s">
        <v>4201</v>
      </c>
      <c r="K1750" t="s">
        <v>9445</v>
      </c>
      <c r="L1750" t="s">
        <v>9417</v>
      </c>
      <c r="M1750" t="s">
        <v>12461</v>
      </c>
      <c r="N1750" t="s">
        <v>9426</v>
      </c>
      <c r="O1750" t="s">
        <v>9446</v>
      </c>
      <c r="P1750" t="s">
        <v>11022</v>
      </c>
      <c r="Q1750" t="s">
        <v>9421</v>
      </c>
      <c r="R1750" t="s">
        <v>84</v>
      </c>
      <c r="S1750" t="s">
        <v>4273</v>
      </c>
      <c r="T1750" t="s">
        <v>4275</v>
      </c>
    </row>
    <row r="1751" spans="1:20">
      <c r="A1751" t="s">
        <v>4389</v>
      </c>
      <c r="B1751" t="s">
        <v>20</v>
      </c>
      <c r="C1751" t="s">
        <v>9330</v>
      </c>
      <c r="D1751" t="s">
        <v>9666</v>
      </c>
      <c r="E1751" t="s">
        <v>12614</v>
      </c>
      <c r="F1751" t="s">
        <v>9412</v>
      </c>
      <c r="G1751" t="s">
        <v>9413</v>
      </c>
      <c r="H1751" t="s">
        <v>12455</v>
      </c>
      <c r="I1751" t="s">
        <v>10402</v>
      </c>
      <c r="J1751" t="s">
        <v>4201</v>
      </c>
      <c r="K1751" t="s">
        <v>9445</v>
      </c>
      <c r="L1751" t="s">
        <v>9417</v>
      </c>
      <c r="M1751" t="s">
        <v>12461</v>
      </c>
      <c r="N1751" t="s">
        <v>9426</v>
      </c>
      <c r="O1751" t="s">
        <v>9446</v>
      </c>
      <c r="P1751" t="s">
        <v>9567</v>
      </c>
      <c r="Q1751" t="s">
        <v>9421</v>
      </c>
      <c r="R1751" t="s">
        <v>43</v>
      </c>
      <c r="S1751" t="s">
        <v>4233</v>
      </c>
      <c r="T1751" t="s">
        <v>4235</v>
      </c>
    </row>
    <row r="1752" spans="1:20">
      <c r="A1752" t="s">
        <v>4391</v>
      </c>
      <c r="B1752" t="s">
        <v>20</v>
      </c>
      <c r="C1752" t="s">
        <v>9334</v>
      </c>
      <c r="D1752" t="s">
        <v>9455</v>
      </c>
      <c r="E1752" t="s">
        <v>12615</v>
      </c>
      <c r="F1752" t="s">
        <v>9412</v>
      </c>
      <c r="G1752" t="s">
        <v>9413</v>
      </c>
      <c r="H1752" t="s">
        <v>12455</v>
      </c>
      <c r="I1752" t="s">
        <v>10975</v>
      </c>
      <c r="J1752" t="s">
        <v>4201</v>
      </c>
      <c r="K1752" t="s">
        <v>9416</v>
      </c>
      <c r="L1752" t="s">
        <v>9417</v>
      </c>
      <c r="M1752" t="s">
        <v>12461</v>
      </c>
      <c r="N1752" t="s">
        <v>12457</v>
      </c>
      <c r="O1752" t="s">
        <v>9336</v>
      </c>
      <c r="P1752" t="s">
        <v>9651</v>
      </c>
      <c r="Q1752" t="s">
        <v>9421</v>
      </c>
      <c r="R1752" t="s">
        <v>56</v>
      </c>
      <c r="S1752" t="s">
        <v>4394</v>
      </c>
      <c r="T1752" t="s">
        <v>4396</v>
      </c>
    </row>
    <row r="1753" spans="1:20">
      <c r="A1753" t="s">
        <v>4398</v>
      </c>
      <c r="B1753" t="s">
        <v>20</v>
      </c>
      <c r="C1753" t="s">
        <v>9338</v>
      </c>
      <c r="D1753" t="s">
        <v>9464</v>
      </c>
      <c r="E1753" t="s">
        <v>12616</v>
      </c>
      <c r="F1753" t="s">
        <v>9412</v>
      </c>
      <c r="G1753" t="s">
        <v>9413</v>
      </c>
      <c r="H1753" t="s">
        <v>12455</v>
      </c>
      <c r="I1753" t="s">
        <v>9830</v>
      </c>
      <c r="J1753" t="s">
        <v>4201</v>
      </c>
      <c r="K1753" t="s">
        <v>9445</v>
      </c>
      <c r="L1753" t="s">
        <v>9417</v>
      </c>
      <c r="M1753" t="s">
        <v>12487</v>
      </c>
      <c r="N1753" t="s">
        <v>9426</v>
      </c>
      <c r="O1753" t="s">
        <v>9446</v>
      </c>
      <c r="P1753" t="s">
        <v>9567</v>
      </c>
      <c r="Q1753" t="s">
        <v>9421</v>
      </c>
      <c r="R1753" t="s">
        <v>43</v>
      </c>
      <c r="S1753" t="s">
        <v>4233</v>
      </c>
      <c r="T1753" t="s">
        <v>4235</v>
      </c>
    </row>
    <row r="1754" spans="1:20">
      <c r="A1754" t="s">
        <v>4398</v>
      </c>
      <c r="B1754" t="s">
        <v>20</v>
      </c>
      <c r="C1754" t="s">
        <v>9338</v>
      </c>
      <c r="D1754" t="s">
        <v>9464</v>
      </c>
      <c r="E1754" t="s">
        <v>12616</v>
      </c>
      <c r="F1754" t="s">
        <v>9412</v>
      </c>
      <c r="G1754" t="s">
        <v>9413</v>
      </c>
      <c r="H1754" t="s">
        <v>12455</v>
      </c>
      <c r="I1754" t="s">
        <v>9830</v>
      </c>
      <c r="J1754" t="s">
        <v>4201</v>
      </c>
      <c r="K1754" t="s">
        <v>9416</v>
      </c>
      <c r="L1754" t="s">
        <v>9417</v>
      </c>
      <c r="M1754" t="s">
        <v>12487</v>
      </c>
      <c r="N1754" t="s">
        <v>12457</v>
      </c>
      <c r="O1754" t="s">
        <v>9340</v>
      </c>
      <c r="P1754" t="s">
        <v>9655</v>
      </c>
      <c r="Q1754" t="s">
        <v>9421</v>
      </c>
      <c r="R1754" t="s">
        <v>56</v>
      </c>
      <c r="S1754" t="s">
        <v>4398</v>
      </c>
      <c r="T1754" t="s">
        <v>4401</v>
      </c>
    </row>
    <row r="1755" spans="1:20">
      <c r="A1755" t="s">
        <v>4402</v>
      </c>
      <c r="B1755" t="s">
        <v>20</v>
      </c>
      <c r="C1755" t="s">
        <v>9342</v>
      </c>
      <c r="D1755" t="s">
        <v>10052</v>
      </c>
      <c r="E1755" t="s">
        <v>12617</v>
      </c>
      <c r="F1755" t="s">
        <v>9412</v>
      </c>
      <c r="G1755" t="s">
        <v>9413</v>
      </c>
      <c r="H1755" t="s">
        <v>12455</v>
      </c>
      <c r="I1755" t="s">
        <v>9922</v>
      </c>
      <c r="J1755" t="s">
        <v>4201</v>
      </c>
      <c r="K1755" t="s">
        <v>9445</v>
      </c>
      <c r="L1755" t="s">
        <v>9417</v>
      </c>
      <c r="M1755" t="s">
        <v>12480</v>
      </c>
      <c r="N1755" t="s">
        <v>9426</v>
      </c>
      <c r="O1755" t="s">
        <v>9446</v>
      </c>
      <c r="P1755" t="s">
        <v>9567</v>
      </c>
      <c r="Q1755" t="s">
        <v>9421</v>
      </c>
      <c r="R1755" t="s">
        <v>43</v>
      </c>
      <c r="S1755" t="s">
        <v>4233</v>
      </c>
      <c r="T1755" t="s">
        <v>4235</v>
      </c>
    </row>
    <row r="1756" spans="1:20">
      <c r="A1756" t="s">
        <v>4402</v>
      </c>
      <c r="B1756" t="s">
        <v>20</v>
      </c>
      <c r="C1756" t="s">
        <v>9342</v>
      </c>
      <c r="D1756" t="s">
        <v>10052</v>
      </c>
      <c r="E1756" t="s">
        <v>12617</v>
      </c>
      <c r="F1756" t="s">
        <v>9412</v>
      </c>
      <c r="G1756" t="s">
        <v>9413</v>
      </c>
      <c r="H1756" t="s">
        <v>12455</v>
      </c>
      <c r="I1756" t="s">
        <v>9922</v>
      </c>
      <c r="J1756" t="s">
        <v>4201</v>
      </c>
      <c r="K1756" t="s">
        <v>9416</v>
      </c>
      <c r="L1756" t="s">
        <v>9417</v>
      </c>
      <c r="M1756" t="s">
        <v>12480</v>
      </c>
      <c r="N1756" t="s">
        <v>12457</v>
      </c>
      <c r="O1756" t="s">
        <v>9344</v>
      </c>
      <c r="P1756" t="s">
        <v>9655</v>
      </c>
      <c r="Q1756" t="s">
        <v>9421</v>
      </c>
      <c r="R1756" t="s">
        <v>56</v>
      </c>
      <c r="S1756" t="s">
        <v>4402</v>
      </c>
      <c r="T1756" t="s">
        <v>4405</v>
      </c>
    </row>
    <row r="1757" spans="1:20">
      <c r="A1757" t="s">
        <v>9346</v>
      </c>
      <c r="B1757" t="s">
        <v>62</v>
      </c>
      <c r="C1757" t="s">
        <v>12618</v>
      </c>
      <c r="D1757" t="s">
        <v>445</v>
      </c>
      <c r="E1757" t="s">
        <v>12619</v>
      </c>
      <c r="F1757" t="s">
        <v>9412</v>
      </c>
      <c r="G1757" t="s">
        <v>9413</v>
      </c>
      <c r="H1757" t="s">
        <v>4202</v>
      </c>
      <c r="I1757" t="s">
        <v>10443</v>
      </c>
      <c r="J1757" t="s">
        <v>4201</v>
      </c>
      <c r="K1757" t="s">
        <v>9445</v>
      </c>
      <c r="L1757" t="s">
        <v>9417</v>
      </c>
      <c r="M1757" t="s">
        <v>12480</v>
      </c>
      <c r="N1757" t="s">
        <v>12457</v>
      </c>
      <c r="O1757" t="s">
        <v>9446</v>
      </c>
      <c r="P1757" t="s">
        <v>9655</v>
      </c>
      <c r="Q1757" t="s">
        <v>9421</v>
      </c>
      <c r="R1757" t="s">
        <v>56</v>
      </c>
      <c r="S1757" t="s">
        <v>4402</v>
      </c>
      <c r="T1757" t="s">
        <v>4405</v>
      </c>
    </row>
    <row r="1758" spans="1:20">
      <c r="A1758" t="s">
        <v>4406</v>
      </c>
      <c r="B1758" t="s">
        <v>20</v>
      </c>
      <c r="C1758" t="s">
        <v>9349</v>
      </c>
      <c r="D1758" t="s">
        <v>10052</v>
      </c>
      <c r="E1758" t="s">
        <v>12620</v>
      </c>
      <c r="F1758" t="s">
        <v>9412</v>
      </c>
      <c r="G1758" t="s">
        <v>9413</v>
      </c>
      <c r="H1758" t="s">
        <v>12455</v>
      </c>
      <c r="I1758" t="s">
        <v>9771</v>
      </c>
      <c r="J1758" t="s">
        <v>4201</v>
      </c>
      <c r="K1758" t="s">
        <v>9445</v>
      </c>
      <c r="L1758" t="s">
        <v>9417</v>
      </c>
      <c r="M1758" t="s">
        <v>12465</v>
      </c>
      <c r="N1758" t="s">
        <v>9426</v>
      </c>
      <c r="O1758" t="s">
        <v>9446</v>
      </c>
      <c r="P1758" t="s">
        <v>11022</v>
      </c>
      <c r="Q1758" t="s">
        <v>9421</v>
      </c>
      <c r="R1758" t="s">
        <v>84</v>
      </c>
      <c r="S1758" t="s">
        <v>4273</v>
      </c>
      <c r="T1758" t="s">
        <v>4275</v>
      </c>
    </row>
    <row r="1759" spans="1:20">
      <c r="A1759" t="s">
        <v>4406</v>
      </c>
      <c r="B1759" t="s">
        <v>20</v>
      </c>
      <c r="C1759" t="s">
        <v>9349</v>
      </c>
      <c r="D1759" t="s">
        <v>10052</v>
      </c>
      <c r="E1759" t="s">
        <v>12620</v>
      </c>
      <c r="F1759" t="s">
        <v>9412</v>
      </c>
      <c r="G1759" t="s">
        <v>9413</v>
      </c>
      <c r="H1759" t="s">
        <v>12455</v>
      </c>
      <c r="I1759" t="s">
        <v>9771</v>
      </c>
      <c r="J1759" t="s">
        <v>4201</v>
      </c>
      <c r="K1759" t="s">
        <v>9445</v>
      </c>
      <c r="L1759" t="s">
        <v>9417</v>
      </c>
      <c r="M1759" t="s">
        <v>12465</v>
      </c>
      <c r="N1759" t="s">
        <v>9426</v>
      </c>
      <c r="O1759" t="s">
        <v>9446</v>
      </c>
      <c r="P1759" t="s">
        <v>9567</v>
      </c>
      <c r="Q1759" t="s">
        <v>9421</v>
      </c>
      <c r="R1759" t="s">
        <v>43</v>
      </c>
      <c r="S1759" t="s">
        <v>4233</v>
      </c>
      <c r="T1759" t="s">
        <v>4235</v>
      </c>
    </row>
    <row r="1760" spans="1:20">
      <c r="A1760" t="s">
        <v>4406</v>
      </c>
      <c r="B1760" t="s">
        <v>20</v>
      </c>
      <c r="C1760" t="s">
        <v>9349</v>
      </c>
      <c r="D1760" t="s">
        <v>10052</v>
      </c>
      <c r="E1760" t="s">
        <v>12620</v>
      </c>
      <c r="F1760" t="s">
        <v>9412</v>
      </c>
      <c r="G1760" t="s">
        <v>9413</v>
      </c>
      <c r="H1760" t="s">
        <v>12455</v>
      </c>
      <c r="I1760" t="s">
        <v>9771</v>
      </c>
      <c r="J1760" t="s">
        <v>4201</v>
      </c>
      <c r="K1760" t="s">
        <v>9416</v>
      </c>
      <c r="L1760" t="s">
        <v>9417</v>
      </c>
      <c r="M1760" t="s">
        <v>12465</v>
      </c>
      <c r="N1760" t="s">
        <v>12457</v>
      </c>
      <c r="O1760" t="s">
        <v>9351</v>
      </c>
      <c r="P1760" t="s">
        <v>9655</v>
      </c>
      <c r="Q1760" t="s">
        <v>9421</v>
      </c>
      <c r="R1760" t="s">
        <v>56</v>
      </c>
      <c r="S1760" t="s">
        <v>4406</v>
      </c>
      <c r="T1760" t="s">
        <v>4409</v>
      </c>
    </row>
    <row r="1761" spans="1:20">
      <c r="A1761" t="s">
        <v>4410</v>
      </c>
      <c r="B1761" t="s">
        <v>62</v>
      </c>
      <c r="C1761" t="s">
        <v>9355</v>
      </c>
      <c r="D1761" t="s">
        <v>9448</v>
      </c>
      <c r="E1761" t="s">
        <v>12621</v>
      </c>
      <c r="F1761" t="s">
        <v>9412</v>
      </c>
      <c r="G1761" t="s">
        <v>9413</v>
      </c>
      <c r="H1761" t="s">
        <v>12455</v>
      </c>
      <c r="I1761" t="s">
        <v>9482</v>
      </c>
      <c r="J1761" t="s">
        <v>4201</v>
      </c>
      <c r="K1761" t="s">
        <v>9416</v>
      </c>
      <c r="L1761" t="s">
        <v>9417</v>
      </c>
      <c r="M1761" t="s">
        <v>12498</v>
      </c>
      <c r="N1761" t="s">
        <v>12457</v>
      </c>
      <c r="O1761" t="s">
        <v>9353</v>
      </c>
      <c r="P1761" t="s">
        <v>9655</v>
      </c>
      <c r="Q1761" t="s">
        <v>9421</v>
      </c>
      <c r="R1761" t="s">
        <v>56</v>
      </c>
      <c r="S1761" t="s">
        <v>4410</v>
      </c>
      <c r="T1761" t="s">
        <v>4412</v>
      </c>
    </row>
    <row r="1762" spans="1:20">
      <c r="A1762" t="s">
        <v>9357</v>
      </c>
      <c r="B1762" t="s">
        <v>62</v>
      </c>
      <c r="C1762" t="s">
        <v>9358</v>
      </c>
      <c r="D1762" t="s">
        <v>9448</v>
      </c>
      <c r="E1762" t="s">
        <v>12622</v>
      </c>
      <c r="F1762" t="s">
        <v>9412</v>
      </c>
      <c r="G1762" t="s">
        <v>9413</v>
      </c>
      <c r="H1762" t="s">
        <v>12455</v>
      </c>
      <c r="I1762" t="s">
        <v>10601</v>
      </c>
      <c r="J1762" t="s">
        <v>4201</v>
      </c>
      <c r="K1762" t="s">
        <v>9445</v>
      </c>
      <c r="L1762" t="s">
        <v>9417</v>
      </c>
      <c r="M1762" t="s">
        <v>12498</v>
      </c>
      <c r="N1762" t="s">
        <v>12457</v>
      </c>
      <c r="O1762" t="s">
        <v>9446</v>
      </c>
      <c r="P1762" t="s">
        <v>9655</v>
      </c>
      <c r="Q1762" t="s">
        <v>9421</v>
      </c>
      <c r="R1762" t="s">
        <v>56</v>
      </c>
      <c r="S1762" t="s">
        <v>4410</v>
      </c>
      <c r="T1762" t="s">
        <v>4412</v>
      </c>
    </row>
    <row r="1763" spans="1:20">
      <c r="A1763" t="s">
        <v>12623</v>
      </c>
      <c r="B1763" t="s">
        <v>9409</v>
      </c>
      <c r="C1763" t="s">
        <v>12624</v>
      </c>
      <c r="D1763" t="s">
        <v>9410</v>
      </c>
      <c r="E1763" t="s">
        <v>12625</v>
      </c>
      <c r="F1763" t="s">
        <v>9412</v>
      </c>
      <c r="G1763" t="s">
        <v>9413</v>
      </c>
      <c r="H1763" t="s">
        <v>12455</v>
      </c>
      <c r="I1763" t="s">
        <v>9846</v>
      </c>
      <c r="J1763" t="s">
        <v>4201</v>
      </c>
      <c r="K1763" t="s">
        <v>9416</v>
      </c>
      <c r="L1763" t="s">
        <v>9417</v>
      </c>
      <c r="M1763" t="s">
        <v>12475</v>
      </c>
      <c r="N1763" t="s">
        <v>9446</v>
      </c>
      <c r="O1763" t="s">
        <v>12626</v>
      </c>
      <c r="P1763" t="s">
        <v>9655</v>
      </c>
      <c r="Q1763" t="s">
        <v>9421</v>
      </c>
      <c r="R1763" t="s">
        <v>56</v>
      </c>
      <c r="S1763" t="s">
        <v>12623</v>
      </c>
      <c r="T1763" t="s">
        <v>12627</v>
      </c>
    </row>
    <row r="1764" spans="1:20">
      <c r="A1764" t="s">
        <v>4414</v>
      </c>
      <c r="B1764" t="s">
        <v>20</v>
      </c>
      <c r="C1764" t="s">
        <v>4417</v>
      </c>
      <c r="D1764" t="s">
        <v>9455</v>
      </c>
      <c r="E1764" t="s">
        <v>12628</v>
      </c>
      <c r="F1764" t="s">
        <v>9412</v>
      </c>
      <c r="G1764" t="s">
        <v>9413</v>
      </c>
      <c r="H1764" t="s">
        <v>4202</v>
      </c>
      <c r="I1764" t="s">
        <v>10228</v>
      </c>
      <c r="J1764" t="s">
        <v>4201</v>
      </c>
      <c r="K1764" t="s">
        <v>9416</v>
      </c>
      <c r="L1764" t="s">
        <v>9417</v>
      </c>
      <c r="M1764" t="s">
        <v>12480</v>
      </c>
      <c r="N1764" t="s">
        <v>12457</v>
      </c>
      <c r="O1764" t="s">
        <v>9360</v>
      </c>
      <c r="P1764" t="s">
        <v>9655</v>
      </c>
      <c r="Q1764" t="s">
        <v>9421</v>
      </c>
      <c r="R1764" t="s">
        <v>56</v>
      </c>
      <c r="S1764" t="s">
        <v>4414</v>
      </c>
      <c r="T1764" t="s">
        <v>4416</v>
      </c>
    </row>
    <row r="1765" spans="1:20">
      <c r="A1765" t="s">
        <v>4414</v>
      </c>
      <c r="B1765" t="s">
        <v>20</v>
      </c>
      <c r="C1765" t="s">
        <v>4417</v>
      </c>
      <c r="D1765" t="s">
        <v>9455</v>
      </c>
      <c r="E1765" t="s">
        <v>12628</v>
      </c>
      <c r="F1765" t="s">
        <v>9412</v>
      </c>
      <c r="G1765" t="s">
        <v>9413</v>
      </c>
      <c r="H1765" t="s">
        <v>4202</v>
      </c>
      <c r="I1765" t="s">
        <v>10228</v>
      </c>
      <c r="J1765" t="s">
        <v>4201</v>
      </c>
      <c r="K1765" t="s">
        <v>9445</v>
      </c>
      <c r="L1765" t="s">
        <v>9417</v>
      </c>
      <c r="M1765" t="s">
        <v>12480</v>
      </c>
      <c r="N1765" t="s">
        <v>9426</v>
      </c>
      <c r="O1765" t="s">
        <v>9446</v>
      </c>
      <c r="P1765" t="s">
        <v>11022</v>
      </c>
      <c r="Q1765" t="s">
        <v>9421</v>
      </c>
      <c r="R1765" t="s">
        <v>84</v>
      </c>
      <c r="S1765" t="s">
        <v>4273</v>
      </c>
      <c r="T1765" t="s">
        <v>4275</v>
      </c>
    </row>
    <row r="1766" spans="1:20">
      <c r="A1766" t="s">
        <v>12629</v>
      </c>
      <c r="B1766" t="s">
        <v>62</v>
      </c>
      <c r="C1766" t="s">
        <v>12630</v>
      </c>
      <c r="D1766" t="s">
        <v>9410</v>
      </c>
      <c r="E1766" t="s">
        <v>12631</v>
      </c>
      <c r="F1766" t="s">
        <v>9412</v>
      </c>
      <c r="G1766" t="s">
        <v>9413</v>
      </c>
      <c r="H1766" t="s">
        <v>4202</v>
      </c>
      <c r="I1766" t="s">
        <v>10874</v>
      </c>
      <c r="J1766" t="s">
        <v>4201</v>
      </c>
      <c r="K1766" t="s">
        <v>9445</v>
      </c>
      <c r="L1766" t="s">
        <v>9417</v>
      </c>
      <c r="M1766" t="s">
        <v>12456</v>
      </c>
      <c r="N1766" t="s">
        <v>12457</v>
      </c>
      <c r="O1766" t="s">
        <v>9446</v>
      </c>
      <c r="P1766" t="s">
        <v>9420</v>
      </c>
      <c r="Q1766" t="s">
        <v>9421</v>
      </c>
      <c r="R1766" t="s">
        <v>17</v>
      </c>
      <c r="S1766" t="s">
        <v>12452</v>
      </c>
      <c r="T1766" t="s">
        <v>12459</v>
      </c>
    </row>
    <row r="1767" spans="1:20">
      <c r="A1767" t="s">
        <v>9364</v>
      </c>
      <c r="B1767" t="s">
        <v>9409</v>
      </c>
      <c r="C1767" t="s">
        <v>9365</v>
      </c>
      <c r="D1767" t="s">
        <v>9410</v>
      </c>
      <c r="E1767" t="s">
        <v>12632</v>
      </c>
      <c r="F1767" t="s">
        <v>9601</v>
      </c>
      <c r="G1767" t="s">
        <v>9413</v>
      </c>
      <c r="H1767" t="s">
        <v>12455</v>
      </c>
      <c r="I1767" t="s">
        <v>10302</v>
      </c>
      <c r="J1767" t="s">
        <v>4201</v>
      </c>
      <c r="K1767" t="s">
        <v>9445</v>
      </c>
      <c r="L1767" t="s">
        <v>9417</v>
      </c>
      <c r="M1767" t="s">
        <v>12480</v>
      </c>
      <c r="N1767" t="s">
        <v>9426</v>
      </c>
      <c r="O1767" t="s">
        <v>9446</v>
      </c>
      <c r="P1767" t="s">
        <v>11022</v>
      </c>
      <c r="Q1767" t="s">
        <v>9421</v>
      </c>
      <c r="R1767" t="s">
        <v>84</v>
      </c>
      <c r="S1767" t="s">
        <v>4273</v>
      </c>
      <c r="T1767" t="s">
        <v>4275</v>
      </c>
    </row>
    <row r="1768" spans="1:20">
      <c r="A1768" t="s">
        <v>12633</v>
      </c>
      <c r="B1768" t="s">
        <v>9409</v>
      </c>
      <c r="C1768" t="s">
        <v>12453</v>
      </c>
      <c r="D1768" t="s">
        <v>9410</v>
      </c>
      <c r="E1768" t="s">
        <v>12634</v>
      </c>
      <c r="F1768" t="s">
        <v>9412</v>
      </c>
      <c r="G1768" t="s">
        <v>9413</v>
      </c>
      <c r="H1768" t="s">
        <v>12455</v>
      </c>
      <c r="I1768" t="s">
        <v>9457</v>
      </c>
      <c r="J1768" t="s">
        <v>4201</v>
      </c>
      <c r="K1768" t="s">
        <v>9445</v>
      </c>
      <c r="L1768" t="s">
        <v>9417</v>
      </c>
      <c r="M1768" t="s">
        <v>12456</v>
      </c>
      <c r="N1768" t="s">
        <v>12457</v>
      </c>
      <c r="O1768" t="s">
        <v>9446</v>
      </c>
      <c r="P1768" t="s">
        <v>9420</v>
      </c>
      <c r="Q1768" t="s">
        <v>9421</v>
      </c>
      <c r="R1768" t="s">
        <v>17</v>
      </c>
      <c r="S1768" t="s">
        <v>12452</v>
      </c>
      <c r="T1768" t="s">
        <v>12459</v>
      </c>
    </row>
    <row r="1769" spans="1:20">
      <c r="A1769" t="s">
        <v>12635</v>
      </c>
      <c r="B1769" t="s">
        <v>9409</v>
      </c>
      <c r="C1769" t="s">
        <v>9368</v>
      </c>
      <c r="D1769" t="s">
        <v>9410</v>
      </c>
      <c r="E1769" t="s">
        <v>12636</v>
      </c>
      <c r="F1769" t="s">
        <v>9601</v>
      </c>
      <c r="G1769" t="s">
        <v>9413</v>
      </c>
      <c r="H1769" t="s">
        <v>12455</v>
      </c>
      <c r="I1769" t="s">
        <v>9522</v>
      </c>
      <c r="J1769" t="s">
        <v>4201</v>
      </c>
      <c r="K1769" t="s">
        <v>9416</v>
      </c>
      <c r="L1769" t="s">
        <v>9417</v>
      </c>
      <c r="M1769" t="s">
        <v>12463</v>
      </c>
      <c r="N1769" t="s">
        <v>9426</v>
      </c>
      <c r="O1769" t="s">
        <v>9095</v>
      </c>
      <c r="P1769" t="s">
        <v>9567</v>
      </c>
      <c r="Q1769" t="s">
        <v>9421</v>
      </c>
      <c r="R1769" t="s">
        <v>43</v>
      </c>
      <c r="S1769" t="s">
        <v>4233</v>
      </c>
      <c r="T1769" t="s">
        <v>4235</v>
      </c>
    </row>
    <row r="1770" spans="1:20">
      <c r="A1770" t="s">
        <v>9367</v>
      </c>
      <c r="B1770" t="s">
        <v>62</v>
      </c>
      <c r="C1770" t="s">
        <v>12637</v>
      </c>
      <c r="D1770" t="s">
        <v>9448</v>
      </c>
      <c r="E1770" t="s">
        <v>12638</v>
      </c>
      <c r="F1770" t="s">
        <v>9601</v>
      </c>
      <c r="G1770" t="s">
        <v>9413</v>
      </c>
      <c r="H1770" t="s">
        <v>4202</v>
      </c>
      <c r="I1770" t="s">
        <v>9522</v>
      </c>
      <c r="J1770" t="s">
        <v>4201</v>
      </c>
      <c r="K1770" t="s">
        <v>9445</v>
      </c>
      <c r="L1770" t="s">
        <v>9417</v>
      </c>
      <c r="M1770" t="s">
        <v>12463</v>
      </c>
      <c r="N1770" t="s">
        <v>9426</v>
      </c>
      <c r="O1770" t="s">
        <v>9446</v>
      </c>
      <c r="P1770" t="s">
        <v>9567</v>
      </c>
      <c r="Q1770" t="s">
        <v>9421</v>
      </c>
      <c r="R1770" t="s">
        <v>43</v>
      </c>
      <c r="S1770" t="s">
        <v>4233</v>
      </c>
      <c r="T1770" t="s">
        <v>4235</v>
      </c>
    </row>
    <row r="1771" spans="1:20">
      <c r="A1771" t="s">
        <v>4418</v>
      </c>
      <c r="B1771" t="s">
        <v>62</v>
      </c>
      <c r="C1771" t="s">
        <v>9372</v>
      </c>
      <c r="D1771" t="s">
        <v>9448</v>
      </c>
      <c r="E1771" t="s">
        <v>12639</v>
      </c>
      <c r="F1771" t="s">
        <v>9412</v>
      </c>
      <c r="G1771" t="s">
        <v>9413</v>
      </c>
      <c r="H1771" t="s">
        <v>12455</v>
      </c>
      <c r="I1771" t="s">
        <v>9880</v>
      </c>
      <c r="J1771" t="s">
        <v>4201</v>
      </c>
      <c r="K1771" t="s">
        <v>9416</v>
      </c>
      <c r="L1771" t="s">
        <v>9417</v>
      </c>
      <c r="M1771" t="s">
        <v>12480</v>
      </c>
      <c r="N1771" t="s">
        <v>12457</v>
      </c>
      <c r="O1771" t="s">
        <v>9370</v>
      </c>
      <c r="P1771" t="s">
        <v>9420</v>
      </c>
      <c r="Q1771" t="s">
        <v>9421</v>
      </c>
      <c r="R1771" t="s">
        <v>17</v>
      </c>
      <c r="S1771" t="s">
        <v>4419</v>
      </c>
      <c r="T1771" t="s">
        <v>4421</v>
      </c>
    </row>
    <row r="1772" spans="1:20">
      <c r="A1772" t="s">
        <v>12640</v>
      </c>
      <c r="B1772" t="s">
        <v>9409</v>
      </c>
      <c r="C1772" t="s">
        <v>12641</v>
      </c>
      <c r="D1772" t="s">
        <v>9410</v>
      </c>
      <c r="E1772" t="s">
        <v>12642</v>
      </c>
      <c r="F1772" t="s">
        <v>9412</v>
      </c>
      <c r="G1772" t="s">
        <v>9413</v>
      </c>
      <c r="H1772" t="s">
        <v>12455</v>
      </c>
      <c r="I1772" t="s">
        <v>9880</v>
      </c>
      <c r="J1772" t="s">
        <v>4201</v>
      </c>
      <c r="K1772" t="s">
        <v>9416</v>
      </c>
      <c r="L1772" t="s">
        <v>9417</v>
      </c>
      <c r="M1772" t="s">
        <v>12480</v>
      </c>
      <c r="N1772" t="s">
        <v>12457</v>
      </c>
      <c r="O1772" t="s">
        <v>12643</v>
      </c>
      <c r="P1772" t="s">
        <v>9420</v>
      </c>
      <c r="Q1772" t="s">
        <v>9421</v>
      </c>
      <c r="R1772" t="s">
        <v>17</v>
      </c>
      <c r="S1772" t="s">
        <v>9312</v>
      </c>
      <c r="T1772" t="s">
        <v>12644</v>
      </c>
    </row>
    <row r="1773" spans="1:20">
      <c r="A1773" t="s">
        <v>4423</v>
      </c>
      <c r="B1773" t="s">
        <v>20</v>
      </c>
      <c r="C1773" t="s">
        <v>4424</v>
      </c>
      <c r="D1773" t="s">
        <v>10052</v>
      </c>
      <c r="E1773" t="s">
        <v>12645</v>
      </c>
      <c r="F1773" t="s">
        <v>9412</v>
      </c>
      <c r="G1773" t="s">
        <v>9413</v>
      </c>
      <c r="H1773" t="s">
        <v>4202</v>
      </c>
      <c r="I1773" t="s">
        <v>9472</v>
      </c>
      <c r="J1773" t="s">
        <v>4201</v>
      </c>
      <c r="K1773" t="s">
        <v>9416</v>
      </c>
      <c r="L1773" t="s">
        <v>9417</v>
      </c>
      <c r="M1773" t="s">
        <v>12471</v>
      </c>
      <c r="N1773" t="s">
        <v>9426</v>
      </c>
      <c r="O1773" t="s">
        <v>9073</v>
      </c>
      <c r="P1773" t="s">
        <v>9567</v>
      </c>
      <c r="Q1773" t="s">
        <v>9421</v>
      </c>
      <c r="R1773" t="s">
        <v>43</v>
      </c>
      <c r="S1773" t="s">
        <v>4207</v>
      </c>
      <c r="T1773" t="s">
        <v>4209</v>
      </c>
    </row>
    <row r="1774" spans="1:20">
      <c r="A1774" t="s">
        <v>9379</v>
      </c>
      <c r="B1774" t="s">
        <v>20</v>
      </c>
      <c r="C1774" t="s">
        <v>12646</v>
      </c>
      <c r="D1774" t="s">
        <v>9475</v>
      </c>
      <c r="E1774" t="s">
        <v>12647</v>
      </c>
      <c r="F1774" t="s">
        <v>9412</v>
      </c>
      <c r="G1774" t="s">
        <v>9413</v>
      </c>
      <c r="H1774" t="s">
        <v>4202</v>
      </c>
      <c r="I1774" t="s">
        <v>10191</v>
      </c>
      <c r="J1774" t="s">
        <v>4201</v>
      </c>
      <c r="K1774" t="s">
        <v>9445</v>
      </c>
      <c r="L1774" t="s">
        <v>9417</v>
      </c>
      <c r="M1774" t="s">
        <v>12465</v>
      </c>
      <c r="N1774" t="s">
        <v>9426</v>
      </c>
      <c r="O1774" t="s">
        <v>9446</v>
      </c>
      <c r="P1774" t="s">
        <v>9567</v>
      </c>
      <c r="Q1774" t="s">
        <v>9421</v>
      </c>
      <c r="R1774" t="s">
        <v>43</v>
      </c>
      <c r="S1774" t="s">
        <v>4207</v>
      </c>
      <c r="T1774" t="s">
        <v>4209</v>
      </c>
    </row>
    <row r="1775" spans="1:20">
      <c r="A1775" t="s">
        <v>9379</v>
      </c>
      <c r="B1775" t="s">
        <v>20</v>
      </c>
      <c r="C1775" t="s">
        <v>12646</v>
      </c>
      <c r="D1775" t="s">
        <v>9475</v>
      </c>
      <c r="E1775" t="s">
        <v>12647</v>
      </c>
      <c r="F1775" t="s">
        <v>9412</v>
      </c>
      <c r="G1775" t="s">
        <v>9413</v>
      </c>
      <c r="H1775" t="s">
        <v>4202</v>
      </c>
      <c r="I1775" t="s">
        <v>10191</v>
      </c>
      <c r="J1775" t="s">
        <v>4201</v>
      </c>
      <c r="K1775" t="s">
        <v>9445</v>
      </c>
      <c r="L1775" t="s">
        <v>9417</v>
      </c>
      <c r="M1775" t="s">
        <v>12465</v>
      </c>
      <c r="N1775" t="s">
        <v>12457</v>
      </c>
      <c r="O1775" t="s">
        <v>9446</v>
      </c>
      <c r="P1775" t="s">
        <v>9420</v>
      </c>
      <c r="Q1775" t="s">
        <v>9421</v>
      </c>
      <c r="R1775" t="s">
        <v>17</v>
      </c>
      <c r="S1775" t="s">
        <v>4288</v>
      </c>
      <c r="T1775" t="s">
        <v>4290</v>
      </c>
    </row>
    <row r="1776" spans="1:20">
      <c r="A1776" t="s">
        <v>12648</v>
      </c>
      <c r="B1776" t="s">
        <v>9409</v>
      </c>
      <c r="C1776" t="s">
        <v>12649</v>
      </c>
      <c r="D1776" t="s">
        <v>9410</v>
      </c>
      <c r="E1776" t="s">
        <v>12650</v>
      </c>
      <c r="F1776" t="s">
        <v>9412</v>
      </c>
      <c r="G1776" t="s">
        <v>9413</v>
      </c>
      <c r="H1776" t="s">
        <v>12455</v>
      </c>
      <c r="I1776" t="s">
        <v>9576</v>
      </c>
      <c r="J1776" t="s">
        <v>4201</v>
      </c>
      <c r="K1776" t="s">
        <v>9445</v>
      </c>
      <c r="L1776" t="s">
        <v>9417</v>
      </c>
      <c r="M1776" t="s">
        <v>12465</v>
      </c>
      <c r="N1776" t="s">
        <v>12457</v>
      </c>
      <c r="O1776" t="s">
        <v>9446</v>
      </c>
      <c r="P1776" t="s">
        <v>9420</v>
      </c>
      <c r="Q1776" t="s">
        <v>9421</v>
      </c>
      <c r="R1776" t="s">
        <v>17</v>
      </c>
      <c r="S1776" t="s">
        <v>4298</v>
      </c>
      <c r="T1776" t="s">
        <v>4300</v>
      </c>
    </row>
    <row r="1777" spans="1:20">
      <c r="A1777" t="s">
        <v>4425</v>
      </c>
      <c r="B1777" t="s">
        <v>62</v>
      </c>
      <c r="C1777" t="s">
        <v>9382</v>
      </c>
      <c r="D1777" t="s">
        <v>445</v>
      </c>
      <c r="E1777" t="s">
        <v>12651</v>
      </c>
      <c r="F1777" t="s">
        <v>9412</v>
      </c>
      <c r="G1777" t="s">
        <v>9413</v>
      </c>
      <c r="H1777" t="s">
        <v>12455</v>
      </c>
      <c r="I1777" t="s">
        <v>10205</v>
      </c>
      <c r="J1777" t="s">
        <v>4201</v>
      </c>
      <c r="K1777" t="s">
        <v>9416</v>
      </c>
      <c r="L1777" t="s">
        <v>9417</v>
      </c>
      <c r="M1777" t="s">
        <v>12498</v>
      </c>
      <c r="N1777" t="s">
        <v>12457</v>
      </c>
      <c r="O1777" t="s">
        <v>9384</v>
      </c>
      <c r="P1777" t="s">
        <v>9623</v>
      </c>
      <c r="Q1777" t="s">
        <v>9421</v>
      </c>
      <c r="R1777" t="s">
        <v>24</v>
      </c>
      <c r="S1777" t="s">
        <v>4425</v>
      </c>
      <c r="T1777" t="s">
        <v>4428</v>
      </c>
    </row>
    <row r="1778" spans="1:20">
      <c r="A1778" t="s">
        <v>4425</v>
      </c>
      <c r="B1778" t="s">
        <v>62</v>
      </c>
      <c r="C1778" t="s">
        <v>9382</v>
      </c>
      <c r="D1778" t="s">
        <v>445</v>
      </c>
      <c r="E1778" t="s">
        <v>12651</v>
      </c>
      <c r="F1778" t="s">
        <v>9412</v>
      </c>
      <c r="G1778" t="s">
        <v>9413</v>
      </c>
      <c r="H1778" t="s">
        <v>12455</v>
      </c>
      <c r="I1778" t="s">
        <v>10205</v>
      </c>
      <c r="J1778" t="s">
        <v>4201</v>
      </c>
      <c r="K1778" t="s">
        <v>9445</v>
      </c>
      <c r="L1778" t="s">
        <v>9417</v>
      </c>
      <c r="M1778" t="s">
        <v>12498</v>
      </c>
      <c r="N1778" t="s">
        <v>9426</v>
      </c>
      <c r="O1778" t="s">
        <v>9446</v>
      </c>
      <c r="P1778" t="s">
        <v>9623</v>
      </c>
      <c r="Q1778" t="s">
        <v>9421</v>
      </c>
      <c r="R1778" t="s">
        <v>24</v>
      </c>
      <c r="S1778" t="s">
        <v>4226</v>
      </c>
      <c r="T1778" t="s">
        <v>4228</v>
      </c>
    </row>
    <row r="1779" spans="1:20">
      <c r="A1779" t="s">
        <v>4429</v>
      </c>
      <c r="B1779" t="s">
        <v>20</v>
      </c>
      <c r="C1779" t="s">
        <v>9321</v>
      </c>
      <c r="D1779" t="s">
        <v>9475</v>
      </c>
      <c r="E1779" t="s">
        <v>12652</v>
      </c>
      <c r="F1779" t="s">
        <v>9412</v>
      </c>
      <c r="G1779" t="s">
        <v>9413</v>
      </c>
      <c r="H1779" t="s">
        <v>12455</v>
      </c>
      <c r="I1779" t="s">
        <v>9441</v>
      </c>
      <c r="J1779" t="s">
        <v>4201</v>
      </c>
      <c r="K1779" t="s">
        <v>9445</v>
      </c>
      <c r="L1779" t="s">
        <v>9417</v>
      </c>
      <c r="M1779" t="s">
        <v>12480</v>
      </c>
      <c r="N1779" t="s">
        <v>9426</v>
      </c>
      <c r="O1779" t="s">
        <v>9446</v>
      </c>
      <c r="P1779" t="s">
        <v>9567</v>
      </c>
      <c r="Q1779" t="s">
        <v>9421</v>
      </c>
      <c r="R1779" t="s">
        <v>43</v>
      </c>
      <c r="S1779" t="s">
        <v>4207</v>
      </c>
      <c r="T1779" t="s">
        <v>4209</v>
      </c>
    </row>
    <row r="1780" spans="1:20">
      <c r="A1780" t="s">
        <v>4429</v>
      </c>
      <c r="B1780" t="s">
        <v>20</v>
      </c>
      <c r="C1780" t="s">
        <v>9321</v>
      </c>
      <c r="D1780" t="s">
        <v>9475</v>
      </c>
      <c r="E1780" t="s">
        <v>12652</v>
      </c>
      <c r="F1780" t="s">
        <v>9412</v>
      </c>
      <c r="G1780" t="s">
        <v>9413</v>
      </c>
      <c r="H1780" t="s">
        <v>12455</v>
      </c>
      <c r="I1780" t="s">
        <v>9441</v>
      </c>
      <c r="J1780" t="s">
        <v>4201</v>
      </c>
      <c r="K1780" t="s">
        <v>9445</v>
      </c>
      <c r="L1780" t="s">
        <v>9417</v>
      </c>
      <c r="M1780" t="s">
        <v>12480</v>
      </c>
      <c r="N1780" t="s">
        <v>9430</v>
      </c>
      <c r="O1780" t="s">
        <v>9446</v>
      </c>
      <c r="P1780" t="s">
        <v>11012</v>
      </c>
      <c r="Q1780" t="s">
        <v>9421</v>
      </c>
      <c r="R1780" t="s">
        <v>17</v>
      </c>
      <c r="S1780" t="s">
        <v>4431</v>
      </c>
      <c r="T1780" t="s">
        <v>4433</v>
      </c>
    </row>
    <row r="1781" spans="1:20">
      <c r="A1781" t="s">
        <v>4429</v>
      </c>
      <c r="B1781" t="s">
        <v>20</v>
      </c>
      <c r="C1781" t="s">
        <v>9321</v>
      </c>
      <c r="D1781" t="s">
        <v>9475</v>
      </c>
      <c r="E1781" t="s">
        <v>12652</v>
      </c>
      <c r="F1781" t="s">
        <v>9412</v>
      </c>
      <c r="G1781" t="s">
        <v>9413</v>
      </c>
      <c r="H1781" t="s">
        <v>12455</v>
      </c>
      <c r="I1781" t="s">
        <v>9441</v>
      </c>
      <c r="J1781" t="s">
        <v>4201</v>
      </c>
      <c r="K1781" t="s">
        <v>9416</v>
      </c>
      <c r="L1781" t="s">
        <v>9417</v>
      </c>
      <c r="M1781" t="s">
        <v>12480</v>
      </c>
      <c r="N1781" t="s">
        <v>12457</v>
      </c>
      <c r="O1781" t="s">
        <v>9387</v>
      </c>
      <c r="P1781" t="s">
        <v>9567</v>
      </c>
      <c r="Q1781" t="s">
        <v>9421</v>
      </c>
      <c r="R1781" t="s">
        <v>43</v>
      </c>
      <c r="S1781" t="s">
        <v>4434</v>
      </c>
      <c r="T1781" t="s">
        <v>4436</v>
      </c>
    </row>
    <row r="1782" spans="1:20">
      <c r="A1782" t="s">
        <v>12653</v>
      </c>
      <c r="B1782" t="s">
        <v>9409</v>
      </c>
      <c r="C1782" t="s">
        <v>9321</v>
      </c>
      <c r="D1782" t="s">
        <v>9410</v>
      </c>
      <c r="E1782" t="s">
        <v>12654</v>
      </c>
      <c r="F1782" t="s">
        <v>11278</v>
      </c>
      <c r="G1782" t="s">
        <v>9413</v>
      </c>
      <c r="H1782" t="s">
        <v>12455</v>
      </c>
      <c r="I1782" t="s">
        <v>9441</v>
      </c>
      <c r="J1782" t="s">
        <v>4201</v>
      </c>
      <c r="K1782" t="s">
        <v>9445</v>
      </c>
      <c r="L1782" t="s">
        <v>9417</v>
      </c>
      <c r="M1782" t="s">
        <v>12480</v>
      </c>
      <c r="N1782" t="s">
        <v>12457</v>
      </c>
      <c r="O1782" t="s">
        <v>9446</v>
      </c>
      <c r="P1782" t="s">
        <v>9567</v>
      </c>
      <c r="Q1782" t="s">
        <v>9421</v>
      </c>
      <c r="R1782" t="s">
        <v>43</v>
      </c>
      <c r="S1782" t="s">
        <v>4434</v>
      </c>
      <c r="T1782" t="s">
        <v>4436</v>
      </c>
    </row>
    <row r="1783" spans="1:20">
      <c r="A1783" t="s">
        <v>12655</v>
      </c>
      <c r="B1783" t="s">
        <v>9409</v>
      </c>
      <c r="C1783" t="s">
        <v>9321</v>
      </c>
      <c r="D1783" t="s">
        <v>9410</v>
      </c>
      <c r="E1783" t="s">
        <v>12656</v>
      </c>
      <c r="F1783" t="s">
        <v>11278</v>
      </c>
      <c r="G1783" t="s">
        <v>9413</v>
      </c>
      <c r="H1783" t="s">
        <v>12455</v>
      </c>
      <c r="I1783" t="s">
        <v>9441</v>
      </c>
      <c r="J1783" t="s">
        <v>4201</v>
      </c>
      <c r="K1783" t="s">
        <v>9445</v>
      </c>
      <c r="L1783" t="s">
        <v>9417</v>
      </c>
      <c r="M1783" t="s">
        <v>12480</v>
      </c>
      <c r="N1783" t="s">
        <v>12457</v>
      </c>
      <c r="O1783" t="s">
        <v>9446</v>
      </c>
      <c r="P1783" t="s">
        <v>9567</v>
      </c>
      <c r="Q1783" t="s">
        <v>9421</v>
      </c>
      <c r="R1783" t="s">
        <v>43</v>
      </c>
      <c r="S1783" t="s">
        <v>4434</v>
      </c>
      <c r="T1783" t="s">
        <v>4436</v>
      </c>
    </row>
    <row r="1784" spans="1:20">
      <c r="A1784" t="s">
        <v>12657</v>
      </c>
      <c r="B1784" t="s">
        <v>9409</v>
      </c>
      <c r="C1784" t="s">
        <v>9321</v>
      </c>
      <c r="D1784" t="s">
        <v>9410</v>
      </c>
      <c r="E1784" t="s">
        <v>12658</v>
      </c>
      <c r="F1784" t="s">
        <v>11278</v>
      </c>
      <c r="G1784" t="s">
        <v>9413</v>
      </c>
      <c r="H1784" t="s">
        <v>12455</v>
      </c>
      <c r="I1784" t="s">
        <v>9441</v>
      </c>
      <c r="J1784" t="s">
        <v>4201</v>
      </c>
      <c r="K1784" t="s">
        <v>9445</v>
      </c>
      <c r="L1784" t="s">
        <v>9417</v>
      </c>
      <c r="M1784" t="s">
        <v>12480</v>
      </c>
      <c r="N1784" t="s">
        <v>12457</v>
      </c>
      <c r="O1784" t="s">
        <v>9446</v>
      </c>
      <c r="P1784" t="s">
        <v>9567</v>
      </c>
      <c r="Q1784" t="s">
        <v>9421</v>
      </c>
      <c r="R1784" t="s">
        <v>43</v>
      </c>
      <c r="S1784" t="s">
        <v>4434</v>
      </c>
      <c r="T1784" t="s">
        <v>4436</v>
      </c>
    </row>
    <row r="1785" spans="1:20">
      <c r="A1785" t="s">
        <v>12659</v>
      </c>
      <c r="B1785" t="s">
        <v>9409</v>
      </c>
      <c r="C1785" t="s">
        <v>9321</v>
      </c>
      <c r="D1785" t="s">
        <v>9410</v>
      </c>
      <c r="E1785" t="s">
        <v>12660</v>
      </c>
      <c r="F1785" t="s">
        <v>11278</v>
      </c>
      <c r="G1785" t="s">
        <v>9413</v>
      </c>
      <c r="H1785" t="s">
        <v>12455</v>
      </c>
      <c r="I1785" t="s">
        <v>9441</v>
      </c>
      <c r="J1785" t="s">
        <v>4201</v>
      </c>
      <c r="K1785" t="s">
        <v>9445</v>
      </c>
      <c r="L1785" t="s">
        <v>9417</v>
      </c>
      <c r="M1785" t="s">
        <v>12480</v>
      </c>
      <c r="N1785" t="s">
        <v>12457</v>
      </c>
      <c r="O1785" t="s">
        <v>9446</v>
      </c>
      <c r="P1785" t="s">
        <v>9567</v>
      </c>
      <c r="Q1785" t="s">
        <v>9421</v>
      </c>
      <c r="R1785" t="s">
        <v>43</v>
      </c>
      <c r="S1785" t="s">
        <v>4434</v>
      </c>
      <c r="T1785" t="s">
        <v>4436</v>
      </c>
    </row>
    <row r="1786" spans="1:20">
      <c r="A1786" t="s">
        <v>9392</v>
      </c>
      <c r="B1786" t="s">
        <v>62</v>
      </c>
      <c r="C1786" t="s">
        <v>4297</v>
      </c>
      <c r="D1786" t="s">
        <v>9448</v>
      </c>
      <c r="E1786" t="s">
        <v>12661</v>
      </c>
      <c r="F1786" t="s">
        <v>9412</v>
      </c>
      <c r="G1786" t="s">
        <v>12450</v>
      </c>
      <c r="H1786" t="s">
        <v>4202</v>
      </c>
      <c r="I1786" t="s">
        <v>11072</v>
      </c>
      <c r="J1786" t="s">
        <v>4201</v>
      </c>
      <c r="K1786" t="s">
        <v>9445</v>
      </c>
      <c r="L1786" t="s">
        <v>9417</v>
      </c>
      <c r="M1786" t="s">
        <v>12480</v>
      </c>
      <c r="N1786" t="s">
        <v>9426</v>
      </c>
      <c r="O1786" t="s">
        <v>9446</v>
      </c>
      <c r="P1786" t="s">
        <v>9623</v>
      </c>
      <c r="Q1786" t="s">
        <v>9421</v>
      </c>
      <c r="R1786" t="s">
        <v>24</v>
      </c>
      <c r="S1786" t="s">
        <v>4226</v>
      </c>
      <c r="T1786" t="s">
        <v>4228</v>
      </c>
    </row>
    <row r="1787" spans="1:20">
      <c r="A1787" t="s">
        <v>12662</v>
      </c>
      <c r="B1787" t="s">
        <v>9409</v>
      </c>
      <c r="C1787" t="s">
        <v>12663</v>
      </c>
      <c r="D1787" t="s">
        <v>9410</v>
      </c>
      <c r="E1787" t="s">
        <v>12664</v>
      </c>
      <c r="F1787" t="s">
        <v>9412</v>
      </c>
      <c r="G1787" t="s">
        <v>9413</v>
      </c>
      <c r="H1787" t="s">
        <v>12665</v>
      </c>
      <c r="I1787" t="s">
        <v>10281</v>
      </c>
      <c r="J1787" t="s">
        <v>11</v>
      </c>
      <c r="K1787" t="s">
        <v>9416</v>
      </c>
      <c r="L1787" t="s">
        <v>9417</v>
      </c>
      <c r="M1787" t="s">
        <v>12666</v>
      </c>
      <c r="N1787" t="s">
        <v>12667</v>
      </c>
      <c r="O1787" t="s">
        <v>12668</v>
      </c>
      <c r="P1787" t="s">
        <v>9420</v>
      </c>
      <c r="Q1787" t="s">
        <v>9421</v>
      </c>
      <c r="R1787" t="s">
        <v>17</v>
      </c>
      <c r="S1787" t="s">
        <v>12662</v>
      </c>
      <c r="T1787" t="s">
        <v>12669</v>
      </c>
    </row>
    <row r="1788" spans="1:20">
      <c r="A1788" t="s">
        <v>12670</v>
      </c>
      <c r="B1788" t="s">
        <v>9409</v>
      </c>
      <c r="C1788" t="s">
        <v>12671</v>
      </c>
      <c r="D1788" t="s">
        <v>9410</v>
      </c>
      <c r="E1788" t="s">
        <v>12672</v>
      </c>
      <c r="F1788" t="s">
        <v>9412</v>
      </c>
      <c r="G1788" t="s">
        <v>9413</v>
      </c>
      <c r="H1788" t="s">
        <v>12665</v>
      </c>
      <c r="I1788" t="s">
        <v>9682</v>
      </c>
      <c r="J1788" t="s">
        <v>287</v>
      </c>
      <c r="K1788" t="s">
        <v>9416</v>
      </c>
      <c r="L1788" t="s">
        <v>9417</v>
      </c>
      <c r="M1788" t="s">
        <v>12673</v>
      </c>
      <c r="N1788" t="s">
        <v>9446</v>
      </c>
      <c r="O1788" t="s">
        <v>12674</v>
      </c>
      <c r="P1788" t="s">
        <v>9655</v>
      </c>
      <c r="Q1788" t="s">
        <v>9421</v>
      </c>
      <c r="R1788" t="s">
        <v>56</v>
      </c>
      <c r="S1788" t="s">
        <v>12675</v>
      </c>
      <c r="T1788" t="s">
        <v>12676</v>
      </c>
    </row>
    <row r="1789" spans="1:20">
      <c r="A1789" t="s">
        <v>12670</v>
      </c>
      <c r="B1789" t="s">
        <v>9409</v>
      </c>
      <c r="C1789" t="s">
        <v>12671</v>
      </c>
      <c r="D1789" t="s">
        <v>9410</v>
      </c>
      <c r="E1789" t="s">
        <v>12672</v>
      </c>
      <c r="F1789" t="s">
        <v>9412</v>
      </c>
      <c r="G1789" t="s">
        <v>9413</v>
      </c>
      <c r="H1789" t="s">
        <v>12665</v>
      </c>
      <c r="I1789" t="s">
        <v>9682</v>
      </c>
      <c r="J1789" t="s">
        <v>287</v>
      </c>
      <c r="K1789" t="s">
        <v>9416</v>
      </c>
      <c r="L1789" t="s">
        <v>9417</v>
      </c>
      <c r="M1789" t="s">
        <v>12673</v>
      </c>
      <c r="N1789" t="s">
        <v>9446</v>
      </c>
      <c r="O1789" t="s">
        <v>12677</v>
      </c>
      <c r="P1789" t="s">
        <v>9655</v>
      </c>
      <c r="Q1789" t="s">
        <v>9421</v>
      </c>
      <c r="R1789" t="s">
        <v>56</v>
      </c>
      <c r="S1789" t="s">
        <v>12678</v>
      </c>
      <c r="T1789" t="s">
        <v>12679</v>
      </c>
    </row>
    <row r="1790" spans="1:20">
      <c r="A1790" t="s">
        <v>446</v>
      </c>
      <c r="B1790" t="s">
        <v>62</v>
      </c>
      <c r="C1790" t="s">
        <v>4879</v>
      </c>
      <c r="D1790" t="s">
        <v>445</v>
      </c>
      <c r="E1790" t="s">
        <v>12680</v>
      </c>
      <c r="F1790" t="s">
        <v>9412</v>
      </c>
      <c r="G1790" t="s">
        <v>9413</v>
      </c>
      <c r="H1790" t="s">
        <v>12665</v>
      </c>
      <c r="I1790" t="s">
        <v>10890</v>
      </c>
      <c r="J1790" t="s">
        <v>445</v>
      </c>
      <c r="K1790" t="s">
        <v>9416</v>
      </c>
      <c r="L1790" t="s">
        <v>9417</v>
      </c>
      <c r="M1790" t="s">
        <v>12681</v>
      </c>
      <c r="N1790" t="s">
        <v>12682</v>
      </c>
      <c r="O1790" t="s">
        <v>4877</v>
      </c>
      <c r="P1790" t="s">
        <v>9623</v>
      </c>
      <c r="Q1790" t="s">
        <v>9421</v>
      </c>
      <c r="R1790" t="s">
        <v>24</v>
      </c>
      <c r="S1790" t="s">
        <v>446</v>
      </c>
      <c r="T1790" t="s">
        <v>448</v>
      </c>
    </row>
    <row r="1791" spans="1:20">
      <c r="A1791" t="s">
        <v>4777</v>
      </c>
      <c r="B1791" t="s">
        <v>9409</v>
      </c>
      <c r="C1791" t="s">
        <v>12683</v>
      </c>
      <c r="D1791" t="s">
        <v>9410</v>
      </c>
      <c r="E1791" t="s">
        <v>12684</v>
      </c>
      <c r="F1791" t="s">
        <v>9412</v>
      </c>
      <c r="G1791" t="s">
        <v>9413</v>
      </c>
      <c r="H1791" t="s">
        <v>12</v>
      </c>
      <c r="I1791" t="s">
        <v>9880</v>
      </c>
      <c r="J1791" t="s">
        <v>287</v>
      </c>
      <c r="K1791" t="s">
        <v>9416</v>
      </c>
      <c r="L1791" t="s">
        <v>9417</v>
      </c>
      <c r="M1791" t="s">
        <v>12681</v>
      </c>
      <c r="N1791" t="s">
        <v>9430</v>
      </c>
      <c r="O1791" t="s">
        <v>12685</v>
      </c>
      <c r="P1791" t="s">
        <v>9431</v>
      </c>
      <c r="Q1791" t="s">
        <v>9421</v>
      </c>
      <c r="R1791" t="s">
        <v>24</v>
      </c>
      <c r="S1791" t="s">
        <v>12686</v>
      </c>
      <c r="T1791" t="s">
        <v>12687</v>
      </c>
    </row>
    <row r="1792" spans="1:20">
      <c r="A1792" t="s">
        <v>4777</v>
      </c>
      <c r="B1792" t="s">
        <v>9409</v>
      </c>
      <c r="C1792" t="s">
        <v>12683</v>
      </c>
      <c r="D1792" t="s">
        <v>9410</v>
      </c>
      <c r="E1792" t="s">
        <v>12684</v>
      </c>
      <c r="F1792" t="s">
        <v>9412</v>
      </c>
      <c r="G1792" t="s">
        <v>9413</v>
      </c>
      <c r="H1792" t="s">
        <v>12</v>
      </c>
      <c r="I1792" t="s">
        <v>9880</v>
      </c>
      <c r="J1792" t="s">
        <v>287</v>
      </c>
      <c r="K1792" t="s">
        <v>9416</v>
      </c>
      <c r="L1792" t="s">
        <v>9417</v>
      </c>
      <c r="M1792" t="s">
        <v>12681</v>
      </c>
      <c r="N1792" t="s">
        <v>12688</v>
      </c>
      <c r="O1792" t="s">
        <v>4778</v>
      </c>
      <c r="P1792" t="s">
        <v>9623</v>
      </c>
      <c r="Q1792" t="s">
        <v>9421</v>
      </c>
      <c r="R1792" t="s">
        <v>24</v>
      </c>
      <c r="S1792" t="s">
        <v>4777</v>
      </c>
      <c r="T1792" t="s">
        <v>12689</v>
      </c>
    </row>
    <row r="1793" spans="1:20">
      <c r="A1793" t="s">
        <v>12690</v>
      </c>
      <c r="B1793" t="s">
        <v>9409</v>
      </c>
      <c r="C1793" t="s">
        <v>12691</v>
      </c>
      <c r="D1793" t="s">
        <v>9410</v>
      </c>
      <c r="E1793" t="s">
        <v>12692</v>
      </c>
      <c r="F1793" t="s">
        <v>9412</v>
      </c>
      <c r="G1793" t="s">
        <v>9413</v>
      </c>
      <c r="H1793" t="s">
        <v>12665</v>
      </c>
      <c r="I1793" t="s">
        <v>10281</v>
      </c>
      <c r="J1793" t="s">
        <v>11</v>
      </c>
      <c r="K1793" t="s">
        <v>9416</v>
      </c>
      <c r="L1793" t="s">
        <v>9417</v>
      </c>
      <c r="M1793" t="s">
        <v>12693</v>
      </c>
      <c r="N1793" t="s">
        <v>12667</v>
      </c>
      <c r="O1793" t="s">
        <v>12694</v>
      </c>
      <c r="P1793" t="s">
        <v>9623</v>
      </c>
      <c r="Q1793" t="s">
        <v>9421</v>
      </c>
      <c r="R1793" t="s">
        <v>24</v>
      </c>
      <c r="S1793" t="s">
        <v>12690</v>
      </c>
      <c r="T1793" t="s">
        <v>12695</v>
      </c>
    </row>
    <row r="1794" spans="1:20">
      <c r="A1794" t="s">
        <v>12696</v>
      </c>
      <c r="B1794" t="s">
        <v>9409</v>
      </c>
      <c r="C1794" t="s">
        <v>12697</v>
      </c>
      <c r="D1794" t="s">
        <v>9410</v>
      </c>
      <c r="E1794" t="s">
        <v>12698</v>
      </c>
      <c r="F1794" t="s">
        <v>9412</v>
      </c>
      <c r="G1794" t="s">
        <v>9413</v>
      </c>
      <c r="H1794" t="s">
        <v>12665</v>
      </c>
      <c r="I1794" t="s">
        <v>9787</v>
      </c>
      <c r="J1794" t="s">
        <v>914</v>
      </c>
      <c r="K1794" t="s">
        <v>9416</v>
      </c>
      <c r="L1794" t="s">
        <v>9417</v>
      </c>
      <c r="M1794" t="s">
        <v>12699</v>
      </c>
      <c r="N1794" t="s">
        <v>9426</v>
      </c>
      <c r="O1794" t="s">
        <v>4453</v>
      </c>
      <c r="P1794" t="s">
        <v>9623</v>
      </c>
      <c r="Q1794" t="s">
        <v>9421</v>
      </c>
      <c r="R1794" t="s">
        <v>24</v>
      </c>
      <c r="S1794" t="s">
        <v>21</v>
      </c>
      <c r="T1794" t="s">
        <v>23</v>
      </c>
    </row>
    <row r="1795" spans="1:20">
      <c r="A1795" t="s">
        <v>12696</v>
      </c>
      <c r="B1795" t="s">
        <v>9409</v>
      </c>
      <c r="C1795" t="s">
        <v>12697</v>
      </c>
      <c r="D1795" t="s">
        <v>9410</v>
      </c>
      <c r="E1795" t="s">
        <v>12698</v>
      </c>
      <c r="F1795" t="s">
        <v>9412</v>
      </c>
      <c r="G1795" t="s">
        <v>9413</v>
      </c>
      <c r="H1795" t="s">
        <v>12665</v>
      </c>
      <c r="I1795" t="s">
        <v>9787</v>
      </c>
      <c r="J1795" t="s">
        <v>914</v>
      </c>
      <c r="K1795" t="s">
        <v>9416</v>
      </c>
      <c r="L1795" t="s">
        <v>9417</v>
      </c>
      <c r="M1795" t="s">
        <v>12699</v>
      </c>
      <c r="N1795" t="s">
        <v>12700</v>
      </c>
      <c r="O1795" t="s">
        <v>12701</v>
      </c>
      <c r="P1795" t="s">
        <v>9420</v>
      </c>
      <c r="Q1795" t="s">
        <v>9421</v>
      </c>
      <c r="R1795" t="s">
        <v>17</v>
      </c>
      <c r="S1795" t="s">
        <v>12696</v>
      </c>
      <c r="T1795" t="s">
        <v>12702</v>
      </c>
    </row>
    <row r="1796" spans="1:20">
      <c r="A1796" t="s">
        <v>12703</v>
      </c>
      <c r="B1796" t="s">
        <v>9409</v>
      </c>
      <c r="C1796" t="s">
        <v>12704</v>
      </c>
      <c r="D1796" t="s">
        <v>9410</v>
      </c>
      <c r="E1796" t="s">
        <v>12705</v>
      </c>
      <c r="F1796" t="s">
        <v>9412</v>
      </c>
      <c r="G1796" t="s">
        <v>9413</v>
      </c>
      <c r="H1796" t="s">
        <v>12665</v>
      </c>
      <c r="I1796" t="s">
        <v>9813</v>
      </c>
      <c r="J1796" t="s">
        <v>445</v>
      </c>
      <c r="K1796" t="s">
        <v>9416</v>
      </c>
      <c r="L1796" t="s">
        <v>9417</v>
      </c>
      <c r="M1796" t="s">
        <v>12706</v>
      </c>
      <c r="N1796" t="s">
        <v>12682</v>
      </c>
      <c r="O1796" t="s">
        <v>12707</v>
      </c>
      <c r="P1796" t="s">
        <v>9459</v>
      </c>
      <c r="Q1796" t="s">
        <v>9421</v>
      </c>
      <c r="R1796" t="s">
        <v>17</v>
      </c>
      <c r="S1796" t="s">
        <v>12703</v>
      </c>
      <c r="T1796" t="s">
        <v>12708</v>
      </c>
    </row>
    <row r="1797" spans="1:20">
      <c r="A1797" t="s">
        <v>5109</v>
      </c>
      <c r="B1797" t="s">
        <v>9409</v>
      </c>
      <c r="C1797" t="s">
        <v>5112</v>
      </c>
      <c r="D1797" t="s">
        <v>9410</v>
      </c>
      <c r="E1797" t="s">
        <v>12709</v>
      </c>
      <c r="F1797" t="s">
        <v>9412</v>
      </c>
      <c r="G1797" t="s">
        <v>9413</v>
      </c>
      <c r="H1797" t="s">
        <v>12665</v>
      </c>
      <c r="I1797" t="s">
        <v>9469</v>
      </c>
      <c r="J1797" t="s">
        <v>445</v>
      </c>
      <c r="K1797" t="s">
        <v>9416</v>
      </c>
      <c r="L1797" t="s">
        <v>9417</v>
      </c>
      <c r="M1797" t="s">
        <v>12710</v>
      </c>
      <c r="N1797" t="s">
        <v>12682</v>
      </c>
      <c r="O1797" t="s">
        <v>5110</v>
      </c>
      <c r="P1797" t="s">
        <v>9420</v>
      </c>
      <c r="Q1797" t="s">
        <v>9421</v>
      </c>
      <c r="R1797" t="s">
        <v>17</v>
      </c>
      <c r="S1797" t="s">
        <v>5109</v>
      </c>
      <c r="T1797" t="s">
        <v>12711</v>
      </c>
    </row>
    <row r="1798" spans="1:20">
      <c r="A1798" t="s">
        <v>450</v>
      </c>
      <c r="B1798" t="s">
        <v>62</v>
      </c>
      <c r="C1798" t="s">
        <v>4881</v>
      </c>
      <c r="D1798" t="s">
        <v>9448</v>
      </c>
      <c r="E1798" t="s">
        <v>12712</v>
      </c>
      <c r="F1798" t="s">
        <v>9412</v>
      </c>
      <c r="G1798" t="s">
        <v>9413</v>
      </c>
      <c r="H1798" t="s">
        <v>12665</v>
      </c>
      <c r="I1798" t="s">
        <v>9424</v>
      </c>
      <c r="J1798" t="s">
        <v>445</v>
      </c>
      <c r="K1798" t="s">
        <v>9416</v>
      </c>
      <c r="L1798" t="s">
        <v>9417</v>
      </c>
      <c r="M1798" t="s">
        <v>12710</v>
      </c>
      <c r="N1798" t="s">
        <v>12682</v>
      </c>
      <c r="O1798" t="s">
        <v>4883</v>
      </c>
      <c r="P1798" t="s">
        <v>9420</v>
      </c>
      <c r="Q1798" t="s">
        <v>9421</v>
      </c>
      <c r="R1798" t="s">
        <v>17</v>
      </c>
      <c r="S1798" t="s">
        <v>450</v>
      </c>
      <c r="T1798" t="s">
        <v>452</v>
      </c>
    </row>
    <row r="1799" spans="1:20">
      <c r="A1799" t="s">
        <v>288</v>
      </c>
      <c r="B1799" t="s">
        <v>20</v>
      </c>
      <c r="C1799" t="s">
        <v>4703</v>
      </c>
      <c r="D1799" t="s">
        <v>9464</v>
      </c>
      <c r="E1799" t="s">
        <v>12713</v>
      </c>
      <c r="F1799" t="s">
        <v>9412</v>
      </c>
      <c r="G1799" t="s">
        <v>9413</v>
      </c>
      <c r="H1799" t="s">
        <v>12665</v>
      </c>
      <c r="I1799" t="s">
        <v>9545</v>
      </c>
      <c r="J1799" t="s">
        <v>287</v>
      </c>
      <c r="K1799" t="s">
        <v>9416</v>
      </c>
      <c r="L1799" t="s">
        <v>9417</v>
      </c>
      <c r="M1799" t="s">
        <v>12714</v>
      </c>
      <c r="N1799" t="s">
        <v>12688</v>
      </c>
      <c r="O1799" t="s">
        <v>4701</v>
      </c>
      <c r="P1799" t="s">
        <v>9420</v>
      </c>
      <c r="Q1799" t="s">
        <v>9421</v>
      </c>
      <c r="R1799" t="s">
        <v>17</v>
      </c>
      <c r="S1799" t="s">
        <v>288</v>
      </c>
      <c r="T1799" t="s">
        <v>290</v>
      </c>
    </row>
    <row r="1800" spans="1:20">
      <c r="A1800" t="s">
        <v>193</v>
      </c>
      <c r="B1800" t="s">
        <v>9409</v>
      </c>
      <c r="C1800" t="s">
        <v>12715</v>
      </c>
      <c r="D1800" t="s">
        <v>9410</v>
      </c>
      <c r="E1800" t="s">
        <v>12716</v>
      </c>
      <c r="F1800" t="s">
        <v>9412</v>
      </c>
      <c r="G1800" t="s">
        <v>9413</v>
      </c>
      <c r="H1800" t="s">
        <v>12665</v>
      </c>
      <c r="I1800" t="s">
        <v>9441</v>
      </c>
      <c r="J1800" t="s">
        <v>710</v>
      </c>
      <c r="K1800" t="s">
        <v>9416</v>
      </c>
      <c r="L1800" t="s">
        <v>9417</v>
      </c>
      <c r="M1800" t="s">
        <v>12717</v>
      </c>
      <c r="N1800" t="s">
        <v>9426</v>
      </c>
      <c r="O1800" t="s">
        <v>4621</v>
      </c>
      <c r="P1800" t="s">
        <v>9647</v>
      </c>
      <c r="Q1800" t="s">
        <v>9421</v>
      </c>
      <c r="R1800" t="s">
        <v>84</v>
      </c>
      <c r="S1800" t="s">
        <v>193</v>
      </c>
      <c r="T1800" t="s">
        <v>195</v>
      </c>
    </row>
    <row r="1801" spans="1:20">
      <c r="A1801" t="s">
        <v>148</v>
      </c>
      <c r="B1801" t="s">
        <v>20</v>
      </c>
      <c r="C1801" t="s">
        <v>4584</v>
      </c>
      <c r="D1801" t="s">
        <v>9455</v>
      </c>
      <c r="E1801" t="s">
        <v>12718</v>
      </c>
      <c r="F1801" t="s">
        <v>9412</v>
      </c>
      <c r="G1801" t="s">
        <v>9413</v>
      </c>
      <c r="H1801" t="s">
        <v>12665</v>
      </c>
      <c r="I1801" t="s">
        <v>10186</v>
      </c>
      <c r="J1801" t="s">
        <v>147</v>
      </c>
      <c r="K1801" t="s">
        <v>9416</v>
      </c>
      <c r="L1801" t="s">
        <v>9417</v>
      </c>
      <c r="M1801" t="s">
        <v>12717</v>
      </c>
      <c r="N1801" t="s">
        <v>12719</v>
      </c>
      <c r="O1801" t="s">
        <v>4582</v>
      </c>
      <c r="P1801" t="s">
        <v>9420</v>
      </c>
      <c r="Q1801" t="s">
        <v>9421</v>
      </c>
      <c r="R1801" t="s">
        <v>17</v>
      </c>
      <c r="S1801" t="s">
        <v>148</v>
      </c>
      <c r="T1801" t="s">
        <v>150</v>
      </c>
    </row>
    <row r="1802" spans="1:20">
      <c r="A1802" t="s">
        <v>454</v>
      </c>
      <c r="B1802" t="s">
        <v>62</v>
      </c>
      <c r="C1802" t="s">
        <v>4885</v>
      </c>
      <c r="D1802" t="s">
        <v>445</v>
      </c>
      <c r="E1802" t="s">
        <v>12720</v>
      </c>
      <c r="F1802" t="s">
        <v>9412</v>
      </c>
      <c r="G1802" t="s">
        <v>9413</v>
      </c>
      <c r="H1802" t="s">
        <v>12665</v>
      </c>
      <c r="I1802" t="s">
        <v>10890</v>
      </c>
      <c r="J1802" t="s">
        <v>445</v>
      </c>
      <c r="K1802" t="s">
        <v>9416</v>
      </c>
      <c r="L1802" t="s">
        <v>9417</v>
      </c>
      <c r="M1802" t="s">
        <v>12721</v>
      </c>
      <c r="N1802" t="s">
        <v>12682</v>
      </c>
      <c r="O1802" t="s">
        <v>4887</v>
      </c>
      <c r="P1802" t="s">
        <v>9524</v>
      </c>
      <c r="Q1802" t="s">
        <v>9421</v>
      </c>
      <c r="R1802" t="s">
        <v>24</v>
      </c>
      <c r="S1802" t="s">
        <v>454</v>
      </c>
      <c r="T1802" t="s">
        <v>457</v>
      </c>
    </row>
    <row r="1803" spans="1:20">
      <c r="A1803" t="s">
        <v>454</v>
      </c>
      <c r="B1803" t="s">
        <v>62</v>
      </c>
      <c r="C1803" t="s">
        <v>4885</v>
      </c>
      <c r="D1803" t="s">
        <v>445</v>
      </c>
      <c r="E1803" t="s">
        <v>12720</v>
      </c>
      <c r="F1803" t="s">
        <v>9412</v>
      </c>
      <c r="G1803" t="s">
        <v>9413</v>
      </c>
      <c r="H1803" t="s">
        <v>12665</v>
      </c>
      <c r="I1803" t="s">
        <v>10890</v>
      </c>
      <c r="J1803" t="s">
        <v>445</v>
      </c>
      <c r="K1803" t="s">
        <v>9445</v>
      </c>
      <c r="L1803" t="s">
        <v>9417</v>
      </c>
      <c r="M1803" t="s">
        <v>12721</v>
      </c>
      <c r="N1803" t="s">
        <v>9426</v>
      </c>
      <c r="O1803" t="s">
        <v>9446</v>
      </c>
      <c r="P1803" t="s">
        <v>9567</v>
      </c>
      <c r="Q1803" t="s">
        <v>9421</v>
      </c>
      <c r="R1803" t="s">
        <v>43</v>
      </c>
      <c r="S1803" t="s">
        <v>74</v>
      </c>
      <c r="T1803" t="s">
        <v>76</v>
      </c>
    </row>
    <row r="1804" spans="1:20">
      <c r="A1804" t="s">
        <v>454</v>
      </c>
      <c r="B1804" t="s">
        <v>62</v>
      </c>
      <c r="C1804" t="s">
        <v>4885</v>
      </c>
      <c r="D1804" t="s">
        <v>445</v>
      </c>
      <c r="E1804" t="s">
        <v>12720</v>
      </c>
      <c r="F1804" t="s">
        <v>9412</v>
      </c>
      <c r="G1804" t="s">
        <v>9413</v>
      </c>
      <c r="H1804" t="s">
        <v>12665</v>
      </c>
      <c r="I1804" t="s">
        <v>10890</v>
      </c>
      <c r="J1804" t="s">
        <v>445</v>
      </c>
      <c r="K1804" t="s">
        <v>9416</v>
      </c>
      <c r="L1804" t="s">
        <v>9417</v>
      </c>
      <c r="M1804" t="s">
        <v>12721</v>
      </c>
      <c r="N1804" t="s">
        <v>12682</v>
      </c>
      <c r="O1804" t="s">
        <v>4889</v>
      </c>
      <c r="P1804" t="s">
        <v>9459</v>
      </c>
      <c r="Q1804" t="s">
        <v>9421</v>
      </c>
      <c r="R1804" t="s">
        <v>17</v>
      </c>
      <c r="S1804" t="s">
        <v>458</v>
      </c>
      <c r="T1804" t="s">
        <v>460</v>
      </c>
    </row>
    <row r="1805" spans="1:20">
      <c r="A1805" t="s">
        <v>740</v>
      </c>
      <c r="B1805" t="s">
        <v>9409</v>
      </c>
      <c r="C1805" t="s">
        <v>12722</v>
      </c>
      <c r="D1805" t="s">
        <v>9410</v>
      </c>
      <c r="E1805" t="s">
        <v>12723</v>
      </c>
      <c r="F1805" t="s">
        <v>9412</v>
      </c>
      <c r="G1805" t="s">
        <v>9413</v>
      </c>
      <c r="H1805" t="s">
        <v>12665</v>
      </c>
      <c r="I1805" t="s">
        <v>9798</v>
      </c>
      <c r="J1805" t="s">
        <v>710</v>
      </c>
      <c r="K1805" t="s">
        <v>9416</v>
      </c>
      <c r="L1805" t="s">
        <v>9417</v>
      </c>
      <c r="M1805" t="s">
        <v>12724</v>
      </c>
      <c r="N1805" t="s">
        <v>12725</v>
      </c>
      <c r="O1805" t="s">
        <v>12726</v>
      </c>
      <c r="P1805" t="s">
        <v>9420</v>
      </c>
      <c r="Q1805" t="s">
        <v>9421</v>
      </c>
      <c r="R1805" t="s">
        <v>17</v>
      </c>
      <c r="S1805" t="s">
        <v>740</v>
      </c>
      <c r="T1805" t="s">
        <v>742</v>
      </c>
    </row>
    <row r="1806" spans="1:20">
      <c r="A1806" t="s">
        <v>12727</v>
      </c>
      <c r="B1806" t="s">
        <v>9409</v>
      </c>
      <c r="C1806" t="s">
        <v>12728</v>
      </c>
      <c r="D1806" t="s">
        <v>9410</v>
      </c>
      <c r="E1806" t="s">
        <v>12729</v>
      </c>
      <c r="F1806" t="s">
        <v>9412</v>
      </c>
      <c r="G1806" t="s">
        <v>9413</v>
      </c>
      <c r="H1806" t="s">
        <v>12665</v>
      </c>
      <c r="I1806" t="s">
        <v>9477</v>
      </c>
      <c r="J1806" t="s">
        <v>11</v>
      </c>
      <c r="K1806" t="s">
        <v>9416</v>
      </c>
      <c r="L1806" t="s">
        <v>9417</v>
      </c>
      <c r="M1806" t="s">
        <v>12666</v>
      </c>
      <c r="N1806" t="s">
        <v>12667</v>
      </c>
      <c r="O1806" t="s">
        <v>12730</v>
      </c>
      <c r="P1806" t="s">
        <v>9420</v>
      </c>
      <c r="Q1806" t="s">
        <v>9421</v>
      </c>
      <c r="R1806" t="s">
        <v>17</v>
      </c>
      <c r="S1806" t="s">
        <v>12727</v>
      </c>
      <c r="T1806" t="s">
        <v>12731</v>
      </c>
    </row>
    <row r="1807" spans="1:20">
      <c r="A1807" t="s">
        <v>711</v>
      </c>
      <c r="B1807" t="s">
        <v>62</v>
      </c>
      <c r="C1807" t="s">
        <v>714</v>
      </c>
      <c r="D1807" t="s">
        <v>9448</v>
      </c>
      <c r="E1807" t="s">
        <v>12732</v>
      </c>
      <c r="F1807" t="s">
        <v>9412</v>
      </c>
      <c r="G1807" t="s">
        <v>9413</v>
      </c>
      <c r="H1807" t="s">
        <v>12</v>
      </c>
      <c r="I1807" t="s">
        <v>10066</v>
      </c>
      <c r="J1807" t="s">
        <v>710</v>
      </c>
      <c r="K1807" t="s">
        <v>9416</v>
      </c>
      <c r="L1807" t="s">
        <v>9417</v>
      </c>
      <c r="M1807" t="s">
        <v>12724</v>
      </c>
      <c r="N1807" t="s">
        <v>12725</v>
      </c>
      <c r="O1807" t="s">
        <v>5140</v>
      </c>
      <c r="P1807" t="s">
        <v>9623</v>
      </c>
      <c r="Q1807" t="s">
        <v>9421</v>
      </c>
      <c r="R1807" t="s">
        <v>24</v>
      </c>
      <c r="S1807" t="s">
        <v>711</v>
      </c>
      <c r="T1807" t="s">
        <v>713</v>
      </c>
    </row>
    <row r="1808" spans="1:20">
      <c r="A1808" t="s">
        <v>461</v>
      </c>
      <c r="B1808" t="s">
        <v>62</v>
      </c>
      <c r="C1808" t="s">
        <v>4892</v>
      </c>
      <c r="D1808" t="s">
        <v>445</v>
      </c>
      <c r="E1808" t="s">
        <v>12733</v>
      </c>
      <c r="F1808" t="s">
        <v>9412</v>
      </c>
      <c r="G1808" t="s">
        <v>9413</v>
      </c>
      <c r="H1808" t="s">
        <v>12665</v>
      </c>
      <c r="I1808" t="s">
        <v>9522</v>
      </c>
      <c r="J1808" t="s">
        <v>445</v>
      </c>
      <c r="K1808" t="s">
        <v>9416</v>
      </c>
      <c r="L1808" t="s">
        <v>9417</v>
      </c>
      <c r="M1808" t="s">
        <v>12734</v>
      </c>
      <c r="N1808" t="s">
        <v>9426</v>
      </c>
      <c r="O1808" t="s">
        <v>4479</v>
      </c>
      <c r="P1808" t="s">
        <v>9567</v>
      </c>
      <c r="Q1808" t="s">
        <v>9421</v>
      </c>
      <c r="R1808" t="s">
        <v>43</v>
      </c>
      <c r="S1808" t="s">
        <v>40</v>
      </c>
      <c r="T1808" t="s">
        <v>42</v>
      </c>
    </row>
    <row r="1809" spans="1:20">
      <c r="A1809" t="s">
        <v>461</v>
      </c>
      <c r="B1809" t="s">
        <v>62</v>
      </c>
      <c r="C1809" t="s">
        <v>4892</v>
      </c>
      <c r="D1809" t="s">
        <v>445</v>
      </c>
      <c r="E1809" t="s">
        <v>12733</v>
      </c>
      <c r="F1809" t="s">
        <v>9412</v>
      </c>
      <c r="G1809" t="s">
        <v>9413</v>
      </c>
      <c r="H1809" t="s">
        <v>12665</v>
      </c>
      <c r="I1809" t="s">
        <v>9522</v>
      </c>
      <c r="J1809" t="s">
        <v>445</v>
      </c>
      <c r="K1809" t="s">
        <v>9416</v>
      </c>
      <c r="L1809" t="s">
        <v>9417</v>
      </c>
      <c r="M1809" t="s">
        <v>12734</v>
      </c>
      <c r="N1809" t="s">
        <v>12682</v>
      </c>
      <c r="O1809" t="s">
        <v>4890</v>
      </c>
      <c r="P1809" t="s">
        <v>9623</v>
      </c>
      <c r="Q1809" t="s">
        <v>9421</v>
      </c>
      <c r="R1809" t="s">
        <v>24</v>
      </c>
      <c r="S1809" t="s">
        <v>461</v>
      </c>
      <c r="T1809" t="s">
        <v>463</v>
      </c>
    </row>
    <row r="1810" spans="1:20">
      <c r="A1810" t="s">
        <v>12735</v>
      </c>
      <c r="B1810" t="s">
        <v>9409</v>
      </c>
      <c r="C1810" t="s">
        <v>12736</v>
      </c>
      <c r="D1810" t="s">
        <v>9410</v>
      </c>
      <c r="E1810" t="s">
        <v>12737</v>
      </c>
      <c r="F1810" t="s">
        <v>9412</v>
      </c>
      <c r="G1810" t="s">
        <v>9413</v>
      </c>
      <c r="H1810" t="s">
        <v>12665</v>
      </c>
      <c r="I1810" t="s">
        <v>9637</v>
      </c>
      <c r="J1810" t="s">
        <v>710</v>
      </c>
      <c r="K1810" t="s">
        <v>9416</v>
      </c>
      <c r="L1810" t="s">
        <v>9417</v>
      </c>
      <c r="M1810" t="s">
        <v>12738</v>
      </c>
      <c r="N1810" t="s">
        <v>12725</v>
      </c>
      <c r="O1810" t="s">
        <v>12739</v>
      </c>
      <c r="P1810" t="s">
        <v>9459</v>
      </c>
      <c r="Q1810" t="s">
        <v>9421</v>
      </c>
      <c r="R1810" t="s">
        <v>17</v>
      </c>
      <c r="S1810" t="s">
        <v>12735</v>
      </c>
      <c r="T1810" t="s">
        <v>12740</v>
      </c>
    </row>
    <row r="1811" spans="1:20">
      <c r="A1811" t="s">
        <v>292</v>
      </c>
      <c r="B1811" t="s">
        <v>20</v>
      </c>
      <c r="C1811" t="s">
        <v>4707</v>
      </c>
      <c r="D1811" t="s">
        <v>9460</v>
      </c>
      <c r="E1811" t="s">
        <v>12741</v>
      </c>
      <c r="F1811" t="s">
        <v>9412</v>
      </c>
      <c r="G1811" t="s">
        <v>9413</v>
      </c>
      <c r="H1811" t="s">
        <v>12665</v>
      </c>
      <c r="I1811" t="s">
        <v>10116</v>
      </c>
      <c r="J1811" t="s">
        <v>287</v>
      </c>
      <c r="K1811" t="s">
        <v>9445</v>
      </c>
      <c r="L1811" t="s">
        <v>9417</v>
      </c>
      <c r="M1811" t="s">
        <v>12673</v>
      </c>
      <c r="N1811" t="s">
        <v>9430</v>
      </c>
      <c r="O1811" t="s">
        <v>9446</v>
      </c>
      <c r="P1811" t="s">
        <v>9524</v>
      </c>
      <c r="Q1811" t="s">
        <v>9421</v>
      </c>
      <c r="R1811" t="s">
        <v>24</v>
      </c>
      <c r="S1811" t="s">
        <v>299</v>
      </c>
      <c r="T1811" t="s">
        <v>301</v>
      </c>
    </row>
    <row r="1812" spans="1:20">
      <c r="A1812" t="s">
        <v>292</v>
      </c>
      <c r="B1812" t="s">
        <v>20</v>
      </c>
      <c r="C1812" t="s">
        <v>4707</v>
      </c>
      <c r="D1812" t="s">
        <v>9460</v>
      </c>
      <c r="E1812" t="s">
        <v>12741</v>
      </c>
      <c r="F1812" t="s">
        <v>9412</v>
      </c>
      <c r="G1812" t="s">
        <v>9413</v>
      </c>
      <c r="H1812" t="s">
        <v>12665</v>
      </c>
      <c r="I1812" t="s">
        <v>10116</v>
      </c>
      <c r="J1812" t="s">
        <v>287</v>
      </c>
      <c r="K1812" t="s">
        <v>9416</v>
      </c>
      <c r="L1812" t="s">
        <v>9417</v>
      </c>
      <c r="M1812" t="s">
        <v>12673</v>
      </c>
      <c r="N1812" t="s">
        <v>12688</v>
      </c>
      <c r="O1812" t="s">
        <v>4709</v>
      </c>
      <c r="P1812" t="s">
        <v>9429</v>
      </c>
      <c r="Q1812" t="s">
        <v>9421</v>
      </c>
      <c r="R1812" t="s">
        <v>52</v>
      </c>
      <c r="S1812" t="s">
        <v>296</v>
      </c>
      <c r="T1812" t="s">
        <v>298</v>
      </c>
    </row>
    <row r="1813" spans="1:20">
      <c r="A1813" t="s">
        <v>292</v>
      </c>
      <c r="B1813" t="s">
        <v>20</v>
      </c>
      <c r="C1813" t="s">
        <v>4707</v>
      </c>
      <c r="D1813" t="s">
        <v>9460</v>
      </c>
      <c r="E1813" t="s">
        <v>12741</v>
      </c>
      <c r="F1813" t="s">
        <v>9412</v>
      </c>
      <c r="G1813" t="s">
        <v>9413</v>
      </c>
      <c r="H1813" t="s">
        <v>12665</v>
      </c>
      <c r="I1813" t="s">
        <v>10116</v>
      </c>
      <c r="J1813" t="s">
        <v>287</v>
      </c>
      <c r="K1813" t="s">
        <v>9416</v>
      </c>
      <c r="L1813" t="s">
        <v>9417</v>
      </c>
      <c r="M1813" t="s">
        <v>12673</v>
      </c>
      <c r="N1813" t="s">
        <v>12688</v>
      </c>
      <c r="O1813" t="s">
        <v>4705</v>
      </c>
      <c r="P1813" t="s">
        <v>9429</v>
      </c>
      <c r="Q1813" t="s">
        <v>9421</v>
      </c>
      <c r="R1813" t="s">
        <v>52</v>
      </c>
      <c r="S1813" t="s">
        <v>292</v>
      </c>
      <c r="T1813" t="s">
        <v>294</v>
      </c>
    </row>
    <row r="1814" spans="1:20">
      <c r="A1814" t="s">
        <v>465</v>
      </c>
      <c r="B1814" t="s">
        <v>62</v>
      </c>
      <c r="C1814" t="s">
        <v>4896</v>
      </c>
      <c r="D1814" t="s">
        <v>9448</v>
      </c>
      <c r="E1814" t="s">
        <v>12742</v>
      </c>
      <c r="F1814" t="s">
        <v>9412</v>
      </c>
      <c r="G1814" t="s">
        <v>9413</v>
      </c>
      <c r="H1814" t="s">
        <v>12665</v>
      </c>
      <c r="I1814" t="s">
        <v>11276</v>
      </c>
      <c r="J1814" t="s">
        <v>445</v>
      </c>
      <c r="K1814" t="s">
        <v>9416</v>
      </c>
      <c r="L1814" t="s">
        <v>9417</v>
      </c>
      <c r="M1814" t="s">
        <v>12681</v>
      </c>
      <c r="N1814" t="s">
        <v>12682</v>
      </c>
      <c r="O1814" t="s">
        <v>4894</v>
      </c>
      <c r="P1814" t="s">
        <v>9420</v>
      </c>
      <c r="Q1814" t="s">
        <v>9421</v>
      </c>
      <c r="R1814" t="s">
        <v>17</v>
      </c>
      <c r="S1814" t="s">
        <v>465</v>
      </c>
      <c r="T1814" t="s">
        <v>467</v>
      </c>
    </row>
    <row r="1815" spans="1:20">
      <c r="A1815" t="s">
        <v>12743</v>
      </c>
      <c r="B1815" t="s">
        <v>9409</v>
      </c>
      <c r="C1815" t="s">
        <v>12744</v>
      </c>
      <c r="D1815" t="s">
        <v>9410</v>
      </c>
      <c r="E1815" t="s">
        <v>12745</v>
      </c>
      <c r="F1815" t="s">
        <v>9412</v>
      </c>
      <c r="G1815" t="s">
        <v>9413</v>
      </c>
      <c r="H1815" t="s">
        <v>12665</v>
      </c>
      <c r="I1815" t="s">
        <v>10261</v>
      </c>
      <c r="J1815" t="s">
        <v>445</v>
      </c>
      <c r="K1815" t="s">
        <v>9416</v>
      </c>
      <c r="L1815" t="s">
        <v>9417</v>
      </c>
      <c r="M1815" t="s">
        <v>12706</v>
      </c>
      <c r="N1815" t="s">
        <v>12682</v>
      </c>
      <c r="O1815" t="s">
        <v>12746</v>
      </c>
      <c r="P1815" t="s">
        <v>9459</v>
      </c>
      <c r="Q1815" t="s">
        <v>9421</v>
      </c>
      <c r="R1815" t="s">
        <v>17</v>
      </c>
      <c r="S1815" t="s">
        <v>12743</v>
      </c>
      <c r="T1815" t="s">
        <v>12747</v>
      </c>
    </row>
    <row r="1816" spans="1:20">
      <c r="A1816" t="s">
        <v>12748</v>
      </c>
      <c r="B1816" t="s">
        <v>9409</v>
      </c>
      <c r="C1816" t="s">
        <v>12749</v>
      </c>
      <c r="D1816" t="s">
        <v>9410</v>
      </c>
      <c r="E1816" t="s">
        <v>12750</v>
      </c>
      <c r="F1816" t="s">
        <v>9412</v>
      </c>
      <c r="G1816" t="s">
        <v>9413</v>
      </c>
      <c r="H1816" t="s">
        <v>12665</v>
      </c>
      <c r="I1816" t="s">
        <v>9880</v>
      </c>
      <c r="J1816" t="s">
        <v>11</v>
      </c>
      <c r="K1816" t="s">
        <v>9416</v>
      </c>
      <c r="L1816" t="s">
        <v>9417</v>
      </c>
      <c r="M1816" t="s">
        <v>12693</v>
      </c>
      <c r="N1816" t="s">
        <v>12667</v>
      </c>
      <c r="O1816" t="s">
        <v>12751</v>
      </c>
      <c r="P1816" t="s">
        <v>9420</v>
      </c>
      <c r="Q1816" t="s">
        <v>9421</v>
      </c>
      <c r="R1816" t="s">
        <v>17</v>
      </c>
      <c r="S1816" t="s">
        <v>12748</v>
      </c>
      <c r="T1816" t="s">
        <v>12752</v>
      </c>
    </row>
    <row r="1817" spans="1:20">
      <c r="A1817" t="s">
        <v>12753</v>
      </c>
      <c r="B1817" t="s">
        <v>9409</v>
      </c>
      <c r="C1817" t="s">
        <v>12754</v>
      </c>
      <c r="D1817" t="s">
        <v>9410</v>
      </c>
      <c r="E1817" t="s">
        <v>12755</v>
      </c>
      <c r="F1817" t="s">
        <v>9412</v>
      </c>
      <c r="G1817" t="s">
        <v>9413</v>
      </c>
      <c r="H1817" t="s">
        <v>12665</v>
      </c>
      <c r="I1817" t="s">
        <v>9674</v>
      </c>
      <c r="J1817" t="s">
        <v>445</v>
      </c>
      <c r="K1817" t="s">
        <v>9416</v>
      </c>
      <c r="L1817" t="s">
        <v>9417</v>
      </c>
      <c r="M1817" t="s">
        <v>12721</v>
      </c>
      <c r="N1817" t="s">
        <v>12682</v>
      </c>
      <c r="O1817" t="s">
        <v>12756</v>
      </c>
      <c r="P1817" t="s">
        <v>9429</v>
      </c>
      <c r="Q1817" t="s">
        <v>9421</v>
      </c>
      <c r="R1817" t="s">
        <v>52</v>
      </c>
      <c r="S1817" t="s">
        <v>12757</v>
      </c>
      <c r="T1817" t="s">
        <v>12758</v>
      </c>
    </row>
    <row r="1818" spans="1:20">
      <c r="A1818" t="s">
        <v>12753</v>
      </c>
      <c r="B1818" t="s">
        <v>9409</v>
      </c>
      <c r="C1818" t="s">
        <v>12754</v>
      </c>
      <c r="D1818" t="s">
        <v>9410</v>
      </c>
      <c r="E1818" t="s">
        <v>12755</v>
      </c>
      <c r="F1818" t="s">
        <v>9412</v>
      </c>
      <c r="G1818" t="s">
        <v>9413</v>
      </c>
      <c r="H1818" t="s">
        <v>12665</v>
      </c>
      <c r="I1818" t="s">
        <v>9674</v>
      </c>
      <c r="J1818" t="s">
        <v>445</v>
      </c>
      <c r="K1818" t="s">
        <v>9416</v>
      </c>
      <c r="L1818" t="s">
        <v>9417</v>
      </c>
      <c r="M1818" t="s">
        <v>12721</v>
      </c>
      <c r="N1818" t="s">
        <v>12682</v>
      </c>
      <c r="O1818" t="s">
        <v>12759</v>
      </c>
      <c r="P1818" t="s">
        <v>9420</v>
      </c>
      <c r="Q1818" t="s">
        <v>9421</v>
      </c>
      <c r="R1818" t="s">
        <v>17</v>
      </c>
      <c r="S1818" t="s">
        <v>12760</v>
      </c>
      <c r="T1818" t="s">
        <v>12761</v>
      </c>
    </row>
    <row r="1819" spans="1:20">
      <c r="A1819" t="s">
        <v>12762</v>
      </c>
      <c r="B1819" t="s">
        <v>9409</v>
      </c>
      <c r="C1819" t="s">
        <v>12763</v>
      </c>
      <c r="D1819" t="s">
        <v>9410</v>
      </c>
      <c r="E1819" t="s">
        <v>12764</v>
      </c>
      <c r="F1819" t="s">
        <v>9412</v>
      </c>
      <c r="G1819" t="s">
        <v>9413</v>
      </c>
      <c r="H1819" t="s">
        <v>12665</v>
      </c>
      <c r="I1819" t="s">
        <v>9880</v>
      </c>
      <c r="J1819" t="s">
        <v>11</v>
      </c>
      <c r="K1819" t="s">
        <v>9445</v>
      </c>
      <c r="L1819" t="s">
        <v>9417</v>
      </c>
      <c r="M1819" t="s">
        <v>12693</v>
      </c>
      <c r="N1819" t="s">
        <v>9426</v>
      </c>
      <c r="O1819" t="s">
        <v>9446</v>
      </c>
      <c r="P1819" t="s">
        <v>9479</v>
      </c>
      <c r="Q1819" t="s">
        <v>9421</v>
      </c>
      <c r="R1819" t="s">
        <v>43</v>
      </c>
      <c r="S1819" t="s">
        <v>333</v>
      </c>
      <c r="T1819" t="s">
        <v>335</v>
      </c>
    </row>
    <row r="1820" spans="1:20">
      <c r="A1820" t="s">
        <v>12762</v>
      </c>
      <c r="B1820" t="s">
        <v>9409</v>
      </c>
      <c r="C1820" t="s">
        <v>12763</v>
      </c>
      <c r="D1820" t="s">
        <v>9410</v>
      </c>
      <c r="E1820" t="s">
        <v>12764</v>
      </c>
      <c r="F1820" t="s">
        <v>9412</v>
      </c>
      <c r="G1820" t="s">
        <v>9413</v>
      </c>
      <c r="H1820" t="s">
        <v>12665</v>
      </c>
      <c r="I1820" t="s">
        <v>9880</v>
      </c>
      <c r="J1820" t="s">
        <v>11</v>
      </c>
      <c r="K1820" t="s">
        <v>9416</v>
      </c>
      <c r="L1820" t="s">
        <v>9417</v>
      </c>
      <c r="M1820" t="s">
        <v>12693</v>
      </c>
      <c r="N1820" t="s">
        <v>12667</v>
      </c>
      <c r="O1820" t="s">
        <v>12765</v>
      </c>
      <c r="P1820" t="s">
        <v>9420</v>
      </c>
      <c r="Q1820" t="s">
        <v>9421</v>
      </c>
      <c r="R1820" t="s">
        <v>17</v>
      </c>
      <c r="S1820" t="s">
        <v>12766</v>
      </c>
      <c r="T1820" t="s">
        <v>12767</v>
      </c>
    </row>
    <row r="1821" spans="1:20">
      <c r="A1821" t="s">
        <v>12768</v>
      </c>
      <c r="B1821" t="s">
        <v>9409</v>
      </c>
      <c r="C1821" t="s">
        <v>12769</v>
      </c>
      <c r="D1821" t="s">
        <v>9410</v>
      </c>
      <c r="E1821" t="s">
        <v>12770</v>
      </c>
      <c r="F1821" t="s">
        <v>9412</v>
      </c>
      <c r="G1821" t="s">
        <v>9413</v>
      </c>
      <c r="H1821" t="s">
        <v>12665</v>
      </c>
      <c r="I1821" t="s">
        <v>9880</v>
      </c>
      <c r="J1821" t="s">
        <v>287</v>
      </c>
      <c r="K1821" t="s">
        <v>9416</v>
      </c>
      <c r="L1821" t="s">
        <v>9417</v>
      </c>
      <c r="M1821" t="s">
        <v>12681</v>
      </c>
      <c r="N1821" t="s">
        <v>12688</v>
      </c>
      <c r="O1821" t="s">
        <v>12771</v>
      </c>
      <c r="P1821" t="s">
        <v>9420</v>
      </c>
      <c r="Q1821" t="s">
        <v>9421</v>
      </c>
      <c r="R1821" t="s">
        <v>17</v>
      </c>
      <c r="S1821" t="s">
        <v>12768</v>
      </c>
      <c r="T1821" t="s">
        <v>12772</v>
      </c>
    </row>
    <row r="1822" spans="1:20">
      <c r="A1822" t="s">
        <v>12773</v>
      </c>
      <c r="B1822" t="s">
        <v>9409</v>
      </c>
      <c r="C1822" t="s">
        <v>12774</v>
      </c>
      <c r="D1822" t="s">
        <v>9410</v>
      </c>
      <c r="E1822" t="s">
        <v>12775</v>
      </c>
      <c r="F1822" t="s">
        <v>9412</v>
      </c>
      <c r="G1822" t="s">
        <v>9413</v>
      </c>
      <c r="H1822" t="s">
        <v>12665</v>
      </c>
      <c r="I1822" t="s">
        <v>10302</v>
      </c>
      <c r="J1822" t="s">
        <v>11</v>
      </c>
      <c r="K1822" t="s">
        <v>9416</v>
      </c>
      <c r="L1822" t="s">
        <v>9417</v>
      </c>
      <c r="M1822" t="s">
        <v>12666</v>
      </c>
      <c r="N1822" t="s">
        <v>12667</v>
      </c>
      <c r="O1822" t="s">
        <v>12776</v>
      </c>
      <c r="P1822" t="s">
        <v>9623</v>
      </c>
      <c r="Q1822" t="s">
        <v>9421</v>
      </c>
      <c r="R1822" t="s">
        <v>24</v>
      </c>
      <c r="S1822" t="s">
        <v>12773</v>
      </c>
      <c r="T1822" t="s">
        <v>12777</v>
      </c>
    </row>
    <row r="1823" spans="1:20">
      <c r="A1823" t="s">
        <v>12778</v>
      </c>
      <c r="B1823" t="s">
        <v>9409</v>
      </c>
      <c r="C1823" t="s">
        <v>12779</v>
      </c>
      <c r="D1823" t="s">
        <v>9410</v>
      </c>
      <c r="E1823" t="s">
        <v>12780</v>
      </c>
      <c r="F1823" t="s">
        <v>9412</v>
      </c>
      <c r="G1823" t="s">
        <v>9413</v>
      </c>
      <c r="H1823" t="s">
        <v>12665</v>
      </c>
      <c r="I1823" t="s">
        <v>9826</v>
      </c>
      <c r="J1823" t="s">
        <v>11</v>
      </c>
      <c r="K1823" t="s">
        <v>9416</v>
      </c>
      <c r="L1823" t="s">
        <v>9417</v>
      </c>
      <c r="M1823" t="s">
        <v>12781</v>
      </c>
      <c r="N1823" t="s">
        <v>9430</v>
      </c>
      <c r="O1823" t="s">
        <v>12782</v>
      </c>
      <c r="P1823" t="s">
        <v>9550</v>
      </c>
      <c r="Q1823" t="s">
        <v>9421</v>
      </c>
      <c r="R1823" t="s">
        <v>84</v>
      </c>
      <c r="S1823" t="s">
        <v>12783</v>
      </c>
      <c r="T1823" t="s">
        <v>12784</v>
      </c>
    </row>
    <row r="1824" spans="1:20">
      <c r="A1824" t="s">
        <v>12778</v>
      </c>
      <c r="B1824" t="s">
        <v>9409</v>
      </c>
      <c r="C1824" t="s">
        <v>12779</v>
      </c>
      <c r="D1824" t="s">
        <v>9410</v>
      </c>
      <c r="E1824" t="s">
        <v>12780</v>
      </c>
      <c r="F1824" t="s">
        <v>9412</v>
      </c>
      <c r="G1824" t="s">
        <v>9413</v>
      </c>
      <c r="H1824" t="s">
        <v>12665</v>
      </c>
      <c r="I1824" t="s">
        <v>9826</v>
      </c>
      <c r="J1824" t="s">
        <v>11</v>
      </c>
      <c r="K1824" t="s">
        <v>9416</v>
      </c>
      <c r="L1824" t="s">
        <v>9417</v>
      </c>
      <c r="M1824" t="s">
        <v>12781</v>
      </c>
      <c r="N1824" t="s">
        <v>12667</v>
      </c>
      <c r="O1824" t="s">
        <v>12785</v>
      </c>
      <c r="P1824" t="s">
        <v>9420</v>
      </c>
      <c r="Q1824" t="s">
        <v>9421</v>
      </c>
      <c r="R1824" t="s">
        <v>17</v>
      </c>
      <c r="S1824" t="s">
        <v>12778</v>
      </c>
      <c r="T1824" t="s">
        <v>12786</v>
      </c>
    </row>
    <row r="1825" spans="1:20">
      <c r="A1825" t="s">
        <v>4898</v>
      </c>
      <c r="B1825" t="s">
        <v>9409</v>
      </c>
      <c r="C1825" t="s">
        <v>4901</v>
      </c>
      <c r="D1825" t="s">
        <v>9410</v>
      </c>
      <c r="E1825" t="s">
        <v>12787</v>
      </c>
      <c r="F1825" t="s">
        <v>9412</v>
      </c>
      <c r="G1825" t="s">
        <v>9413</v>
      </c>
      <c r="H1825" t="s">
        <v>12665</v>
      </c>
      <c r="I1825" t="s">
        <v>10958</v>
      </c>
      <c r="J1825" t="s">
        <v>445</v>
      </c>
      <c r="K1825" t="s">
        <v>9416</v>
      </c>
      <c r="L1825" t="s">
        <v>9417</v>
      </c>
      <c r="M1825" t="s">
        <v>12710</v>
      </c>
      <c r="N1825" t="s">
        <v>12682</v>
      </c>
      <c r="O1825" t="s">
        <v>4899</v>
      </c>
      <c r="P1825" t="s">
        <v>9420</v>
      </c>
      <c r="Q1825" t="s">
        <v>9421</v>
      </c>
      <c r="R1825" t="s">
        <v>17</v>
      </c>
      <c r="S1825" t="s">
        <v>4898</v>
      </c>
      <c r="T1825" t="s">
        <v>12788</v>
      </c>
    </row>
    <row r="1826" spans="1:20">
      <c r="A1826" t="s">
        <v>5021</v>
      </c>
      <c r="B1826" t="s">
        <v>9409</v>
      </c>
      <c r="C1826" t="s">
        <v>12789</v>
      </c>
      <c r="D1826" t="s">
        <v>9410</v>
      </c>
      <c r="E1826" t="s">
        <v>12790</v>
      </c>
      <c r="F1826" t="s">
        <v>9412</v>
      </c>
      <c r="G1826" t="s">
        <v>9413</v>
      </c>
      <c r="H1826" t="s">
        <v>12665</v>
      </c>
      <c r="I1826" t="s">
        <v>10958</v>
      </c>
      <c r="J1826" t="s">
        <v>445</v>
      </c>
      <c r="K1826" t="s">
        <v>9416</v>
      </c>
      <c r="L1826" t="s">
        <v>9417</v>
      </c>
      <c r="M1826" t="s">
        <v>12791</v>
      </c>
      <c r="N1826" t="s">
        <v>12682</v>
      </c>
      <c r="O1826" t="s">
        <v>5022</v>
      </c>
      <c r="P1826" t="s">
        <v>9420</v>
      </c>
      <c r="Q1826" t="s">
        <v>9421</v>
      </c>
      <c r="R1826" t="s">
        <v>17</v>
      </c>
      <c r="S1826" t="s">
        <v>5021</v>
      </c>
      <c r="T1826" t="s">
        <v>12792</v>
      </c>
    </row>
    <row r="1827" spans="1:20">
      <c r="A1827" t="s">
        <v>469</v>
      </c>
      <c r="B1827" t="s">
        <v>62</v>
      </c>
      <c r="C1827" t="s">
        <v>4903</v>
      </c>
      <c r="D1827" t="s">
        <v>445</v>
      </c>
      <c r="E1827" t="s">
        <v>12793</v>
      </c>
      <c r="F1827" t="s">
        <v>9412</v>
      </c>
      <c r="G1827" t="s">
        <v>9413</v>
      </c>
      <c r="H1827" t="s">
        <v>12665</v>
      </c>
      <c r="I1827" t="s">
        <v>9522</v>
      </c>
      <c r="J1827" t="s">
        <v>445</v>
      </c>
      <c r="K1827" t="s">
        <v>9445</v>
      </c>
      <c r="L1827" t="s">
        <v>9417</v>
      </c>
      <c r="M1827" t="s">
        <v>12699</v>
      </c>
      <c r="N1827" t="s">
        <v>9426</v>
      </c>
      <c r="O1827" t="s">
        <v>9446</v>
      </c>
      <c r="P1827" t="s">
        <v>9655</v>
      </c>
      <c r="Q1827" t="s">
        <v>9421</v>
      </c>
      <c r="R1827" t="s">
        <v>56</v>
      </c>
      <c r="S1827" t="s">
        <v>53</v>
      </c>
      <c r="T1827" t="s">
        <v>55</v>
      </c>
    </row>
    <row r="1828" spans="1:20">
      <c r="A1828" t="s">
        <v>469</v>
      </c>
      <c r="B1828" t="s">
        <v>62</v>
      </c>
      <c r="C1828" t="s">
        <v>4903</v>
      </c>
      <c r="D1828" t="s">
        <v>445</v>
      </c>
      <c r="E1828" t="s">
        <v>12793</v>
      </c>
      <c r="F1828" t="s">
        <v>9412</v>
      </c>
      <c r="G1828" t="s">
        <v>9413</v>
      </c>
      <c r="H1828" t="s">
        <v>12665</v>
      </c>
      <c r="I1828" t="s">
        <v>9522</v>
      </c>
      <c r="J1828" t="s">
        <v>445</v>
      </c>
      <c r="K1828" t="s">
        <v>9416</v>
      </c>
      <c r="L1828" t="s">
        <v>9417</v>
      </c>
      <c r="M1828" t="s">
        <v>12699</v>
      </c>
      <c r="N1828" t="s">
        <v>9426</v>
      </c>
      <c r="O1828" t="s">
        <v>4569</v>
      </c>
      <c r="P1828" t="s">
        <v>9567</v>
      </c>
      <c r="Q1828" t="s">
        <v>9421</v>
      </c>
      <c r="R1828" t="s">
        <v>43</v>
      </c>
      <c r="S1828" t="s">
        <v>126</v>
      </c>
      <c r="T1828" t="s">
        <v>128</v>
      </c>
    </row>
    <row r="1829" spans="1:20">
      <c r="A1829" t="s">
        <v>12794</v>
      </c>
      <c r="B1829" t="s">
        <v>9409</v>
      </c>
      <c r="C1829" t="s">
        <v>12795</v>
      </c>
      <c r="D1829" t="s">
        <v>9410</v>
      </c>
      <c r="E1829" t="s">
        <v>12796</v>
      </c>
      <c r="F1829" t="s">
        <v>9412</v>
      </c>
      <c r="G1829" t="s">
        <v>9413</v>
      </c>
      <c r="H1829" t="s">
        <v>12665</v>
      </c>
      <c r="I1829" t="s">
        <v>9922</v>
      </c>
      <c r="J1829" t="s">
        <v>287</v>
      </c>
      <c r="K1829" t="s">
        <v>9416</v>
      </c>
      <c r="L1829" t="s">
        <v>9417</v>
      </c>
      <c r="M1829" t="s">
        <v>12666</v>
      </c>
      <c r="N1829" t="s">
        <v>12688</v>
      </c>
      <c r="O1829" t="s">
        <v>12797</v>
      </c>
      <c r="P1829" t="s">
        <v>9459</v>
      </c>
      <c r="Q1829" t="s">
        <v>9421</v>
      </c>
      <c r="R1829" t="s">
        <v>17</v>
      </c>
      <c r="S1829" t="s">
        <v>12794</v>
      </c>
      <c r="T1829" t="s">
        <v>12798</v>
      </c>
    </row>
    <row r="1830" spans="1:20">
      <c r="A1830" t="s">
        <v>152</v>
      </c>
      <c r="B1830" t="s">
        <v>62</v>
      </c>
      <c r="C1830" t="s">
        <v>155</v>
      </c>
      <c r="D1830" t="s">
        <v>9448</v>
      </c>
      <c r="E1830" t="s">
        <v>12799</v>
      </c>
      <c r="F1830" t="s">
        <v>9412</v>
      </c>
      <c r="G1830" t="s">
        <v>9413</v>
      </c>
      <c r="H1830" t="s">
        <v>12</v>
      </c>
      <c r="I1830" t="s">
        <v>9905</v>
      </c>
      <c r="J1830" t="s">
        <v>147</v>
      </c>
      <c r="K1830" t="s">
        <v>9416</v>
      </c>
      <c r="L1830" t="s">
        <v>9417</v>
      </c>
      <c r="M1830" t="s">
        <v>12800</v>
      </c>
      <c r="N1830" t="s">
        <v>12719</v>
      </c>
      <c r="O1830" t="s">
        <v>4586</v>
      </c>
      <c r="P1830" t="s">
        <v>9420</v>
      </c>
      <c r="Q1830" t="s">
        <v>9421</v>
      </c>
      <c r="R1830" t="s">
        <v>17</v>
      </c>
      <c r="S1830" t="s">
        <v>152</v>
      </c>
      <c r="T1830" t="s">
        <v>154</v>
      </c>
    </row>
    <row r="1831" spans="1:20">
      <c r="A1831" t="s">
        <v>471</v>
      </c>
      <c r="B1831" t="s">
        <v>62</v>
      </c>
      <c r="C1831" t="s">
        <v>4907</v>
      </c>
      <c r="D1831" t="s">
        <v>445</v>
      </c>
      <c r="E1831" t="s">
        <v>12801</v>
      </c>
      <c r="F1831" t="s">
        <v>9412</v>
      </c>
      <c r="G1831" t="s">
        <v>9413</v>
      </c>
      <c r="H1831" t="s">
        <v>12665</v>
      </c>
      <c r="I1831" t="s">
        <v>9424</v>
      </c>
      <c r="J1831" t="s">
        <v>445</v>
      </c>
      <c r="K1831" t="s">
        <v>9416</v>
      </c>
      <c r="L1831" t="s">
        <v>9417</v>
      </c>
      <c r="M1831" t="s">
        <v>12706</v>
      </c>
      <c r="N1831" t="s">
        <v>12682</v>
      </c>
      <c r="O1831" t="s">
        <v>4905</v>
      </c>
      <c r="P1831" t="s">
        <v>9524</v>
      </c>
      <c r="Q1831" t="s">
        <v>9421</v>
      </c>
      <c r="R1831" t="s">
        <v>24</v>
      </c>
      <c r="S1831" t="s">
        <v>471</v>
      </c>
      <c r="T1831" t="s">
        <v>473</v>
      </c>
    </row>
    <row r="1832" spans="1:20">
      <c r="A1832" t="s">
        <v>12802</v>
      </c>
      <c r="B1832" t="s">
        <v>9409</v>
      </c>
      <c r="C1832" t="s">
        <v>12803</v>
      </c>
      <c r="D1832" t="s">
        <v>9410</v>
      </c>
      <c r="E1832" t="s">
        <v>12804</v>
      </c>
      <c r="F1832" t="s">
        <v>9412</v>
      </c>
      <c r="G1832" t="s">
        <v>9413</v>
      </c>
      <c r="H1832" t="s">
        <v>12665</v>
      </c>
      <c r="I1832" t="s">
        <v>9869</v>
      </c>
      <c r="J1832" t="s">
        <v>147</v>
      </c>
      <c r="K1832" t="s">
        <v>9445</v>
      </c>
      <c r="L1832" t="s">
        <v>9417</v>
      </c>
      <c r="M1832" t="s">
        <v>12805</v>
      </c>
      <c r="N1832" t="s">
        <v>9430</v>
      </c>
      <c r="O1832" t="s">
        <v>9446</v>
      </c>
      <c r="P1832" t="s">
        <v>10977</v>
      </c>
      <c r="Q1832" t="s">
        <v>9421</v>
      </c>
      <c r="R1832" t="s">
        <v>24</v>
      </c>
      <c r="S1832" t="s">
        <v>7626</v>
      </c>
      <c r="T1832" t="s">
        <v>10978</v>
      </c>
    </row>
    <row r="1833" spans="1:20">
      <c r="A1833" t="s">
        <v>12802</v>
      </c>
      <c r="B1833" t="s">
        <v>9409</v>
      </c>
      <c r="C1833" t="s">
        <v>12803</v>
      </c>
      <c r="D1833" t="s">
        <v>9410</v>
      </c>
      <c r="E1833" t="s">
        <v>12804</v>
      </c>
      <c r="F1833" t="s">
        <v>9412</v>
      </c>
      <c r="G1833" t="s">
        <v>9413</v>
      </c>
      <c r="H1833" t="s">
        <v>12665</v>
      </c>
      <c r="I1833" t="s">
        <v>9869</v>
      </c>
      <c r="J1833" t="s">
        <v>147</v>
      </c>
      <c r="K1833" t="s">
        <v>9416</v>
      </c>
      <c r="L1833" t="s">
        <v>9417</v>
      </c>
      <c r="M1833" t="s">
        <v>12805</v>
      </c>
      <c r="N1833" t="s">
        <v>9446</v>
      </c>
      <c r="O1833" t="s">
        <v>12806</v>
      </c>
      <c r="P1833" t="s">
        <v>9655</v>
      </c>
      <c r="Q1833" t="s">
        <v>9421</v>
      </c>
      <c r="R1833" t="s">
        <v>56</v>
      </c>
      <c r="S1833" t="s">
        <v>12807</v>
      </c>
      <c r="T1833" t="s">
        <v>12808</v>
      </c>
    </row>
    <row r="1834" spans="1:20">
      <c r="A1834" t="s">
        <v>13</v>
      </c>
      <c r="B1834" t="s">
        <v>20</v>
      </c>
      <c r="C1834" t="s">
        <v>4451</v>
      </c>
      <c r="D1834" t="s">
        <v>9460</v>
      </c>
      <c r="E1834" t="s">
        <v>12809</v>
      </c>
      <c r="F1834" t="s">
        <v>9412</v>
      </c>
      <c r="G1834" t="s">
        <v>9413</v>
      </c>
      <c r="H1834" t="s">
        <v>12665</v>
      </c>
      <c r="I1834" t="s">
        <v>9781</v>
      </c>
      <c r="J1834" t="s">
        <v>11</v>
      </c>
      <c r="K1834" t="s">
        <v>9416</v>
      </c>
      <c r="L1834" t="s">
        <v>9417</v>
      </c>
      <c r="M1834" t="s">
        <v>12781</v>
      </c>
      <c r="N1834" t="s">
        <v>12667</v>
      </c>
      <c r="O1834" t="s">
        <v>4455</v>
      </c>
      <c r="P1834" t="s">
        <v>9420</v>
      </c>
      <c r="Q1834" t="s">
        <v>9421</v>
      </c>
      <c r="R1834" t="s">
        <v>17</v>
      </c>
      <c r="S1834" t="s">
        <v>25</v>
      </c>
      <c r="T1834" t="s">
        <v>27</v>
      </c>
    </row>
    <row r="1835" spans="1:20">
      <c r="A1835" t="s">
        <v>13</v>
      </c>
      <c r="B1835" t="s">
        <v>20</v>
      </c>
      <c r="C1835" t="s">
        <v>4451</v>
      </c>
      <c r="D1835" t="s">
        <v>9460</v>
      </c>
      <c r="E1835" t="s">
        <v>12809</v>
      </c>
      <c r="F1835" t="s">
        <v>9412</v>
      </c>
      <c r="G1835" t="s">
        <v>9413</v>
      </c>
      <c r="H1835" t="s">
        <v>12665</v>
      </c>
      <c r="I1835" t="s">
        <v>9781</v>
      </c>
      <c r="J1835" t="s">
        <v>11</v>
      </c>
      <c r="K1835" t="s">
        <v>9445</v>
      </c>
      <c r="L1835" t="s">
        <v>9417</v>
      </c>
      <c r="M1835" t="s">
        <v>12781</v>
      </c>
      <c r="N1835" t="s">
        <v>9426</v>
      </c>
      <c r="O1835" t="s">
        <v>9446</v>
      </c>
      <c r="P1835" t="s">
        <v>9623</v>
      </c>
      <c r="Q1835" t="s">
        <v>9421</v>
      </c>
      <c r="R1835" t="s">
        <v>24</v>
      </c>
      <c r="S1835" t="s">
        <v>21</v>
      </c>
      <c r="T1835" t="s">
        <v>23</v>
      </c>
    </row>
    <row r="1836" spans="1:20">
      <c r="A1836" t="s">
        <v>13</v>
      </c>
      <c r="B1836" t="s">
        <v>20</v>
      </c>
      <c r="C1836" t="s">
        <v>4451</v>
      </c>
      <c r="D1836" t="s">
        <v>9460</v>
      </c>
      <c r="E1836" t="s">
        <v>12809</v>
      </c>
      <c r="F1836" t="s">
        <v>9412</v>
      </c>
      <c r="G1836" t="s">
        <v>9413</v>
      </c>
      <c r="H1836" t="s">
        <v>12665</v>
      </c>
      <c r="I1836" t="s">
        <v>9781</v>
      </c>
      <c r="J1836" t="s">
        <v>11</v>
      </c>
      <c r="K1836" t="s">
        <v>9416</v>
      </c>
      <c r="L1836" t="s">
        <v>9417</v>
      </c>
      <c r="M1836" t="s">
        <v>12781</v>
      </c>
      <c r="N1836" t="s">
        <v>12667</v>
      </c>
      <c r="O1836" t="s">
        <v>4449</v>
      </c>
      <c r="P1836" t="s">
        <v>9420</v>
      </c>
      <c r="Q1836" t="s">
        <v>9421</v>
      </c>
      <c r="R1836" t="s">
        <v>17</v>
      </c>
      <c r="S1836" t="s">
        <v>14</v>
      </c>
      <c r="T1836" t="s">
        <v>16</v>
      </c>
    </row>
    <row r="1837" spans="1:20">
      <c r="A1837" t="s">
        <v>5144</v>
      </c>
      <c r="B1837" t="s">
        <v>9409</v>
      </c>
      <c r="C1837" t="s">
        <v>5147</v>
      </c>
      <c r="D1837" t="s">
        <v>9410</v>
      </c>
      <c r="E1837" t="s">
        <v>12810</v>
      </c>
      <c r="F1837" t="s">
        <v>9412</v>
      </c>
      <c r="G1837" t="s">
        <v>9413</v>
      </c>
      <c r="H1837" t="s">
        <v>12665</v>
      </c>
      <c r="I1837" t="s">
        <v>9869</v>
      </c>
      <c r="J1837" t="s">
        <v>710</v>
      </c>
      <c r="K1837" t="s">
        <v>9416</v>
      </c>
      <c r="L1837" t="s">
        <v>9417</v>
      </c>
      <c r="M1837" t="s">
        <v>12734</v>
      </c>
      <c r="N1837" t="s">
        <v>12725</v>
      </c>
      <c r="O1837" t="s">
        <v>5145</v>
      </c>
      <c r="P1837" t="s">
        <v>9459</v>
      </c>
      <c r="Q1837" t="s">
        <v>9421</v>
      </c>
      <c r="R1837" t="s">
        <v>17</v>
      </c>
      <c r="S1837" t="s">
        <v>5144</v>
      </c>
      <c r="T1837" t="s">
        <v>12811</v>
      </c>
    </row>
    <row r="1838" spans="1:20">
      <c r="A1838" t="s">
        <v>12812</v>
      </c>
      <c r="B1838" t="s">
        <v>9409</v>
      </c>
      <c r="C1838" t="s">
        <v>12813</v>
      </c>
      <c r="D1838" t="s">
        <v>9410</v>
      </c>
      <c r="E1838" t="s">
        <v>12814</v>
      </c>
      <c r="F1838" t="s">
        <v>9412</v>
      </c>
      <c r="G1838" t="s">
        <v>9413</v>
      </c>
      <c r="H1838" t="s">
        <v>12665</v>
      </c>
      <c r="I1838" t="s">
        <v>9792</v>
      </c>
      <c r="J1838" t="s">
        <v>287</v>
      </c>
      <c r="K1838" t="s">
        <v>9416</v>
      </c>
      <c r="L1838" t="s">
        <v>9417</v>
      </c>
      <c r="M1838" t="s">
        <v>12681</v>
      </c>
      <c r="N1838" t="s">
        <v>12688</v>
      </c>
      <c r="O1838" t="s">
        <v>12815</v>
      </c>
      <c r="P1838" t="s">
        <v>9420</v>
      </c>
      <c r="Q1838" t="s">
        <v>9421</v>
      </c>
      <c r="R1838" t="s">
        <v>17</v>
      </c>
      <c r="S1838" t="s">
        <v>12812</v>
      </c>
      <c r="T1838" t="s">
        <v>12816</v>
      </c>
    </row>
    <row r="1839" spans="1:20">
      <c r="A1839" t="s">
        <v>12812</v>
      </c>
      <c r="B1839" t="s">
        <v>9409</v>
      </c>
      <c r="C1839" t="s">
        <v>12813</v>
      </c>
      <c r="D1839" t="s">
        <v>9410</v>
      </c>
      <c r="E1839" t="s">
        <v>12814</v>
      </c>
      <c r="F1839" t="s">
        <v>9412</v>
      </c>
      <c r="G1839" t="s">
        <v>9413</v>
      </c>
      <c r="H1839" t="s">
        <v>12665</v>
      </c>
      <c r="I1839" t="s">
        <v>9792</v>
      </c>
      <c r="J1839" t="s">
        <v>287</v>
      </c>
      <c r="K1839" t="s">
        <v>9445</v>
      </c>
      <c r="L1839" t="s">
        <v>9417</v>
      </c>
      <c r="M1839" t="s">
        <v>12681</v>
      </c>
      <c r="N1839" t="s">
        <v>9426</v>
      </c>
      <c r="O1839" t="s">
        <v>9446</v>
      </c>
      <c r="P1839" t="s">
        <v>9479</v>
      </c>
      <c r="Q1839" t="s">
        <v>9421</v>
      </c>
      <c r="R1839" t="s">
        <v>43</v>
      </c>
      <c r="S1839" t="s">
        <v>333</v>
      </c>
      <c r="T1839" t="s">
        <v>335</v>
      </c>
    </row>
    <row r="1840" spans="1:20">
      <c r="A1840" t="s">
        <v>12817</v>
      </c>
      <c r="B1840" t="s">
        <v>9409</v>
      </c>
      <c r="C1840" t="s">
        <v>12818</v>
      </c>
      <c r="D1840" t="s">
        <v>9410</v>
      </c>
      <c r="E1840" t="s">
        <v>12819</v>
      </c>
      <c r="F1840" t="s">
        <v>9412</v>
      </c>
      <c r="G1840" t="s">
        <v>9413</v>
      </c>
      <c r="H1840" t="s">
        <v>12665</v>
      </c>
      <c r="I1840" t="s">
        <v>9792</v>
      </c>
      <c r="J1840" t="s">
        <v>11</v>
      </c>
      <c r="K1840" t="s">
        <v>9416</v>
      </c>
      <c r="L1840" t="s">
        <v>9417</v>
      </c>
      <c r="M1840" t="s">
        <v>12781</v>
      </c>
      <c r="N1840" t="s">
        <v>12667</v>
      </c>
      <c r="O1840" t="s">
        <v>12820</v>
      </c>
      <c r="P1840" t="s">
        <v>9420</v>
      </c>
      <c r="Q1840" t="s">
        <v>9421</v>
      </c>
      <c r="R1840" t="s">
        <v>17</v>
      </c>
      <c r="S1840" t="s">
        <v>12817</v>
      </c>
      <c r="T1840" t="s">
        <v>12821</v>
      </c>
    </row>
    <row r="1841" spans="1:20">
      <c r="A1841" t="s">
        <v>12817</v>
      </c>
      <c r="B1841" t="s">
        <v>9409</v>
      </c>
      <c r="C1841" t="s">
        <v>12818</v>
      </c>
      <c r="D1841" t="s">
        <v>9410</v>
      </c>
      <c r="E1841" t="s">
        <v>12819</v>
      </c>
      <c r="F1841" t="s">
        <v>9412</v>
      </c>
      <c r="G1841" t="s">
        <v>9413</v>
      </c>
      <c r="H1841" t="s">
        <v>12665</v>
      </c>
      <c r="I1841" t="s">
        <v>9792</v>
      </c>
      <c r="J1841" t="s">
        <v>11</v>
      </c>
      <c r="K1841" t="s">
        <v>9445</v>
      </c>
      <c r="L1841" t="s">
        <v>9417</v>
      </c>
      <c r="M1841" t="s">
        <v>12781</v>
      </c>
      <c r="N1841" t="s">
        <v>9426</v>
      </c>
      <c r="O1841" t="s">
        <v>9446</v>
      </c>
      <c r="P1841" t="s">
        <v>9479</v>
      </c>
      <c r="Q1841" t="s">
        <v>9421</v>
      </c>
      <c r="R1841" t="s">
        <v>43</v>
      </c>
      <c r="S1841" t="s">
        <v>58</v>
      </c>
      <c r="T1841" t="s">
        <v>60</v>
      </c>
    </row>
    <row r="1842" spans="1:20">
      <c r="A1842" t="s">
        <v>12822</v>
      </c>
      <c r="B1842" t="s">
        <v>9409</v>
      </c>
      <c r="C1842" t="s">
        <v>12823</v>
      </c>
      <c r="D1842" t="s">
        <v>9410</v>
      </c>
      <c r="E1842" t="s">
        <v>12824</v>
      </c>
      <c r="F1842" t="s">
        <v>9412</v>
      </c>
      <c r="G1842" t="s">
        <v>9413</v>
      </c>
      <c r="H1842" t="s">
        <v>12665</v>
      </c>
      <c r="I1842" t="s">
        <v>9506</v>
      </c>
      <c r="J1842" t="s">
        <v>914</v>
      </c>
      <c r="K1842" t="s">
        <v>9416</v>
      </c>
      <c r="L1842" t="s">
        <v>9417</v>
      </c>
      <c r="M1842" t="s">
        <v>12681</v>
      </c>
      <c r="N1842" t="s">
        <v>9430</v>
      </c>
      <c r="O1842" t="s">
        <v>12825</v>
      </c>
      <c r="P1842" t="s">
        <v>12826</v>
      </c>
      <c r="Q1842" t="s">
        <v>9421</v>
      </c>
      <c r="R1842" t="s">
        <v>17</v>
      </c>
      <c r="S1842" t="s">
        <v>12827</v>
      </c>
      <c r="T1842" t="s">
        <v>12828</v>
      </c>
    </row>
    <row r="1843" spans="1:20">
      <c r="A1843" t="s">
        <v>12822</v>
      </c>
      <c r="B1843" t="s">
        <v>9409</v>
      </c>
      <c r="C1843" t="s">
        <v>12823</v>
      </c>
      <c r="D1843" t="s">
        <v>9410</v>
      </c>
      <c r="E1843" t="s">
        <v>12824</v>
      </c>
      <c r="F1843" t="s">
        <v>9412</v>
      </c>
      <c r="G1843" t="s">
        <v>9413</v>
      </c>
      <c r="H1843" t="s">
        <v>12665</v>
      </c>
      <c r="I1843" t="s">
        <v>9506</v>
      </c>
      <c r="J1843" t="s">
        <v>914</v>
      </c>
      <c r="K1843" t="s">
        <v>9416</v>
      </c>
      <c r="L1843" t="s">
        <v>9417</v>
      </c>
      <c r="M1843" t="s">
        <v>12681</v>
      </c>
      <c r="N1843" t="s">
        <v>12700</v>
      </c>
      <c r="O1843" t="s">
        <v>12829</v>
      </c>
      <c r="P1843" t="s">
        <v>9420</v>
      </c>
      <c r="Q1843" t="s">
        <v>9421</v>
      </c>
      <c r="R1843" t="s">
        <v>17</v>
      </c>
      <c r="S1843" t="s">
        <v>12822</v>
      </c>
      <c r="T1843" t="s">
        <v>12830</v>
      </c>
    </row>
    <row r="1844" spans="1:20">
      <c r="A1844" t="s">
        <v>4909</v>
      </c>
      <c r="B1844" t="s">
        <v>9409</v>
      </c>
      <c r="C1844" t="s">
        <v>4910</v>
      </c>
      <c r="D1844" t="s">
        <v>9410</v>
      </c>
      <c r="E1844" t="s">
        <v>12831</v>
      </c>
      <c r="F1844" t="s">
        <v>9412</v>
      </c>
      <c r="G1844" t="s">
        <v>9413</v>
      </c>
      <c r="H1844" t="s">
        <v>12665</v>
      </c>
      <c r="I1844" t="s">
        <v>10016</v>
      </c>
      <c r="J1844" t="s">
        <v>445</v>
      </c>
      <c r="K1844" t="s">
        <v>9416</v>
      </c>
      <c r="L1844" t="s">
        <v>9417</v>
      </c>
      <c r="M1844" t="s">
        <v>12710</v>
      </c>
      <c r="N1844" t="s">
        <v>12682</v>
      </c>
      <c r="O1844" t="s">
        <v>4912</v>
      </c>
      <c r="P1844" t="s">
        <v>9429</v>
      </c>
      <c r="Q1844" t="s">
        <v>9421</v>
      </c>
      <c r="R1844" t="s">
        <v>52</v>
      </c>
      <c r="S1844" t="s">
        <v>4909</v>
      </c>
      <c r="T1844" t="s">
        <v>12832</v>
      </c>
    </row>
    <row r="1845" spans="1:20">
      <c r="A1845" t="s">
        <v>4909</v>
      </c>
      <c r="B1845" t="s">
        <v>9409</v>
      </c>
      <c r="C1845" t="s">
        <v>4910</v>
      </c>
      <c r="D1845" t="s">
        <v>9410</v>
      </c>
      <c r="E1845" t="s">
        <v>12831</v>
      </c>
      <c r="F1845" t="s">
        <v>9412</v>
      </c>
      <c r="G1845" t="s">
        <v>9413</v>
      </c>
      <c r="H1845" t="s">
        <v>12665</v>
      </c>
      <c r="I1845" t="s">
        <v>10016</v>
      </c>
      <c r="J1845" t="s">
        <v>445</v>
      </c>
      <c r="K1845" t="s">
        <v>9445</v>
      </c>
      <c r="L1845" t="s">
        <v>9417</v>
      </c>
      <c r="M1845" t="s">
        <v>12710</v>
      </c>
      <c r="N1845" t="s">
        <v>9426</v>
      </c>
      <c r="O1845" t="s">
        <v>9446</v>
      </c>
      <c r="P1845" t="s">
        <v>9647</v>
      </c>
      <c r="Q1845" t="s">
        <v>9421</v>
      </c>
      <c r="R1845" t="s">
        <v>84</v>
      </c>
      <c r="S1845" t="s">
        <v>193</v>
      </c>
      <c r="T1845" t="s">
        <v>195</v>
      </c>
    </row>
    <row r="1846" spans="1:20">
      <c r="A1846" t="s">
        <v>475</v>
      </c>
      <c r="B1846" t="s">
        <v>62</v>
      </c>
      <c r="C1846" t="s">
        <v>4916</v>
      </c>
      <c r="D1846" t="s">
        <v>445</v>
      </c>
      <c r="E1846" t="s">
        <v>12833</v>
      </c>
      <c r="F1846" t="s">
        <v>9412</v>
      </c>
      <c r="G1846" t="s">
        <v>9413</v>
      </c>
      <c r="H1846" t="s">
        <v>12665</v>
      </c>
      <c r="I1846" t="s">
        <v>9506</v>
      </c>
      <c r="J1846" t="s">
        <v>445</v>
      </c>
      <c r="K1846" t="s">
        <v>9416</v>
      </c>
      <c r="L1846" t="s">
        <v>9417</v>
      </c>
      <c r="M1846" t="s">
        <v>12710</v>
      </c>
      <c r="N1846" t="s">
        <v>12682</v>
      </c>
      <c r="O1846" t="s">
        <v>4914</v>
      </c>
      <c r="P1846" t="s">
        <v>9420</v>
      </c>
      <c r="Q1846" t="s">
        <v>9421</v>
      </c>
      <c r="R1846" t="s">
        <v>17</v>
      </c>
      <c r="S1846" t="s">
        <v>475</v>
      </c>
      <c r="T1846" t="s">
        <v>477</v>
      </c>
    </row>
    <row r="1847" spans="1:20">
      <c r="A1847" t="s">
        <v>475</v>
      </c>
      <c r="B1847" t="s">
        <v>62</v>
      </c>
      <c r="C1847" t="s">
        <v>4918</v>
      </c>
      <c r="D1847" t="s">
        <v>445</v>
      </c>
      <c r="E1847" t="s">
        <v>12833</v>
      </c>
      <c r="F1847" t="s">
        <v>9412</v>
      </c>
      <c r="G1847" t="s">
        <v>9413</v>
      </c>
      <c r="H1847" t="s">
        <v>12665</v>
      </c>
      <c r="I1847" t="s">
        <v>9506</v>
      </c>
      <c r="J1847" t="s">
        <v>445</v>
      </c>
      <c r="K1847" t="s">
        <v>9445</v>
      </c>
      <c r="L1847" t="s">
        <v>9417</v>
      </c>
      <c r="M1847" t="s">
        <v>12710</v>
      </c>
      <c r="N1847" t="s">
        <v>9426</v>
      </c>
      <c r="O1847" t="s">
        <v>9446</v>
      </c>
      <c r="P1847" t="s">
        <v>9479</v>
      </c>
      <c r="Q1847" t="s">
        <v>9421</v>
      </c>
      <c r="R1847" t="s">
        <v>43</v>
      </c>
      <c r="S1847" t="s">
        <v>333</v>
      </c>
      <c r="T1847" t="s">
        <v>335</v>
      </c>
    </row>
    <row r="1848" spans="1:20">
      <c r="A1848" t="s">
        <v>12834</v>
      </c>
      <c r="B1848" t="s">
        <v>9409</v>
      </c>
      <c r="C1848" t="s">
        <v>12835</v>
      </c>
      <c r="D1848" t="s">
        <v>9410</v>
      </c>
      <c r="E1848" t="s">
        <v>12836</v>
      </c>
      <c r="F1848" t="s">
        <v>9412</v>
      </c>
      <c r="G1848" t="s">
        <v>9413</v>
      </c>
      <c r="H1848" t="s">
        <v>12665</v>
      </c>
      <c r="I1848" t="s">
        <v>10016</v>
      </c>
      <c r="J1848" t="s">
        <v>914</v>
      </c>
      <c r="K1848" t="s">
        <v>9416</v>
      </c>
      <c r="L1848" t="s">
        <v>9417</v>
      </c>
      <c r="M1848" t="s">
        <v>12800</v>
      </c>
      <c r="N1848" t="s">
        <v>12700</v>
      </c>
      <c r="O1848" t="s">
        <v>12837</v>
      </c>
      <c r="P1848" t="s">
        <v>9459</v>
      </c>
      <c r="Q1848" t="s">
        <v>9421</v>
      </c>
      <c r="R1848" t="s">
        <v>17</v>
      </c>
      <c r="S1848" t="s">
        <v>12834</v>
      </c>
      <c r="T1848" t="s">
        <v>12838</v>
      </c>
    </row>
    <row r="1849" spans="1:20">
      <c r="A1849" t="s">
        <v>156</v>
      </c>
      <c r="B1849" t="s">
        <v>62</v>
      </c>
      <c r="C1849" t="s">
        <v>4592</v>
      </c>
      <c r="D1849" t="s">
        <v>9448</v>
      </c>
      <c r="E1849" t="s">
        <v>12839</v>
      </c>
      <c r="F1849" t="s">
        <v>9412</v>
      </c>
      <c r="G1849" t="s">
        <v>9413</v>
      </c>
      <c r="H1849" t="s">
        <v>12665</v>
      </c>
      <c r="I1849" t="s">
        <v>9502</v>
      </c>
      <c r="J1849" t="s">
        <v>147</v>
      </c>
      <c r="K1849" t="s">
        <v>9445</v>
      </c>
      <c r="L1849" t="s">
        <v>9417</v>
      </c>
      <c r="M1849" t="s">
        <v>12840</v>
      </c>
      <c r="N1849" t="s">
        <v>9426</v>
      </c>
      <c r="O1849" t="s">
        <v>9446</v>
      </c>
      <c r="P1849" t="s">
        <v>9623</v>
      </c>
      <c r="Q1849" t="s">
        <v>9421</v>
      </c>
      <c r="R1849" t="s">
        <v>24</v>
      </c>
      <c r="S1849" t="s">
        <v>21</v>
      </c>
      <c r="T1849" t="s">
        <v>23</v>
      </c>
    </row>
    <row r="1850" spans="1:20">
      <c r="A1850" t="s">
        <v>156</v>
      </c>
      <c r="B1850" t="s">
        <v>62</v>
      </c>
      <c r="C1850" t="s">
        <v>4592</v>
      </c>
      <c r="D1850" t="s">
        <v>9448</v>
      </c>
      <c r="E1850" t="s">
        <v>12839</v>
      </c>
      <c r="F1850" t="s">
        <v>9412</v>
      </c>
      <c r="G1850" t="s">
        <v>9413</v>
      </c>
      <c r="H1850" t="s">
        <v>12665</v>
      </c>
      <c r="I1850" t="s">
        <v>9502</v>
      </c>
      <c r="J1850" t="s">
        <v>147</v>
      </c>
      <c r="K1850" t="s">
        <v>9416</v>
      </c>
      <c r="L1850" t="s">
        <v>9417</v>
      </c>
      <c r="M1850" t="s">
        <v>12840</v>
      </c>
      <c r="N1850" t="s">
        <v>12719</v>
      </c>
      <c r="O1850" t="s">
        <v>4590</v>
      </c>
      <c r="P1850" t="s">
        <v>9420</v>
      </c>
      <c r="Q1850" t="s">
        <v>9421</v>
      </c>
      <c r="R1850" t="s">
        <v>17</v>
      </c>
      <c r="S1850" t="s">
        <v>156</v>
      </c>
      <c r="T1850" t="s">
        <v>158</v>
      </c>
    </row>
    <row r="1851" spans="1:20">
      <c r="A1851" t="s">
        <v>12841</v>
      </c>
      <c r="B1851" t="s">
        <v>9409</v>
      </c>
      <c r="C1851" t="s">
        <v>12842</v>
      </c>
      <c r="D1851" t="s">
        <v>9410</v>
      </c>
      <c r="E1851" t="s">
        <v>12843</v>
      </c>
      <c r="F1851" t="s">
        <v>9412</v>
      </c>
      <c r="G1851" t="s">
        <v>9413</v>
      </c>
      <c r="H1851" t="s">
        <v>12665</v>
      </c>
      <c r="I1851" t="s">
        <v>9415</v>
      </c>
      <c r="J1851" t="s">
        <v>11</v>
      </c>
      <c r="K1851" t="s">
        <v>9445</v>
      </c>
      <c r="L1851" t="s">
        <v>9417</v>
      </c>
      <c r="M1851" t="s">
        <v>12781</v>
      </c>
      <c r="N1851" t="s">
        <v>9426</v>
      </c>
      <c r="O1851" t="s">
        <v>9446</v>
      </c>
      <c r="P1851" t="s">
        <v>9479</v>
      </c>
      <c r="Q1851" t="s">
        <v>9421</v>
      </c>
      <c r="R1851" t="s">
        <v>43</v>
      </c>
      <c r="S1851" t="s">
        <v>364</v>
      </c>
      <c r="T1851" t="s">
        <v>366</v>
      </c>
    </row>
    <row r="1852" spans="1:20">
      <c r="A1852" t="s">
        <v>12841</v>
      </c>
      <c r="B1852" t="s">
        <v>9409</v>
      </c>
      <c r="C1852" t="s">
        <v>12842</v>
      </c>
      <c r="D1852" t="s">
        <v>9410</v>
      </c>
      <c r="E1852" t="s">
        <v>12843</v>
      </c>
      <c r="F1852" t="s">
        <v>9412</v>
      </c>
      <c r="G1852" t="s">
        <v>9413</v>
      </c>
      <c r="H1852" t="s">
        <v>12665</v>
      </c>
      <c r="I1852" t="s">
        <v>9415</v>
      </c>
      <c r="J1852" t="s">
        <v>11</v>
      </c>
      <c r="K1852" t="s">
        <v>9416</v>
      </c>
      <c r="L1852" t="s">
        <v>9417</v>
      </c>
      <c r="M1852" t="s">
        <v>12781</v>
      </c>
      <c r="N1852" t="s">
        <v>12667</v>
      </c>
      <c r="O1852" t="s">
        <v>12844</v>
      </c>
      <c r="P1852" t="s">
        <v>9420</v>
      </c>
      <c r="Q1852" t="s">
        <v>9421</v>
      </c>
      <c r="R1852" t="s">
        <v>17</v>
      </c>
      <c r="S1852" t="s">
        <v>12841</v>
      </c>
      <c r="T1852" t="s">
        <v>12845</v>
      </c>
    </row>
    <row r="1853" spans="1:20">
      <c r="A1853" t="s">
        <v>12846</v>
      </c>
      <c r="B1853" t="s">
        <v>9409</v>
      </c>
      <c r="C1853" t="s">
        <v>12847</v>
      </c>
      <c r="D1853" t="s">
        <v>9410</v>
      </c>
      <c r="E1853" t="s">
        <v>12848</v>
      </c>
      <c r="F1853" t="s">
        <v>9412</v>
      </c>
      <c r="G1853" t="s">
        <v>9413</v>
      </c>
      <c r="H1853" t="s">
        <v>12665</v>
      </c>
      <c r="I1853" t="s">
        <v>9819</v>
      </c>
      <c r="J1853" t="s">
        <v>914</v>
      </c>
      <c r="K1853" t="s">
        <v>9416</v>
      </c>
      <c r="L1853" t="s">
        <v>9417</v>
      </c>
      <c r="M1853" t="s">
        <v>12699</v>
      </c>
      <c r="N1853" t="s">
        <v>12700</v>
      </c>
      <c r="O1853" t="s">
        <v>12849</v>
      </c>
      <c r="P1853" t="s">
        <v>9420</v>
      </c>
      <c r="Q1853" t="s">
        <v>9421</v>
      </c>
      <c r="R1853" t="s">
        <v>17</v>
      </c>
      <c r="S1853" t="s">
        <v>12850</v>
      </c>
      <c r="T1853" t="s">
        <v>12851</v>
      </c>
    </row>
    <row r="1854" spans="1:20">
      <c r="A1854" t="s">
        <v>12846</v>
      </c>
      <c r="B1854" t="s">
        <v>9409</v>
      </c>
      <c r="C1854" t="s">
        <v>12847</v>
      </c>
      <c r="D1854" t="s">
        <v>9410</v>
      </c>
      <c r="E1854" t="s">
        <v>12848</v>
      </c>
      <c r="F1854" t="s">
        <v>9412</v>
      </c>
      <c r="G1854" t="s">
        <v>9413</v>
      </c>
      <c r="H1854" t="s">
        <v>12665</v>
      </c>
      <c r="I1854" t="s">
        <v>9819</v>
      </c>
      <c r="J1854" t="s">
        <v>914</v>
      </c>
      <c r="K1854" t="s">
        <v>9445</v>
      </c>
      <c r="L1854" t="s">
        <v>9417</v>
      </c>
      <c r="M1854" t="s">
        <v>12699</v>
      </c>
      <c r="N1854" t="s">
        <v>9426</v>
      </c>
      <c r="O1854" t="s">
        <v>9446</v>
      </c>
      <c r="P1854" t="s">
        <v>9524</v>
      </c>
      <c r="Q1854" t="s">
        <v>9421</v>
      </c>
      <c r="R1854" t="s">
        <v>24</v>
      </c>
      <c r="S1854" t="s">
        <v>244</v>
      </c>
      <c r="T1854" t="s">
        <v>246</v>
      </c>
    </row>
    <row r="1855" spans="1:20">
      <c r="A1855" t="s">
        <v>160</v>
      </c>
      <c r="B1855" t="s">
        <v>20</v>
      </c>
      <c r="C1855" t="s">
        <v>164</v>
      </c>
      <c r="D1855" t="s">
        <v>9460</v>
      </c>
      <c r="E1855" t="s">
        <v>12852</v>
      </c>
      <c r="F1855" t="s">
        <v>9412</v>
      </c>
      <c r="G1855" t="s">
        <v>9413</v>
      </c>
      <c r="H1855" t="s">
        <v>12</v>
      </c>
      <c r="I1855" t="s">
        <v>9637</v>
      </c>
      <c r="J1855" t="s">
        <v>147</v>
      </c>
      <c r="K1855" t="s">
        <v>9416</v>
      </c>
      <c r="L1855" t="s">
        <v>9417</v>
      </c>
      <c r="M1855" t="s">
        <v>12693</v>
      </c>
      <c r="N1855" t="s">
        <v>12719</v>
      </c>
      <c r="O1855" t="s">
        <v>4594</v>
      </c>
      <c r="P1855" t="s">
        <v>9429</v>
      </c>
      <c r="Q1855" t="s">
        <v>9421</v>
      </c>
      <c r="R1855" t="s">
        <v>52</v>
      </c>
      <c r="S1855" t="s">
        <v>161</v>
      </c>
      <c r="T1855" t="s">
        <v>163</v>
      </c>
    </row>
    <row r="1856" spans="1:20">
      <c r="A1856" t="s">
        <v>160</v>
      </c>
      <c r="B1856" t="s">
        <v>20</v>
      </c>
      <c r="C1856" t="s">
        <v>164</v>
      </c>
      <c r="D1856" t="s">
        <v>9460</v>
      </c>
      <c r="E1856" t="s">
        <v>12852</v>
      </c>
      <c r="F1856" t="s">
        <v>9412</v>
      </c>
      <c r="G1856" t="s">
        <v>9413</v>
      </c>
      <c r="H1856" t="s">
        <v>12</v>
      </c>
      <c r="I1856" t="s">
        <v>9637</v>
      </c>
      <c r="J1856" t="s">
        <v>147</v>
      </c>
      <c r="K1856" t="s">
        <v>9416</v>
      </c>
      <c r="L1856" t="s">
        <v>9417</v>
      </c>
      <c r="M1856" t="s">
        <v>12693</v>
      </c>
      <c r="N1856" t="s">
        <v>9430</v>
      </c>
      <c r="O1856" t="s">
        <v>4598</v>
      </c>
      <c r="P1856" t="s">
        <v>9427</v>
      </c>
      <c r="Q1856" t="s">
        <v>9421</v>
      </c>
      <c r="R1856" t="s">
        <v>24</v>
      </c>
      <c r="S1856" t="s">
        <v>165</v>
      </c>
      <c r="T1856" t="s">
        <v>167</v>
      </c>
    </row>
    <row r="1857" spans="1:20">
      <c r="A1857" t="s">
        <v>12853</v>
      </c>
      <c r="B1857" t="s">
        <v>9409</v>
      </c>
      <c r="C1857" t="s">
        <v>12854</v>
      </c>
      <c r="D1857" t="s">
        <v>9410</v>
      </c>
      <c r="E1857" t="s">
        <v>12855</v>
      </c>
      <c r="F1857" t="s">
        <v>9412</v>
      </c>
      <c r="G1857" t="s">
        <v>9413</v>
      </c>
      <c r="H1857" t="s">
        <v>12665</v>
      </c>
      <c r="I1857" t="s">
        <v>9819</v>
      </c>
      <c r="J1857" t="s">
        <v>287</v>
      </c>
      <c r="K1857" t="s">
        <v>9416</v>
      </c>
      <c r="L1857" t="s">
        <v>9417</v>
      </c>
      <c r="M1857" t="s">
        <v>12673</v>
      </c>
      <c r="N1857" t="s">
        <v>12688</v>
      </c>
      <c r="O1857" t="s">
        <v>12856</v>
      </c>
      <c r="P1857" t="s">
        <v>9420</v>
      </c>
      <c r="Q1857" t="s">
        <v>9421</v>
      </c>
      <c r="R1857" t="s">
        <v>17</v>
      </c>
      <c r="S1857" t="s">
        <v>12853</v>
      </c>
      <c r="T1857" t="s">
        <v>12857</v>
      </c>
    </row>
    <row r="1858" spans="1:20">
      <c r="A1858" t="s">
        <v>479</v>
      </c>
      <c r="B1858" t="s">
        <v>62</v>
      </c>
      <c r="C1858" t="s">
        <v>4920</v>
      </c>
      <c r="D1858" t="s">
        <v>445</v>
      </c>
      <c r="E1858" t="s">
        <v>12858</v>
      </c>
      <c r="F1858" t="s">
        <v>9412</v>
      </c>
      <c r="G1858" t="s">
        <v>9413</v>
      </c>
      <c r="H1858" t="s">
        <v>12665</v>
      </c>
      <c r="I1858" t="s">
        <v>9452</v>
      </c>
      <c r="J1858" t="s">
        <v>445</v>
      </c>
      <c r="K1858" t="s">
        <v>9416</v>
      </c>
      <c r="L1858" t="s">
        <v>9417</v>
      </c>
      <c r="M1858" t="s">
        <v>12710</v>
      </c>
      <c r="N1858" t="s">
        <v>12682</v>
      </c>
      <c r="O1858" t="s">
        <v>4919</v>
      </c>
      <c r="P1858" t="s">
        <v>9420</v>
      </c>
      <c r="Q1858" t="s">
        <v>9421</v>
      </c>
      <c r="R1858" t="s">
        <v>17</v>
      </c>
      <c r="S1858" t="s">
        <v>479</v>
      </c>
      <c r="T1858" t="s">
        <v>481</v>
      </c>
    </row>
    <row r="1859" spans="1:20">
      <c r="A1859" t="s">
        <v>12859</v>
      </c>
      <c r="B1859" t="s">
        <v>9409</v>
      </c>
      <c r="C1859" t="s">
        <v>12860</v>
      </c>
      <c r="D1859" t="s">
        <v>9410</v>
      </c>
      <c r="E1859" t="s">
        <v>12861</v>
      </c>
      <c r="F1859" t="s">
        <v>9412</v>
      </c>
      <c r="G1859" t="s">
        <v>9413</v>
      </c>
      <c r="H1859" t="s">
        <v>12665</v>
      </c>
      <c r="I1859" t="s">
        <v>9502</v>
      </c>
      <c r="J1859" t="s">
        <v>287</v>
      </c>
      <c r="K1859" t="s">
        <v>9416</v>
      </c>
      <c r="L1859" t="s">
        <v>9417</v>
      </c>
      <c r="M1859" t="s">
        <v>12673</v>
      </c>
      <c r="N1859" t="s">
        <v>12688</v>
      </c>
      <c r="O1859" t="s">
        <v>12862</v>
      </c>
      <c r="P1859" t="s">
        <v>9420</v>
      </c>
      <c r="Q1859" t="s">
        <v>9421</v>
      </c>
      <c r="R1859" t="s">
        <v>17</v>
      </c>
      <c r="S1859" t="s">
        <v>12859</v>
      </c>
      <c r="T1859" t="s">
        <v>12863</v>
      </c>
    </row>
    <row r="1860" spans="1:20">
      <c r="A1860" t="s">
        <v>12859</v>
      </c>
      <c r="B1860" t="s">
        <v>9409</v>
      </c>
      <c r="C1860" t="s">
        <v>12860</v>
      </c>
      <c r="D1860" t="s">
        <v>9410</v>
      </c>
      <c r="E1860" t="s">
        <v>12861</v>
      </c>
      <c r="F1860" t="s">
        <v>9412</v>
      </c>
      <c r="G1860" t="s">
        <v>9413</v>
      </c>
      <c r="H1860" t="s">
        <v>12665</v>
      </c>
      <c r="I1860" t="s">
        <v>9502</v>
      </c>
      <c r="J1860" t="s">
        <v>287</v>
      </c>
      <c r="K1860" t="s">
        <v>9416</v>
      </c>
      <c r="L1860" t="s">
        <v>9417</v>
      </c>
      <c r="M1860" t="s">
        <v>12673</v>
      </c>
      <c r="N1860" t="s">
        <v>9430</v>
      </c>
      <c r="O1860" t="s">
        <v>4711</v>
      </c>
      <c r="P1860" t="s">
        <v>9524</v>
      </c>
      <c r="Q1860" t="s">
        <v>9421</v>
      </c>
      <c r="R1860" t="s">
        <v>24</v>
      </c>
      <c r="S1860" t="s">
        <v>299</v>
      </c>
      <c r="T1860" t="s">
        <v>301</v>
      </c>
    </row>
    <row r="1861" spans="1:20">
      <c r="A1861" t="s">
        <v>483</v>
      </c>
      <c r="B1861" t="s">
        <v>62</v>
      </c>
      <c r="C1861" t="s">
        <v>4924</v>
      </c>
      <c r="D1861" t="s">
        <v>445</v>
      </c>
      <c r="E1861" t="s">
        <v>12864</v>
      </c>
      <c r="F1861" t="s">
        <v>9412</v>
      </c>
      <c r="G1861" t="s">
        <v>9413</v>
      </c>
      <c r="H1861" t="s">
        <v>12665</v>
      </c>
      <c r="I1861" t="s">
        <v>9637</v>
      </c>
      <c r="J1861" t="s">
        <v>445</v>
      </c>
      <c r="K1861" t="s">
        <v>9416</v>
      </c>
      <c r="L1861" t="s">
        <v>9417</v>
      </c>
      <c r="M1861" t="s">
        <v>12734</v>
      </c>
      <c r="N1861" t="s">
        <v>12682</v>
      </c>
      <c r="O1861" t="s">
        <v>4922</v>
      </c>
      <c r="P1861" t="s">
        <v>9459</v>
      </c>
      <c r="Q1861" t="s">
        <v>9421</v>
      </c>
      <c r="R1861" t="s">
        <v>17</v>
      </c>
      <c r="S1861" t="s">
        <v>483</v>
      </c>
      <c r="T1861" t="s">
        <v>485</v>
      </c>
    </row>
    <row r="1862" spans="1:20">
      <c r="A1862" t="s">
        <v>12865</v>
      </c>
      <c r="B1862" t="s">
        <v>9409</v>
      </c>
      <c r="C1862" t="s">
        <v>12866</v>
      </c>
      <c r="D1862" t="s">
        <v>9410</v>
      </c>
      <c r="E1862" t="s">
        <v>12867</v>
      </c>
      <c r="F1862" t="s">
        <v>9412</v>
      </c>
      <c r="G1862" t="s">
        <v>9413</v>
      </c>
      <c r="H1862" t="s">
        <v>12665</v>
      </c>
      <c r="I1862" t="s">
        <v>9495</v>
      </c>
      <c r="J1862" t="s">
        <v>914</v>
      </c>
      <c r="K1862" t="s">
        <v>9416</v>
      </c>
      <c r="L1862" t="s">
        <v>9417</v>
      </c>
      <c r="M1862" t="s">
        <v>12681</v>
      </c>
      <c r="N1862" t="s">
        <v>12700</v>
      </c>
      <c r="O1862" t="s">
        <v>12868</v>
      </c>
      <c r="P1862" t="s">
        <v>9420</v>
      </c>
      <c r="Q1862" t="s">
        <v>9421</v>
      </c>
      <c r="R1862" t="s">
        <v>17</v>
      </c>
      <c r="S1862" t="s">
        <v>12865</v>
      </c>
      <c r="T1862" t="s">
        <v>12869</v>
      </c>
    </row>
    <row r="1863" spans="1:20">
      <c r="A1863" t="s">
        <v>12865</v>
      </c>
      <c r="B1863" t="s">
        <v>9409</v>
      </c>
      <c r="C1863" t="s">
        <v>12866</v>
      </c>
      <c r="D1863" t="s">
        <v>9410</v>
      </c>
      <c r="E1863" t="s">
        <v>12867</v>
      </c>
      <c r="F1863" t="s">
        <v>9412</v>
      </c>
      <c r="G1863" t="s">
        <v>9413</v>
      </c>
      <c r="H1863" t="s">
        <v>12665</v>
      </c>
      <c r="I1863" t="s">
        <v>9495</v>
      </c>
      <c r="J1863" t="s">
        <v>914</v>
      </c>
      <c r="K1863" t="s">
        <v>9416</v>
      </c>
      <c r="L1863" t="s">
        <v>9417</v>
      </c>
      <c r="M1863" t="s">
        <v>12681</v>
      </c>
      <c r="N1863" t="s">
        <v>12700</v>
      </c>
      <c r="O1863" t="s">
        <v>12870</v>
      </c>
      <c r="P1863" t="s">
        <v>9429</v>
      </c>
      <c r="Q1863" t="s">
        <v>9421</v>
      </c>
      <c r="R1863" t="s">
        <v>52</v>
      </c>
      <c r="S1863" t="s">
        <v>12871</v>
      </c>
      <c r="T1863" t="s">
        <v>12872</v>
      </c>
    </row>
    <row r="1864" spans="1:20">
      <c r="A1864" t="s">
        <v>12873</v>
      </c>
      <c r="B1864" t="s">
        <v>9409</v>
      </c>
      <c r="C1864" t="s">
        <v>12874</v>
      </c>
      <c r="D1864" t="s">
        <v>9410</v>
      </c>
      <c r="E1864" t="s">
        <v>12875</v>
      </c>
      <c r="F1864" t="s">
        <v>9412</v>
      </c>
      <c r="G1864" t="s">
        <v>9413</v>
      </c>
      <c r="H1864" t="s">
        <v>12665</v>
      </c>
      <c r="I1864" t="s">
        <v>9545</v>
      </c>
      <c r="J1864" t="s">
        <v>287</v>
      </c>
      <c r="K1864" t="s">
        <v>9416</v>
      </c>
      <c r="L1864" t="s">
        <v>9417</v>
      </c>
      <c r="M1864" t="s">
        <v>12681</v>
      </c>
      <c r="N1864" t="s">
        <v>12688</v>
      </c>
      <c r="O1864" t="s">
        <v>12876</v>
      </c>
      <c r="P1864" t="s">
        <v>9420</v>
      </c>
      <c r="Q1864" t="s">
        <v>9421</v>
      </c>
      <c r="R1864" t="s">
        <v>17</v>
      </c>
      <c r="S1864" t="s">
        <v>12873</v>
      </c>
      <c r="T1864" t="s">
        <v>12877</v>
      </c>
    </row>
    <row r="1865" spans="1:20">
      <c r="A1865" t="s">
        <v>4926</v>
      </c>
      <c r="B1865" t="s">
        <v>9409</v>
      </c>
      <c r="C1865" t="s">
        <v>4929</v>
      </c>
      <c r="D1865" t="s">
        <v>9410</v>
      </c>
      <c r="E1865" t="s">
        <v>12878</v>
      </c>
      <c r="F1865" t="s">
        <v>9412</v>
      </c>
      <c r="G1865" t="s">
        <v>9413</v>
      </c>
      <c r="H1865" t="s">
        <v>12665</v>
      </c>
      <c r="I1865" t="s">
        <v>9495</v>
      </c>
      <c r="J1865" t="s">
        <v>445</v>
      </c>
      <c r="K1865" t="s">
        <v>9416</v>
      </c>
      <c r="L1865" t="s">
        <v>9417</v>
      </c>
      <c r="M1865" t="s">
        <v>12681</v>
      </c>
      <c r="N1865" t="s">
        <v>12682</v>
      </c>
      <c r="O1865" t="s">
        <v>4927</v>
      </c>
      <c r="P1865" t="s">
        <v>9420</v>
      </c>
      <c r="Q1865" t="s">
        <v>9421</v>
      </c>
      <c r="R1865" t="s">
        <v>17</v>
      </c>
      <c r="S1865" t="s">
        <v>4926</v>
      </c>
      <c r="T1865" t="s">
        <v>12879</v>
      </c>
    </row>
    <row r="1866" spans="1:20">
      <c r="A1866" t="s">
        <v>168</v>
      </c>
      <c r="B1866" t="s">
        <v>20</v>
      </c>
      <c r="C1866" t="s">
        <v>169</v>
      </c>
      <c r="D1866" t="s">
        <v>9460</v>
      </c>
      <c r="E1866" t="s">
        <v>12880</v>
      </c>
      <c r="F1866" t="s">
        <v>9412</v>
      </c>
      <c r="G1866" t="s">
        <v>9413</v>
      </c>
      <c r="H1866" t="s">
        <v>12</v>
      </c>
      <c r="I1866" t="s">
        <v>9674</v>
      </c>
      <c r="J1866" t="s">
        <v>147</v>
      </c>
      <c r="K1866" t="s">
        <v>9445</v>
      </c>
      <c r="L1866" t="s">
        <v>9417</v>
      </c>
      <c r="M1866" t="s">
        <v>12805</v>
      </c>
      <c r="N1866" t="s">
        <v>9426</v>
      </c>
      <c r="O1866" t="s">
        <v>9446</v>
      </c>
      <c r="P1866" t="s">
        <v>9567</v>
      </c>
      <c r="Q1866" t="s">
        <v>9421</v>
      </c>
      <c r="R1866" t="s">
        <v>43</v>
      </c>
      <c r="S1866" t="s">
        <v>74</v>
      </c>
      <c r="T1866" t="s">
        <v>76</v>
      </c>
    </row>
    <row r="1867" spans="1:20">
      <c r="A1867" t="s">
        <v>168</v>
      </c>
      <c r="B1867" t="s">
        <v>20</v>
      </c>
      <c r="C1867" t="s">
        <v>169</v>
      </c>
      <c r="D1867" t="s">
        <v>9460</v>
      </c>
      <c r="E1867" t="s">
        <v>12880</v>
      </c>
      <c r="F1867" t="s">
        <v>9412</v>
      </c>
      <c r="G1867" t="s">
        <v>9413</v>
      </c>
      <c r="H1867" t="s">
        <v>12</v>
      </c>
      <c r="I1867" t="s">
        <v>9674</v>
      </c>
      <c r="J1867" t="s">
        <v>147</v>
      </c>
      <c r="K1867" t="s">
        <v>9416</v>
      </c>
      <c r="L1867" t="s">
        <v>9417</v>
      </c>
      <c r="M1867" t="s">
        <v>12805</v>
      </c>
      <c r="N1867" t="s">
        <v>12719</v>
      </c>
      <c r="O1867" t="s">
        <v>4603</v>
      </c>
      <c r="P1867" t="s">
        <v>9420</v>
      </c>
      <c r="Q1867" t="s">
        <v>9421</v>
      </c>
      <c r="R1867" t="s">
        <v>17</v>
      </c>
      <c r="S1867" t="s">
        <v>170</v>
      </c>
      <c r="T1867" t="s">
        <v>172</v>
      </c>
    </row>
    <row r="1868" spans="1:20">
      <c r="A1868" t="s">
        <v>12881</v>
      </c>
      <c r="B1868" t="s">
        <v>9409</v>
      </c>
      <c r="C1868" t="s">
        <v>12882</v>
      </c>
      <c r="D1868" t="s">
        <v>9410</v>
      </c>
      <c r="E1868" t="s">
        <v>12883</v>
      </c>
      <c r="F1868" t="s">
        <v>9412</v>
      </c>
      <c r="G1868" t="s">
        <v>9413</v>
      </c>
      <c r="H1868" t="s">
        <v>12665</v>
      </c>
      <c r="I1868" t="s">
        <v>9674</v>
      </c>
      <c r="J1868" t="s">
        <v>914</v>
      </c>
      <c r="K1868" t="s">
        <v>9416</v>
      </c>
      <c r="L1868" t="s">
        <v>9417</v>
      </c>
      <c r="M1868" t="s">
        <v>12699</v>
      </c>
      <c r="N1868" t="s">
        <v>12700</v>
      </c>
      <c r="O1868" t="s">
        <v>12884</v>
      </c>
      <c r="P1868" t="s">
        <v>9420</v>
      </c>
      <c r="Q1868" t="s">
        <v>9421</v>
      </c>
      <c r="R1868" t="s">
        <v>17</v>
      </c>
      <c r="S1868" t="s">
        <v>12881</v>
      </c>
      <c r="T1868" t="s">
        <v>12885</v>
      </c>
    </row>
    <row r="1869" spans="1:20">
      <c r="A1869" t="s">
        <v>12881</v>
      </c>
      <c r="B1869" t="s">
        <v>9409</v>
      </c>
      <c r="C1869" t="s">
        <v>12882</v>
      </c>
      <c r="D1869" t="s">
        <v>9410</v>
      </c>
      <c r="E1869" t="s">
        <v>12883</v>
      </c>
      <c r="F1869" t="s">
        <v>9412</v>
      </c>
      <c r="G1869" t="s">
        <v>9413</v>
      </c>
      <c r="H1869" t="s">
        <v>12665</v>
      </c>
      <c r="I1869" t="s">
        <v>9674</v>
      </c>
      <c r="J1869" t="s">
        <v>914</v>
      </c>
      <c r="K1869" t="s">
        <v>9416</v>
      </c>
      <c r="L1869" t="s">
        <v>9417</v>
      </c>
      <c r="M1869" t="s">
        <v>12699</v>
      </c>
      <c r="N1869" t="s">
        <v>12700</v>
      </c>
      <c r="O1869" t="s">
        <v>12886</v>
      </c>
      <c r="P1869" t="s">
        <v>9429</v>
      </c>
      <c r="Q1869" t="s">
        <v>9421</v>
      </c>
      <c r="R1869" t="s">
        <v>52</v>
      </c>
      <c r="S1869" t="s">
        <v>12887</v>
      </c>
      <c r="T1869" t="s">
        <v>12888</v>
      </c>
    </row>
    <row r="1870" spans="1:20">
      <c r="A1870" t="s">
        <v>12889</v>
      </c>
      <c r="B1870" t="s">
        <v>9409</v>
      </c>
      <c r="C1870" t="s">
        <v>12890</v>
      </c>
      <c r="D1870" t="s">
        <v>9410</v>
      </c>
      <c r="E1870" t="s">
        <v>12891</v>
      </c>
      <c r="F1870" t="s">
        <v>9412</v>
      </c>
      <c r="G1870" t="s">
        <v>9413</v>
      </c>
      <c r="H1870" t="s">
        <v>12665</v>
      </c>
      <c r="I1870" t="s">
        <v>9674</v>
      </c>
      <c r="J1870" t="s">
        <v>147</v>
      </c>
      <c r="K1870" t="s">
        <v>9416</v>
      </c>
      <c r="L1870" t="s">
        <v>9417</v>
      </c>
      <c r="M1870" t="s">
        <v>12693</v>
      </c>
      <c r="N1870" t="s">
        <v>12719</v>
      </c>
      <c r="O1870" t="s">
        <v>12892</v>
      </c>
      <c r="P1870" t="s">
        <v>9420</v>
      </c>
      <c r="Q1870" t="s">
        <v>9421</v>
      </c>
      <c r="R1870" t="s">
        <v>17</v>
      </c>
      <c r="S1870" t="s">
        <v>12889</v>
      </c>
      <c r="T1870" t="s">
        <v>12893</v>
      </c>
    </row>
    <row r="1871" spans="1:20">
      <c r="A1871" t="s">
        <v>12894</v>
      </c>
      <c r="B1871" t="s">
        <v>9409</v>
      </c>
      <c r="C1871" t="s">
        <v>12895</v>
      </c>
      <c r="D1871" t="s">
        <v>9410</v>
      </c>
      <c r="E1871" t="s">
        <v>12896</v>
      </c>
      <c r="F1871" t="s">
        <v>9412</v>
      </c>
      <c r="G1871" t="s">
        <v>9413</v>
      </c>
      <c r="H1871" t="s">
        <v>12665</v>
      </c>
      <c r="I1871" t="s">
        <v>9826</v>
      </c>
      <c r="J1871" t="s">
        <v>287</v>
      </c>
      <c r="K1871" t="s">
        <v>9445</v>
      </c>
      <c r="L1871" t="s">
        <v>9417</v>
      </c>
      <c r="M1871" t="s">
        <v>12673</v>
      </c>
      <c r="N1871" t="s">
        <v>9430</v>
      </c>
      <c r="O1871" t="s">
        <v>9446</v>
      </c>
      <c r="P1871" t="s">
        <v>9794</v>
      </c>
      <c r="Q1871" t="s">
        <v>9421</v>
      </c>
      <c r="R1871" t="s">
        <v>52</v>
      </c>
      <c r="S1871" t="s">
        <v>541</v>
      </c>
      <c r="T1871" t="s">
        <v>12897</v>
      </c>
    </row>
    <row r="1872" spans="1:20">
      <c r="A1872" t="s">
        <v>12894</v>
      </c>
      <c r="B1872" t="s">
        <v>9409</v>
      </c>
      <c r="C1872" t="s">
        <v>12895</v>
      </c>
      <c r="D1872" t="s">
        <v>9410</v>
      </c>
      <c r="E1872" t="s">
        <v>12896</v>
      </c>
      <c r="F1872" t="s">
        <v>9412</v>
      </c>
      <c r="G1872" t="s">
        <v>9413</v>
      </c>
      <c r="H1872" t="s">
        <v>12665</v>
      </c>
      <c r="I1872" t="s">
        <v>9826</v>
      </c>
      <c r="J1872" t="s">
        <v>287</v>
      </c>
      <c r="K1872" t="s">
        <v>9416</v>
      </c>
      <c r="L1872" t="s">
        <v>9417</v>
      </c>
      <c r="M1872" t="s">
        <v>12673</v>
      </c>
      <c r="N1872" t="s">
        <v>12688</v>
      </c>
      <c r="O1872" t="s">
        <v>12898</v>
      </c>
      <c r="P1872" t="s">
        <v>9420</v>
      </c>
      <c r="Q1872" t="s">
        <v>9421</v>
      </c>
      <c r="R1872" t="s">
        <v>17</v>
      </c>
      <c r="S1872" t="s">
        <v>12894</v>
      </c>
      <c r="T1872" t="s">
        <v>12899</v>
      </c>
    </row>
    <row r="1873" spans="1:20">
      <c r="A1873" t="s">
        <v>12900</v>
      </c>
      <c r="B1873" t="s">
        <v>9409</v>
      </c>
      <c r="C1873" t="s">
        <v>12901</v>
      </c>
      <c r="D1873" t="s">
        <v>9410</v>
      </c>
      <c r="E1873" t="s">
        <v>12902</v>
      </c>
      <c r="F1873" t="s">
        <v>9412</v>
      </c>
      <c r="G1873" t="s">
        <v>9413</v>
      </c>
      <c r="H1873" t="s">
        <v>12665</v>
      </c>
      <c r="I1873" t="s">
        <v>9826</v>
      </c>
      <c r="J1873" t="s">
        <v>287</v>
      </c>
      <c r="K1873" t="s">
        <v>9416</v>
      </c>
      <c r="L1873" t="s">
        <v>9417</v>
      </c>
      <c r="M1873" t="s">
        <v>12714</v>
      </c>
      <c r="N1873" t="s">
        <v>12688</v>
      </c>
      <c r="O1873" t="s">
        <v>12903</v>
      </c>
      <c r="P1873" t="s">
        <v>9459</v>
      </c>
      <c r="Q1873" t="s">
        <v>9421</v>
      </c>
      <c r="R1873" t="s">
        <v>17</v>
      </c>
      <c r="S1873" t="s">
        <v>12904</v>
      </c>
      <c r="T1873" t="s">
        <v>12905</v>
      </c>
    </row>
    <row r="1874" spans="1:20">
      <c r="A1874" t="s">
        <v>12900</v>
      </c>
      <c r="B1874" t="s">
        <v>9409</v>
      </c>
      <c r="C1874" t="s">
        <v>12901</v>
      </c>
      <c r="D1874" t="s">
        <v>9410</v>
      </c>
      <c r="E1874" t="s">
        <v>12902</v>
      </c>
      <c r="F1874" t="s">
        <v>9412</v>
      </c>
      <c r="G1874" t="s">
        <v>9413</v>
      </c>
      <c r="H1874" t="s">
        <v>12665</v>
      </c>
      <c r="I1874" t="s">
        <v>9826</v>
      </c>
      <c r="J1874" t="s">
        <v>287</v>
      </c>
      <c r="K1874" t="s">
        <v>9416</v>
      </c>
      <c r="L1874" t="s">
        <v>9417</v>
      </c>
      <c r="M1874" t="s">
        <v>12714</v>
      </c>
      <c r="N1874" t="s">
        <v>12688</v>
      </c>
      <c r="O1874" t="s">
        <v>12906</v>
      </c>
      <c r="P1874" t="s">
        <v>9459</v>
      </c>
      <c r="Q1874" t="s">
        <v>9421</v>
      </c>
      <c r="R1874" t="s">
        <v>17</v>
      </c>
      <c r="S1874" t="s">
        <v>12907</v>
      </c>
      <c r="T1874" t="s">
        <v>12908</v>
      </c>
    </row>
    <row r="1875" spans="1:20">
      <c r="A1875" t="s">
        <v>28</v>
      </c>
      <c r="B1875" t="s">
        <v>20</v>
      </c>
      <c r="C1875" t="s">
        <v>4459</v>
      </c>
      <c r="D1875" t="s">
        <v>9666</v>
      </c>
      <c r="E1875" t="s">
        <v>12909</v>
      </c>
      <c r="F1875" t="s">
        <v>9412</v>
      </c>
      <c r="G1875" t="s">
        <v>9413</v>
      </c>
      <c r="H1875" t="s">
        <v>12665</v>
      </c>
      <c r="I1875" t="s">
        <v>9826</v>
      </c>
      <c r="J1875" t="s">
        <v>11</v>
      </c>
      <c r="K1875" t="s">
        <v>9416</v>
      </c>
      <c r="L1875" t="s">
        <v>9417</v>
      </c>
      <c r="M1875" t="s">
        <v>12781</v>
      </c>
      <c r="N1875" t="s">
        <v>12667</v>
      </c>
      <c r="O1875" t="s">
        <v>4457</v>
      </c>
      <c r="P1875" t="s">
        <v>9420</v>
      </c>
      <c r="Q1875" t="s">
        <v>9421</v>
      </c>
      <c r="R1875" t="s">
        <v>17</v>
      </c>
      <c r="S1875" t="s">
        <v>28</v>
      </c>
      <c r="T1875" t="s">
        <v>30</v>
      </c>
    </row>
    <row r="1876" spans="1:20">
      <c r="A1876" t="s">
        <v>28</v>
      </c>
      <c r="B1876" t="s">
        <v>20</v>
      </c>
      <c r="C1876" t="s">
        <v>4459</v>
      </c>
      <c r="D1876" t="s">
        <v>9666</v>
      </c>
      <c r="E1876" t="s">
        <v>12909</v>
      </c>
      <c r="F1876" t="s">
        <v>9412</v>
      </c>
      <c r="G1876" t="s">
        <v>9413</v>
      </c>
      <c r="H1876" t="s">
        <v>12665</v>
      </c>
      <c r="I1876" t="s">
        <v>9826</v>
      </c>
      <c r="J1876" t="s">
        <v>11</v>
      </c>
      <c r="K1876" t="s">
        <v>9416</v>
      </c>
      <c r="L1876" t="s">
        <v>9417</v>
      </c>
      <c r="M1876" t="s">
        <v>12781</v>
      </c>
      <c r="N1876" t="s">
        <v>9430</v>
      </c>
      <c r="O1876" t="s">
        <v>4461</v>
      </c>
      <c r="P1876" t="s">
        <v>9431</v>
      </c>
      <c r="Q1876" t="s">
        <v>9421</v>
      </c>
      <c r="R1876" t="s">
        <v>24</v>
      </c>
      <c r="S1876" t="s">
        <v>32</v>
      </c>
      <c r="T1876" t="s">
        <v>34</v>
      </c>
    </row>
    <row r="1877" spans="1:20">
      <c r="A1877" t="s">
        <v>12910</v>
      </c>
      <c r="B1877" t="s">
        <v>9409</v>
      </c>
      <c r="C1877" t="s">
        <v>12911</v>
      </c>
      <c r="D1877" t="s">
        <v>9410</v>
      </c>
      <c r="E1877" t="s">
        <v>12912</v>
      </c>
      <c r="F1877" t="s">
        <v>9412</v>
      </c>
      <c r="G1877" t="s">
        <v>9413</v>
      </c>
      <c r="H1877" t="s">
        <v>12665</v>
      </c>
      <c r="I1877" t="s">
        <v>9826</v>
      </c>
      <c r="J1877" t="s">
        <v>914</v>
      </c>
      <c r="K1877" t="s">
        <v>9416</v>
      </c>
      <c r="L1877" t="s">
        <v>9417</v>
      </c>
      <c r="M1877" t="s">
        <v>12699</v>
      </c>
      <c r="N1877" t="s">
        <v>12700</v>
      </c>
      <c r="O1877" t="s">
        <v>12913</v>
      </c>
      <c r="P1877" t="s">
        <v>9429</v>
      </c>
      <c r="Q1877" t="s">
        <v>9421</v>
      </c>
      <c r="R1877" t="s">
        <v>52</v>
      </c>
      <c r="S1877" t="s">
        <v>12914</v>
      </c>
      <c r="T1877" t="s">
        <v>12915</v>
      </c>
    </row>
    <row r="1878" spans="1:20">
      <c r="A1878" t="s">
        <v>12910</v>
      </c>
      <c r="B1878" t="s">
        <v>9409</v>
      </c>
      <c r="C1878" t="s">
        <v>12911</v>
      </c>
      <c r="D1878" t="s">
        <v>9410</v>
      </c>
      <c r="E1878" t="s">
        <v>12912</v>
      </c>
      <c r="F1878" t="s">
        <v>9412</v>
      </c>
      <c r="G1878" t="s">
        <v>9413</v>
      </c>
      <c r="H1878" t="s">
        <v>12665</v>
      </c>
      <c r="I1878" t="s">
        <v>9826</v>
      </c>
      <c r="J1878" t="s">
        <v>914</v>
      </c>
      <c r="K1878" t="s">
        <v>9416</v>
      </c>
      <c r="L1878" t="s">
        <v>9417</v>
      </c>
      <c r="M1878" t="s">
        <v>12699</v>
      </c>
      <c r="N1878" t="s">
        <v>12700</v>
      </c>
      <c r="O1878" t="s">
        <v>12916</v>
      </c>
      <c r="P1878" t="s">
        <v>9420</v>
      </c>
      <c r="Q1878" t="s">
        <v>9421</v>
      </c>
      <c r="R1878" t="s">
        <v>17</v>
      </c>
      <c r="S1878" t="s">
        <v>12910</v>
      </c>
      <c r="T1878" t="s">
        <v>12917</v>
      </c>
    </row>
    <row r="1879" spans="1:20">
      <c r="A1879" t="s">
        <v>5324</v>
      </c>
      <c r="B1879" t="s">
        <v>9409</v>
      </c>
      <c r="C1879" t="s">
        <v>5325</v>
      </c>
      <c r="D1879" t="s">
        <v>9410</v>
      </c>
      <c r="E1879" t="s">
        <v>12918</v>
      </c>
      <c r="F1879" t="s">
        <v>9412</v>
      </c>
      <c r="G1879" t="s">
        <v>9413</v>
      </c>
      <c r="H1879" t="s">
        <v>12665</v>
      </c>
      <c r="I1879" t="s">
        <v>10066</v>
      </c>
      <c r="J1879" t="s">
        <v>914</v>
      </c>
      <c r="K1879" t="s">
        <v>9445</v>
      </c>
      <c r="L1879" t="s">
        <v>9417</v>
      </c>
      <c r="M1879" t="s">
        <v>12699</v>
      </c>
      <c r="N1879" t="s">
        <v>9426</v>
      </c>
      <c r="O1879" t="s">
        <v>9446</v>
      </c>
      <c r="P1879" t="s">
        <v>9567</v>
      </c>
      <c r="Q1879" t="s">
        <v>9421</v>
      </c>
      <c r="R1879" t="s">
        <v>43</v>
      </c>
      <c r="S1879" t="s">
        <v>74</v>
      </c>
      <c r="T1879" t="s">
        <v>76</v>
      </c>
    </row>
    <row r="1880" spans="1:20">
      <c r="A1880" t="s">
        <v>5324</v>
      </c>
      <c r="B1880" t="s">
        <v>9409</v>
      </c>
      <c r="C1880" t="s">
        <v>5325</v>
      </c>
      <c r="D1880" t="s">
        <v>9410</v>
      </c>
      <c r="E1880" t="s">
        <v>12918</v>
      </c>
      <c r="F1880" t="s">
        <v>9412</v>
      </c>
      <c r="G1880" t="s">
        <v>9413</v>
      </c>
      <c r="H1880" t="s">
        <v>12665</v>
      </c>
      <c r="I1880" t="s">
        <v>10066</v>
      </c>
      <c r="J1880" t="s">
        <v>914</v>
      </c>
      <c r="K1880" t="s">
        <v>9416</v>
      </c>
      <c r="L1880" t="s">
        <v>9417</v>
      </c>
      <c r="M1880" t="s">
        <v>12699</v>
      </c>
      <c r="N1880" t="s">
        <v>12700</v>
      </c>
      <c r="O1880" t="s">
        <v>5327</v>
      </c>
      <c r="P1880" t="s">
        <v>9420</v>
      </c>
      <c r="Q1880" t="s">
        <v>9421</v>
      </c>
      <c r="R1880" t="s">
        <v>17</v>
      </c>
      <c r="S1880" t="s">
        <v>5324</v>
      </c>
      <c r="T1880" t="s">
        <v>12919</v>
      </c>
    </row>
    <row r="1881" spans="1:20">
      <c r="A1881" t="s">
        <v>715</v>
      </c>
      <c r="B1881" t="s">
        <v>20</v>
      </c>
      <c r="C1881" t="s">
        <v>5151</v>
      </c>
      <c r="D1881" t="s">
        <v>9475</v>
      </c>
      <c r="E1881" t="s">
        <v>12920</v>
      </c>
      <c r="F1881" t="s">
        <v>9412</v>
      </c>
      <c r="G1881" t="s">
        <v>9413</v>
      </c>
      <c r="H1881" t="s">
        <v>12665</v>
      </c>
      <c r="I1881" t="s">
        <v>9576</v>
      </c>
      <c r="J1881" t="s">
        <v>710</v>
      </c>
      <c r="K1881" t="s">
        <v>9416</v>
      </c>
      <c r="L1881" t="s">
        <v>9417</v>
      </c>
      <c r="M1881" t="s">
        <v>12738</v>
      </c>
      <c r="N1881" t="s">
        <v>12725</v>
      </c>
      <c r="O1881" t="s">
        <v>5149</v>
      </c>
      <c r="P1881" t="s">
        <v>9420</v>
      </c>
      <c r="Q1881" t="s">
        <v>9421</v>
      </c>
      <c r="R1881" t="s">
        <v>17</v>
      </c>
      <c r="S1881" t="s">
        <v>715</v>
      </c>
      <c r="T1881" t="s">
        <v>717</v>
      </c>
    </row>
    <row r="1882" spans="1:20">
      <c r="A1882" t="s">
        <v>12921</v>
      </c>
      <c r="B1882" t="s">
        <v>9409</v>
      </c>
      <c r="C1882" t="s">
        <v>12922</v>
      </c>
      <c r="D1882" t="s">
        <v>9410</v>
      </c>
      <c r="E1882" t="s">
        <v>12923</v>
      </c>
      <c r="F1882" t="s">
        <v>9412</v>
      </c>
      <c r="G1882" t="s">
        <v>9413</v>
      </c>
      <c r="H1882" t="s">
        <v>12665</v>
      </c>
      <c r="I1882" t="s">
        <v>9826</v>
      </c>
      <c r="J1882" t="s">
        <v>147</v>
      </c>
      <c r="K1882" t="s">
        <v>9416</v>
      </c>
      <c r="L1882" t="s">
        <v>9417</v>
      </c>
      <c r="M1882" t="s">
        <v>12924</v>
      </c>
      <c r="N1882" t="s">
        <v>12719</v>
      </c>
      <c r="O1882" t="s">
        <v>12925</v>
      </c>
      <c r="P1882" t="s">
        <v>9420</v>
      </c>
      <c r="Q1882" t="s">
        <v>9421</v>
      </c>
      <c r="R1882" t="s">
        <v>17</v>
      </c>
      <c r="S1882" t="s">
        <v>12921</v>
      </c>
      <c r="T1882" t="s">
        <v>12926</v>
      </c>
    </row>
    <row r="1883" spans="1:20">
      <c r="A1883" t="s">
        <v>12927</v>
      </c>
      <c r="B1883" t="s">
        <v>9409</v>
      </c>
      <c r="C1883" t="s">
        <v>12928</v>
      </c>
      <c r="D1883" t="s">
        <v>9410</v>
      </c>
      <c r="E1883" t="s">
        <v>12929</v>
      </c>
      <c r="F1883" t="s">
        <v>9412</v>
      </c>
      <c r="G1883" t="s">
        <v>9413</v>
      </c>
      <c r="H1883" t="s">
        <v>12665</v>
      </c>
      <c r="I1883" t="s">
        <v>10066</v>
      </c>
      <c r="J1883" t="s">
        <v>287</v>
      </c>
      <c r="K1883" t="s">
        <v>9416</v>
      </c>
      <c r="L1883" t="s">
        <v>9417</v>
      </c>
      <c r="M1883" t="s">
        <v>12681</v>
      </c>
      <c r="N1883" t="s">
        <v>12688</v>
      </c>
      <c r="O1883" t="s">
        <v>12930</v>
      </c>
      <c r="P1883" t="s">
        <v>9420</v>
      </c>
      <c r="Q1883" t="s">
        <v>9421</v>
      </c>
      <c r="R1883" t="s">
        <v>17</v>
      </c>
      <c r="S1883" t="s">
        <v>12927</v>
      </c>
      <c r="T1883" t="s">
        <v>12931</v>
      </c>
    </row>
    <row r="1884" spans="1:20">
      <c r="A1884" t="s">
        <v>12932</v>
      </c>
      <c r="B1884" t="s">
        <v>9409</v>
      </c>
      <c r="C1884" t="s">
        <v>12933</v>
      </c>
      <c r="D1884" t="s">
        <v>9410</v>
      </c>
      <c r="E1884" t="s">
        <v>12934</v>
      </c>
      <c r="F1884" t="s">
        <v>9412</v>
      </c>
      <c r="G1884" t="s">
        <v>9413</v>
      </c>
      <c r="H1884" t="s">
        <v>12665</v>
      </c>
      <c r="I1884" t="s">
        <v>10066</v>
      </c>
      <c r="J1884" t="s">
        <v>147</v>
      </c>
      <c r="K1884" t="s">
        <v>9416</v>
      </c>
      <c r="L1884" t="s">
        <v>9417</v>
      </c>
      <c r="M1884" t="s">
        <v>12717</v>
      </c>
      <c r="N1884" t="s">
        <v>12719</v>
      </c>
      <c r="O1884" t="s">
        <v>12935</v>
      </c>
      <c r="P1884" t="s">
        <v>9524</v>
      </c>
      <c r="Q1884" t="s">
        <v>9421</v>
      </c>
      <c r="R1884" t="s">
        <v>24</v>
      </c>
      <c r="S1884" t="s">
        <v>12932</v>
      </c>
      <c r="T1884" t="s">
        <v>12936</v>
      </c>
    </row>
    <row r="1885" spans="1:20">
      <c r="A1885" t="s">
        <v>173</v>
      </c>
      <c r="B1885" t="s">
        <v>62</v>
      </c>
      <c r="C1885" t="s">
        <v>4607</v>
      </c>
      <c r="D1885" t="s">
        <v>9448</v>
      </c>
      <c r="E1885" t="s">
        <v>12937</v>
      </c>
      <c r="F1885" t="s">
        <v>9412</v>
      </c>
      <c r="G1885" t="s">
        <v>9413</v>
      </c>
      <c r="H1885" t="s">
        <v>12665</v>
      </c>
      <c r="I1885" t="s">
        <v>10066</v>
      </c>
      <c r="J1885" t="s">
        <v>147</v>
      </c>
      <c r="K1885" t="s">
        <v>9416</v>
      </c>
      <c r="L1885" t="s">
        <v>9417</v>
      </c>
      <c r="M1885" t="s">
        <v>12938</v>
      </c>
      <c r="N1885" t="s">
        <v>12719</v>
      </c>
      <c r="O1885" t="s">
        <v>4605</v>
      </c>
      <c r="P1885" t="s">
        <v>9420</v>
      </c>
      <c r="Q1885" t="s">
        <v>9421</v>
      </c>
      <c r="R1885" t="s">
        <v>17</v>
      </c>
      <c r="S1885" t="s">
        <v>173</v>
      </c>
      <c r="T1885" t="s">
        <v>175</v>
      </c>
    </row>
    <row r="1886" spans="1:20">
      <c r="A1886" t="s">
        <v>12939</v>
      </c>
      <c r="B1886" t="s">
        <v>9409</v>
      </c>
      <c r="C1886" t="s">
        <v>12940</v>
      </c>
      <c r="D1886" t="s">
        <v>9410</v>
      </c>
      <c r="E1886" t="s">
        <v>12941</v>
      </c>
      <c r="F1886" t="s">
        <v>9412</v>
      </c>
      <c r="G1886" t="s">
        <v>9413</v>
      </c>
      <c r="H1886" t="s">
        <v>12665</v>
      </c>
      <c r="I1886" t="s">
        <v>9576</v>
      </c>
      <c r="J1886" t="s">
        <v>287</v>
      </c>
      <c r="K1886" t="s">
        <v>9416</v>
      </c>
      <c r="L1886" t="s">
        <v>9417</v>
      </c>
      <c r="M1886" t="s">
        <v>12714</v>
      </c>
      <c r="N1886" t="s">
        <v>12688</v>
      </c>
      <c r="O1886" t="s">
        <v>12942</v>
      </c>
      <c r="P1886" t="s">
        <v>9420</v>
      </c>
      <c r="Q1886" t="s">
        <v>9421</v>
      </c>
      <c r="R1886" t="s">
        <v>17</v>
      </c>
      <c r="S1886" t="s">
        <v>12939</v>
      </c>
      <c r="T1886" t="s">
        <v>12943</v>
      </c>
    </row>
    <row r="1887" spans="1:20">
      <c r="A1887" t="s">
        <v>177</v>
      </c>
      <c r="B1887" t="s">
        <v>20</v>
      </c>
      <c r="C1887" t="s">
        <v>4611</v>
      </c>
      <c r="D1887" t="s">
        <v>9455</v>
      </c>
      <c r="E1887" t="s">
        <v>12944</v>
      </c>
      <c r="F1887" t="s">
        <v>9412</v>
      </c>
      <c r="G1887" t="s">
        <v>9413</v>
      </c>
      <c r="H1887" t="s">
        <v>12665</v>
      </c>
      <c r="I1887" t="s">
        <v>10434</v>
      </c>
      <c r="J1887" t="s">
        <v>147</v>
      </c>
      <c r="K1887" t="s">
        <v>9416</v>
      </c>
      <c r="L1887" t="s">
        <v>9417</v>
      </c>
      <c r="M1887" t="s">
        <v>12840</v>
      </c>
      <c r="N1887" t="s">
        <v>12719</v>
      </c>
      <c r="O1887" t="s">
        <v>4613</v>
      </c>
      <c r="P1887" t="s">
        <v>9429</v>
      </c>
      <c r="Q1887" t="s">
        <v>9421</v>
      </c>
      <c r="R1887" t="s">
        <v>52</v>
      </c>
      <c r="S1887" t="s">
        <v>182</v>
      </c>
      <c r="T1887" t="s">
        <v>184</v>
      </c>
    </row>
    <row r="1888" spans="1:20">
      <c r="A1888" t="s">
        <v>177</v>
      </c>
      <c r="B1888" t="s">
        <v>20</v>
      </c>
      <c r="C1888" t="s">
        <v>4611</v>
      </c>
      <c r="D1888" t="s">
        <v>9455</v>
      </c>
      <c r="E1888" t="s">
        <v>12944</v>
      </c>
      <c r="F1888" t="s">
        <v>9412</v>
      </c>
      <c r="G1888" t="s">
        <v>9413</v>
      </c>
      <c r="H1888" t="s">
        <v>12665</v>
      </c>
      <c r="I1888" t="s">
        <v>10434</v>
      </c>
      <c r="J1888" t="s">
        <v>147</v>
      </c>
      <c r="K1888" t="s">
        <v>9445</v>
      </c>
      <c r="L1888" t="s">
        <v>9417</v>
      </c>
      <c r="M1888" t="s">
        <v>12840</v>
      </c>
      <c r="N1888" t="s">
        <v>9426</v>
      </c>
      <c r="O1888" t="s">
        <v>9446</v>
      </c>
      <c r="P1888" t="s">
        <v>9623</v>
      </c>
      <c r="Q1888" t="s">
        <v>9421</v>
      </c>
      <c r="R1888" t="s">
        <v>24</v>
      </c>
      <c r="S1888" t="s">
        <v>21</v>
      </c>
      <c r="T1888" t="s">
        <v>23</v>
      </c>
    </row>
    <row r="1889" spans="1:20">
      <c r="A1889" t="s">
        <v>177</v>
      </c>
      <c r="B1889" t="s">
        <v>20</v>
      </c>
      <c r="C1889" t="s">
        <v>4611</v>
      </c>
      <c r="D1889" t="s">
        <v>9455</v>
      </c>
      <c r="E1889" t="s">
        <v>12944</v>
      </c>
      <c r="F1889" t="s">
        <v>9412</v>
      </c>
      <c r="G1889" t="s">
        <v>9413</v>
      </c>
      <c r="H1889" t="s">
        <v>12665</v>
      </c>
      <c r="I1889" t="s">
        <v>10434</v>
      </c>
      <c r="J1889" t="s">
        <v>147</v>
      </c>
      <c r="K1889" t="s">
        <v>9416</v>
      </c>
      <c r="L1889" t="s">
        <v>9417</v>
      </c>
      <c r="M1889" t="s">
        <v>12840</v>
      </c>
      <c r="N1889" t="s">
        <v>9430</v>
      </c>
      <c r="O1889" t="s">
        <v>4609</v>
      </c>
      <c r="P1889" t="s">
        <v>9474</v>
      </c>
      <c r="Q1889" t="s">
        <v>9421</v>
      </c>
      <c r="R1889" t="s">
        <v>43</v>
      </c>
      <c r="S1889" t="s">
        <v>178</v>
      </c>
      <c r="T1889" t="s">
        <v>180</v>
      </c>
    </row>
    <row r="1890" spans="1:20">
      <c r="A1890" t="s">
        <v>12945</v>
      </c>
      <c r="B1890" t="s">
        <v>9409</v>
      </c>
      <c r="C1890" t="s">
        <v>12946</v>
      </c>
      <c r="D1890" t="s">
        <v>9410</v>
      </c>
      <c r="E1890" t="s">
        <v>12947</v>
      </c>
      <c r="F1890" t="s">
        <v>9412</v>
      </c>
      <c r="G1890" t="s">
        <v>9413</v>
      </c>
      <c r="H1890" t="s">
        <v>12665</v>
      </c>
      <c r="I1890" t="s">
        <v>9826</v>
      </c>
      <c r="J1890" t="s">
        <v>147</v>
      </c>
      <c r="K1890" t="s">
        <v>9445</v>
      </c>
      <c r="L1890" t="s">
        <v>9417</v>
      </c>
      <c r="M1890" t="s">
        <v>12805</v>
      </c>
      <c r="N1890" t="s">
        <v>9426</v>
      </c>
      <c r="O1890" t="s">
        <v>9446</v>
      </c>
      <c r="P1890" t="s">
        <v>9623</v>
      </c>
      <c r="Q1890" t="s">
        <v>9421</v>
      </c>
      <c r="R1890" t="s">
        <v>24</v>
      </c>
      <c r="S1890" t="s">
        <v>21</v>
      </c>
      <c r="T1890" t="s">
        <v>23</v>
      </c>
    </row>
    <row r="1891" spans="1:20">
      <c r="A1891" t="s">
        <v>12945</v>
      </c>
      <c r="B1891" t="s">
        <v>9409</v>
      </c>
      <c r="C1891" t="s">
        <v>12946</v>
      </c>
      <c r="D1891" t="s">
        <v>9410</v>
      </c>
      <c r="E1891" t="s">
        <v>12947</v>
      </c>
      <c r="F1891" t="s">
        <v>9412</v>
      </c>
      <c r="G1891" t="s">
        <v>9413</v>
      </c>
      <c r="H1891" t="s">
        <v>12665</v>
      </c>
      <c r="I1891" t="s">
        <v>9826</v>
      </c>
      <c r="J1891" t="s">
        <v>147</v>
      </c>
      <c r="K1891" t="s">
        <v>9416</v>
      </c>
      <c r="L1891" t="s">
        <v>9417</v>
      </c>
      <c r="M1891" t="s">
        <v>12805</v>
      </c>
      <c r="N1891" t="s">
        <v>12719</v>
      </c>
      <c r="O1891" t="s">
        <v>12948</v>
      </c>
      <c r="P1891" t="s">
        <v>9420</v>
      </c>
      <c r="Q1891" t="s">
        <v>9421</v>
      </c>
      <c r="R1891" t="s">
        <v>17</v>
      </c>
      <c r="S1891" t="s">
        <v>12945</v>
      </c>
      <c r="T1891" t="s">
        <v>12949</v>
      </c>
    </row>
    <row r="1892" spans="1:20">
      <c r="A1892" t="s">
        <v>5153</v>
      </c>
      <c r="B1892" t="s">
        <v>9409</v>
      </c>
      <c r="C1892" t="s">
        <v>5156</v>
      </c>
      <c r="D1892" t="s">
        <v>9410</v>
      </c>
      <c r="E1892" t="s">
        <v>12950</v>
      </c>
      <c r="F1892" t="s">
        <v>9412</v>
      </c>
      <c r="G1892" t="s">
        <v>9413</v>
      </c>
      <c r="H1892" t="s">
        <v>12665</v>
      </c>
      <c r="I1892" t="s">
        <v>10191</v>
      </c>
      <c r="J1892" t="s">
        <v>710</v>
      </c>
      <c r="K1892" t="s">
        <v>9416</v>
      </c>
      <c r="L1892" t="s">
        <v>9417</v>
      </c>
      <c r="M1892" t="s">
        <v>12951</v>
      </c>
      <c r="N1892" t="s">
        <v>12725</v>
      </c>
      <c r="O1892" t="s">
        <v>5154</v>
      </c>
      <c r="P1892" t="s">
        <v>9459</v>
      </c>
      <c r="Q1892" t="s">
        <v>9421</v>
      </c>
      <c r="R1892" t="s">
        <v>17</v>
      </c>
      <c r="S1892" t="s">
        <v>5153</v>
      </c>
      <c r="T1892" t="s">
        <v>12952</v>
      </c>
    </row>
    <row r="1893" spans="1:20">
      <c r="A1893" t="s">
        <v>542</v>
      </c>
      <c r="B1893" t="s">
        <v>9409</v>
      </c>
      <c r="C1893" t="s">
        <v>12953</v>
      </c>
      <c r="D1893" t="s">
        <v>9410</v>
      </c>
      <c r="E1893" t="s">
        <v>12954</v>
      </c>
      <c r="F1893" t="s">
        <v>9412</v>
      </c>
      <c r="G1893" t="s">
        <v>9413</v>
      </c>
      <c r="H1893" t="s">
        <v>12665</v>
      </c>
      <c r="I1893" t="s">
        <v>10066</v>
      </c>
      <c r="J1893" t="s">
        <v>914</v>
      </c>
      <c r="K1893" t="s">
        <v>9416</v>
      </c>
      <c r="L1893" t="s">
        <v>9417</v>
      </c>
      <c r="M1893" t="s">
        <v>12800</v>
      </c>
      <c r="N1893" t="s">
        <v>12700</v>
      </c>
      <c r="O1893" t="s">
        <v>4688</v>
      </c>
      <c r="P1893" t="s">
        <v>9420</v>
      </c>
      <c r="Q1893" t="s">
        <v>9421</v>
      </c>
      <c r="R1893" t="s">
        <v>17</v>
      </c>
      <c r="S1893" t="s">
        <v>4687</v>
      </c>
      <c r="T1893" t="s">
        <v>4689</v>
      </c>
    </row>
    <row r="1894" spans="1:20">
      <c r="A1894" t="s">
        <v>542</v>
      </c>
      <c r="B1894" t="s">
        <v>9409</v>
      </c>
      <c r="C1894" t="s">
        <v>12953</v>
      </c>
      <c r="D1894" t="s">
        <v>9410</v>
      </c>
      <c r="E1894" t="s">
        <v>12954</v>
      </c>
      <c r="F1894" t="s">
        <v>9412</v>
      </c>
      <c r="G1894" t="s">
        <v>9413</v>
      </c>
      <c r="H1894" t="s">
        <v>12665</v>
      </c>
      <c r="I1894" t="s">
        <v>10066</v>
      </c>
      <c r="J1894" t="s">
        <v>914</v>
      </c>
      <c r="K1894" t="s">
        <v>9416</v>
      </c>
      <c r="L1894" t="s">
        <v>9417</v>
      </c>
      <c r="M1894" t="s">
        <v>12800</v>
      </c>
      <c r="N1894" t="s">
        <v>12700</v>
      </c>
      <c r="O1894" t="s">
        <v>12955</v>
      </c>
      <c r="P1894" t="s">
        <v>9420</v>
      </c>
      <c r="Q1894" t="s">
        <v>9421</v>
      </c>
      <c r="R1894" t="s">
        <v>17</v>
      </c>
      <c r="S1894" t="s">
        <v>12956</v>
      </c>
      <c r="T1894" t="s">
        <v>12957</v>
      </c>
    </row>
    <row r="1895" spans="1:20">
      <c r="A1895" t="s">
        <v>12958</v>
      </c>
      <c r="B1895" t="s">
        <v>9409</v>
      </c>
      <c r="C1895" t="s">
        <v>12959</v>
      </c>
      <c r="D1895" t="s">
        <v>9410</v>
      </c>
      <c r="E1895" t="s">
        <v>12960</v>
      </c>
      <c r="F1895" t="s">
        <v>9412</v>
      </c>
      <c r="G1895" t="s">
        <v>9413</v>
      </c>
      <c r="H1895" t="s">
        <v>12665</v>
      </c>
      <c r="I1895" t="s">
        <v>9826</v>
      </c>
      <c r="J1895" t="s">
        <v>710</v>
      </c>
      <c r="K1895" t="s">
        <v>9416</v>
      </c>
      <c r="L1895" t="s">
        <v>9417</v>
      </c>
      <c r="M1895" t="s">
        <v>12951</v>
      </c>
      <c r="N1895" t="s">
        <v>12725</v>
      </c>
      <c r="O1895" t="s">
        <v>12961</v>
      </c>
      <c r="P1895" t="s">
        <v>9420</v>
      </c>
      <c r="Q1895" t="s">
        <v>9421</v>
      </c>
      <c r="R1895" t="s">
        <v>17</v>
      </c>
      <c r="S1895" t="s">
        <v>12958</v>
      </c>
      <c r="T1895" t="s">
        <v>12962</v>
      </c>
    </row>
    <row r="1896" spans="1:20">
      <c r="A1896" t="s">
        <v>487</v>
      </c>
      <c r="B1896" t="s">
        <v>62</v>
      </c>
      <c r="C1896" t="s">
        <v>4933</v>
      </c>
      <c r="D1896" t="s">
        <v>9448</v>
      </c>
      <c r="E1896" t="s">
        <v>12963</v>
      </c>
      <c r="F1896" t="s">
        <v>9412</v>
      </c>
      <c r="G1896" t="s">
        <v>9413</v>
      </c>
      <c r="H1896" t="s">
        <v>12665</v>
      </c>
      <c r="I1896" t="s">
        <v>10066</v>
      </c>
      <c r="J1896" t="s">
        <v>445</v>
      </c>
      <c r="K1896" t="s">
        <v>9416</v>
      </c>
      <c r="L1896" t="s">
        <v>9417</v>
      </c>
      <c r="M1896" t="s">
        <v>12721</v>
      </c>
      <c r="N1896" t="s">
        <v>12682</v>
      </c>
      <c r="O1896" t="s">
        <v>4935</v>
      </c>
      <c r="P1896" t="s">
        <v>9429</v>
      </c>
      <c r="Q1896" t="s">
        <v>9421</v>
      </c>
      <c r="R1896" t="s">
        <v>52</v>
      </c>
      <c r="S1896" t="s">
        <v>495</v>
      </c>
      <c r="T1896" t="s">
        <v>497</v>
      </c>
    </row>
    <row r="1897" spans="1:20">
      <c r="A1897" t="s">
        <v>487</v>
      </c>
      <c r="B1897" t="s">
        <v>62</v>
      </c>
      <c r="C1897" t="s">
        <v>4933</v>
      </c>
      <c r="D1897" t="s">
        <v>9448</v>
      </c>
      <c r="E1897" t="s">
        <v>12963</v>
      </c>
      <c r="F1897" t="s">
        <v>9412</v>
      </c>
      <c r="G1897" t="s">
        <v>9413</v>
      </c>
      <c r="H1897" t="s">
        <v>12665</v>
      </c>
      <c r="I1897" t="s">
        <v>10066</v>
      </c>
      <c r="J1897" t="s">
        <v>445</v>
      </c>
      <c r="K1897" t="s">
        <v>9416</v>
      </c>
      <c r="L1897" t="s">
        <v>9417</v>
      </c>
      <c r="M1897" t="s">
        <v>12721</v>
      </c>
      <c r="N1897" t="s">
        <v>12682</v>
      </c>
      <c r="O1897" t="s">
        <v>4931</v>
      </c>
      <c r="P1897" t="s">
        <v>9420</v>
      </c>
      <c r="Q1897" t="s">
        <v>9421</v>
      </c>
      <c r="R1897" t="s">
        <v>17</v>
      </c>
      <c r="S1897" t="s">
        <v>492</v>
      </c>
      <c r="T1897" t="s">
        <v>494</v>
      </c>
    </row>
    <row r="1898" spans="1:20">
      <c r="A1898" t="s">
        <v>487</v>
      </c>
      <c r="B1898" t="s">
        <v>62</v>
      </c>
      <c r="C1898" t="s">
        <v>4933</v>
      </c>
      <c r="D1898" t="s">
        <v>9448</v>
      </c>
      <c r="E1898" t="s">
        <v>12963</v>
      </c>
      <c r="F1898" t="s">
        <v>9412</v>
      </c>
      <c r="G1898" t="s">
        <v>9413</v>
      </c>
      <c r="H1898" t="s">
        <v>12665</v>
      </c>
      <c r="I1898" t="s">
        <v>10066</v>
      </c>
      <c r="J1898" t="s">
        <v>445</v>
      </c>
      <c r="K1898" t="s">
        <v>9416</v>
      </c>
      <c r="L1898" t="s">
        <v>9417</v>
      </c>
      <c r="M1898" t="s">
        <v>12721</v>
      </c>
      <c r="N1898" t="s">
        <v>12682</v>
      </c>
      <c r="O1898" t="s">
        <v>12964</v>
      </c>
      <c r="P1898" t="s">
        <v>9459</v>
      </c>
      <c r="Q1898" t="s">
        <v>9421</v>
      </c>
      <c r="R1898" t="s">
        <v>17</v>
      </c>
      <c r="S1898" t="s">
        <v>488</v>
      </c>
      <c r="T1898" t="s">
        <v>490</v>
      </c>
    </row>
    <row r="1899" spans="1:20">
      <c r="A1899" t="s">
        <v>498</v>
      </c>
      <c r="B1899" t="s">
        <v>20</v>
      </c>
      <c r="C1899" t="s">
        <v>4939</v>
      </c>
      <c r="D1899" t="s">
        <v>9455</v>
      </c>
      <c r="E1899" t="s">
        <v>12965</v>
      </c>
      <c r="F1899" t="s">
        <v>9412</v>
      </c>
      <c r="G1899" t="s">
        <v>9413</v>
      </c>
      <c r="H1899" t="s">
        <v>12665</v>
      </c>
      <c r="I1899" t="s">
        <v>10066</v>
      </c>
      <c r="J1899" t="s">
        <v>445</v>
      </c>
      <c r="K1899" t="s">
        <v>9416</v>
      </c>
      <c r="L1899" t="s">
        <v>9417</v>
      </c>
      <c r="M1899" t="s">
        <v>12734</v>
      </c>
      <c r="N1899" t="s">
        <v>12682</v>
      </c>
      <c r="O1899" t="s">
        <v>4937</v>
      </c>
      <c r="P1899" t="s">
        <v>9429</v>
      </c>
      <c r="Q1899" t="s">
        <v>9421</v>
      </c>
      <c r="R1899" t="s">
        <v>52</v>
      </c>
      <c r="S1899" t="s">
        <v>498</v>
      </c>
      <c r="T1899" t="s">
        <v>500</v>
      </c>
    </row>
    <row r="1900" spans="1:20">
      <c r="A1900" t="s">
        <v>498</v>
      </c>
      <c r="B1900" t="s">
        <v>20</v>
      </c>
      <c r="C1900" t="s">
        <v>4943</v>
      </c>
      <c r="D1900" t="s">
        <v>9455</v>
      </c>
      <c r="E1900" t="s">
        <v>12965</v>
      </c>
      <c r="F1900" t="s">
        <v>9412</v>
      </c>
      <c r="G1900" t="s">
        <v>9413</v>
      </c>
      <c r="H1900" t="s">
        <v>12665</v>
      </c>
      <c r="I1900" t="s">
        <v>10066</v>
      </c>
      <c r="J1900" t="s">
        <v>445</v>
      </c>
      <c r="K1900" t="s">
        <v>9416</v>
      </c>
      <c r="L1900" t="s">
        <v>9417</v>
      </c>
      <c r="M1900" t="s">
        <v>12734</v>
      </c>
      <c r="N1900" t="s">
        <v>12682</v>
      </c>
      <c r="O1900" t="s">
        <v>4941</v>
      </c>
      <c r="P1900" t="s">
        <v>9524</v>
      </c>
      <c r="Q1900" t="s">
        <v>9421</v>
      </c>
      <c r="R1900" t="s">
        <v>24</v>
      </c>
      <c r="S1900" t="s">
        <v>502</v>
      </c>
      <c r="T1900" t="s">
        <v>504</v>
      </c>
    </row>
    <row r="1901" spans="1:20">
      <c r="A1901" t="s">
        <v>12966</v>
      </c>
      <c r="B1901" t="s">
        <v>9409</v>
      </c>
      <c r="C1901" t="s">
        <v>12967</v>
      </c>
      <c r="D1901" t="s">
        <v>9410</v>
      </c>
      <c r="E1901" t="s">
        <v>12968</v>
      </c>
      <c r="F1901" t="s">
        <v>9412</v>
      </c>
      <c r="G1901" t="s">
        <v>9413</v>
      </c>
      <c r="H1901" t="s">
        <v>12665</v>
      </c>
      <c r="I1901" t="s">
        <v>9576</v>
      </c>
      <c r="J1901" t="s">
        <v>445</v>
      </c>
      <c r="K1901" t="s">
        <v>9416</v>
      </c>
      <c r="L1901" t="s">
        <v>9417</v>
      </c>
      <c r="M1901" t="s">
        <v>12969</v>
      </c>
      <c r="N1901" t="s">
        <v>12682</v>
      </c>
      <c r="O1901" t="s">
        <v>12970</v>
      </c>
      <c r="P1901" t="s">
        <v>9459</v>
      </c>
      <c r="Q1901" t="s">
        <v>9421</v>
      </c>
      <c r="R1901" t="s">
        <v>17</v>
      </c>
      <c r="S1901" t="s">
        <v>12966</v>
      </c>
      <c r="T1901" t="s">
        <v>12971</v>
      </c>
    </row>
    <row r="1902" spans="1:20">
      <c r="A1902" t="s">
        <v>302</v>
      </c>
      <c r="B1902" t="s">
        <v>62</v>
      </c>
      <c r="C1902" t="s">
        <v>4714</v>
      </c>
      <c r="D1902" t="s">
        <v>9448</v>
      </c>
      <c r="E1902" t="s">
        <v>12972</v>
      </c>
      <c r="F1902" t="s">
        <v>9412</v>
      </c>
      <c r="G1902" t="s">
        <v>9413</v>
      </c>
      <c r="H1902" t="s">
        <v>12665</v>
      </c>
      <c r="I1902" t="s">
        <v>10066</v>
      </c>
      <c r="J1902" t="s">
        <v>287</v>
      </c>
      <c r="K1902" t="s">
        <v>9416</v>
      </c>
      <c r="L1902" t="s">
        <v>9417</v>
      </c>
      <c r="M1902" t="s">
        <v>12721</v>
      </c>
      <c r="N1902" t="s">
        <v>12688</v>
      </c>
      <c r="O1902" t="s">
        <v>4713</v>
      </c>
      <c r="P1902" t="s">
        <v>9429</v>
      </c>
      <c r="Q1902" t="s">
        <v>9421</v>
      </c>
      <c r="R1902" t="s">
        <v>52</v>
      </c>
      <c r="S1902" t="s">
        <v>303</v>
      </c>
      <c r="T1902" t="s">
        <v>305</v>
      </c>
    </row>
    <row r="1903" spans="1:20">
      <c r="A1903" t="s">
        <v>302</v>
      </c>
      <c r="B1903" t="s">
        <v>62</v>
      </c>
      <c r="C1903" t="s">
        <v>4714</v>
      </c>
      <c r="D1903" t="s">
        <v>9448</v>
      </c>
      <c r="E1903" t="s">
        <v>12972</v>
      </c>
      <c r="F1903" t="s">
        <v>9412</v>
      </c>
      <c r="G1903" t="s">
        <v>9413</v>
      </c>
      <c r="H1903" t="s">
        <v>12665</v>
      </c>
      <c r="I1903" t="s">
        <v>10066</v>
      </c>
      <c r="J1903" t="s">
        <v>287</v>
      </c>
      <c r="K1903" t="s">
        <v>9416</v>
      </c>
      <c r="L1903" t="s">
        <v>9417</v>
      </c>
      <c r="M1903" t="s">
        <v>12721</v>
      </c>
      <c r="N1903" t="s">
        <v>12688</v>
      </c>
      <c r="O1903" t="s">
        <v>4716</v>
      </c>
      <c r="P1903" t="s">
        <v>9429</v>
      </c>
      <c r="Q1903" t="s">
        <v>9421</v>
      </c>
      <c r="R1903" t="s">
        <v>52</v>
      </c>
      <c r="S1903" t="s">
        <v>307</v>
      </c>
      <c r="T1903" t="s">
        <v>309</v>
      </c>
    </row>
    <row r="1904" spans="1:20">
      <c r="A1904" t="s">
        <v>302</v>
      </c>
      <c r="B1904" t="s">
        <v>62</v>
      </c>
      <c r="C1904" t="s">
        <v>4714</v>
      </c>
      <c r="D1904" t="s">
        <v>9448</v>
      </c>
      <c r="E1904" t="s">
        <v>12972</v>
      </c>
      <c r="F1904" t="s">
        <v>9412</v>
      </c>
      <c r="G1904" t="s">
        <v>9413</v>
      </c>
      <c r="H1904" t="s">
        <v>12665</v>
      </c>
      <c r="I1904" t="s">
        <v>10066</v>
      </c>
      <c r="J1904" t="s">
        <v>287</v>
      </c>
      <c r="K1904" t="s">
        <v>9416</v>
      </c>
      <c r="L1904" t="s">
        <v>9417</v>
      </c>
      <c r="M1904" t="s">
        <v>12721</v>
      </c>
      <c r="N1904" t="s">
        <v>9446</v>
      </c>
      <c r="O1904" t="s">
        <v>4718</v>
      </c>
      <c r="P1904" t="s">
        <v>9651</v>
      </c>
      <c r="Q1904" t="s">
        <v>9421</v>
      </c>
      <c r="R1904" t="s">
        <v>56</v>
      </c>
      <c r="S1904" t="s">
        <v>310</v>
      </c>
      <c r="T1904" t="s">
        <v>312</v>
      </c>
    </row>
    <row r="1905" spans="1:20">
      <c r="A1905" t="s">
        <v>719</v>
      </c>
      <c r="B1905" t="s">
        <v>62</v>
      </c>
      <c r="C1905" t="s">
        <v>5160</v>
      </c>
      <c r="D1905" t="s">
        <v>9448</v>
      </c>
      <c r="E1905" t="s">
        <v>12973</v>
      </c>
      <c r="F1905" t="s">
        <v>9412</v>
      </c>
      <c r="G1905" t="s">
        <v>9413</v>
      </c>
      <c r="H1905" t="s">
        <v>12665</v>
      </c>
      <c r="I1905" t="s">
        <v>10066</v>
      </c>
      <c r="J1905" t="s">
        <v>710</v>
      </c>
      <c r="K1905" t="s">
        <v>9416</v>
      </c>
      <c r="L1905" t="s">
        <v>9417</v>
      </c>
      <c r="M1905" t="s">
        <v>12974</v>
      </c>
      <c r="N1905" t="s">
        <v>12725</v>
      </c>
      <c r="O1905" t="s">
        <v>5158</v>
      </c>
      <c r="P1905" t="s">
        <v>9524</v>
      </c>
      <c r="Q1905" t="s">
        <v>9421</v>
      </c>
      <c r="R1905" t="s">
        <v>24</v>
      </c>
      <c r="S1905" t="s">
        <v>719</v>
      </c>
      <c r="T1905" t="s">
        <v>721</v>
      </c>
    </row>
    <row r="1906" spans="1:20">
      <c r="A1906" t="s">
        <v>915</v>
      </c>
      <c r="B1906" t="s">
        <v>62</v>
      </c>
      <c r="C1906" t="s">
        <v>916</v>
      </c>
      <c r="D1906" t="s">
        <v>9448</v>
      </c>
      <c r="E1906" t="s">
        <v>12975</v>
      </c>
      <c r="F1906" t="s">
        <v>9412</v>
      </c>
      <c r="G1906" t="s">
        <v>9413</v>
      </c>
      <c r="H1906" t="s">
        <v>12</v>
      </c>
      <c r="I1906" t="s">
        <v>9771</v>
      </c>
      <c r="J1906" t="s">
        <v>914</v>
      </c>
      <c r="K1906" t="s">
        <v>9416</v>
      </c>
      <c r="L1906" t="s">
        <v>9417</v>
      </c>
      <c r="M1906" t="s">
        <v>12805</v>
      </c>
      <c r="N1906" t="s">
        <v>9426</v>
      </c>
      <c r="O1906" t="s">
        <v>4526</v>
      </c>
      <c r="P1906" t="s">
        <v>9655</v>
      </c>
      <c r="Q1906" t="s">
        <v>9421</v>
      </c>
      <c r="R1906" t="s">
        <v>84</v>
      </c>
      <c r="S1906" t="s">
        <v>911</v>
      </c>
      <c r="T1906" t="s">
        <v>913</v>
      </c>
    </row>
    <row r="1907" spans="1:20">
      <c r="A1907" t="s">
        <v>505</v>
      </c>
      <c r="B1907" t="s">
        <v>20</v>
      </c>
      <c r="C1907" t="s">
        <v>4946</v>
      </c>
      <c r="D1907" t="s">
        <v>9464</v>
      </c>
      <c r="E1907" t="s">
        <v>12976</v>
      </c>
      <c r="F1907" t="s">
        <v>9412</v>
      </c>
      <c r="G1907" t="s">
        <v>9413</v>
      </c>
      <c r="H1907" t="s">
        <v>12665</v>
      </c>
      <c r="I1907" t="s">
        <v>10202</v>
      </c>
      <c r="J1907" t="s">
        <v>445</v>
      </c>
      <c r="K1907" t="s">
        <v>9416</v>
      </c>
      <c r="L1907" t="s">
        <v>9417</v>
      </c>
      <c r="M1907" t="s">
        <v>12710</v>
      </c>
      <c r="N1907" t="s">
        <v>12682</v>
      </c>
      <c r="O1907" t="s">
        <v>4944</v>
      </c>
      <c r="P1907" t="s">
        <v>9420</v>
      </c>
      <c r="Q1907" t="s">
        <v>9421</v>
      </c>
      <c r="R1907" t="s">
        <v>17</v>
      </c>
      <c r="S1907" t="s">
        <v>505</v>
      </c>
      <c r="T1907" t="s">
        <v>507</v>
      </c>
    </row>
    <row r="1908" spans="1:20">
      <c r="A1908" t="s">
        <v>509</v>
      </c>
      <c r="B1908" t="s">
        <v>20</v>
      </c>
      <c r="C1908" t="s">
        <v>4950</v>
      </c>
      <c r="D1908" t="s">
        <v>9460</v>
      </c>
      <c r="E1908" t="s">
        <v>12977</v>
      </c>
      <c r="F1908" t="s">
        <v>9412</v>
      </c>
      <c r="G1908" t="s">
        <v>9413</v>
      </c>
      <c r="H1908" t="s">
        <v>12665</v>
      </c>
      <c r="I1908" t="s">
        <v>10186</v>
      </c>
      <c r="J1908" t="s">
        <v>445</v>
      </c>
      <c r="K1908" t="s">
        <v>9416</v>
      </c>
      <c r="L1908" t="s">
        <v>9417</v>
      </c>
      <c r="M1908" t="s">
        <v>12791</v>
      </c>
      <c r="N1908" t="s">
        <v>12682</v>
      </c>
      <c r="O1908" t="s">
        <v>4948</v>
      </c>
      <c r="P1908" t="s">
        <v>11529</v>
      </c>
      <c r="Q1908" t="s">
        <v>9421</v>
      </c>
      <c r="R1908" t="s">
        <v>17</v>
      </c>
      <c r="S1908" t="s">
        <v>509</v>
      </c>
      <c r="T1908" t="s">
        <v>511</v>
      </c>
    </row>
    <row r="1909" spans="1:20">
      <c r="A1909" t="s">
        <v>12978</v>
      </c>
      <c r="B1909" t="s">
        <v>9409</v>
      </c>
      <c r="C1909" t="s">
        <v>12979</v>
      </c>
      <c r="D1909" t="s">
        <v>9410</v>
      </c>
      <c r="E1909" t="s">
        <v>12980</v>
      </c>
      <c r="F1909" t="s">
        <v>9412</v>
      </c>
      <c r="G1909" t="s">
        <v>9413</v>
      </c>
      <c r="H1909" t="s">
        <v>12</v>
      </c>
      <c r="I1909" t="s">
        <v>9709</v>
      </c>
      <c r="J1909" t="s">
        <v>710</v>
      </c>
      <c r="K1909" t="s">
        <v>9416</v>
      </c>
      <c r="L1909" t="s">
        <v>9417</v>
      </c>
      <c r="M1909" t="s">
        <v>12738</v>
      </c>
      <c r="N1909" t="s">
        <v>12725</v>
      </c>
      <c r="O1909" t="s">
        <v>12981</v>
      </c>
      <c r="P1909" t="s">
        <v>9459</v>
      </c>
      <c r="Q1909" t="s">
        <v>9421</v>
      </c>
      <c r="R1909" t="s">
        <v>17</v>
      </c>
      <c r="S1909" t="s">
        <v>12978</v>
      </c>
      <c r="T1909" t="s">
        <v>12982</v>
      </c>
    </row>
    <row r="1910" spans="1:20">
      <c r="A1910" t="s">
        <v>12983</v>
      </c>
      <c r="B1910" t="s">
        <v>9409</v>
      </c>
      <c r="C1910" t="s">
        <v>12984</v>
      </c>
      <c r="D1910" t="s">
        <v>9410</v>
      </c>
      <c r="E1910" t="s">
        <v>12985</v>
      </c>
      <c r="F1910" t="s">
        <v>9412</v>
      </c>
      <c r="G1910" t="s">
        <v>9413</v>
      </c>
      <c r="H1910" t="s">
        <v>12665</v>
      </c>
      <c r="I1910" t="s">
        <v>9826</v>
      </c>
      <c r="J1910" t="s">
        <v>287</v>
      </c>
      <c r="K1910" t="s">
        <v>9445</v>
      </c>
      <c r="L1910" t="s">
        <v>9417</v>
      </c>
      <c r="M1910" t="s">
        <v>12673</v>
      </c>
      <c r="N1910" t="s">
        <v>9426</v>
      </c>
      <c r="O1910" t="s">
        <v>9446</v>
      </c>
      <c r="P1910" t="s">
        <v>9524</v>
      </c>
      <c r="Q1910" t="s">
        <v>9421</v>
      </c>
      <c r="R1910" t="s">
        <v>24</v>
      </c>
      <c r="S1910" t="s">
        <v>244</v>
      </c>
      <c r="T1910" t="s">
        <v>246</v>
      </c>
    </row>
    <row r="1911" spans="1:20">
      <c r="A1911" t="s">
        <v>12983</v>
      </c>
      <c r="B1911" t="s">
        <v>9409</v>
      </c>
      <c r="C1911" t="s">
        <v>12984</v>
      </c>
      <c r="D1911" t="s">
        <v>9410</v>
      </c>
      <c r="E1911" t="s">
        <v>12985</v>
      </c>
      <c r="F1911" t="s">
        <v>9412</v>
      </c>
      <c r="G1911" t="s">
        <v>9413</v>
      </c>
      <c r="H1911" t="s">
        <v>12665</v>
      </c>
      <c r="I1911" t="s">
        <v>9826</v>
      </c>
      <c r="J1911" t="s">
        <v>287</v>
      </c>
      <c r="K1911" t="s">
        <v>9416</v>
      </c>
      <c r="L1911" t="s">
        <v>9417</v>
      </c>
      <c r="M1911" t="s">
        <v>12673</v>
      </c>
      <c r="N1911" t="s">
        <v>12688</v>
      </c>
      <c r="O1911" t="s">
        <v>12986</v>
      </c>
      <c r="P1911" t="s">
        <v>9526</v>
      </c>
      <c r="Q1911" t="s">
        <v>9421</v>
      </c>
      <c r="R1911" t="s">
        <v>553</v>
      </c>
      <c r="S1911" t="s">
        <v>12983</v>
      </c>
      <c r="T1911" t="s">
        <v>12987</v>
      </c>
    </row>
    <row r="1912" spans="1:20">
      <c r="A1912" t="s">
        <v>12988</v>
      </c>
      <c r="B1912" t="s">
        <v>9409</v>
      </c>
      <c r="C1912" t="s">
        <v>12989</v>
      </c>
      <c r="D1912" t="s">
        <v>9410</v>
      </c>
      <c r="E1912" t="s">
        <v>12990</v>
      </c>
      <c r="F1912" t="s">
        <v>9412</v>
      </c>
      <c r="G1912" t="s">
        <v>9413</v>
      </c>
      <c r="H1912" t="s">
        <v>12665</v>
      </c>
      <c r="I1912" t="s">
        <v>9830</v>
      </c>
      <c r="J1912" t="s">
        <v>710</v>
      </c>
      <c r="K1912" t="s">
        <v>9416</v>
      </c>
      <c r="L1912" t="s">
        <v>9417</v>
      </c>
      <c r="M1912" t="s">
        <v>12951</v>
      </c>
      <c r="N1912" t="s">
        <v>12725</v>
      </c>
      <c r="O1912" t="s">
        <v>12991</v>
      </c>
      <c r="P1912" t="s">
        <v>9623</v>
      </c>
      <c r="Q1912" t="s">
        <v>9421</v>
      </c>
      <c r="R1912" t="s">
        <v>24</v>
      </c>
      <c r="S1912" t="s">
        <v>12988</v>
      </c>
      <c r="T1912" t="s">
        <v>12992</v>
      </c>
    </row>
    <row r="1913" spans="1:20">
      <c r="A1913" t="s">
        <v>313</v>
      </c>
      <c r="B1913" t="s">
        <v>20</v>
      </c>
      <c r="C1913" t="s">
        <v>4722</v>
      </c>
      <c r="D1913" t="s">
        <v>9464</v>
      </c>
      <c r="E1913" t="s">
        <v>12993</v>
      </c>
      <c r="F1913" t="s">
        <v>9412</v>
      </c>
      <c r="G1913" t="s">
        <v>9413</v>
      </c>
      <c r="H1913" t="s">
        <v>12665</v>
      </c>
      <c r="I1913" t="s">
        <v>10186</v>
      </c>
      <c r="J1913" t="s">
        <v>287</v>
      </c>
      <c r="K1913" t="s">
        <v>9416</v>
      </c>
      <c r="L1913" t="s">
        <v>9417</v>
      </c>
      <c r="M1913" t="s">
        <v>12673</v>
      </c>
      <c r="N1913" t="s">
        <v>12688</v>
      </c>
      <c r="O1913" t="s">
        <v>4720</v>
      </c>
      <c r="P1913" t="s">
        <v>9420</v>
      </c>
      <c r="Q1913" t="s">
        <v>9421</v>
      </c>
      <c r="R1913" t="s">
        <v>17</v>
      </c>
      <c r="S1913" t="s">
        <v>314</v>
      </c>
      <c r="T1913" t="s">
        <v>316</v>
      </c>
    </row>
    <row r="1914" spans="1:20">
      <c r="A1914" t="s">
        <v>313</v>
      </c>
      <c r="B1914" t="s">
        <v>20</v>
      </c>
      <c r="C1914" t="s">
        <v>4722</v>
      </c>
      <c r="D1914" t="s">
        <v>9464</v>
      </c>
      <c r="E1914" t="s">
        <v>12993</v>
      </c>
      <c r="F1914" t="s">
        <v>9412</v>
      </c>
      <c r="G1914" t="s">
        <v>9413</v>
      </c>
      <c r="H1914" t="s">
        <v>12665</v>
      </c>
      <c r="I1914" t="s">
        <v>10186</v>
      </c>
      <c r="J1914" t="s">
        <v>287</v>
      </c>
      <c r="K1914" t="s">
        <v>9416</v>
      </c>
      <c r="L1914" t="s">
        <v>9417</v>
      </c>
      <c r="M1914" t="s">
        <v>12673</v>
      </c>
      <c r="N1914" t="s">
        <v>12688</v>
      </c>
      <c r="O1914" t="s">
        <v>4724</v>
      </c>
      <c r="P1914" t="s">
        <v>9420</v>
      </c>
      <c r="Q1914" t="s">
        <v>9421</v>
      </c>
      <c r="R1914" t="s">
        <v>17</v>
      </c>
      <c r="S1914" t="s">
        <v>318</v>
      </c>
      <c r="T1914" t="s">
        <v>320</v>
      </c>
    </row>
    <row r="1915" spans="1:20">
      <c r="A1915" t="s">
        <v>12994</v>
      </c>
      <c r="B1915" t="s">
        <v>9409</v>
      </c>
      <c r="C1915" t="s">
        <v>12995</v>
      </c>
      <c r="D1915" t="s">
        <v>9410</v>
      </c>
      <c r="E1915" t="s">
        <v>12996</v>
      </c>
      <c r="F1915" t="s">
        <v>9412</v>
      </c>
      <c r="G1915" t="s">
        <v>9413</v>
      </c>
      <c r="H1915" t="s">
        <v>12665</v>
      </c>
      <c r="I1915" t="s">
        <v>9813</v>
      </c>
      <c r="J1915" t="s">
        <v>445</v>
      </c>
      <c r="K1915" t="s">
        <v>9416</v>
      </c>
      <c r="L1915" t="s">
        <v>9417</v>
      </c>
      <c r="M1915" t="s">
        <v>12721</v>
      </c>
      <c r="N1915" t="s">
        <v>12682</v>
      </c>
      <c r="O1915" t="s">
        <v>12997</v>
      </c>
      <c r="P1915" t="s">
        <v>9459</v>
      </c>
      <c r="Q1915" t="s">
        <v>9421</v>
      </c>
      <c r="R1915" t="s">
        <v>17</v>
      </c>
      <c r="S1915" t="s">
        <v>12994</v>
      </c>
      <c r="T1915" t="s">
        <v>12998</v>
      </c>
    </row>
    <row r="1916" spans="1:20">
      <c r="A1916" t="s">
        <v>917</v>
      </c>
      <c r="B1916" t="s">
        <v>20</v>
      </c>
      <c r="C1916" t="s">
        <v>5331</v>
      </c>
      <c r="D1916" t="s">
        <v>9475</v>
      </c>
      <c r="E1916" t="s">
        <v>12999</v>
      </c>
      <c r="F1916" t="s">
        <v>9412</v>
      </c>
      <c r="G1916" t="s">
        <v>9413</v>
      </c>
      <c r="H1916" t="s">
        <v>12665</v>
      </c>
      <c r="I1916" t="s">
        <v>9466</v>
      </c>
      <c r="J1916" t="s">
        <v>914</v>
      </c>
      <c r="K1916" t="s">
        <v>9445</v>
      </c>
      <c r="L1916" t="s">
        <v>9417</v>
      </c>
      <c r="M1916" t="s">
        <v>12681</v>
      </c>
      <c r="N1916" t="s">
        <v>9426</v>
      </c>
      <c r="O1916" t="s">
        <v>9446</v>
      </c>
      <c r="P1916" t="s">
        <v>9623</v>
      </c>
      <c r="Q1916" t="s">
        <v>9421</v>
      </c>
      <c r="R1916" t="s">
        <v>24</v>
      </c>
      <c r="S1916" t="s">
        <v>21</v>
      </c>
      <c r="T1916" t="s">
        <v>23</v>
      </c>
    </row>
    <row r="1917" spans="1:20">
      <c r="A1917" t="s">
        <v>917</v>
      </c>
      <c r="B1917" t="s">
        <v>20</v>
      </c>
      <c r="C1917" t="s">
        <v>5331</v>
      </c>
      <c r="D1917" t="s">
        <v>9475</v>
      </c>
      <c r="E1917" t="s">
        <v>12999</v>
      </c>
      <c r="F1917" t="s">
        <v>9412</v>
      </c>
      <c r="G1917" t="s">
        <v>9413</v>
      </c>
      <c r="H1917" t="s">
        <v>12665</v>
      </c>
      <c r="I1917" t="s">
        <v>9466</v>
      </c>
      <c r="J1917" t="s">
        <v>914</v>
      </c>
      <c r="K1917" t="s">
        <v>9416</v>
      </c>
      <c r="L1917" t="s">
        <v>9417</v>
      </c>
      <c r="M1917" t="s">
        <v>12681</v>
      </c>
      <c r="N1917" t="s">
        <v>12700</v>
      </c>
      <c r="O1917" t="s">
        <v>5333</v>
      </c>
      <c r="P1917" t="s">
        <v>9420</v>
      </c>
      <c r="Q1917" t="s">
        <v>9421</v>
      </c>
      <c r="R1917" t="s">
        <v>17</v>
      </c>
      <c r="S1917" t="s">
        <v>919</v>
      </c>
      <c r="T1917" t="s">
        <v>921</v>
      </c>
    </row>
    <row r="1918" spans="1:20">
      <c r="A1918" t="s">
        <v>13000</v>
      </c>
      <c r="B1918" t="s">
        <v>9409</v>
      </c>
      <c r="C1918" t="s">
        <v>13001</v>
      </c>
      <c r="D1918" t="s">
        <v>9410</v>
      </c>
      <c r="E1918" t="s">
        <v>13002</v>
      </c>
      <c r="F1918" t="s">
        <v>9412</v>
      </c>
      <c r="G1918" t="s">
        <v>9413</v>
      </c>
      <c r="H1918" t="s">
        <v>12665</v>
      </c>
      <c r="I1918" t="s">
        <v>9466</v>
      </c>
      <c r="J1918" t="s">
        <v>147</v>
      </c>
      <c r="K1918" t="s">
        <v>9416</v>
      </c>
      <c r="L1918" t="s">
        <v>9417</v>
      </c>
      <c r="M1918" t="s">
        <v>12924</v>
      </c>
      <c r="N1918" t="s">
        <v>12719</v>
      </c>
      <c r="O1918" t="s">
        <v>13003</v>
      </c>
      <c r="P1918" t="s">
        <v>9420</v>
      </c>
      <c r="Q1918" t="s">
        <v>9421</v>
      </c>
      <c r="R1918" t="s">
        <v>17</v>
      </c>
      <c r="S1918" t="s">
        <v>13000</v>
      </c>
      <c r="T1918" t="s">
        <v>13004</v>
      </c>
    </row>
    <row r="1919" spans="1:20">
      <c r="A1919" t="s">
        <v>13000</v>
      </c>
      <c r="B1919" t="s">
        <v>9409</v>
      </c>
      <c r="C1919" t="s">
        <v>13001</v>
      </c>
      <c r="D1919" t="s">
        <v>9410</v>
      </c>
      <c r="E1919" t="s">
        <v>13002</v>
      </c>
      <c r="F1919" t="s">
        <v>9412</v>
      </c>
      <c r="G1919" t="s">
        <v>9413</v>
      </c>
      <c r="H1919" t="s">
        <v>12665</v>
      </c>
      <c r="I1919" t="s">
        <v>9466</v>
      </c>
      <c r="J1919" t="s">
        <v>147</v>
      </c>
      <c r="K1919" t="s">
        <v>9416</v>
      </c>
      <c r="L1919" t="s">
        <v>9417</v>
      </c>
      <c r="M1919" t="s">
        <v>12924</v>
      </c>
      <c r="N1919" t="s">
        <v>9430</v>
      </c>
      <c r="O1919" t="s">
        <v>13005</v>
      </c>
      <c r="P1919" t="s">
        <v>9431</v>
      </c>
      <c r="Q1919" t="s">
        <v>9421</v>
      </c>
      <c r="R1919" t="s">
        <v>24</v>
      </c>
      <c r="S1919" t="s">
        <v>823</v>
      </c>
      <c r="T1919" t="s">
        <v>13006</v>
      </c>
    </row>
    <row r="1920" spans="1:20">
      <c r="A1920" t="s">
        <v>5029</v>
      </c>
      <c r="B1920" t="s">
        <v>9409</v>
      </c>
      <c r="C1920" t="s">
        <v>13007</v>
      </c>
      <c r="D1920" t="s">
        <v>9410</v>
      </c>
      <c r="E1920" t="s">
        <v>13008</v>
      </c>
      <c r="F1920" t="s">
        <v>9412</v>
      </c>
      <c r="G1920" t="s">
        <v>9413</v>
      </c>
      <c r="H1920" t="s">
        <v>12665</v>
      </c>
      <c r="I1920" t="s">
        <v>9813</v>
      </c>
      <c r="J1920" t="s">
        <v>445</v>
      </c>
      <c r="K1920" t="s">
        <v>9416</v>
      </c>
      <c r="L1920" t="s">
        <v>9417</v>
      </c>
      <c r="M1920" t="s">
        <v>12734</v>
      </c>
      <c r="N1920" t="s">
        <v>12682</v>
      </c>
      <c r="O1920" t="s">
        <v>5030</v>
      </c>
      <c r="P1920" t="s">
        <v>9459</v>
      </c>
      <c r="Q1920" t="s">
        <v>9421</v>
      </c>
      <c r="R1920" t="s">
        <v>17</v>
      </c>
      <c r="S1920" t="s">
        <v>5029</v>
      </c>
      <c r="T1920" t="s">
        <v>13009</v>
      </c>
    </row>
    <row r="1921" spans="1:20">
      <c r="A1921" t="s">
        <v>513</v>
      </c>
      <c r="B1921" t="s">
        <v>62</v>
      </c>
      <c r="C1921" t="s">
        <v>4954</v>
      </c>
      <c r="D1921" t="s">
        <v>9448</v>
      </c>
      <c r="E1921" t="s">
        <v>13010</v>
      </c>
      <c r="F1921" t="s">
        <v>9412</v>
      </c>
      <c r="G1921" t="s">
        <v>9413</v>
      </c>
      <c r="H1921" t="s">
        <v>12665</v>
      </c>
      <c r="I1921" t="s">
        <v>10202</v>
      </c>
      <c r="J1921" t="s">
        <v>445</v>
      </c>
      <c r="K1921" t="s">
        <v>9416</v>
      </c>
      <c r="L1921" t="s">
        <v>9417</v>
      </c>
      <c r="M1921" t="s">
        <v>12706</v>
      </c>
      <c r="N1921" t="s">
        <v>12682</v>
      </c>
      <c r="O1921" t="s">
        <v>4952</v>
      </c>
      <c r="P1921" t="s">
        <v>9524</v>
      </c>
      <c r="Q1921" t="s">
        <v>9421</v>
      </c>
      <c r="R1921" t="s">
        <v>24</v>
      </c>
      <c r="S1921" t="s">
        <v>513</v>
      </c>
      <c r="T1921" t="s">
        <v>515</v>
      </c>
    </row>
    <row r="1922" spans="1:20">
      <c r="A1922" t="s">
        <v>513</v>
      </c>
      <c r="B1922" t="s">
        <v>62</v>
      </c>
      <c r="C1922" t="s">
        <v>4954</v>
      </c>
      <c r="D1922" t="s">
        <v>9448</v>
      </c>
      <c r="E1922" t="s">
        <v>13010</v>
      </c>
      <c r="F1922" t="s">
        <v>9412</v>
      </c>
      <c r="G1922" t="s">
        <v>9413</v>
      </c>
      <c r="H1922" t="s">
        <v>12665</v>
      </c>
      <c r="I1922" t="s">
        <v>10202</v>
      </c>
      <c r="J1922" t="s">
        <v>445</v>
      </c>
      <c r="K1922" t="s">
        <v>9416</v>
      </c>
      <c r="L1922" t="s">
        <v>9417</v>
      </c>
      <c r="M1922" t="s">
        <v>12706</v>
      </c>
      <c r="N1922" t="s">
        <v>12682</v>
      </c>
      <c r="O1922" t="s">
        <v>4956</v>
      </c>
      <c r="P1922" t="s">
        <v>9420</v>
      </c>
      <c r="Q1922" t="s">
        <v>9421</v>
      </c>
      <c r="R1922" t="s">
        <v>17</v>
      </c>
      <c r="S1922" t="s">
        <v>517</v>
      </c>
      <c r="T1922" t="s">
        <v>519</v>
      </c>
    </row>
    <row r="1923" spans="1:20">
      <c r="A1923" t="s">
        <v>723</v>
      </c>
      <c r="B1923" t="s">
        <v>62</v>
      </c>
      <c r="C1923" t="s">
        <v>5164</v>
      </c>
      <c r="D1923" t="s">
        <v>445</v>
      </c>
      <c r="E1923" t="s">
        <v>13011</v>
      </c>
      <c r="F1923" t="s">
        <v>9412</v>
      </c>
      <c r="G1923" t="s">
        <v>9413</v>
      </c>
      <c r="H1923" t="s">
        <v>12665</v>
      </c>
      <c r="I1923" t="s">
        <v>9466</v>
      </c>
      <c r="J1923" t="s">
        <v>710</v>
      </c>
      <c r="K1923" t="s">
        <v>9416</v>
      </c>
      <c r="L1923" t="s">
        <v>9417</v>
      </c>
      <c r="M1923" t="s">
        <v>12734</v>
      </c>
      <c r="N1923" t="s">
        <v>12725</v>
      </c>
      <c r="O1923" t="s">
        <v>5162</v>
      </c>
      <c r="P1923" t="s">
        <v>9420</v>
      </c>
      <c r="Q1923" t="s">
        <v>9421</v>
      </c>
      <c r="R1923" t="s">
        <v>17</v>
      </c>
      <c r="S1923" t="s">
        <v>723</v>
      </c>
      <c r="T1923" t="s">
        <v>725</v>
      </c>
    </row>
    <row r="1924" spans="1:20">
      <c r="A1924" t="s">
        <v>727</v>
      </c>
      <c r="B1924" t="s">
        <v>62</v>
      </c>
      <c r="C1924" t="s">
        <v>730</v>
      </c>
      <c r="D1924" t="s">
        <v>9448</v>
      </c>
      <c r="E1924" t="s">
        <v>13012</v>
      </c>
      <c r="F1924" t="s">
        <v>9412</v>
      </c>
      <c r="G1924" t="s">
        <v>9413</v>
      </c>
      <c r="H1924" t="s">
        <v>12</v>
      </c>
      <c r="I1924" t="s">
        <v>9709</v>
      </c>
      <c r="J1924" t="s">
        <v>710</v>
      </c>
      <c r="K1924" t="s">
        <v>9416</v>
      </c>
      <c r="L1924" t="s">
        <v>9417</v>
      </c>
      <c r="M1924" t="s">
        <v>12951</v>
      </c>
      <c r="N1924" t="s">
        <v>12725</v>
      </c>
      <c r="O1924" t="s">
        <v>5166</v>
      </c>
      <c r="P1924" t="s">
        <v>9420</v>
      </c>
      <c r="Q1924" t="s">
        <v>9421</v>
      </c>
      <c r="R1924" t="s">
        <v>17</v>
      </c>
      <c r="S1924" t="s">
        <v>727</v>
      </c>
      <c r="T1924" t="s">
        <v>729</v>
      </c>
    </row>
    <row r="1925" spans="1:20">
      <c r="A1925" t="s">
        <v>13013</v>
      </c>
      <c r="B1925" t="s">
        <v>9409</v>
      </c>
      <c r="C1925" t="s">
        <v>13014</v>
      </c>
      <c r="D1925" t="s">
        <v>9410</v>
      </c>
      <c r="E1925" t="s">
        <v>13015</v>
      </c>
      <c r="F1925" t="s">
        <v>9412</v>
      </c>
      <c r="G1925" t="s">
        <v>9413</v>
      </c>
      <c r="H1925" t="s">
        <v>12665</v>
      </c>
      <c r="I1925" t="s">
        <v>9709</v>
      </c>
      <c r="J1925" t="s">
        <v>914</v>
      </c>
      <c r="K1925" t="s">
        <v>9416</v>
      </c>
      <c r="L1925" t="s">
        <v>9417</v>
      </c>
      <c r="M1925" t="s">
        <v>12699</v>
      </c>
      <c r="N1925" t="s">
        <v>9446</v>
      </c>
      <c r="O1925" t="s">
        <v>13016</v>
      </c>
      <c r="P1925" t="s">
        <v>13017</v>
      </c>
      <c r="Q1925" t="s">
        <v>9421</v>
      </c>
      <c r="R1925" t="s">
        <v>56</v>
      </c>
      <c r="S1925" t="s">
        <v>13018</v>
      </c>
      <c r="T1925" t="s">
        <v>13019</v>
      </c>
    </row>
    <row r="1926" spans="1:20">
      <c r="A1926" t="s">
        <v>13013</v>
      </c>
      <c r="B1926" t="s">
        <v>9409</v>
      </c>
      <c r="C1926" t="s">
        <v>13014</v>
      </c>
      <c r="D1926" t="s">
        <v>9410</v>
      </c>
      <c r="E1926" t="s">
        <v>13015</v>
      </c>
      <c r="F1926" t="s">
        <v>9412</v>
      </c>
      <c r="G1926" t="s">
        <v>9413</v>
      </c>
      <c r="H1926" t="s">
        <v>12665</v>
      </c>
      <c r="I1926" t="s">
        <v>9709</v>
      </c>
      <c r="J1926" t="s">
        <v>914</v>
      </c>
      <c r="K1926" t="s">
        <v>9416</v>
      </c>
      <c r="L1926" t="s">
        <v>9417</v>
      </c>
      <c r="M1926" t="s">
        <v>12699</v>
      </c>
      <c r="N1926" t="s">
        <v>9446</v>
      </c>
      <c r="O1926" t="s">
        <v>13020</v>
      </c>
      <c r="P1926" t="s">
        <v>9655</v>
      </c>
      <c r="Q1926" t="s">
        <v>9421</v>
      </c>
      <c r="R1926" t="s">
        <v>56</v>
      </c>
      <c r="S1926" t="s">
        <v>13021</v>
      </c>
      <c r="T1926" t="s">
        <v>13022</v>
      </c>
    </row>
    <row r="1927" spans="1:20">
      <c r="A1927" t="s">
        <v>13013</v>
      </c>
      <c r="B1927" t="s">
        <v>9409</v>
      </c>
      <c r="C1927" t="s">
        <v>13014</v>
      </c>
      <c r="D1927" t="s">
        <v>9410</v>
      </c>
      <c r="E1927" t="s">
        <v>13015</v>
      </c>
      <c r="F1927" t="s">
        <v>9412</v>
      </c>
      <c r="G1927" t="s">
        <v>9413</v>
      </c>
      <c r="H1927" t="s">
        <v>12665</v>
      </c>
      <c r="I1927" t="s">
        <v>9709</v>
      </c>
      <c r="J1927" t="s">
        <v>914</v>
      </c>
      <c r="K1927" t="s">
        <v>9416</v>
      </c>
      <c r="L1927" t="s">
        <v>9417</v>
      </c>
      <c r="M1927" t="s">
        <v>12699</v>
      </c>
      <c r="N1927" t="s">
        <v>9446</v>
      </c>
      <c r="O1927" t="s">
        <v>13023</v>
      </c>
      <c r="P1927" t="s">
        <v>9655</v>
      </c>
      <c r="Q1927" t="s">
        <v>9421</v>
      </c>
      <c r="R1927" t="s">
        <v>56</v>
      </c>
      <c r="S1927" t="s">
        <v>13024</v>
      </c>
      <c r="T1927" t="s">
        <v>13025</v>
      </c>
    </row>
    <row r="1928" spans="1:20">
      <c r="A1928" t="s">
        <v>13013</v>
      </c>
      <c r="B1928" t="s">
        <v>9409</v>
      </c>
      <c r="C1928" t="s">
        <v>13014</v>
      </c>
      <c r="D1928" t="s">
        <v>9410</v>
      </c>
      <c r="E1928" t="s">
        <v>13015</v>
      </c>
      <c r="F1928" t="s">
        <v>9412</v>
      </c>
      <c r="G1928" t="s">
        <v>9413</v>
      </c>
      <c r="H1928" t="s">
        <v>12665</v>
      </c>
      <c r="I1928" t="s">
        <v>9709</v>
      </c>
      <c r="J1928" t="s">
        <v>914</v>
      </c>
      <c r="K1928" t="s">
        <v>9416</v>
      </c>
      <c r="L1928" t="s">
        <v>9417</v>
      </c>
      <c r="M1928" t="s">
        <v>12699</v>
      </c>
      <c r="N1928" t="s">
        <v>12700</v>
      </c>
      <c r="O1928" t="s">
        <v>13026</v>
      </c>
      <c r="P1928" t="s">
        <v>9429</v>
      </c>
      <c r="Q1928" t="s">
        <v>9421</v>
      </c>
      <c r="R1928" t="s">
        <v>52</v>
      </c>
      <c r="S1928" t="s">
        <v>13013</v>
      </c>
      <c r="T1928" t="s">
        <v>13027</v>
      </c>
    </row>
    <row r="1929" spans="1:20">
      <c r="A1929" t="s">
        <v>922</v>
      </c>
      <c r="B1929" t="s">
        <v>62</v>
      </c>
      <c r="C1929" t="s">
        <v>13028</v>
      </c>
      <c r="D1929" t="s">
        <v>9448</v>
      </c>
      <c r="E1929" t="s">
        <v>13029</v>
      </c>
      <c r="F1929" t="s">
        <v>9412</v>
      </c>
      <c r="G1929" t="s">
        <v>9413</v>
      </c>
      <c r="H1929" t="s">
        <v>12665</v>
      </c>
      <c r="I1929" t="s">
        <v>10205</v>
      </c>
      <c r="J1929" t="s">
        <v>914</v>
      </c>
      <c r="K1929" t="s">
        <v>9445</v>
      </c>
      <c r="L1929" t="s">
        <v>9417</v>
      </c>
      <c r="M1929" t="s">
        <v>12805</v>
      </c>
      <c r="N1929" t="s">
        <v>9426</v>
      </c>
      <c r="O1929" t="s">
        <v>9446</v>
      </c>
      <c r="P1929" t="s">
        <v>9479</v>
      </c>
      <c r="Q1929" t="s">
        <v>9421</v>
      </c>
      <c r="R1929" t="s">
        <v>43</v>
      </c>
      <c r="S1929" t="s">
        <v>364</v>
      </c>
      <c r="T1929" t="s">
        <v>366</v>
      </c>
    </row>
    <row r="1930" spans="1:20">
      <c r="A1930" t="s">
        <v>922</v>
      </c>
      <c r="B1930" t="s">
        <v>62</v>
      </c>
      <c r="C1930" t="s">
        <v>13028</v>
      </c>
      <c r="D1930" t="s">
        <v>9448</v>
      </c>
      <c r="E1930" t="s">
        <v>13029</v>
      </c>
      <c r="F1930" t="s">
        <v>9412</v>
      </c>
      <c r="G1930" t="s">
        <v>9413</v>
      </c>
      <c r="H1930" t="s">
        <v>12665</v>
      </c>
      <c r="I1930" t="s">
        <v>10205</v>
      </c>
      <c r="J1930" t="s">
        <v>914</v>
      </c>
      <c r="K1930" t="s">
        <v>9416</v>
      </c>
      <c r="L1930" t="s">
        <v>9417</v>
      </c>
      <c r="M1930" t="s">
        <v>12805</v>
      </c>
      <c r="N1930" t="s">
        <v>9446</v>
      </c>
      <c r="O1930" t="s">
        <v>5334</v>
      </c>
      <c r="P1930" t="s">
        <v>9655</v>
      </c>
      <c r="Q1930" t="s">
        <v>9421</v>
      </c>
      <c r="R1930" t="s">
        <v>56</v>
      </c>
      <c r="S1930" t="s">
        <v>923</v>
      </c>
      <c r="T1930" t="s">
        <v>925</v>
      </c>
    </row>
    <row r="1931" spans="1:20">
      <c r="A1931" t="s">
        <v>13030</v>
      </c>
      <c r="B1931" t="s">
        <v>9409</v>
      </c>
      <c r="C1931" t="s">
        <v>13031</v>
      </c>
      <c r="D1931" t="s">
        <v>9410</v>
      </c>
      <c r="E1931" t="s">
        <v>13032</v>
      </c>
      <c r="F1931" t="s">
        <v>9412</v>
      </c>
      <c r="G1931" t="s">
        <v>9413</v>
      </c>
      <c r="H1931" t="s">
        <v>12665</v>
      </c>
      <c r="I1931" t="s">
        <v>10281</v>
      </c>
      <c r="J1931" t="s">
        <v>147</v>
      </c>
      <c r="K1931" t="s">
        <v>9416</v>
      </c>
      <c r="L1931" t="s">
        <v>9417</v>
      </c>
      <c r="M1931" t="s">
        <v>12924</v>
      </c>
      <c r="N1931" t="s">
        <v>12719</v>
      </c>
      <c r="O1931" t="s">
        <v>13033</v>
      </c>
      <c r="P1931" t="s">
        <v>9420</v>
      </c>
      <c r="Q1931" t="s">
        <v>9421</v>
      </c>
      <c r="R1931" t="s">
        <v>17</v>
      </c>
      <c r="S1931" t="s">
        <v>13030</v>
      </c>
      <c r="T1931" t="s">
        <v>13034</v>
      </c>
    </row>
    <row r="1932" spans="1:20">
      <c r="A1932" t="s">
        <v>185</v>
      </c>
      <c r="B1932" t="s">
        <v>20</v>
      </c>
      <c r="C1932" t="s">
        <v>4615</v>
      </c>
      <c r="D1932" t="s">
        <v>9475</v>
      </c>
      <c r="E1932" t="s">
        <v>13035</v>
      </c>
      <c r="F1932" t="s">
        <v>9412</v>
      </c>
      <c r="G1932" t="s">
        <v>9413</v>
      </c>
      <c r="H1932" t="s">
        <v>12665</v>
      </c>
      <c r="I1932" t="s">
        <v>9462</v>
      </c>
      <c r="J1932" t="s">
        <v>147</v>
      </c>
      <c r="K1932" t="s">
        <v>9416</v>
      </c>
      <c r="L1932" t="s">
        <v>9417</v>
      </c>
      <c r="M1932" t="s">
        <v>12938</v>
      </c>
      <c r="N1932" t="s">
        <v>12719</v>
      </c>
      <c r="O1932" t="s">
        <v>4619</v>
      </c>
      <c r="P1932" t="s">
        <v>9420</v>
      </c>
      <c r="Q1932" t="s">
        <v>9421</v>
      </c>
      <c r="R1932" t="s">
        <v>17</v>
      </c>
      <c r="S1932" t="s">
        <v>189</v>
      </c>
      <c r="T1932" t="s">
        <v>191</v>
      </c>
    </row>
    <row r="1933" spans="1:20">
      <c r="A1933" t="s">
        <v>185</v>
      </c>
      <c r="B1933" t="s">
        <v>20</v>
      </c>
      <c r="C1933" t="s">
        <v>4615</v>
      </c>
      <c r="D1933" t="s">
        <v>9475</v>
      </c>
      <c r="E1933" t="s">
        <v>13035</v>
      </c>
      <c r="F1933" t="s">
        <v>9412</v>
      </c>
      <c r="G1933" t="s">
        <v>9413</v>
      </c>
      <c r="H1933" t="s">
        <v>12665</v>
      </c>
      <c r="I1933" t="s">
        <v>9462</v>
      </c>
      <c r="J1933" t="s">
        <v>147</v>
      </c>
      <c r="K1933" t="s">
        <v>9416</v>
      </c>
      <c r="L1933" t="s">
        <v>9417</v>
      </c>
      <c r="M1933" t="s">
        <v>12938</v>
      </c>
      <c r="N1933" t="s">
        <v>9426</v>
      </c>
      <c r="O1933" t="s">
        <v>4600</v>
      </c>
      <c r="P1933" t="s">
        <v>9567</v>
      </c>
      <c r="Q1933" t="s">
        <v>9421</v>
      </c>
      <c r="R1933" t="s">
        <v>43</v>
      </c>
      <c r="S1933" t="s">
        <v>74</v>
      </c>
      <c r="T1933" t="s">
        <v>76</v>
      </c>
    </row>
    <row r="1934" spans="1:20">
      <c r="A1934" t="s">
        <v>185</v>
      </c>
      <c r="B1934" t="s">
        <v>20</v>
      </c>
      <c r="C1934" t="s">
        <v>4615</v>
      </c>
      <c r="D1934" t="s">
        <v>9475</v>
      </c>
      <c r="E1934" t="s">
        <v>13035</v>
      </c>
      <c r="F1934" t="s">
        <v>9412</v>
      </c>
      <c r="G1934" t="s">
        <v>9413</v>
      </c>
      <c r="H1934" t="s">
        <v>12665</v>
      </c>
      <c r="I1934" t="s">
        <v>9462</v>
      </c>
      <c r="J1934" t="s">
        <v>147</v>
      </c>
      <c r="K1934" t="s">
        <v>9416</v>
      </c>
      <c r="L1934" t="s">
        <v>9417</v>
      </c>
      <c r="M1934" t="s">
        <v>12938</v>
      </c>
      <c r="N1934" t="s">
        <v>12719</v>
      </c>
      <c r="O1934" t="s">
        <v>4617</v>
      </c>
      <c r="P1934" t="s">
        <v>9429</v>
      </c>
      <c r="Q1934" t="s">
        <v>9421</v>
      </c>
      <c r="R1934" t="s">
        <v>52</v>
      </c>
      <c r="S1934" t="s">
        <v>185</v>
      </c>
      <c r="T1934" t="s">
        <v>188</v>
      </c>
    </row>
    <row r="1935" spans="1:20">
      <c r="A1935" t="s">
        <v>927</v>
      </c>
      <c r="B1935" t="s">
        <v>20</v>
      </c>
      <c r="C1935" t="s">
        <v>5340</v>
      </c>
      <c r="D1935" t="s">
        <v>9455</v>
      </c>
      <c r="E1935" t="s">
        <v>13036</v>
      </c>
      <c r="F1935" t="s">
        <v>9412</v>
      </c>
      <c r="G1935" t="s">
        <v>9413</v>
      </c>
      <c r="H1935" t="s">
        <v>12665</v>
      </c>
      <c r="I1935" t="s">
        <v>9709</v>
      </c>
      <c r="J1935" t="s">
        <v>914</v>
      </c>
      <c r="K1935" t="s">
        <v>9416</v>
      </c>
      <c r="L1935" t="s">
        <v>9417</v>
      </c>
      <c r="M1935" t="s">
        <v>12699</v>
      </c>
      <c r="N1935" t="s">
        <v>12700</v>
      </c>
      <c r="O1935" t="s">
        <v>5338</v>
      </c>
      <c r="P1935" t="s">
        <v>9420</v>
      </c>
      <c r="Q1935" t="s">
        <v>9421</v>
      </c>
      <c r="R1935" t="s">
        <v>17</v>
      </c>
      <c r="S1935" t="s">
        <v>928</v>
      </c>
      <c r="T1935" t="s">
        <v>930</v>
      </c>
    </row>
    <row r="1936" spans="1:20">
      <c r="A1936" t="s">
        <v>927</v>
      </c>
      <c r="B1936" t="s">
        <v>20</v>
      </c>
      <c r="C1936" t="s">
        <v>5340</v>
      </c>
      <c r="D1936" t="s">
        <v>9455</v>
      </c>
      <c r="E1936" t="s">
        <v>13036</v>
      </c>
      <c r="F1936" t="s">
        <v>9412</v>
      </c>
      <c r="G1936" t="s">
        <v>9413</v>
      </c>
      <c r="H1936" t="s">
        <v>12665</v>
      </c>
      <c r="I1936" t="s">
        <v>9709</v>
      </c>
      <c r="J1936" t="s">
        <v>914</v>
      </c>
      <c r="K1936" t="s">
        <v>9416</v>
      </c>
      <c r="L1936" t="s">
        <v>9417</v>
      </c>
      <c r="M1936" t="s">
        <v>12699</v>
      </c>
      <c r="N1936" t="s">
        <v>12700</v>
      </c>
      <c r="O1936" t="s">
        <v>5342</v>
      </c>
      <c r="P1936" t="s">
        <v>9420</v>
      </c>
      <c r="Q1936" t="s">
        <v>9421</v>
      </c>
      <c r="R1936" t="s">
        <v>17</v>
      </c>
      <c r="S1936" t="s">
        <v>932</v>
      </c>
      <c r="T1936" t="s">
        <v>934</v>
      </c>
    </row>
    <row r="1937" spans="1:20">
      <c r="A1937" t="s">
        <v>927</v>
      </c>
      <c r="B1937" t="s">
        <v>20</v>
      </c>
      <c r="C1937" t="s">
        <v>5340</v>
      </c>
      <c r="D1937" t="s">
        <v>9455</v>
      </c>
      <c r="E1937" t="s">
        <v>13036</v>
      </c>
      <c r="F1937" t="s">
        <v>9412</v>
      </c>
      <c r="G1937" t="s">
        <v>9413</v>
      </c>
      <c r="H1937" t="s">
        <v>12665</v>
      </c>
      <c r="I1937" t="s">
        <v>9709</v>
      </c>
      <c r="J1937" t="s">
        <v>914</v>
      </c>
      <c r="K1937" t="s">
        <v>9416</v>
      </c>
      <c r="L1937" t="s">
        <v>9417</v>
      </c>
      <c r="M1937" t="s">
        <v>12699</v>
      </c>
      <c r="N1937" t="s">
        <v>12700</v>
      </c>
      <c r="O1937" t="s">
        <v>5343</v>
      </c>
      <c r="P1937" t="s">
        <v>9420</v>
      </c>
      <c r="Q1937" t="s">
        <v>9421</v>
      </c>
      <c r="R1937" t="s">
        <v>17</v>
      </c>
      <c r="S1937" t="s">
        <v>935</v>
      </c>
      <c r="T1937" t="s">
        <v>937</v>
      </c>
    </row>
    <row r="1938" spans="1:20">
      <c r="A1938" t="s">
        <v>13037</v>
      </c>
      <c r="B1938" t="s">
        <v>9409</v>
      </c>
      <c r="C1938" t="s">
        <v>13038</v>
      </c>
      <c r="D1938" t="s">
        <v>9410</v>
      </c>
      <c r="E1938" t="s">
        <v>13039</v>
      </c>
      <c r="F1938" t="s">
        <v>9412</v>
      </c>
      <c r="G1938" t="s">
        <v>9413</v>
      </c>
      <c r="H1938" t="s">
        <v>12665</v>
      </c>
      <c r="I1938" t="s">
        <v>10191</v>
      </c>
      <c r="J1938" t="s">
        <v>710</v>
      </c>
      <c r="K1938" t="s">
        <v>9416</v>
      </c>
      <c r="L1938" t="s">
        <v>9417</v>
      </c>
      <c r="M1938" t="s">
        <v>12738</v>
      </c>
      <c r="N1938" t="s">
        <v>12725</v>
      </c>
      <c r="O1938" t="s">
        <v>13040</v>
      </c>
      <c r="P1938" t="s">
        <v>9420</v>
      </c>
      <c r="Q1938" t="s">
        <v>9421</v>
      </c>
      <c r="R1938" t="s">
        <v>17</v>
      </c>
      <c r="S1938" t="s">
        <v>13037</v>
      </c>
      <c r="T1938" t="s">
        <v>13041</v>
      </c>
    </row>
    <row r="1939" spans="1:20">
      <c r="A1939" t="s">
        <v>4726</v>
      </c>
      <c r="B1939" t="s">
        <v>9409</v>
      </c>
      <c r="C1939" t="s">
        <v>4727</v>
      </c>
      <c r="D1939" t="s">
        <v>9410</v>
      </c>
      <c r="E1939" t="s">
        <v>13042</v>
      </c>
      <c r="F1939" t="s">
        <v>9412</v>
      </c>
      <c r="G1939" t="s">
        <v>9413</v>
      </c>
      <c r="H1939" t="s">
        <v>12665</v>
      </c>
      <c r="I1939" t="s">
        <v>9466</v>
      </c>
      <c r="J1939" t="s">
        <v>287</v>
      </c>
      <c r="K1939" t="s">
        <v>9445</v>
      </c>
      <c r="L1939" t="s">
        <v>9417</v>
      </c>
      <c r="M1939" t="s">
        <v>12714</v>
      </c>
      <c r="N1939" t="s">
        <v>9426</v>
      </c>
      <c r="O1939" t="s">
        <v>9446</v>
      </c>
      <c r="P1939" t="s">
        <v>9567</v>
      </c>
      <c r="Q1939" t="s">
        <v>9421</v>
      </c>
      <c r="R1939" t="s">
        <v>43</v>
      </c>
      <c r="S1939" t="s">
        <v>74</v>
      </c>
      <c r="T1939" t="s">
        <v>76</v>
      </c>
    </row>
    <row r="1940" spans="1:20">
      <c r="A1940" t="s">
        <v>4726</v>
      </c>
      <c r="B1940" t="s">
        <v>9409</v>
      </c>
      <c r="C1940" t="s">
        <v>4727</v>
      </c>
      <c r="D1940" t="s">
        <v>9410</v>
      </c>
      <c r="E1940" t="s">
        <v>13042</v>
      </c>
      <c r="F1940" t="s">
        <v>9412</v>
      </c>
      <c r="G1940" t="s">
        <v>9413</v>
      </c>
      <c r="H1940" t="s">
        <v>12665</v>
      </c>
      <c r="I1940" t="s">
        <v>9466</v>
      </c>
      <c r="J1940" t="s">
        <v>287</v>
      </c>
      <c r="K1940" t="s">
        <v>9416</v>
      </c>
      <c r="L1940" t="s">
        <v>9417</v>
      </c>
      <c r="M1940" t="s">
        <v>12714</v>
      </c>
      <c r="N1940" t="s">
        <v>12688</v>
      </c>
      <c r="O1940" t="s">
        <v>4730</v>
      </c>
      <c r="P1940" t="s">
        <v>9420</v>
      </c>
      <c r="Q1940" t="s">
        <v>9421</v>
      </c>
      <c r="R1940" t="s">
        <v>17</v>
      </c>
      <c r="S1940" t="s">
        <v>4729</v>
      </c>
      <c r="T1940" t="s">
        <v>13043</v>
      </c>
    </row>
    <row r="1941" spans="1:20">
      <c r="A1941" t="s">
        <v>731</v>
      </c>
      <c r="B1941" t="s">
        <v>20</v>
      </c>
      <c r="C1941" t="s">
        <v>734</v>
      </c>
      <c r="D1941" t="s">
        <v>9666</v>
      </c>
      <c r="E1941" t="s">
        <v>13044</v>
      </c>
      <c r="F1941" t="s">
        <v>9412</v>
      </c>
      <c r="G1941" t="s">
        <v>9413</v>
      </c>
      <c r="H1941" t="s">
        <v>12</v>
      </c>
      <c r="I1941" t="s">
        <v>9466</v>
      </c>
      <c r="J1941" t="s">
        <v>710</v>
      </c>
      <c r="K1941" t="s">
        <v>9416</v>
      </c>
      <c r="L1941" t="s">
        <v>9417</v>
      </c>
      <c r="M1941" t="s">
        <v>12974</v>
      </c>
      <c r="N1941" t="s">
        <v>12725</v>
      </c>
      <c r="O1941" t="s">
        <v>5170</v>
      </c>
      <c r="P1941" t="s">
        <v>9420</v>
      </c>
      <c r="Q1941" t="s">
        <v>9421</v>
      </c>
      <c r="R1941" t="s">
        <v>17</v>
      </c>
      <c r="S1941" t="s">
        <v>731</v>
      </c>
      <c r="T1941" t="s">
        <v>733</v>
      </c>
    </row>
    <row r="1942" spans="1:20">
      <c r="A1942" t="s">
        <v>735</v>
      </c>
      <c r="B1942" t="s">
        <v>62</v>
      </c>
      <c r="C1942" t="s">
        <v>5177</v>
      </c>
      <c r="D1942" t="s">
        <v>445</v>
      </c>
      <c r="E1942" t="s">
        <v>13045</v>
      </c>
      <c r="F1942" t="s">
        <v>9412</v>
      </c>
      <c r="G1942" t="s">
        <v>9413</v>
      </c>
      <c r="H1942" t="s">
        <v>12665</v>
      </c>
      <c r="I1942" t="s">
        <v>10191</v>
      </c>
      <c r="J1942" t="s">
        <v>710</v>
      </c>
      <c r="K1942" t="s">
        <v>9416</v>
      </c>
      <c r="L1942" t="s">
        <v>9417</v>
      </c>
      <c r="M1942" t="s">
        <v>12974</v>
      </c>
      <c r="N1942" t="s">
        <v>12725</v>
      </c>
      <c r="O1942" t="s">
        <v>5175</v>
      </c>
      <c r="P1942" t="s">
        <v>9420</v>
      </c>
      <c r="Q1942" t="s">
        <v>9421</v>
      </c>
      <c r="R1942" t="s">
        <v>17</v>
      </c>
      <c r="S1942" t="s">
        <v>735</v>
      </c>
      <c r="T1942" t="s">
        <v>737</v>
      </c>
    </row>
    <row r="1943" spans="1:20">
      <c r="A1943" t="s">
        <v>13046</v>
      </c>
      <c r="B1943" t="s">
        <v>9409</v>
      </c>
      <c r="C1943" t="s">
        <v>13047</v>
      </c>
      <c r="D1943" t="s">
        <v>9410</v>
      </c>
      <c r="E1943" t="s">
        <v>13048</v>
      </c>
      <c r="F1943" t="s">
        <v>9412</v>
      </c>
      <c r="G1943" t="s">
        <v>9413</v>
      </c>
      <c r="H1943" t="s">
        <v>12665</v>
      </c>
      <c r="I1943" t="s">
        <v>9645</v>
      </c>
      <c r="J1943" t="s">
        <v>147</v>
      </c>
      <c r="K1943" t="s">
        <v>9416</v>
      </c>
      <c r="L1943" t="s">
        <v>9417</v>
      </c>
      <c r="M1943" t="s">
        <v>12924</v>
      </c>
      <c r="N1943" t="s">
        <v>12719</v>
      </c>
      <c r="O1943" t="s">
        <v>13049</v>
      </c>
      <c r="P1943" t="s">
        <v>9420</v>
      </c>
      <c r="Q1943" t="s">
        <v>9421</v>
      </c>
      <c r="R1943" t="s">
        <v>17</v>
      </c>
      <c r="S1943" t="s">
        <v>13046</v>
      </c>
      <c r="T1943" t="s">
        <v>13050</v>
      </c>
    </row>
    <row r="1944" spans="1:20">
      <c r="A1944" t="s">
        <v>13046</v>
      </c>
      <c r="B1944" t="s">
        <v>9409</v>
      </c>
      <c r="C1944" t="s">
        <v>13047</v>
      </c>
      <c r="D1944" t="s">
        <v>9410</v>
      </c>
      <c r="E1944" t="s">
        <v>13048</v>
      </c>
      <c r="F1944" t="s">
        <v>9412</v>
      </c>
      <c r="G1944" t="s">
        <v>9413</v>
      </c>
      <c r="H1944" t="s">
        <v>12665</v>
      </c>
      <c r="I1944" t="s">
        <v>9645</v>
      </c>
      <c r="J1944" t="s">
        <v>147</v>
      </c>
      <c r="K1944" t="s">
        <v>9445</v>
      </c>
      <c r="L1944" t="s">
        <v>9417</v>
      </c>
      <c r="M1944" t="s">
        <v>12924</v>
      </c>
      <c r="N1944" t="s">
        <v>9430</v>
      </c>
      <c r="O1944" t="s">
        <v>9446</v>
      </c>
      <c r="P1944" t="s">
        <v>9431</v>
      </c>
      <c r="Q1944" t="s">
        <v>9421</v>
      </c>
      <c r="R1944" t="s">
        <v>24</v>
      </c>
      <c r="S1944" t="s">
        <v>823</v>
      </c>
      <c r="T1944" t="s">
        <v>13006</v>
      </c>
    </row>
    <row r="1945" spans="1:20">
      <c r="A1945" t="s">
        <v>13051</v>
      </c>
      <c r="B1945" t="s">
        <v>9409</v>
      </c>
      <c r="C1945" t="s">
        <v>13052</v>
      </c>
      <c r="D1945" t="s">
        <v>9410</v>
      </c>
      <c r="E1945" t="s">
        <v>13053</v>
      </c>
      <c r="F1945" t="s">
        <v>9412</v>
      </c>
      <c r="G1945" t="s">
        <v>9413</v>
      </c>
      <c r="H1945" t="s">
        <v>12665</v>
      </c>
      <c r="I1945" t="s">
        <v>10099</v>
      </c>
      <c r="J1945" t="s">
        <v>710</v>
      </c>
      <c r="K1945" t="s">
        <v>9416</v>
      </c>
      <c r="L1945" t="s">
        <v>9417</v>
      </c>
      <c r="M1945" t="s">
        <v>12717</v>
      </c>
      <c r="N1945" t="s">
        <v>12725</v>
      </c>
      <c r="O1945" t="s">
        <v>13054</v>
      </c>
      <c r="P1945" t="s">
        <v>9420</v>
      </c>
      <c r="Q1945" t="s">
        <v>9421</v>
      </c>
      <c r="R1945" t="s">
        <v>17</v>
      </c>
      <c r="S1945" t="s">
        <v>13051</v>
      </c>
      <c r="T1945" t="s">
        <v>13055</v>
      </c>
    </row>
    <row r="1946" spans="1:20">
      <c r="A1946" t="s">
        <v>4732</v>
      </c>
      <c r="B1946" t="s">
        <v>9409</v>
      </c>
      <c r="C1946" t="s">
        <v>4735</v>
      </c>
      <c r="D1946" t="s">
        <v>9410</v>
      </c>
      <c r="E1946" t="s">
        <v>13056</v>
      </c>
      <c r="F1946" t="s">
        <v>9412</v>
      </c>
      <c r="G1946" t="s">
        <v>9413</v>
      </c>
      <c r="H1946" t="s">
        <v>12665</v>
      </c>
      <c r="I1946" t="s">
        <v>10261</v>
      </c>
      <c r="J1946" t="s">
        <v>287</v>
      </c>
      <c r="K1946" t="s">
        <v>9416</v>
      </c>
      <c r="L1946" t="s">
        <v>9417</v>
      </c>
      <c r="M1946" t="s">
        <v>12721</v>
      </c>
      <c r="N1946" t="s">
        <v>12688</v>
      </c>
      <c r="O1946" t="s">
        <v>4733</v>
      </c>
      <c r="P1946" t="s">
        <v>9420</v>
      </c>
      <c r="Q1946" t="s">
        <v>9421</v>
      </c>
      <c r="R1946" t="s">
        <v>17</v>
      </c>
      <c r="S1946" t="s">
        <v>4732</v>
      </c>
      <c r="T1946" t="s">
        <v>13057</v>
      </c>
    </row>
    <row r="1947" spans="1:20">
      <c r="A1947" t="s">
        <v>13058</v>
      </c>
      <c r="B1947" t="s">
        <v>9409</v>
      </c>
      <c r="C1947" t="s">
        <v>13059</v>
      </c>
      <c r="D1947" t="s">
        <v>9410</v>
      </c>
      <c r="E1947" t="s">
        <v>13060</v>
      </c>
      <c r="F1947" t="s">
        <v>9412</v>
      </c>
      <c r="G1947" t="s">
        <v>9413</v>
      </c>
      <c r="H1947" t="s">
        <v>12665</v>
      </c>
      <c r="I1947" t="s">
        <v>9729</v>
      </c>
      <c r="J1947" t="s">
        <v>287</v>
      </c>
      <c r="K1947" t="s">
        <v>9416</v>
      </c>
      <c r="L1947" t="s">
        <v>9417</v>
      </c>
      <c r="M1947" t="s">
        <v>12673</v>
      </c>
      <c r="N1947" t="s">
        <v>12688</v>
      </c>
      <c r="O1947" t="s">
        <v>13061</v>
      </c>
      <c r="P1947" t="s">
        <v>9429</v>
      </c>
      <c r="Q1947" t="s">
        <v>9421</v>
      </c>
      <c r="R1947" t="s">
        <v>52</v>
      </c>
      <c r="S1947" t="s">
        <v>13062</v>
      </c>
      <c r="T1947" t="s">
        <v>13063</v>
      </c>
    </row>
    <row r="1948" spans="1:20">
      <c r="A1948" t="s">
        <v>13058</v>
      </c>
      <c r="B1948" t="s">
        <v>9409</v>
      </c>
      <c r="C1948" t="s">
        <v>13059</v>
      </c>
      <c r="D1948" t="s">
        <v>9410</v>
      </c>
      <c r="E1948" t="s">
        <v>13060</v>
      </c>
      <c r="F1948" t="s">
        <v>9412</v>
      </c>
      <c r="G1948" t="s">
        <v>9413</v>
      </c>
      <c r="H1948" t="s">
        <v>12665</v>
      </c>
      <c r="I1948" t="s">
        <v>9729</v>
      </c>
      <c r="J1948" t="s">
        <v>287</v>
      </c>
      <c r="K1948" t="s">
        <v>9416</v>
      </c>
      <c r="L1948" t="s">
        <v>9417</v>
      </c>
      <c r="M1948" t="s">
        <v>12673</v>
      </c>
      <c r="N1948" t="s">
        <v>12688</v>
      </c>
      <c r="O1948" t="s">
        <v>13064</v>
      </c>
      <c r="P1948" t="s">
        <v>9420</v>
      </c>
      <c r="Q1948" t="s">
        <v>9421</v>
      </c>
      <c r="R1948" t="s">
        <v>17</v>
      </c>
      <c r="S1948" t="s">
        <v>13058</v>
      </c>
      <c r="T1948" t="s">
        <v>13065</v>
      </c>
    </row>
    <row r="1949" spans="1:20">
      <c r="A1949" t="s">
        <v>739</v>
      </c>
      <c r="B1949" t="s">
        <v>20</v>
      </c>
      <c r="C1949" t="s">
        <v>743</v>
      </c>
      <c r="D1949" t="s">
        <v>10329</v>
      </c>
      <c r="E1949" t="s">
        <v>13066</v>
      </c>
      <c r="F1949" t="s">
        <v>9412</v>
      </c>
      <c r="G1949" t="s">
        <v>9413</v>
      </c>
      <c r="H1949" t="s">
        <v>12</v>
      </c>
      <c r="I1949" t="s">
        <v>10302</v>
      </c>
      <c r="J1949" t="s">
        <v>710</v>
      </c>
      <c r="K1949" t="s">
        <v>9445</v>
      </c>
      <c r="L1949" t="s">
        <v>9417</v>
      </c>
      <c r="M1949" t="s">
        <v>12738</v>
      </c>
      <c r="N1949" t="s">
        <v>9430</v>
      </c>
      <c r="O1949" t="s">
        <v>9446</v>
      </c>
      <c r="P1949" t="s">
        <v>10928</v>
      </c>
      <c r="Q1949" t="s">
        <v>9421</v>
      </c>
      <c r="R1949" t="s">
        <v>17</v>
      </c>
      <c r="S1949" t="s">
        <v>746</v>
      </c>
      <c r="T1949" t="s">
        <v>748</v>
      </c>
    </row>
    <row r="1950" spans="1:20">
      <c r="A1950" t="s">
        <v>739</v>
      </c>
      <c r="B1950" t="s">
        <v>20</v>
      </c>
      <c r="C1950" t="s">
        <v>743</v>
      </c>
      <c r="D1950" t="s">
        <v>10329</v>
      </c>
      <c r="E1950" t="s">
        <v>13066</v>
      </c>
      <c r="F1950" t="s">
        <v>9412</v>
      </c>
      <c r="G1950" t="s">
        <v>9413</v>
      </c>
      <c r="H1950" t="s">
        <v>12</v>
      </c>
      <c r="I1950" t="s">
        <v>10302</v>
      </c>
      <c r="J1950" t="s">
        <v>710</v>
      </c>
      <c r="K1950" t="s">
        <v>9416</v>
      </c>
      <c r="L1950" t="s">
        <v>9417</v>
      </c>
      <c r="M1950" t="s">
        <v>12738</v>
      </c>
      <c r="N1950" t="s">
        <v>12725</v>
      </c>
      <c r="O1950" t="s">
        <v>5179</v>
      </c>
      <c r="P1950" t="s">
        <v>9420</v>
      </c>
      <c r="Q1950" t="s">
        <v>9421</v>
      </c>
      <c r="R1950" t="s">
        <v>17</v>
      </c>
      <c r="S1950" t="s">
        <v>739</v>
      </c>
      <c r="T1950" t="s">
        <v>745</v>
      </c>
    </row>
    <row r="1951" spans="1:20">
      <c r="A1951" t="s">
        <v>739</v>
      </c>
      <c r="B1951" t="s">
        <v>20</v>
      </c>
      <c r="C1951" t="s">
        <v>743</v>
      </c>
      <c r="D1951" t="s">
        <v>10329</v>
      </c>
      <c r="E1951" t="s">
        <v>13066</v>
      </c>
      <c r="F1951" t="s">
        <v>9412</v>
      </c>
      <c r="G1951" t="s">
        <v>9413</v>
      </c>
      <c r="H1951" t="s">
        <v>12</v>
      </c>
      <c r="I1951" t="s">
        <v>10302</v>
      </c>
      <c r="J1951" t="s">
        <v>710</v>
      </c>
      <c r="K1951" t="s">
        <v>9445</v>
      </c>
      <c r="L1951" t="s">
        <v>9417</v>
      </c>
      <c r="M1951" t="s">
        <v>12738</v>
      </c>
      <c r="N1951" t="s">
        <v>12725</v>
      </c>
      <c r="O1951" t="s">
        <v>9446</v>
      </c>
      <c r="P1951" t="s">
        <v>9420</v>
      </c>
      <c r="Q1951" t="s">
        <v>9421</v>
      </c>
      <c r="R1951" t="s">
        <v>17</v>
      </c>
      <c r="S1951" t="s">
        <v>740</v>
      </c>
      <c r="T1951" t="s">
        <v>742</v>
      </c>
    </row>
    <row r="1952" spans="1:20">
      <c r="A1952" t="s">
        <v>13067</v>
      </c>
      <c r="B1952" t="s">
        <v>9409</v>
      </c>
      <c r="C1952" t="s">
        <v>13068</v>
      </c>
      <c r="D1952" t="s">
        <v>9410</v>
      </c>
      <c r="E1952" t="s">
        <v>13069</v>
      </c>
      <c r="F1952" t="s">
        <v>9412</v>
      </c>
      <c r="G1952" t="s">
        <v>9413</v>
      </c>
      <c r="H1952" t="s">
        <v>12665</v>
      </c>
      <c r="I1952" t="s">
        <v>10261</v>
      </c>
      <c r="J1952" t="s">
        <v>710</v>
      </c>
      <c r="K1952" t="s">
        <v>9416</v>
      </c>
      <c r="L1952" t="s">
        <v>9417</v>
      </c>
      <c r="M1952" t="s">
        <v>12738</v>
      </c>
      <c r="N1952" t="s">
        <v>12725</v>
      </c>
      <c r="O1952" t="s">
        <v>13070</v>
      </c>
      <c r="P1952" t="s">
        <v>9420</v>
      </c>
      <c r="Q1952" t="s">
        <v>9421</v>
      </c>
      <c r="R1952" t="s">
        <v>17</v>
      </c>
      <c r="S1952" t="s">
        <v>13067</v>
      </c>
      <c r="T1952" t="s">
        <v>13071</v>
      </c>
    </row>
    <row r="1953" spans="1:20">
      <c r="A1953" t="s">
        <v>749</v>
      </c>
      <c r="B1953" t="s">
        <v>20</v>
      </c>
      <c r="C1953" t="s">
        <v>5187</v>
      </c>
      <c r="D1953" t="s">
        <v>9677</v>
      </c>
      <c r="E1953" t="s">
        <v>13072</v>
      </c>
      <c r="F1953" t="s">
        <v>9412</v>
      </c>
      <c r="G1953" t="s">
        <v>9413</v>
      </c>
      <c r="H1953" t="s">
        <v>12665</v>
      </c>
      <c r="I1953" t="s">
        <v>9645</v>
      </c>
      <c r="J1953" t="s">
        <v>710</v>
      </c>
      <c r="K1953" t="s">
        <v>9416</v>
      </c>
      <c r="L1953" t="s">
        <v>9417</v>
      </c>
      <c r="M1953" t="s">
        <v>12734</v>
      </c>
      <c r="N1953" t="s">
        <v>12725</v>
      </c>
      <c r="O1953" t="s">
        <v>13073</v>
      </c>
      <c r="P1953" t="s">
        <v>9429</v>
      </c>
      <c r="Q1953" t="s">
        <v>9421</v>
      </c>
      <c r="R1953" t="s">
        <v>52</v>
      </c>
      <c r="S1953" t="s">
        <v>750</v>
      </c>
      <c r="T1953" t="s">
        <v>752</v>
      </c>
    </row>
    <row r="1954" spans="1:20">
      <c r="A1954" t="s">
        <v>749</v>
      </c>
      <c r="B1954" t="s">
        <v>20</v>
      </c>
      <c r="C1954" t="s">
        <v>5187</v>
      </c>
      <c r="D1954" t="s">
        <v>9677</v>
      </c>
      <c r="E1954" t="s">
        <v>13072</v>
      </c>
      <c r="F1954" t="s">
        <v>9412</v>
      </c>
      <c r="G1954" t="s">
        <v>9413</v>
      </c>
      <c r="H1954" t="s">
        <v>12665</v>
      </c>
      <c r="I1954" t="s">
        <v>9645</v>
      </c>
      <c r="J1954" t="s">
        <v>710</v>
      </c>
      <c r="K1954" t="s">
        <v>9416</v>
      </c>
      <c r="L1954" t="s">
        <v>9417</v>
      </c>
      <c r="M1954" t="s">
        <v>12734</v>
      </c>
      <c r="N1954" t="s">
        <v>12725</v>
      </c>
      <c r="O1954" t="s">
        <v>5185</v>
      </c>
      <c r="P1954" t="s">
        <v>9429</v>
      </c>
      <c r="Q1954" t="s">
        <v>9421</v>
      </c>
      <c r="R1954" t="s">
        <v>52</v>
      </c>
      <c r="S1954" t="s">
        <v>754</v>
      </c>
      <c r="T1954" t="s">
        <v>756</v>
      </c>
    </row>
    <row r="1955" spans="1:20">
      <c r="A1955" t="s">
        <v>13074</v>
      </c>
      <c r="B1955" t="s">
        <v>9409</v>
      </c>
      <c r="C1955" t="s">
        <v>13075</v>
      </c>
      <c r="D1955" t="s">
        <v>9410</v>
      </c>
      <c r="E1955" t="s">
        <v>13076</v>
      </c>
      <c r="F1955" t="s">
        <v>9412</v>
      </c>
      <c r="G1955" t="s">
        <v>9413</v>
      </c>
      <c r="H1955" t="s">
        <v>12665</v>
      </c>
      <c r="I1955" t="s">
        <v>10540</v>
      </c>
      <c r="J1955" t="s">
        <v>287</v>
      </c>
      <c r="K1955" t="s">
        <v>9416</v>
      </c>
      <c r="L1955" t="s">
        <v>9417</v>
      </c>
      <c r="M1955" t="s">
        <v>12714</v>
      </c>
      <c r="N1955" t="s">
        <v>12688</v>
      </c>
      <c r="O1955" t="s">
        <v>13077</v>
      </c>
      <c r="P1955" t="s">
        <v>9420</v>
      </c>
      <c r="Q1955" t="s">
        <v>9421</v>
      </c>
      <c r="R1955" t="s">
        <v>17</v>
      </c>
      <c r="S1955" t="s">
        <v>13074</v>
      </c>
      <c r="T1955" t="s">
        <v>13078</v>
      </c>
    </row>
    <row r="1956" spans="1:20">
      <c r="A1956" t="s">
        <v>520</v>
      </c>
      <c r="B1956" t="s">
        <v>20</v>
      </c>
      <c r="C1956" t="s">
        <v>4960</v>
      </c>
      <c r="D1956" t="s">
        <v>9464</v>
      </c>
      <c r="E1956" t="s">
        <v>13079</v>
      </c>
      <c r="F1956" t="s">
        <v>9412</v>
      </c>
      <c r="G1956" t="s">
        <v>9413</v>
      </c>
      <c r="H1956" t="s">
        <v>12665</v>
      </c>
      <c r="I1956" t="s">
        <v>11478</v>
      </c>
      <c r="J1956" t="s">
        <v>445</v>
      </c>
      <c r="K1956" t="s">
        <v>9416</v>
      </c>
      <c r="L1956" t="s">
        <v>9417</v>
      </c>
      <c r="M1956" t="s">
        <v>12791</v>
      </c>
      <c r="N1956" t="s">
        <v>12682</v>
      </c>
      <c r="O1956" t="s">
        <v>4958</v>
      </c>
      <c r="P1956" t="s">
        <v>9429</v>
      </c>
      <c r="Q1956" t="s">
        <v>9421</v>
      </c>
      <c r="R1956" t="s">
        <v>52</v>
      </c>
      <c r="S1956" t="s">
        <v>521</v>
      </c>
      <c r="T1956" t="s">
        <v>523</v>
      </c>
    </row>
    <row r="1957" spans="1:20">
      <c r="A1957" t="s">
        <v>938</v>
      </c>
      <c r="B1957" t="s">
        <v>20</v>
      </c>
      <c r="C1957" t="s">
        <v>5347</v>
      </c>
      <c r="D1957" t="s">
        <v>9460</v>
      </c>
      <c r="E1957" t="s">
        <v>13080</v>
      </c>
      <c r="F1957" t="s">
        <v>9412</v>
      </c>
      <c r="G1957" t="s">
        <v>9413</v>
      </c>
      <c r="H1957" t="s">
        <v>12665</v>
      </c>
      <c r="I1957" t="s">
        <v>9472</v>
      </c>
      <c r="J1957" t="s">
        <v>914</v>
      </c>
      <c r="K1957" t="s">
        <v>9416</v>
      </c>
      <c r="L1957" t="s">
        <v>9417</v>
      </c>
      <c r="M1957" t="s">
        <v>12805</v>
      </c>
      <c r="N1957" t="s">
        <v>9430</v>
      </c>
      <c r="O1957" t="s">
        <v>5351</v>
      </c>
      <c r="P1957" t="s">
        <v>9431</v>
      </c>
      <c r="Q1957" t="s">
        <v>9421</v>
      </c>
      <c r="R1957" t="s">
        <v>24</v>
      </c>
      <c r="S1957" t="s">
        <v>946</v>
      </c>
      <c r="T1957" t="s">
        <v>948</v>
      </c>
    </row>
    <row r="1958" spans="1:20">
      <c r="A1958" t="s">
        <v>938</v>
      </c>
      <c r="B1958" t="s">
        <v>20</v>
      </c>
      <c r="C1958" t="s">
        <v>5347</v>
      </c>
      <c r="D1958" t="s">
        <v>9460</v>
      </c>
      <c r="E1958" t="s">
        <v>13080</v>
      </c>
      <c r="F1958" t="s">
        <v>9412</v>
      </c>
      <c r="G1958" t="s">
        <v>9413</v>
      </c>
      <c r="H1958" t="s">
        <v>12665</v>
      </c>
      <c r="I1958" t="s">
        <v>9472</v>
      </c>
      <c r="J1958" t="s">
        <v>914</v>
      </c>
      <c r="K1958" t="s">
        <v>9416</v>
      </c>
      <c r="L1958" t="s">
        <v>9417</v>
      </c>
      <c r="M1958" t="s">
        <v>12805</v>
      </c>
      <c r="N1958" t="s">
        <v>12700</v>
      </c>
      <c r="O1958" t="s">
        <v>5349</v>
      </c>
      <c r="P1958" t="s">
        <v>9429</v>
      </c>
      <c r="Q1958" t="s">
        <v>9421</v>
      </c>
      <c r="R1958" t="s">
        <v>52</v>
      </c>
      <c r="S1958" t="s">
        <v>943</v>
      </c>
      <c r="T1958" t="s">
        <v>945</v>
      </c>
    </row>
    <row r="1959" spans="1:20">
      <c r="A1959" t="s">
        <v>938</v>
      </c>
      <c r="B1959" t="s">
        <v>20</v>
      </c>
      <c r="C1959" t="s">
        <v>5347</v>
      </c>
      <c r="D1959" t="s">
        <v>9460</v>
      </c>
      <c r="E1959" t="s">
        <v>13080</v>
      </c>
      <c r="F1959" t="s">
        <v>9412</v>
      </c>
      <c r="G1959" t="s">
        <v>9413</v>
      </c>
      <c r="H1959" t="s">
        <v>12665</v>
      </c>
      <c r="I1959" t="s">
        <v>9472</v>
      </c>
      <c r="J1959" t="s">
        <v>914</v>
      </c>
      <c r="K1959" t="s">
        <v>9416</v>
      </c>
      <c r="L1959" t="s">
        <v>9417</v>
      </c>
      <c r="M1959" t="s">
        <v>12805</v>
      </c>
      <c r="N1959" t="s">
        <v>12700</v>
      </c>
      <c r="O1959" t="s">
        <v>5345</v>
      </c>
      <c r="P1959" t="s">
        <v>9429</v>
      </c>
      <c r="Q1959" t="s">
        <v>9421</v>
      </c>
      <c r="R1959" t="s">
        <v>52</v>
      </c>
      <c r="S1959" t="s">
        <v>939</v>
      </c>
      <c r="T1959" t="s">
        <v>941</v>
      </c>
    </row>
    <row r="1960" spans="1:20">
      <c r="A1960" t="s">
        <v>4737</v>
      </c>
      <c r="B1960" t="s">
        <v>9409</v>
      </c>
      <c r="C1960" t="s">
        <v>4738</v>
      </c>
      <c r="D1960" t="s">
        <v>9410</v>
      </c>
      <c r="E1960" t="s">
        <v>13081</v>
      </c>
      <c r="F1960" t="s">
        <v>9412</v>
      </c>
      <c r="G1960" t="s">
        <v>9413</v>
      </c>
      <c r="H1960" t="s">
        <v>12665</v>
      </c>
      <c r="I1960" t="s">
        <v>10099</v>
      </c>
      <c r="J1960" t="s">
        <v>287</v>
      </c>
      <c r="K1960" t="s">
        <v>9416</v>
      </c>
      <c r="L1960" t="s">
        <v>9417</v>
      </c>
      <c r="M1960" t="s">
        <v>12721</v>
      </c>
      <c r="N1960" t="s">
        <v>12688</v>
      </c>
      <c r="O1960" t="s">
        <v>4740</v>
      </c>
      <c r="P1960" t="s">
        <v>9429</v>
      </c>
      <c r="Q1960" t="s">
        <v>9421</v>
      </c>
      <c r="R1960" t="s">
        <v>52</v>
      </c>
      <c r="S1960" t="s">
        <v>4737</v>
      </c>
      <c r="T1960" t="s">
        <v>13082</v>
      </c>
    </row>
    <row r="1961" spans="1:20">
      <c r="A1961" t="s">
        <v>4737</v>
      </c>
      <c r="B1961" t="s">
        <v>9409</v>
      </c>
      <c r="C1961" t="s">
        <v>4738</v>
      </c>
      <c r="D1961" t="s">
        <v>9410</v>
      </c>
      <c r="E1961" t="s">
        <v>13081</v>
      </c>
      <c r="F1961" t="s">
        <v>9412</v>
      </c>
      <c r="G1961" t="s">
        <v>9413</v>
      </c>
      <c r="H1961" t="s">
        <v>12665</v>
      </c>
      <c r="I1961" t="s">
        <v>10099</v>
      </c>
      <c r="J1961" t="s">
        <v>287</v>
      </c>
      <c r="K1961" t="s">
        <v>9416</v>
      </c>
      <c r="L1961" t="s">
        <v>9417</v>
      </c>
      <c r="M1961" t="s">
        <v>12721</v>
      </c>
      <c r="N1961" t="s">
        <v>9446</v>
      </c>
      <c r="O1961" t="s">
        <v>4743</v>
      </c>
      <c r="P1961" t="s">
        <v>9647</v>
      </c>
      <c r="Q1961" t="s">
        <v>9421</v>
      </c>
      <c r="R1961" t="s">
        <v>84</v>
      </c>
      <c r="S1961" t="s">
        <v>4742</v>
      </c>
      <c r="T1961" t="s">
        <v>13083</v>
      </c>
    </row>
    <row r="1962" spans="1:20">
      <c r="A1962" t="s">
        <v>525</v>
      </c>
      <c r="B1962" t="s">
        <v>20</v>
      </c>
      <c r="C1962" t="s">
        <v>4962</v>
      </c>
      <c r="D1962" t="s">
        <v>9475</v>
      </c>
      <c r="E1962" t="s">
        <v>13084</v>
      </c>
      <c r="F1962" t="s">
        <v>9412</v>
      </c>
      <c r="G1962" t="s">
        <v>9413</v>
      </c>
      <c r="H1962" t="s">
        <v>12665</v>
      </c>
      <c r="I1962" t="s">
        <v>10150</v>
      </c>
      <c r="J1962" t="s">
        <v>445</v>
      </c>
      <c r="K1962" t="s">
        <v>9416</v>
      </c>
      <c r="L1962" t="s">
        <v>9417</v>
      </c>
      <c r="M1962" t="s">
        <v>12681</v>
      </c>
      <c r="N1962" t="s">
        <v>12682</v>
      </c>
      <c r="O1962" t="s">
        <v>4964</v>
      </c>
      <c r="P1962" t="s">
        <v>9429</v>
      </c>
      <c r="Q1962" t="s">
        <v>9421</v>
      </c>
      <c r="R1962" t="s">
        <v>52</v>
      </c>
      <c r="S1962" t="s">
        <v>525</v>
      </c>
      <c r="T1962" t="s">
        <v>527</v>
      </c>
    </row>
    <row r="1963" spans="1:20">
      <c r="A1963" t="s">
        <v>197</v>
      </c>
      <c r="B1963" t="s">
        <v>9409</v>
      </c>
      <c r="C1963" t="s">
        <v>13085</v>
      </c>
      <c r="D1963" t="s">
        <v>9410</v>
      </c>
      <c r="E1963" t="s">
        <v>13086</v>
      </c>
      <c r="F1963" t="s">
        <v>9412</v>
      </c>
      <c r="G1963" t="s">
        <v>9413</v>
      </c>
      <c r="H1963" t="s">
        <v>12665</v>
      </c>
      <c r="I1963" t="s">
        <v>10150</v>
      </c>
      <c r="J1963" t="s">
        <v>147</v>
      </c>
      <c r="K1963" t="s">
        <v>9416</v>
      </c>
      <c r="L1963" t="s">
        <v>9417</v>
      </c>
      <c r="M1963" t="s">
        <v>12800</v>
      </c>
      <c r="N1963" t="s">
        <v>12719</v>
      </c>
      <c r="O1963" t="s">
        <v>4625</v>
      </c>
      <c r="P1963" t="s">
        <v>9420</v>
      </c>
      <c r="Q1963" t="s">
        <v>9421</v>
      </c>
      <c r="R1963" t="s">
        <v>17</v>
      </c>
      <c r="S1963" t="s">
        <v>197</v>
      </c>
      <c r="T1963" t="s">
        <v>199</v>
      </c>
    </row>
    <row r="1964" spans="1:20">
      <c r="A1964" t="s">
        <v>13087</v>
      </c>
      <c r="B1964" t="s">
        <v>9409</v>
      </c>
      <c r="C1964" t="s">
        <v>13088</v>
      </c>
      <c r="D1964" t="s">
        <v>9410</v>
      </c>
      <c r="E1964" t="s">
        <v>13089</v>
      </c>
      <c r="F1964" t="s">
        <v>9412</v>
      </c>
      <c r="G1964" t="s">
        <v>9413</v>
      </c>
      <c r="H1964" t="s">
        <v>12665</v>
      </c>
      <c r="I1964" t="s">
        <v>9886</v>
      </c>
      <c r="J1964" t="s">
        <v>147</v>
      </c>
      <c r="K1964" t="s">
        <v>9445</v>
      </c>
      <c r="L1964" t="s">
        <v>9417</v>
      </c>
      <c r="M1964" t="s">
        <v>12673</v>
      </c>
      <c r="N1964" t="s">
        <v>9426</v>
      </c>
      <c r="O1964" t="s">
        <v>9446</v>
      </c>
      <c r="P1964" t="s">
        <v>9567</v>
      </c>
      <c r="Q1964" t="s">
        <v>9421</v>
      </c>
      <c r="R1964" t="s">
        <v>43</v>
      </c>
      <c r="S1964" t="s">
        <v>126</v>
      </c>
      <c r="T1964" t="s">
        <v>128</v>
      </c>
    </row>
    <row r="1965" spans="1:20">
      <c r="A1965" t="s">
        <v>13087</v>
      </c>
      <c r="B1965" t="s">
        <v>9409</v>
      </c>
      <c r="C1965" t="s">
        <v>13088</v>
      </c>
      <c r="D1965" t="s">
        <v>9410</v>
      </c>
      <c r="E1965" t="s">
        <v>13089</v>
      </c>
      <c r="F1965" t="s">
        <v>9412</v>
      </c>
      <c r="G1965" t="s">
        <v>9413</v>
      </c>
      <c r="H1965" t="s">
        <v>12665</v>
      </c>
      <c r="I1965" t="s">
        <v>9886</v>
      </c>
      <c r="J1965" t="s">
        <v>147</v>
      </c>
      <c r="K1965" t="s">
        <v>9445</v>
      </c>
      <c r="L1965" t="s">
        <v>9417</v>
      </c>
      <c r="M1965" t="s">
        <v>12673</v>
      </c>
      <c r="N1965" t="s">
        <v>9430</v>
      </c>
      <c r="O1965" t="s">
        <v>9446</v>
      </c>
      <c r="P1965" t="s">
        <v>9427</v>
      </c>
      <c r="Q1965" t="s">
        <v>9421</v>
      </c>
      <c r="R1965" t="s">
        <v>24</v>
      </c>
      <c r="S1965" t="s">
        <v>165</v>
      </c>
      <c r="T1965" t="s">
        <v>167</v>
      </c>
    </row>
    <row r="1966" spans="1:20">
      <c r="A1966" t="s">
        <v>13087</v>
      </c>
      <c r="B1966" t="s">
        <v>9409</v>
      </c>
      <c r="C1966" t="s">
        <v>13088</v>
      </c>
      <c r="D1966" t="s">
        <v>9410</v>
      </c>
      <c r="E1966" t="s">
        <v>13089</v>
      </c>
      <c r="F1966" t="s">
        <v>9412</v>
      </c>
      <c r="G1966" t="s">
        <v>9413</v>
      </c>
      <c r="H1966" t="s">
        <v>12665</v>
      </c>
      <c r="I1966" t="s">
        <v>9886</v>
      </c>
      <c r="J1966" t="s">
        <v>147</v>
      </c>
      <c r="K1966" t="s">
        <v>9416</v>
      </c>
      <c r="L1966" t="s">
        <v>9417</v>
      </c>
      <c r="M1966" t="s">
        <v>12673</v>
      </c>
      <c r="N1966" t="s">
        <v>12719</v>
      </c>
      <c r="O1966" t="s">
        <v>13090</v>
      </c>
      <c r="P1966" t="s">
        <v>9429</v>
      </c>
      <c r="Q1966" t="s">
        <v>9421</v>
      </c>
      <c r="R1966" t="s">
        <v>52</v>
      </c>
      <c r="S1966" t="s">
        <v>13091</v>
      </c>
      <c r="T1966" t="s">
        <v>13092</v>
      </c>
    </row>
    <row r="1967" spans="1:20">
      <c r="A1967" t="s">
        <v>5314</v>
      </c>
      <c r="B1967" t="s">
        <v>9409</v>
      </c>
      <c r="C1967" t="s">
        <v>5317</v>
      </c>
      <c r="D1967" t="s">
        <v>9410</v>
      </c>
      <c r="E1967" t="s">
        <v>13093</v>
      </c>
      <c r="F1967" t="s">
        <v>9412</v>
      </c>
      <c r="G1967" t="s">
        <v>9413</v>
      </c>
      <c r="H1967" t="s">
        <v>12665</v>
      </c>
      <c r="I1967" t="s">
        <v>10261</v>
      </c>
      <c r="J1967" t="s">
        <v>710</v>
      </c>
      <c r="K1967" t="s">
        <v>9416</v>
      </c>
      <c r="L1967" t="s">
        <v>9417</v>
      </c>
      <c r="M1967" t="s">
        <v>12951</v>
      </c>
      <c r="N1967" t="s">
        <v>12725</v>
      </c>
      <c r="O1967" t="s">
        <v>5315</v>
      </c>
      <c r="P1967" t="s">
        <v>9420</v>
      </c>
      <c r="Q1967" t="s">
        <v>9421</v>
      </c>
      <c r="R1967" t="s">
        <v>17</v>
      </c>
      <c r="S1967" t="s">
        <v>5314</v>
      </c>
      <c r="T1967" t="s">
        <v>13094</v>
      </c>
    </row>
    <row r="1968" spans="1:20">
      <c r="A1968" t="s">
        <v>13095</v>
      </c>
      <c r="B1968" t="s">
        <v>9409</v>
      </c>
      <c r="C1968" t="s">
        <v>13096</v>
      </c>
      <c r="D1968" t="s">
        <v>9410</v>
      </c>
      <c r="E1968" t="s">
        <v>13097</v>
      </c>
      <c r="F1968" t="s">
        <v>9412</v>
      </c>
      <c r="G1968" t="s">
        <v>9413</v>
      </c>
      <c r="H1968" t="s">
        <v>12665</v>
      </c>
      <c r="I1968" t="s">
        <v>10261</v>
      </c>
      <c r="J1968" t="s">
        <v>445</v>
      </c>
      <c r="K1968" t="s">
        <v>9416</v>
      </c>
      <c r="L1968" t="s">
        <v>9417</v>
      </c>
      <c r="M1968" t="s">
        <v>12706</v>
      </c>
      <c r="N1968" t="s">
        <v>12682</v>
      </c>
      <c r="O1968" t="s">
        <v>13098</v>
      </c>
      <c r="P1968" t="s">
        <v>9420</v>
      </c>
      <c r="Q1968" t="s">
        <v>9421</v>
      </c>
      <c r="R1968" t="s">
        <v>17</v>
      </c>
      <c r="S1968" t="s">
        <v>13099</v>
      </c>
      <c r="T1968" t="s">
        <v>13100</v>
      </c>
    </row>
    <row r="1969" spans="1:20">
      <c r="A1969" t="s">
        <v>13101</v>
      </c>
      <c r="B1969" t="s">
        <v>9409</v>
      </c>
      <c r="C1969" t="s">
        <v>4690</v>
      </c>
      <c r="D1969" t="s">
        <v>9410</v>
      </c>
      <c r="E1969" t="s">
        <v>13102</v>
      </c>
      <c r="F1969" t="s">
        <v>9412</v>
      </c>
      <c r="G1969" t="s">
        <v>9413</v>
      </c>
      <c r="H1969" t="s">
        <v>12665</v>
      </c>
      <c r="I1969" t="s">
        <v>10261</v>
      </c>
      <c r="J1969" t="s">
        <v>147</v>
      </c>
      <c r="K1969" t="s">
        <v>9416</v>
      </c>
      <c r="L1969" t="s">
        <v>9417</v>
      </c>
      <c r="M1969" t="s">
        <v>12800</v>
      </c>
      <c r="N1969" t="s">
        <v>12719</v>
      </c>
      <c r="O1969" t="s">
        <v>13103</v>
      </c>
      <c r="P1969" t="s">
        <v>9429</v>
      </c>
      <c r="Q1969" t="s">
        <v>9421</v>
      </c>
      <c r="R1969" t="s">
        <v>52</v>
      </c>
      <c r="S1969" t="s">
        <v>13101</v>
      </c>
      <c r="T1969" t="s">
        <v>13104</v>
      </c>
    </row>
    <row r="1970" spans="1:20">
      <c r="A1970" t="s">
        <v>13101</v>
      </c>
      <c r="B1970" t="s">
        <v>9409</v>
      </c>
      <c r="C1970" t="s">
        <v>4690</v>
      </c>
      <c r="D1970" t="s">
        <v>9410</v>
      </c>
      <c r="E1970" t="s">
        <v>13102</v>
      </c>
      <c r="F1970" t="s">
        <v>9412</v>
      </c>
      <c r="G1970" t="s">
        <v>9413</v>
      </c>
      <c r="H1970" t="s">
        <v>12665</v>
      </c>
      <c r="I1970" t="s">
        <v>10261</v>
      </c>
      <c r="J1970" t="s">
        <v>147</v>
      </c>
      <c r="K1970" t="s">
        <v>9416</v>
      </c>
      <c r="L1970" t="s">
        <v>9417</v>
      </c>
      <c r="M1970" t="s">
        <v>12800</v>
      </c>
      <c r="N1970" t="s">
        <v>12719</v>
      </c>
      <c r="O1970" t="s">
        <v>13105</v>
      </c>
      <c r="P1970" t="s">
        <v>9429</v>
      </c>
      <c r="Q1970" t="s">
        <v>9421</v>
      </c>
      <c r="R1970" t="s">
        <v>52</v>
      </c>
      <c r="S1970" t="s">
        <v>13106</v>
      </c>
      <c r="T1970" t="s">
        <v>13107</v>
      </c>
    </row>
    <row r="1971" spans="1:20">
      <c r="A1971" t="s">
        <v>192</v>
      </c>
      <c r="B1971" t="s">
        <v>20</v>
      </c>
      <c r="C1971" t="s">
        <v>196</v>
      </c>
      <c r="D1971" t="s">
        <v>9460</v>
      </c>
      <c r="E1971" t="s">
        <v>13108</v>
      </c>
      <c r="F1971" t="s">
        <v>9412</v>
      </c>
      <c r="G1971" t="s">
        <v>9413</v>
      </c>
      <c r="H1971" t="s">
        <v>12</v>
      </c>
      <c r="I1971" t="s">
        <v>9477</v>
      </c>
      <c r="J1971" t="s">
        <v>147</v>
      </c>
      <c r="K1971" t="s">
        <v>9445</v>
      </c>
      <c r="L1971" t="s">
        <v>9417</v>
      </c>
      <c r="M1971" t="s">
        <v>12800</v>
      </c>
      <c r="N1971" t="s">
        <v>9426</v>
      </c>
      <c r="O1971" t="s">
        <v>9446</v>
      </c>
      <c r="P1971" t="s">
        <v>9647</v>
      </c>
      <c r="Q1971" t="s">
        <v>9421</v>
      </c>
      <c r="R1971" t="s">
        <v>84</v>
      </c>
      <c r="S1971" t="s">
        <v>193</v>
      </c>
      <c r="T1971" t="s">
        <v>195</v>
      </c>
    </row>
    <row r="1972" spans="1:20">
      <c r="A1972" t="s">
        <v>192</v>
      </c>
      <c r="B1972" t="s">
        <v>20</v>
      </c>
      <c r="C1972" t="s">
        <v>196</v>
      </c>
      <c r="D1972" t="s">
        <v>9460</v>
      </c>
      <c r="E1972" t="s">
        <v>13108</v>
      </c>
      <c r="F1972" t="s">
        <v>9412</v>
      </c>
      <c r="G1972" t="s">
        <v>9413</v>
      </c>
      <c r="H1972" t="s">
        <v>12</v>
      </c>
      <c r="I1972" t="s">
        <v>9477</v>
      </c>
      <c r="J1972" t="s">
        <v>147</v>
      </c>
      <c r="K1972" t="s">
        <v>9445</v>
      </c>
      <c r="L1972" t="s">
        <v>9417</v>
      </c>
      <c r="M1972" t="s">
        <v>12800</v>
      </c>
      <c r="N1972" t="s">
        <v>12719</v>
      </c>
      <c r="O1972" t="s">
        <v>9446</v>
      </c>
      <c r="P1972" t="s">
        <v>9420</v>
      </c>
      <c r="Q1972" t="s">
        <v>9421</v>
      </c>
      <c r="R1972" t="s">
        <v>17</v>
      </c>
      <c r="S1972" t="s">
        <v>197</v>
      </c>
      <c r="T1972" t="s">
        <v>199</v>
      </c>
    </row>
    <row r="1973" spans="1:20">
      <c r="A1973" t="s">
        <v>192</v>
      </c>
      <c r="B1973" t="s">
        <v>20</v>
      </c>
      <c r="C1973" t="s">
        <v>196</v>
      </c>
      <c r="D1973" t="s">
        <v>9460</v>
      </c>
      <c r="E1973" t="s">
        <v>13108</v>
      </c>
      <c r="F1973" t="s">
        <v>9412</v>
      </c>
      <c r="G1973" t="s">
        <v>9413</v>
      </c>
      <c r="H1973" t="s">
        <v>12</v>
      </c>
      <c r="I1973" t="s">
        <v>9477</v>
      </c>
      <c r="J1973" t="s">
        <v>147</v>
      </c>
      <c r="K1973" t="s">
        <v>9416</v>
      </c>
      <c r="L1973" t="s">
        <v>9417</v>
      </c>
      <c r="M1973" t="s">
        <v>12800</v>
      </c>
      <c r="N1973" t="s">
        <v>12719</v>
      </c>
      <c r="O1973" t="s">
        <v>4627</v>
      </c>
      <c r="P1973" t="s">
        <v>9429</v>
      </c>
      <c r="Q1973" t="s">
        <v>9421</v>
      </c>
      <c r="R1973" t="s">
        <v>52</v>
      </c>
      <c r="S1973" t="s">
        <v>200</v>
      </c>
      <c r="T1973" t="s">
        <v>202</v>
      </c>
    </row>
    <row r="1974" spans="1:20">
      <c r="A1974" t="s">
        <v>13109</v>
      </c>
      <c r="B1974" t="s">
        <v>9409</v>
      </c>
      <c r="C1974" t="s">
        <v>13110</v>
      </c>
      <c r="D1974" t="s">
        <v>9410</v>
      </c>
      <c r="E1974" t="s">
        <v>13111</v>
      </c>
      <c r="F1974" t="s">
        <v>9412</v>
      </c>
      <c r="G1974" t="s">
        <v>9413</v>
      </c>
      <c r="H1974" t="s">
        <v>12665</v>
      </c>
      <c r="I1974" t="s">
        <v>10822</v>
      </c>
      <c r="J1974" t="s">
        <v>287</v>
      </c>
      <c r="K1974" t="s">
        <v>9416</v>
      </c>
      <c r="L1974" t="s">
        <v>9417</v>
      </c>
      <c r="M1974" t="s">
        <v>12714</v>
      </c>
      <c r="N1974" t="s">
        <v>12688</v>
      </c>
      <c r="O1974" t="s">
        <v>13112</v>
      </c>
      <c r="P1974" t="s">
        <v>9420</v>
      </c>
      <c r="Q1974" t="s">
        <v>9421</v>
      </c>
      <c r="R1974" t="s">
        <v>17</v>
      </c>
      <c r="S1974" t="s">
        <v>13109</v>
      </c>
      <c r="T1974" t="s">
        <v>13113</v>
      </c>
    </row>
    <row r="1975" spans="1:20">
      <c r="A1975" t="s">
        <v>757</v>
      </c>
      <c r="B1975" t="s">
        <v>62</v>
      </c>
      <c r="C1975" t="s">
        <v>5189</v>
      </c>
      <c r="D1975" t="s">
        <v>9448</v>
      </c>
      <c r="E1975" t="s">
        <v>13114</v>
      </c>
      <c r="F1975" t="s">
        <v>9412</v>
      </c>
      <c r="G1975" t="s">
        <v>9413</v>
      </c>
      <c r="H1975" t="s">
        <v>12665</v>
      </c>
      <c r="I1975" t="s">
        <v>10261</v>
      </c>
      <c r="J1975" t="s">
        <v>710</v>
      </c>
      <c r="K1975" t="s">
        <v>9416</v>
      </c>
      <c r="L1975" t="s">
        <v>9417</v>
      </c>
      <c r="M1975" t="s">
        <v>12974</v>
      </c>
      <c r="N1975" t="s">
        <v>12725</v>
      </c>
      <c r="O1975" t="s">
        <v>5194</v>
      </c>
      <c r="P1975" t="s">
        <v>9420</v>
      </c>
      <c r="Q1975" t="s">
        <v>9421</v>
      </c>
      <c r="R1975" t="s">
        <v>17</v>
      </c>
      <c r="S1975" t="s">
        <v>761</v>
      </c>
      <c r="T1975" t="s">
        <v>763</v>
      </c>
    </row>
    <row r="1976" spans="1:20">
      <c r="A1976" t="s">
        <v>757</v>
      </c>
      <c r="B1976" t="s">
        <v>62</v>
      </c>
      <c r="C1976" t="s">
        <v>5189</v>
      </c>
      <c r="D1976" t="s">
        <v>9448</v>
      </c>
      <c r="E1976" t="s">
        <v>13114</v>
      </c>
      <c r="F1976" t="s">
        <v>9412</v>
      </c>
      <c r="G1976" t="s">
        <v>9413</v>
      </c>
      <c r="H1976" t="s">
        <v>12665</v>
      </c>
      <c r="I1976" t="s">
        <v>10261</v>
      </c>
      <c r="J1976" t="s">
        <v>710</v>
      </c>
      <c r="K1976" t="s">
        <v>9416</v>
      </c>
      <c r="L1976" t="s">
        <v>9417</v>
      </c>
      <c r="M1976" t="s">
        <v>12974</v>
      </c>
      <c r="N1976" t="s">
        <v>12725</v>
      </c>
      <c r="O1976" t="s">
        <v>5191</v>
      </c>
      <c r="P1976" t="s">
        <v>9429</v>
      </c>
      <c r="Q1976" t="s">
        <v>9421</v>
      </c>
      <c r="R1976" t="s">
        <v>52</v>
      </c>
      <c r="S1976" t="s">
        <v>757</v>
      </c>
      <c r="T1976" t="s">
        <v>759</v>
      </c>
    </row>
    <row r="1977" spans="1:20">
      <c r="A1977" t="s">
        <v>949</v>
      </c>
      <c r="B1977" t="s">
        <v>20</v>
      </c>
      <c r="C1977" t="s">
        <v>5355</v>
      </c>
      <c r="D1977" t="s">
        <v>9460</v>
      </c>
      <c r="E1977" t="s">
        <v>13115</v>
      </c>
      <c r="F1977" t="s">
        <v>9412</v>
      </c>
      <c r="G1977" t="s">
        <v>9413</v>
      </c>
      <c r="H1977" t="s">
        <v>12665</v>
      </c>
      <c r="I1977" t="s">
        <v>10822</v>
      </c>
      <c r="J1977" t="s">
        <v>914</v>
      </c>
      <c r="K1977" t="s">
        <v>9416</v>
      </c>
      <c r="L1977" t="s">
        <v>9417</v>
      </c>
      <c r="M1977" t="s">
        <v>12699</v>
      </c>
      <c r="N1977" t="s">
        <v>12700</v>
      </c>
      <c r="O1977" t="s">
        <v>5357</v>
      </c>
      <c r="P1977" t="s">
        <v>9429</v>
      </c>
      <c r="Q1977" t="s">
        <v>9421</v>
      </c>
      <c r="R1977" t="s">
        <v>52</v>
      </c>
      <c r="S1977" t="s">
        <v>953</v>
      </c>
      <c r="T1977" t="s">
        <v>955</v>
      </c>
    </row>
    <row r="1978" spans="1:20">
      <c r="A1978" t="s">
        <v>949</v>
      </c>
      <c r="B1978" t="s">
        <v>20</v>
      </c>
      <c r="C1978" t="s">
        <v>5355</v>
      </c>
      <c r="D1978" t="s">
        <v>9460</v>
      </c>
      <c r="E1978" t="s">
        <v>13115</v>
      </c>
      <c r="F1978" t="s">
        <v>9412</v>
      </c>
      <c r="G1978" t="s">
        <v>9413</v>
      </c>
      <c r="H1978" t="s">
        <v>12665</v>
      </c>
      <c r="I1978" t="s">
        <v>10822</v>
      </c>
      <c r="J1978" t="s">
        <v>914</v>
      </c>
      <c r="K1978" t="s">
        <v>9416</v>
      </c>
      <c r="L1978" t="s">
        <v>9417</v>
      </c>
      <c r="M1978" t="s">
        <v>12699</v>
      </c>
      <c r="N1978" t="s">
        <v>12700</v>
      </c>
      <c r="O1978" t="s">
        <v>5353</v>
      </c>
      <c r="P1978" t="s">
        <v>9429</v>
      </c>
      <c r="Q1978" t="s">
        <v>9421</v>
      </c>
      <c r="R1978" t="s">
        <v>52</v>
      </c>
      <c r="S1978" t="s">
        <v>949</v>
      </c>
      <c r="T1978" t="s">
        <v>951</v>
      </c>
    </row>
    <row r="1979" spans="1:20">
      <c r="A1979" t="s">
        <v>13116</v>
      </c>
      <c r="B1979" t="s">
        <v>9409</v>
      </c>
      <c r="C1979" t="s">
        <v>13117</v>
      </c>
      <c r="D1979" t="s">
        <v>9410</v>
      </c>
      <c r="E1979" t="s">
        <v>13118</v>
      </c>
      <c r="F1979" t="s">
        <v>9412</v>
      </c>
      <c r="G1979" t="s">
        <v>9413</v>
      </c>
      <c r="H1979" t="s">
        <v>12665</v>
      </c>
      <c r="I1979" t="s">
        <v>9518</v>
      </c>
      <c r="J1979" t="s">
        <v>147</v>
      </c>
      <c r="K1979" t="s">
        <v>9416</v>
      </c>
      <c r="L1979" t="s">
        <v>9417</v>
      </c>
      <c r="M1979" t="s">
        <v>12693</v>
      </c>
      <c r="N1979" t="s">
        <v>12719</v>
      </c>
      <c r="O1979" t="s">
        <v>13119</v>
      </c>
      <c r="P1979" t="s">
        <v>9420</v>
      </c>
      <c r="Q1979" t="s">
        <v>9421</v>
      </c>
      <c r="R1979" t="s">
        <v>17</v>
      </c>
      <c r="S1979" t="s">
        <v>13116</v>
      </c>
      <c r="T1979" t="s">
        <v>13120</v>
      </c>
    </row>
    <row r="1980" spans="1:20">
      <c r="A1980" t="s">
        <v>203</v>
      </c>
      <c r="B1980" t="s">
        <v>20</v>
      </c>
      <c r="C1980" t="s">
        <v>206</v>
      </c>
      <c r="D1980" t="s">
        <v>9460</v>
      </c>
      <c r="E1980" t="s">
        <v>13121</v>
      </c>
      <c r="F1980" t="s">
        <v>9412</v>
      </c>
      <c r="G1980" t="s">
        <v>9413</v>
      </c>
      <c r="H1980" t="s">
        <v>12</v>
      </c>
      <c r="I1980" t="s">
        <v>9441</v>
      </c>
      <c r="J1980" t="s">
        <v>147</v>
      </c>
      <c r="K1980" t="s">
        <v>9416</v>
      </c>
      <c r="L1980" t="s">
        <v>9417</v>
      </c>
      <c r="M1980" t="s">
        <v>12924</v>
      </c>
      <c r="N1980" t="s">
        <v>12719</v>
      </c>
      <c r="O1980" t="s">
        <v>4633</v>
      </c>
      <c r="P1980" t="s">
        <v>9429</v>
      </c>
      <c r="Q1980" t="s">
        <v>9421</v>
      </c>
      <c r="R1980" t="s">
        <v>52</v>
      </c>
      <c r="S1980" t="s">
        <v>207</v>
      </c>
      <c r="T1980" t="s">
        <v>209</v>
      </c>
    </row>
    <row r="1981" spans="1:20">
      <c r="A1981" t="s">
        <v>203</v>
      </c>
      <c r="B1981" t="s">
        <v>20</v>
      </c>
      <c r="C1981" t="s">
        <v>206</v>
      </c>
      <c r="D1981" t="s">
        <v>9460</v>
      </c>
      <c r="E1981" t="s">
        <v>13121</v>
      </c>
      <c r="F1981" t="s">
        <v>9412</v>
      </c>
      <c r="G1981" t="s">
        <v>9413</v>
      </c>
      <c r="H1981" t="s">
        <v>12</v>
      </c>
      <c r="I1981" t="s">
        <v>9441</v>
      </c>
      <c r="J1981" t="s">
        <v>147</v>
      </c>
      <c r="K1981" t="s">
        <v>9416</v>
      </c>
      <c r="L1981" t="s">
        <v>9417</v>
      </c>
      <c r="M1981" t="s">
        <v>12924</v>
      </c>
      <c r="N1981" t="s">
        <v>9430</v>
      </c>
      <c r="O1981" t="s">
        <v>4635</v>
      </c>
      <c r="P1981" t="s">
        <v>9459</v>
      </c>
      <c r="Q1981" t="s">
        <v>9421</v>
      </c>
      <c r="R1981" t="s">
        <v>17</v>
      </c>
      <c r="S1981" t="s">
        <v>210</v>
      </c>
      <c r="T1981" t="s">
        <v>212</v>
      </c>
    </row>
    <row r="1982" spans="1:20">
      <c r="A1982" t="s">
        <v>203</v>
      </c>
      <c r="B1982" t="s">
        <v>20</v>
      </c>
      <c r="C1982" t="s">
        <v>206</v>
      </c>
      <c r="D1982" t="s">
        <v>9460</v>
      </c>
      <c r="E1982" t="s">
        <v>13121</v>
      </c>
      <c r="F1982" t="s">
        <v>9412</v>
      </c>
      <c r="G1982" t="s">
        <v>9413</v>
      </c>
      <c r="H1982" t="s">
        <v>12</v>
      </c>
      <c r="I1982" t="s">
        <v>9441</v>
      </c>
      <c r="J1982" t="s">
        <v>147</v>
      </c>
      <c r="K1982" t="s">
        <v>9416</v>
      </c>
      <c r="L1982" t="s">
        <v>9417</v>
      </c>
      <c r="M1982" t="s">
        <v>12924</v>
      </c>
      <c r="N1982" t="s">
        <v>12719</v>
      </c>
      <c r="O1982" t="s">
        <v>4629</v>
      </c>
      <c r="P1982" t="s">
        <v>9429</v>
      </c>
      <c r="Q1982" t="s">
        <v>9421</v>
      </c>
      <c r="R1982" t="s">
        <v>52</v>
      </c>
      <c r="S1982" t="s">
        <v>203</v>
      </c>
      <c r="T1982" t="s">
        <v>205</v>
      </c>
    </row>
    <row r="1983" spans="1:20">
      <c r="A1983" t="s">
        <v>321</v>
      </c>
      <c r="B1983" t="s">
        <v>20</v>
      </c>
      <c r="C1983" t="s">
        <v>4747</v>
      </c>
      <c r="D1983" t="s">
        <v>9455</v>
      </c>
      <c r="E1983" t="s">
        <v>13122</v>
      </c>
      <c r="F1983" t="s">
        <v>9412</v>
      </c>
      <c r="G1983" t="s">
        <v>9413</v>
      </c>
      <c r="H1983" t="s">
        <v>12665</v>
      </c>
      <c r="I1983" t="s">
        <v>9628</v>
      </c>
      <c r="J1983" t="s">
        <v>287</v>
      </c>
      <c r="K1983" t="s">
        <v>9416</v>
      </c>
      <c r="L1983" t="s">
        <v>9417</v>
      </c>
      <c r="M1983" t="s">
        <v>12673</v>
      </c>
      <c r="N1983" t="s">
        <v>12688</v>
      </c>
      <c r="O1983" t="s">
        <v>4745</v>
      </c>
      <c r="P1983" t="s">
        <v>9420</v>
      </c>
      <c r="Q1983" t="s">
        <v>9421</v>
      </c>
      <c r="R1983" t="s">
        <v>17</v>
      </c>
      <c r="S1983" t="s">
        <v>321</v>
      </c>
      <c r="T1983" t="s">
        <v>323</v>
      </c>
    </row>
    <row r="1984" spans="1:20">
      <c r="A1984" t="s">
        <v>13123</v>
      </c>
      <c r="B1984" t="s">
        <v>9409</v>
      </c>
      <c r="C1984" t="s">
        <v>13124</v>
      </c>
      <c r="D1984" t="s">
        <v>9410</v>
      </c>
      <c r="E1984" t="s">
        <v>13125</v>
      </c>
      <c r="F1984" t="s">
        <v>9412</v>
      </c>
      <c r="G1984" t="s">
        <v>9413</v>
      </c>
      <c r="H1984" t="s">
        <v>12665</v>
      </c>
      <c r="I1984" t="s">
        <v>9415</v>
      </c>
      <c r="J1984" t="s">
        <v>914</v>
      </c>
      <c r="K1984" t="s">
        <v>9416</v>
      </c>
      <c r="L1984" t="s">
        <v>9417</v>
      </c>
      <c r="M1984" t="s">
        <v>12805</v>
      </c>
      <c r="N1984" t="s">
        <v>12700</v>
      </c>
      <c r="O1984" t="s">
        <v>13126</v>
      </c>
      <c r="P1984" t="s">
        <v>9420</v>
      </c>
      <c r="Q1984" t="s">
        <v>9421</v>
      </c>
      <c r="R1984" t="s">
        <v>17</v>
      </c>
      <c r="S1984" t="s">
        <v>13123</v>
      </c>
      <c r="T1984" t="s">
        <v>13127</v>
      </c>
    </row>
    <row r="1985" spans="1:20">
      <c r="A1985" t="s">
        <v>13128</v>
      </c>
      <c r="B1985" t="s">
        <v>9409</v>
      </c>
      <c r="C1985" t="s">
        <v>13129</v>
      </c>
      <c r="D1985" t="s">
        <v>9410</v>
      </c>
      <c r="E1985" t="s">
        <v>13130</v>
      </c>
      <c r="F1985" t="s">
        <v>9412</v>
      </c>
      <c r="G1985" t="s">
        <v>9413</v>
      </c>
      <c r="H1985" t="s">
        <v>12665</v>
      </c>
      <c r="I1985" t="s">
        <v>9886</v>
      </c>
      <c r="J1985" t="s">
        <v>710</v>
      </c>
      <c r="K1985" t="s">
        <v>9416</v>
      </c>
      <c r="L1985" t="s">
        <v>9417</v>
      </c>
      <c r="M1985" t="s">
        <v>12734</v>
      </c>
      <c r="N1985" t="s">
        <v>12725</v>
      </c>
      <c r="O1985" t="s">
        <v>13131</v>
      </c>
      <c r="P1985" t="s">
        <v>9429</v>
      </c>
      <c r="Q1985" t="s">
        <v>9421</v>
      </c>
      <c r="R1985" t="s">
        <v>52</v>
      </c>
      <c r="S1985" t="s">
        <v>13132</v>
      </c>
      <c r="T1985" t="s">
        <v>13133</v>
      </c>
    </row>
    <row r="1986" spans="1:20">
      <c r="A1986" t="s">
        <v>13128</v>
      </c>
      <c r="B1986" t="s">
        <v>9409</v>
      </c>
      <c r="C1986" t="s">
        <v>13129</v>
      </c>
      <c r="D1986" t="s">
        <v>9410</v>
      </c>
      <c r="E1986" t="s">
        <v>13130</v>
      </c>
      <c r="F1986" t="s">
        <v>9412</v>
      </c>
      <c r="G1986" t="s">
        <v>9413</v>
      </c>
      <c r="H1986" t="s">
        <v>12665</v>
      </c>
      <c r="I1986" t="s">
        <v>9886</v>
      </c>
      <c r="J1986" t="s">
        <v>710</v>
      </c>
      <c r="K1986" t="s">
        <v>9416</v>
      </c>
      <c r="L1986" t="s">
        <v>9417</v>
      </c>
      <c r="M1986" t="s">
        <v>12734</v>
      </c>
      <c r="N1986" t="s">
        <v>12725</v>
      </c>
      <c r="O1986" t="s">
        <v>13134</v>
      </c>
      <c r="P1986" t="s">
        <v>9429</v>
      </c>
      <c r="Q1986" t="s">
        <v>9421</v>
      </c>
      <c r="R1986" t="s">
        <v>52</v>
      </c>
      <c r="S1986" t="s">
        <v>13135</v>
      </c>
      <c r="T1986" t="s">
        <v>13136</v>
      </c>
    </row>
    <row r="1987" spans="1:20">
      <c r="A1987" t="s">
        <v>13128</v>
      </c>
      <c r="B1987" t="s">
        <v>9409</v>
      </c>
      <c r="C1987" t="s">
        <v>13129</v>
      </c>
      <c r="D1987" t="s">
        <v>9410</v>
      </c>
      <c r="E1987" t="s">
        <v>13130</v>
      </c>
      <c r="F1987" t="s">
        <v>9412</v>
      </c>
      <c r="G1987" t="s">
        <v>9413</v>
      </c>
      <c r="H1987" t="s">
        <v>12665</v>
      </c>
      <c r="I1987" t="s">
        <v>9886</v>
      </c>
      <c r="J1987" t="s">
        <v>710</v>
      </c>
      <c r="K1987" t="s">
        <v>9416</v>
      </c>
      <c r="L1987" t="s">
        <v>9417</v>
      </c>
      <c r="M1987" t="s">
        <v>12734</v>
      </c>
      <c r="N1987" t="s">
        <v>12725</v>
      </c>
      <c r="O1987" t="s">
        <v>13137</v>
      </c>
      <c r="P1987" t="s">
        <v>9429</v>
      </c>
      <c r="Q1987" t="s">
        <v>9421</v>
      </c>
      <c r="R1987" t="s">
        <v>52</v>
      </c>
      <c r="S1987" t="s">
        <v>4844</v>
      </c>
      <c r="T1987" t="s">
        <v>13138</v>
      </c>
    </row>
    <row r="1988" spans="1:20">
      <c r="A1988" t="s">
        <v>956</v>
      </c>
      <c r="B1988" t="s">
        <v>20</v>
      </c>
      <c r="C1988" t="s">
        <v>957</v>
      </c>
      <c r="D1988" t="s">
        <v>9460</v>
      </c>
      <c r="E1988" t="s">
        <v>13139</v>
      </c>
      <c r="F1988" t="s">
        <v>9412</v>
      </c>
      <c r="G1988" t="s">
        <v>9413</v>
      </c>
      <c r="H1988" t="s">
        <v>12</v>
      </c>
      <c r="I1988" t="s">
        <v>9628</v>
      </c>
      <c r="J1988" t="s">
        <v>914</v>
      </c>
      <c r="K1988" t="s">
        <v>9416</v>
      </c>
      <c r="L1988" t="s">
        <v>9417</v>
      </c>
      <c r="M1988" t="s">
        <v>12805</v>
      </c>
      <c r="N1988" t="s">
        <v>9426</v>
      </c>
      <c r="O1988" t="s">
        <v>4660</v>
      </c>
      <c r="P1988" t="s">
        <v>9524</v>
      </c>
      <c r="Q1988" t="s">
        <v>9421</v>
      </c>
      <c r="R1988" t="s">
        <v>24</v>
      </c>
      <c r="S1988" t="s">
        <v>244</v>
      </c>
      <c r="T1988" t="s">
        <v>246</v>
      </c>
    </row>
    <row r="1989" spans="1:20">
      <c r="A1989" t="s">
        <v>529</v>
      </c>
      <c r="B1989" t="s">
        <v>20</v>
      </c>
      <c r="C1989" t="s">
        <v>4968</v>
      </c>
      <c r="D1989" t="s">
        <v>9475</v>
      </c>
      <c r="E1989" t="s">
        <v>13140</v>
      </c>
      <c r="F1989" t="s">
        <v>9412</v>
      </c>
      <c r="G1989" t="s">
        <v>9413</v>
      </c>
      <c r="H1989" t="s">
        <v>12665</v>
      </c>
      <c r="I1989" t="s">
        <v>9472</v>
      </c>
      <c r="J1989" t="s">
        <v>445</v>
      </c>
      <c r="K1989" t="s">
        <v>9416</v>
      </c>
      <c r="L1989" t="s">
        <v>9417</v>
      </c>
      <c r="M1989" t="s">
        <v>12681</v>
      </c>
      <c r="N1989" t="s">
        <v>12682</v>
      </c>
      <c r="O1989" t="s">
        <v>4970</v>
      </c>
      <c r="P1989" t="s">
        <v>9429</v>
      </c>
      <c r="Q1989" t="s">
        <v>9421</v>
      </c>
      <c r="R1989" t="s">
        <v>52</v>
      </c>
      <c r="S1989" t="s">
        <v>534</v>
      </c>
      <c r="T1989" t="s">
        <v>536</v>
      </c>
    </row>
    <row r="1990" spans="1:20">
      <c r="A1990" t="s">
        <v>529</v>
      </c>
      <c r="B1990" t="s">
        <v>20</v>
      </c>
      <c r="C1990" t="s">
        <v>4968</v>
      </c>
      <c r="D1990" t="s">
        <v>9475</v>
      </c>
      <c r="E1990" t="s">
        <v>13140</v>
      </c>
      <c r="F1990" t="s">
        <v>9412</v>
      </c>
      <c r="G1990" t="s">
        <v>9413</v>
      </c>
      <c r="H1990" t="s">
        <v>12665</v>
      </c>
      <c r="I1990" t="s">
        <v>9472</v>
      </c>
      <c r="J1990" t="s">
        <v>445</v>
      </c>
      <c r="K1990" t="s">
        <v>9416</v>
      </c>
      <c r="L1990" t="s">
        <v>9417</v>
      </c>
      <c r="M1990" t="s">
        <v>12681</v>
      </c>
      <c r="N1990" t="s">
        <v>9446</v>
      </c>
      <c r="O1990" t="s">
        <v>4966</v>
      </c>
      <c r="P1990" t="s">
        <v>9647</v>
      </c>
      <c r="Q1990" t="s">
        <v>9421</v>
      </c>
      <c r="R1990" t="s">
        <v>84</v>
      </c>
      <c r="S1990" t="s">
        <v>530</v>
      </c>
      <c r="T1990" t="s">
        <v>532</v>
      </c>
    </row>
    <row r="1991" spans="1:20">
      <c r="A1991" t="s">
        <v>13141</v>
      </c>
      <c r="B1991" t="s">
        <v>9409</v>
      </c>
      <c r="C1991" t="s">
        <v>13142</v>
      </c>
      <c r="D1991" t="s">
        <v>9410</v>
      </c>
      <c r="E1991" t="s">
        <v>13143</v>
      </c>
      <c r="F1991" t="s">
        <v>9412</v>
      </c>
      <c r="G1991" t="s">
        <v>9413</v>
      </c>
      <c r="H1991" t="s">
        <v>12665</v>
      </c>
      <c r="I1991" t="s">
        <v>9469</v>
      </c>
      <c r="J1991" t="s">
        <v>147</v>
      </c>
      <c r="K1991" t="s">
        <v>9416</v>
      </c>
      <c r="L1991" t="s">
        <v>9417</v>
      </c>
      <c r="M1991" t="s">
        <v>12924</v>
      </c>
      <c r="N1991" t="s">
        <v>12719</v>
      </c>
      <c r="O1991" t="s">
        <v>13144</v>
      </c>
      <c r="P1991" t="s">
        <v>9420</v>
      </c>
      <c r="Q1991" t="s">
        <v>9421</v>
      </c>
      <c r="R1991" t="s">
        <v>17</v>
      </c>
      <c r="S1991" t="s">
        <v>13141</v>
      </c>
      <c r="T1991" t="s">
        <v>13145</v>
      </c>
    </row>
    <row r="1992" spans="1:20">
      <c r="A1992" t="s">
        <v>4463</v>
      </c>
      <c r="B1992" t="s">
        <v>9409</v>
      </c>
      <c r="C1992" t="s">
        <v>4467</v>
      </c>
      <c r="D1992" t="s">
        <v>9410</v>
      </c>
      <c r="E1992" t="s">
        <v>13146</v>
      </c>
      <c r="F1992" t="s">
        <v>9412</v>
      </c>
      <c r="G1992" t="s">
        <v>9413</v>
      </c>
      <c r="H1992" t="s">
        <v>12665</v>
      </c>
      <c r="I1992" t="s">
        <v>9462</v>
      </c>
      <c r="J1992" t="s">
        <v>11</v>
      </c>
      <c r="K1992" t="s">
        <v>9416</v>
      </c>
      <c r="L1992" t="s">
        <v>9417</v>
      </c>
      <c r="M1992" t="s">
        <v>12781</v>
      </c>
      <c r="N1992" t="s">
        <v>12667</v>
      </c>
      <c r="O1992" t="s">
        <v>4473</v>
      </c>
      <c r="P1992" t="s">
        <v>9429</v>
      </c>
      <c r="Q1992" t="s">
        <v>9421</v>
      </c>
      <c r="R1992" t="s">
        <v>52</v>
      </c>
      <c r="S1992" t="s">
        <v>4472</v>
      </c>
      <c r="T1992" t="s">
        <v>13147</v>
      </c>
    </row>
    <row r="1993" spans="1:20">
      <c r="A1993" t="s">
        <v>4463</v>
      </c>
      <c r="B1993" t="s">
        <v>9409</v>
      </c>
      <c r="C1993" t="s">
        <v>4467</v>
      </c>
      <c r="D1993" t="s">
        <v>9410</v>
      </c>
      <c r="E1993" t="s">
        <v>13146</v>
      </c>
      <c r="F1993" t="s">
        <v>9412</v>
      </c>
      <c r="G1993" t="s">
        <v>9413</v>
      </c>
      <c r="H1993" t="s">
        <v>12665</v>
      </c>
      <c r="I1993" t="s">
        <v>9462</v>
      </c>
      <c r="J1993" t="s">
        <v>11</v>
      </c>
      <c r="K1993" t="s">
        <v>9416</v>
      </c>
      <c r="L1993" t="s">
        <v>9417</v>
      </c>
      <c r="M1993" t="s">
        <v>12781</v>
      </c>
      <c r="N1993" t="s">
        <v>12667</v>
      </c>
      <c r="O1993" t="s">
        <v>4465</v>
      </c>
      <c r="P1993" t="s">
        <v>9429</v>
      </c>
      <c r="Q1993" t="s">
        <v>9421</v>
      </c>
      <c r="R1993" t="s">
        <v>52</v>
      </c>
      <c r="S1993" t="s">
        <v>4464</v>
      </c>
      <c r="T1993" t="s">
        <v>4466</v>
      </c>
    </row>
    <row r="1994" spans="1:20">
      <c r="A1994" t="s">
        <v>4463</v>
      </c>
      <c r="B1994" t="s">
        <v>9409</v>
      </c>
      <c r="C1994" t="s">
        <v>4467</v>
      </c>
      <c r="D1994" t="s">
        <v>9410</v>
      </c>
      <c r="E1994" t="s">
        <v>13146</v>
      </c>
      <c r="F1994" t="s">
        <v>9412</v>
      </c>
      <c r="G1994" t="s">
        <v>9413</v>
      </c>
      <c r="H1994" t="s">
        <v>12665</v>
      </c>
      <c r="I1994" t="s">
        <v>9462</v>
      </c>
      <c r="J1994" t="s">
        <v>11</v>
      </c>
      <c r="K1994" t="s">
        <v>9416</v>
      </c>
      <c r="L1994" t="s">
        <v>9417</v>
      </c>
      <c r="M1994" t="s">
        <v>12781</v>
      </c>
      <c r="N1994" t="s">
        <v>9446</v>
      </c>
      <c r="O1994" t="s">
        <v>4470</v>
      </c>
      <c r="P1994" t="s">
        <v>9651</v>
      </c>
      <c r="Q1994" t="s">
        <v>9421</v>
      </c>
      <c r="R1994" t="s">
        <v>56</v>
      </c>
      <c r="S1994" t="s">
        <v>4469</v>
      </c>
      <c r="T1994" t="s">
        <v>13148</v>
      </c>
    </row>
    <row r="1995" spans="1:20">
      <c r="A1995" t="s">
        <v>13149</v>
      </c>
      <c r="B1995" t="s">
        <v>9409</v>
      </c>
      <c r="C1995" t="s">
        <v>4693</v>
      </c>
      <c r="D1995" t="s">
        <v>9410</v>
      </c>
      <c r="E1995" t="s">
        <v>13150</v>
      </c>
      <c r="F1995" t="s">
        <v>9412</v>
      </c>
      <c r="G1995" t="s">
        <v>9413</v>
      </c>
      <c r="H1995" t="s">
        <v>12665</v>
      </c>
      <c r="I1995" t="s">
        <v>9462</v>
      </c>
      <c r="J1995" t="s">
        <v>147</v>
      </c>
      <c r="K1995" t="s">
        <v>9445</v>
      </c>
      <c r="L1995" t="s">
        <v>9417</v>
      </c>
      <c r="M1995" t="s">
        <v>12673</v>
      </c>
      <c r="N1995" t="s">
        <v>9426</v>
      </c>
      <c r="O1995" t="s">
        <v>9446</v>
      </c>
      <c r="P1995" t="s">
        <v>9524</v>
      </c>
      <c r="Q1995" t="s">
        <v>9421</v>
      </c>
      <c r="R1995" t="s">
        <v>24</v>
      </c>
      <c r="S1995" t="s">
        <v>244</v>
      </c>
      <c r="T1995" t="s">
        <v>246</v>
      </c>
    </row>
    <row r="1996" spans="1:20">
      <c r="A1996" t="s">
        <v>13149</v>
      </c>
      <c r="B1996" t="s">
        <v>9409</v>
      </c>
      <c r="C1996" t="s">
        <v>4693</v>
      </c>
      <c r="D1996" t="s">
        <v>9410</v>
      </c>
      <c r="E1996" t="s">
        <v>13150</v>
      </c>
      <c r="F1996" t="s">
        <v>9412</v>
      </c>
      <c r="G1996" t="s">
        <v>9413</v>
      </c>
      <c r="H1996" t="s">
        <v>12665</v>
      </c>
      <c r="I1996" t="s">
        <v>9462</v>
      </c>
      <c r="J1996" t="s">
        <v>147</v>
      </c>
      <c r="K1996" t="s">
        <v>9416</v>
      </c>
      <c r="L1996" t="s">
        <v>9417</v>
      </c>
      <c r="M1996" t="s">
        <v>12673</v>
      </c>
      <c r="N1996" t="s">
        <v>9446</v>
      </c>
      <c r="O1996" t="s">
        <v>13151</v>
      </c>
      <c r="P1996" t="s">
        <v>10738</v>
      </c>
      <c r="Q1996" t="s">
        <v>9421</v>
      </c>
      <c r="R1996" t="s">
        <v>56</v>
      </c>
      <c r="S1996" t="s">
        <v>10739</v>
      </c>
      <c r="T1996" t="s">
        <v>10740</v>
      </c>
    </row>
    <row r="1997" spans="1:20">
      <c r="A1997" t="s">
        <v>13149</v>
      </c>
      <c r="B1997" t="s">
        <v>9409</v>
      </c>
      <c r="C1997" t="s">
        <v>4693</v>
      </c>
      <c r="D1997" t="s">
        <v>9410</v>
      </c>
      <c r="E1997" t="s">
        <v>13150</v>
      </c>
      <c r="F1997" t="s">
        <v>9412</v>
      </c>
      <c r="G1997" t="s">
        <v>9413</v>
      </c>
      <c r="H1997" t="s">
        <v>12665</v>
      </c>
      <c r="I1997" t="s">
        <v>9462</v>
      </c>
      <c r="J1997" t="s">
        <v>147</v>
      </c>
      <c r="K1997" t="s">
        <v>9416</v>
      </c>
      <c r="L1997" t="s">
        <v>9417</v>
      </c>
      <c r="M1997" t="s">
        <v>12673</v>
      </c>
      <c r="N1997" t="s">
        <v>12719</v>
      </c>
      <c r="O1997" t="s">
        <v>13152</v>
      </c>
      <c r="P1997" t="s">
        <v>9420</v>
      </c>
      <c r="Q1997" t="s">
        <v>9421</v>
      </c>
      <c r="R1997" t="s">
        <v>17</v>
      </c>
      <c r="S1997" t="s">
        <v>13149</v>
      </c>
      <c r="T1997" t="s">
        <v>13153</v>
      </c>
    </row>
    <row r="1998" spans="1:20">
      <c r="A1998" t="s">
        <v>537</v>
      </c>
      <c r="B1998" t="s">
        <v>62</v>
      </c>
      <c r="C1998" t="s">
        <v>540</v>
      </c>
      <c r="D1998" t="s">
        <v>9448</v>
      </c>
      <c r="E1998" t="s">
        <v>13154</v>
      </c>
      <c r="F1998" t="s">
        <v>9412</v>
      </c>
      <c r="G1998" t="s">
        <v>9413</v>
      </c>
      <c r="H1998" t="s">
        <v>12</v>
      </c>
      <c r="I1998" t="s">
        <v>9462</v>
      </c>
      <c r="J1998" t="s">
        <v>445</v>
      </c>
      <c r="K1998" t="s">
        <v>9416</v>
      </c>
      <c r="L1998" t="s">
        <v>9417</v>
      </c>
      <c r="M1998" t="s">
        <v>12706</v>
      </c>
      <c r="N1998" t="s">
        <v>12682</v>
      </c>
      <c r="O1998" t="s">
        <v>4973</v>
      </c>
      <c r="P1998" t="s">
        <v>9647</v>
      </c>
      <c r="Q1998" t="s">
        <v>9421</v>
      </c>
      <c r="R1998" t="s">
        <v>84</v>
      </c>
      <c r="S1998" t="s">
        <v>537</v>
      </c>
      <c r="T1998" t="s">
        <v>539</v>
      </c>
    </row>
    <row r="1999" spans="1:20">
      <c r="A1999" t="s">
        <v>13155</v>
      </c>
      <c r="B1999" t="s">
        <v>9409</v>
      </c>
      <c r="C1999" t="s">
        <v>13156</v>
      </c>
      <c r="D1999" t="s">
        <v>9410</v>
      </c>
      <c r="E1999" t="s">
        <v>13157</v>
      </c>
      <c r="F1999" t="s">
        <v>9412</v>
      </c>
      <c r="G1999" t="s">
        <v>9413</v>
      </c>
      <c r="H1999" t="s">
        <v>12665</v>
      </c>
      <c r="I1999" t="s">
        <v>9469</v>
      </c>
      <c r="J1999" t="s">
        <v>710</v>
      </c>
      <c r="K1999" t="s">
        <v>9416</v>
      </c>
      <c r="L1999" t="s">
        <v>9417</v>
      </c>
      <c r="M1999" t="s">
        <v>12738</v>
      </c>
      <c r="N1999" t="s">
        <v>12725</v>
      </c>
      <c r="O1999" t="s">
        <v>13158</v>
      </c>
      <c r="P1999" t="s">
        <v>9429</v>
      </c>
      <c r="Q1999" t="s">
        <v>9421</v>
      </c>
      <c r="R1999" t="s">
        <v>52</v>
      </c>
      <c r="S1999" t="s">
        <v>13159</v>
      </c>
      <c r="T1999" t="s">
        <v>13160</v>
      </c>
    </row>
    <row r="2000" spans="1:20">
      <c r="A2000" t="s">
        <v>13155</v>
      </c>
      <c r="B2000" t="s">
        <v>9409</v>
      </c>
      <c r="C2000" t="s">
        <v>13156</v>
      </c>
      <c r="D2000" t="s">
        <v>9410</v>
      </c>
      <c r="E2000" t="s">
        <v>13157</v>
      </c>
      <c r="F2000" t="s">
        <v>9412</v>
      </c>
      <c r="G2000" t="s">
        <v>9413</v>
      </c>
      <c r="H2000" t="s">
        <v>12665</v>
      </c>
      <c r="I2000" t="s">
        <v>9469</v>
      </c>
      <c r="J2000" t="s">
        <v>710</v>
      </c>
      <c r="K2000" t="s">
        <v>9416</v>
      </c>
      <c r="L2000" t="s">
        <v>9417</v>
      </c>
      <c r="M2000" t="s">
        <v>12738</v>
      </c>
      <c r="N2000" t="s">
        <v>12725</v>
      </c>
      <c r="O2000" t="s">
        <v>13161</v>
      </c>
      <c r="P2000" t="s">
        <v>9429</v>
      </c>
      <c r="Q2000" t="s">
        <v>9421</v>
      </c>
      <c r="R2000" t="s">
        <v>52</v>
      </c>
      <c r="S2000" t="s">
        <v>13162</v>
      </c>
      <c r="T2000" t="s">
        <v>13163</v>
      </c>
    </row>
    <row r="2001" spans="1:20">
      <c r="A2001" t="s">
        <v>13155</v>
      </c>
      <c r="B2001" t="s">
        <v>9409</v>
      </c>
      <c r="C2001" t="s">
        <v>13156</v>
      </c>
      <c r="D2001" t="s">
        <v>9410</v>
      </c>
      <c r="E2001" t="s">
        <v>13157</v>
      </c>
      <c r="F2001" t="s">
        <v>9412</v>
      </c>
      <c r="G2001" t="s">
        <v>9413</v>
      </c>
      <c r="H2001" t="s">
        <v>12665</v>
      </c>
      <c r="I2001" t="s">
        <v>9469</v>
      </c>
      <c r="J2001" t="s">
        <v>710</v>
      </c>
      <c r="K2001" t="s">
        <v>9416</v>
      </c>
      <c r="L2001" t="s">
        <v>9417</v>
      </c>
      <c r="M2001" t="s">
        <v>12738</v>
      </c>
      <c r="N2001" t="s">
        <v>12725</v>
      </c>
      <c r="O2001" t="s">
        <v>13164</v>
      </c>
      <c r="P2001" t="s">
        <v>9429</v>
      </c>
      <c r="Q2001" t="s">
        <v>9421</v>
      </c>
      <c r="R2001" t="s">
        <v>52</v>
      </c>
      <c r="S2001" t="s">
        <v>13165</v>
      </c>
      <c r="T2001" t="s">
        <v>13166</v>
      </c>
    </row>
    <row r="2002" spans="1:20">
      <c r="A2002" t="s">
        <v>4977</v>
      </c>
      <c r="B2002" t="s">
        <v>9409</v>
      </c>
      <c r="C2002" t="s">
        <v>4981</v>
      </c>
      <c r="D2002" t="s">
        <v>9410</v>
      </c>
      <c r="E2002" t="s">
        <v>13167</v>
      </c>
      <c r="F2002" t="s">
        <v>9412</v>
      </c>
      <c r="G2002" t="s">
        <v>9413</v>
      </c>
      <c r="H2002" t="s">
        <v>12665</v>
      </c>
      <c r="I2002" t="s">
        <v>9462</v>
      </c>
      <c r="J2002" t="s">
        <v>445</v>
      </c>
      <c r="K2002" t="s">
        <v>9416</v>
      </c>
      <c r="L2002" t="s">
        <v>9417</v>
      </c>
      <c r="M2002" t="s">
        <v>12706</v>
      </c>
      <c r="N2002" t="s">
        <v>9446</v>
      </c>
      <c r="O2002" t="s">
        <v>4979</v>
      </c>
      <c r="P2002" t="s">
        <v>9655</v>
      </c>
      <c r="Q2002" t="s">
        <v>9421</v>
      </c>
      <c r="R2002" t="s">
        <v>56</v>
      </c>
      <c r="S2002" t="s">
        <v>4978</v>
      </c>
      <c r="T2002" t="s">
        <v>13168</v>
      </c>
    </row>
    <row r="2003" spans="1:20">
      <c r="A2003" t="s">
        <v>4977</v>
      </c>
      <c r="B2003" t="s">
        <v>9409</v>
      </c>
      <c r="C2003" t="s">
        <v>4981</v>
      </c>
      <c r="D2003" t="s">
        <v>9410</v>
      </c>
      <c r="E2003" t="s">
        <v>13167</v>
      </c>
      <c r="F2003" t="s">
        <v>9412</v>
      </c>
      <c r="G2003" t="s">
        <v>9413</v>
      </c>
      <c r="H2003" t="s">
        <v>12665</v>
      </c>
      <c r="I2003" t="s">
        <v>9462</v>
      </c>
      <c r="J2003" t="s">
        <v>445</v>
      </c>
      <c r="K2003" t="s">
        <v>9416</v>
      </c>
      <c r="L2003" t="s">
        <v>9417</v>
      </c>
      <c r="M2003" t="s">
        <v>12706</v>
      </c>
      <c r="N2003" t="s">
        <v>12682</v>
      </c>
      <c r="O2003" t="s">
        <v>4984</v>
      </c>
      <c r="P2003" t="s">
        <v>9429</v>
      </c>
      <c r="Q2003" t="s">
        <v>9421</v>
      </c>
      <c r="R2003" t="s">
        <v>52</v>
      </c>
      <c r="S2003" t="s">
        <v>4983</v>
      </c>
      <c r="T2003" t="s">
        <v>13169</v>
      </c>
    </row>
    <row r="2004" spans="1:20">
      <c r="A2004" t="s">
        <v>764</v>
      </c>
      <c r="B2004" t="s">
        <v>20</v>
      </c>
      <c r="C2004" t="s">
        <v>5198</v>
      </c>
      <c r="D2004" t="s">
        <v>9464</v>
      </c>
      <c r="E2004" t="s">
        <v>13170</v>
      </c>
      <c r="F2004" t="s">
        <v>9412</v>
      </c>
      <c r="G2004" t="s">
        <v>9413</v>
      </c>
      <c r="H2004" t="s">
        <v>12665</v>
      </c>
      <c r="I2004" t="s">
        <v>9482</v>
      </c>
      <c r="J2004" t="s">
        <v>710</v>
      </c>
      <c r="K2004" t="s">
        <v>9416</v>
      </c>
      <c r="L2004" t="s">
        <v>9417</v>
      </c>
      <c r="M2004" t="s">
        <v>12951</v>
      </c>
      <c r="N2004" t="s">
        <v>12725</v>
      </c>
      <c r="O2004" t="s">
        <v>5202</v>
      </c>
      <c r="P2004" t="s">
        <v>9429</v>
      </c>
      <c r="Q2004" t="s">
        <v>9421</v>
      </c>
      <c r="R2004" t="s">
        <v>52</v>
      </c>
      <c r="S2004" t="s">
        <v>771</v>
      </c>
      <c r="T2004" t="s">
        <v>773</v>
      </c>
    </row>
    <row r="2005" spans="1:20">
      <c r="A2005" t="s">
        <v>764</v>
      </c>
      <c r="B2005" t="s">
        <v>20</v>
      </c>
      <c r="C2005" t="s">
        <v>5198</v>
      </c>
      <c r="D2005" t="s">
        <v>9464</v>
      </c>
      <c r="E2005" t="s">
        <v>13170</v>
      </c>
      <c r="F2005" t="s">
        <v>9412</v>
      </c>
      <c r="G2005" t="s">
        <v>9413</v>
      </c>
      <c r="H2005" t="s">
        <v>12665</v>
      </c>
      <c r="I2005" t="s">
        <v>9482</v>
      </c>
      <c r="J2005" t="s">
        <v>710</v>
      </c>
      <c r="K2005" t="s">
        <v>9416</v>
      </c>
      <c r="L2005" t="s">
        <v>9417</v>
      </c>
      <c r="M2005" t="s">
        <v>12951</v>
      </c>
      <c r="N2005" t="s">
        <v>12725</v>
      </c>
      <c r="O2005" t="s">
        <v>5196</v>
      </c>
      <c r="P2005" t="s">
        <v>9429</v>
      </c>
      <c r="Q2005" t="s">
        <v>9421</v>
      </c>
      <c r="R2005" t="s">
        <v>52</v>
      </c>
      <c r="S2005" t="s">
        <v>764</v>
      </c>
      <c r="T2005" t="s">
        <v>766</v>
      </c>
    </row>
    <row r="2006" spans="1:20">
      <c r="A2006" t="s">
        <v>764</v>
      </c>
      <c r="B2006" t="s">
        <v>20</v>
      </c>
      <c r="C2006" t="s">
        <v>5198</v>
      </c>
      <c r="D2006" t="s">
        <v>9464</v>
      </c>
      <c r="E2006" t="s">
        <v>13170</v>
      </c>
      <c r="F2006" t="s">
        <v>9412</v>
      </c>
      <c r="G2006" t="s">
        <v>9413</v>
      </c>
      <c r="H2006" t="s">
        <v>12665</v>
      </c>
      <c r="I2006" t="s">
        <v>9482</v>
      </c>
      <c r="J2006" t="s">
        <v>710</v>
      </c>
      <c r="K2006" t="s">
        <v>9416</v>
      </c>
      <c r="L2006" t="s">
        <v>9417</v>
      </c>
      <c r="M2006" t="s">
        <v>12951</v>
      </c>
      <c r="N2006" t="s">
        <v>9430</v>
      </c>
      <c r="O2006" t="s">
        <v>5200</v>
      </c>
      <c r="P2006" t="s">
        <v>9526</v>
      </c>
      <c r="Q2006" t="s">
        <v>9421</v>
      </c>
      <c r="R2006" t="s">
        <v>17</v>
      </c>
      <c r="S2006" t="s">
        <v>768</v>
      </c>
      <c r="T2006" t="s">
        <v>770</v>
      </c>
    </row>
    <row r="2007" spans="1:20">
      <c r="A2007" t="s">
        <v>13171</v>
      </c>
      <c r="B2007" t="s">
        <v>9409</v>
      </c>
      <c r="C2007" t="s">
        <v>13172</v>
      </c>
      <c r="D2007" t="s">
        <v>9410</v>
      </c>
      <c r="E2007" t="s">
        <v>13173</v>
      </c>
      <c r="F2007" t="s">
        <v>9412</v>
      </c>
      <c r="G2007" t="s">
        <v>9413</v>
      </c>
      <c r="H2007" t="s">
        <v>12665</v>
      </c>
      <c r="I2007" t="s">
        <v>9415</v>
      </c>
      <c r="J2007" t="s">
        <v>287</v>
      </c>
      <c r="K2007" t="s">
        <v>9416</v>
      </c>
      <c r="L2007" t="s">
        <v>9417</v>
      </c>
      <c r="M2007" t="s">
        <v>12673</v>
      </c>
      <c r="N2007" t="s">
        <v>9430</v>
      </c>
      <c r="O2007" t="s">
        <v>7627</v>
      </c>
      <c r="P2007" t="s">
        <v>10977</v>
      </c>
      <c r="Q2007" t="s">
        <v>9421</v>
      </c>
      <c r="R2007" t="s">
        <v>24</v>
      </c>
      <c r="S2007" t="s">
        <v>7626</v>
      </c>
      <c r="T2007" t="s">
        <v>10978</v>
      </c>
    </row>
    <row r="2008" spans="1:20">
      <c r="A2008" t="s">
        <v>13171</v>
      </c>
      <c r="B2008" t="s">
        <v>9409</v>
      </c>
      <c r="C2008" t="s">
        <v>13172</v>
      </c>
      <c r="D2008" t="s">
        <v>9410</v>
      </c>
      <c r="E2008" t="s">
        <v>13173</v>
      </c>
      <c r="F2008" t="s">
        <v>9412</v>
      </c>
      <c r="G2008" t="s">
        <v>9413</v>
      </c>
      <c r="H2008" t="s">
        <v>12665</v>
      </c>
      <c r="I2008" t="s">
        <v>9415</v>
      </c>
      <c r="J2008" t="s">
        <v>287</v>
      </c>
      <c r="K2008" t="s">
        <v>9416</v>
      </c>
      <c r="L2008" t="s">
        <v>9417</v>
      </c>
      <c r="M2008" t="s">
        <v>12673</v>
      </c>
      <c r="N2008" t="s">
        <v>12688</v>
      </c>
      <c r="O2008" t="s">
        <v>13174</v>
      </c>
      <c r="P2008" t="s">
        <v>9429</v>
      </c>
      <c r="Q2008" t="s">
        <v>9421</v>
      </c>
      <c r="R2008" t="s">
        <v>52</v>
      </c>
      <c r="S2008" t="s">
        <v>13175</v>
      </c>
      <c r="T2008" t="s">
        <v>13176</v>
      </c>
    </row>
    <row r="2009" spans="1:20">
      <c r="A2009" t="s">
        <v>13171</v>
      </c>
      <c r="B2009" t="s">
        <v>9409</v>
      </c>
      <c r="C2009" t="s">
        <v>13172</v>
      </c>
      <c r="D2009" t="s">
        <v>9410</v>
      </c>
      <c r="E2009" t="s">
        <v>13173</v>
      </c>
      <c r="F2009" t="s">
        <v>9412</v>
      </c>
      <c r="G2009" t="s">
        <v>9413</v>
      </c>
      <c r="H2009" t="s">
        <v>12665</v>
      </c>
      <c r="I2009" t="s">
        <v>9415</v>
      </c>
      <c r="J2009" t="s">
        <v>287</v>
      </c>
      <c r="K2009" t="s">
        <v>9416</v>
      </c>
      <c r="L2009" t="s">
        <v>9417</v>
      </c>
      <c r="M2009" t="s">
        <v>12673</v>
      </c>
      <c r="N2009" t="s">
        <v>12688</v>
      </c>
      <c r="O2009" t="s">
        <v>13177</v>
      </c>
      <c r="P2009" t="s">
        <v>9429</v>
      </c>
      <c r="Q2009" t="s">
        <v>9421</v>
      </c>
      <c r="R2009" t="s">
        <v>52</v>
      </c>
      <c r="S2009" t="s">
        <v>13178</v>
      </c>
      <c r="T2009" t="s">
        <v>13179</v>
      </c>
    </row>
    <row r="2010" spans="1:20">
      <c r="A2010" t="s">
        <v>13171</v>
      </c>
      <c r="B2010" t="s">
        <v>9409</v>
      </c>
      <c r="C2010" t="s">
        <v>13172</v>
      </c>
      <c r="D2010" t="s">
        <v>9410</v>
      </c>
      <c r="E2010" t="s">
        <v>13173</v>
      </c>
      <c r="F2010" t="s">
        <v>9412</v>
      </c>
      <c r="G2010" t="s">
        <v>9413</v>
      </c>
      <c r="H2010" t="s">
        <v>12665</v>
      </c>
      <c r="I2010" t="s">
        <v>9415</v>
      </c>
      <c r="J2010" t="s">
        <v>287</v>
      </c>
      <c r="K2010" t="s">
        <v>9416</v>
      </c>
      <c r="L2010" t="s">
        <v>9417</v>
      </c>
      <c r="M2010" t="s">
        <v>12673</v>
      </c>
      <c r="N2010" t="s">
        <v>12688</v>
      </c>
      <c r="O2010" t="s">
        <v>13180</v>
      </c>
      <c r="P2010" t="s">
        <v>9429</v>
      </c>
      <c r="Q2010" t="s">
        <v>9421</v>
      </c>
      <c r="R2010" t="s">
        <v>52</v>
      </c>
      <c r="S2010" t="s">
        <v>13181</v>
      </c>
      <c r="T2010" t="s">
        <v>13182</v>
      </c>
    </row>
    <row r="2011" spans="1:20">
      <c r="A2011" t="s">
        <v>13183</v>
      </c>
      <c r="B2011" t="s">
        <v>9409</v>
      </c>
      <c r="C2011" t="s">
        <v>13184</v>
      </c>
      <c r="D2011" t="s">
        <v>9410</v>
      </c>
      <c r="E2011" t="s">
        <v>13185</v>
      </c>
      <c r="F2011" t="s">
        <v>9412</v>
      </c>
      <c r="G2011" t="s">
        <v>9413</v>
      </c>
      <c r="H2011" t="s">
        <v>12665</v>
      </c>
      <c r="I2011" t="s">
        <v>9469</v>
      </c>
      <c r="J2011" t="s">
        <v>147</v>
      </c>
      <c r="K2011" t="s">
        <v>9416</v>
      </c>
      <c r="L2011" t="s">
        <v>9417</v>
      </c>
      <c r="M2011" t="s">
        <v>12673</v>
      </c>
      <c r="N2011" t="s">
        <v>12719</v>
      </c>
      <c r="O2011" t="s">
        <v>13186</v>
      </c>
      <c r="P2011" t="s">
        <v>9420</v>
      </c>
      <c r="Q2011" t="s">
        <v>9421</v>
      </c>
      <c r="R2011" t="s">
        <v>17</v>
      </c>
      <c r="S2011" t="s">
        <v>13183</v>
      </c>
      <c r="T2011" t="s">
        <v>13187</v>
      </c>
    </row>
    <row r="2012" spans="1:20">
      <c r="A2012" t="s">
        <v>13183</v>
      </c>
      <c r="B2012" t="s">
        <v>9409</v>
      </c>
      <c r="C2012" t="s">
        <v>13184</v>
      </c>
      <c r="D2012" t="s">
        <v>9410</v>
      </c>
      <c r="E2012" t="s">
        <v>13185</v>
      </c>
      <c r="F2012" t="s">
        <v>9412</v>
      </c>
      <c r="G2012" t="s">
        <v>9413</v>
      </c>
      <c r="H2012" t="s">
        <v>12665</v>
      </c>
      <c r="I2012" t="s">
        <v>9469</v>
      </c>
      <c r="J2012" t="s">
        <v>147</v>
      </c>
      <c r="K2012" t="s">
        <v>9445</v>
      </c>
      <c r="L2012" t="s">
        <v>9417</v>
      </c>
      <c r="M2012" t="s">
        <v>12673</v>
      </c>
      <c r="N2012" t="s">
        <v>9426</v>
      </c>
      <c r="O2012" t="s">
        <v>9446</v>
      </c>
      <c r="P2012" t="s">
        <v>9524</v>
      </c>
      <c r="Q2012" t="s">
        <v>9421</v>
      </c>
      <c r="R2012" t="s">
        <v>24</v>
      </c>
      <c r="S2012" t="s">
        <v>244</v>
      </c>
      <c r="T2012" t="s">
        <v>246</v>
      </c>
    </row>
    <row r="2013" spans="1:20">
      <c r="A2013" t="s">
        <v>325</v>
      </c>
      <c r="B2013" t="s">
        <v>20</v>
      </c>
      <c r="C2013" t="s">
        <v>4751</v>
      </c>
      <c r="D2013" t="s">
        <v>9460</v>
      </c>
      <c r="E2013" t="s">
        <v>13188</v>
      </c>
      <c r="F2013" t="s">
        <v>9412</v>
      </c>
      <c r="G2013" t="s">
        <v>9413</v>
      </c>
      <c r="H2013" t="s">
        <v>12665</v>
      </c>
      <c r="I2013" t="s">
        <v>10434</v>
      </c>
      <c r="J2013" t="s">
        <v>287</v>
      </c>
      <c r="K2013" t="s">
        <v>9416</v>
      </c>
      <c r="L2013" t="s">
        <v>9417</v>
      </c>
      <c r="M2013" t="s">
        <v>12681</v>
      </c>
      <c r="N2013" t="s">
        <v>12688</v>
      </c>
      <c r="O2013" t="s">
        <v>4749</v>
      </c>
      <c r="P2013" t="s">
        <v>9429</v>
      </c>
      <c r="Q2013" t="s">
        <v>9421</v>
      </c>
      <c r="R2013" t="s">
        <v>52</v>
      </c>
      <c r="S2013" t="s">
        <v>326</v>
      </c>
      <c r="T2013" t="s">
        <v>328</v>
      </c>
    </row>
    <row r="2014" spans="1:20">
      <c r="A2014" t="s">
        <v>325</v>
      </c>
      <c r="B2014" t="s">
        <v>20</v>
      </c>
      <c r="C2014" t="s">
        <v>4751</v>
      </c>
      <c r="D2014" t="s">
        <v>9460</v>
      </c>
      <c r="E2014" t="s">
        <v>13188</v>
      </c>
      <c r="F2014" t="s">
        <v>9412</v>
      </c>
      <c r="G2014" t="s">
        <v>9413</v>
      </c>
      <c r="H2014" t="s">
        <v>12665</v>
      </c>
      <c r="I2014" t="s">
        <v>10434</v>
      </c>
      <c r="J2014" t="s">
        <v>287</v>
      </c>
      <c r="K2014" t="s">
        <v>9445</v>
      </c>
      <c r="L2014" t="s">
        <v>9417</v>
      </c>
      <c r="M2014" t="s">
        <v>12681</v>
      </c>
      <c r="N2014" t="s">
        <v>9426</v>
      </c>
      <c r="O2014" t="s">
        <v>9446</v>
      </c>
      <c r="P2014" t="s">
        <v>9479</v>
      </c>
      <c r="Q2014" t="s">
        <v>9421</v>
      </c>
      <c r="R2014" t="s">
        <v>43</v>
      </c>
      <c r="S2014" t="s">
        <v>333</v>
      </c>
      <c r="T2014" t="s">
        <v>335</v>
      </c>
    </row>
    <row r="2015" spans="1:20">
      <c r="A2015" t="s">
        <v>325</v>
      </c>
      <c r="B2015" t="s">
        <v>20</v>
      </c>
      <c r="C2015" t="s">
        <v>4751</v>
      </c>
      <c r="D2015" t="s">
        <v>9460</v>
      </c>
      <c r="E2015" t="s">
        <v>13188</v>
      </c>
      <c r="F2015" t="s">
        <v>9412</v>
      </c>
      <c r="G2015" t="s">
        <v>9413</v>
      </c>
      <c r="H2015" t="s">
        <v>12665</v>
      </c>
      <c r="I2015" t="s">
        <v>10434</v>
      </c>
      <c r="J2015" t="s">
        <v>287</v>
      </c>
      <c r="K2015" t="s">
        <v>9416</v>
      </c>
      <c r="L2015" t="s">
        <v>9417</v>
      </c>
      <c r="M2015" t="s">
        <v>12681</v>
      </c>
      <c r="N2015" t="s">
        <v>12688</v>
      </c>
      <c r="O2015" t="s">
        <v>4753</v>
      </c>
      <c r="P2015" t="s">
        <v>9429</v>
      </c>
      <c r="Q2015" t="s">
        <v>9421</v>
      </c>
      <c r="R2015" t="s">
        <v>52</v>
      </c>
      <c r="S2015" t="s">
        <v>330</v>
      </c>
      <c r="T2015" t="s">
        <v>332</v>
      </c>
    </row>
    <row r="2016" spans="1:20">
      <c r="A2016" t="s">
        <v>4756</v>
      </c>
      <c r="B2016" t="s">
        <v>9409</v>
      </c>
      <c r="C2016" t="s">
        <v>4760</v>
      </c>
      <c r="D2016" t="s">
        <v>9410</v>
      </c>
      <c r="E2016" t="s">
        <v>13189</v>
      </c>
      <c r="F2016" t="s">
        <v>9412</v>
      </c>
      <c r="G2016" t="s">
        <v>9413</v>
      </c>
      <c r="H2016" t="s">
        <v>12665</v>
      </c>
      <c r="I2016" t="s">
        <v>9781</v>
      </c>
      <c r="J2016" t="s">
        <v>287</v>
      </c>
      <c r="K2016" t="s">
        <v>9416</v>
      </c>
      <c r="L2016" t="s">
        <v>9417</v>
      </c>
      <c r="M2016" t="s">
        <v>12673</v>
      </c>
      <c r="N2016" t="s">
        <v>9446</v>
      </c>
      <c r="O2016" t="s">
        <v>4766</v>
      </c>
      <c r="P2016" t="s">
        <v>9655</v>
      </c>
      <c r="Q2016" t="s">
        <v>9421</v>
      </c>
      <c r="R2016" t="s">
        <v>56</v>
      </c>
      <c r="S2016" t="s">
        <v>4765</v>
      </c>
      <c r="T2016" t="s">
        <v>13190</v>
      </c>
    </row>
    <row r="2017" spans="1:20">
      <c r="A2017" t="s">
        <v>4756</v>
      </c>
      <c r="B2017" t="s">
        <v>9409</v>
      </c>
      <c r="C2017" t="s">
        <v>4760</v>
      </c>
      <c r="D2017" t="s">
        <v>9410</v>
      </c>
      <c r="E2017" t="s">
        <v>13189</v>
      </c>
      <c r="F2017" t="s">
        <v>9412</v>
      </c>
      <c r="G2017" t="s">
        <v>9413</v>
      </c>
      <c r="H2017" t="s">
        <v>12665</v>
      </c>
      <c r="I2017" t="s">
        <v>9781</v>
      </c>
      <c r="J2017" t="s">
        <v>287</v>
      </c>
      <c r="K2017" t="s">
        <v>9416</v>
      </c>
      <c r="L2017" t="s">
        <v>9417</v>
      </c>
      <c r="M2017" t="s">
        <v>12673</v>
      </c>
      <c r="N2017" t="s">
        <v>12688</v>
      </c>
      <c r="O2017" t="s">
        <v>4758</v>
      </c>
      <c r="P2017" t="s">
        <v>9429</v>
      </c>
      <c r="Q2017" t="s">
        <v>9421</v>
      </c>
      <c r="R2017" t="s">
        <v>52</v>
      </c>
      <c r="S2017" t="s">
        <v>4757</v>
      </c>
      <c r="T2017" t="s">
        <v>13191</v>
      </c>
    </row>
    <row r="2018" spans="1:20">
      <c r="A2018" t="s">
        <v>4756</v>
      </c>
      <c r="B2018" t="s">
        <v>9409</v>
      </c>
      <c r="C2018" t="s">
        <v>4760</v>
      </c>
      <c r="D2018" t="s">
        <v>9410</v>
      </c>
      <c r="E2018" t="s">
        <v>13189</v>
      </c>
      <c r="F2018" t="s">
        <v>9412</v>
      </c>
      <c r="G2018" t="s">
        <v>9413</v>
      </c>
      <c r="H2018" t="s">
        <v>12665</v>
      </c>
      <c r="I2018" t="s">
        <v>9781</v>
      </c>
      <c r="J2018" t="s">
        <v>287</v>
      </c>
      <c r="K2018" t="s">
        <v>9416</v>
      </c>
      <c r="L2018" t="s">
        <v>9417</v>
      </c>
      <c r="M2018" t="s">
        <v>12673</v>
      </c>
      <c r="N2018" t="s">
        <v>12688</v>
      </c>
      <c r="O2018" t="s">
        <v>4763</v>
      </c>
      <c r="P2018" t="s">
        <v>9429</v>
      </c>
      <c r="Q2018" t="s">
        <v>9421</v>
      </c>
      <c r="R2018" t="s">
        <v>52</v>
      </c>
      <c r="S2018" t="s">
        <v>4762</v>
      </c>
      <c r="T2018" t="s">
        <v>13192</v>
      </c>
    </row>
    <row r="2019" spans="1:20">
      <c r="A2019" t="s">
        <v>13193</v>
      </c>
      <c r="B2019" t="s">
        <v>9409</v>
      </c>
      <c r="C2019" t="s">
        <v>13194</v>
      </c>
      <c r="D2019" t="s">
        <v>9410</v>
      </c>
      <c r="E2019" t="s">
        <v>13195</v>
      </c>
      <c r="F2019" t="s">
        <v>9412</v>
      </c>
      <c r="G2019" t="s">
        <v>9413</v>
      </c>
      <c r="H2019" t="s">
        <v>12665</v>
      </c>
      <c r="I2019" t="s">
        <v>9469</v>
      </c>
      <c r="J2019" t="s">
        <v>11</v>
      </c>
      <c r="K2019" t="s">
        <v>9416</v>
      </c>
      <c r="L2019" t="s">
        <v>9417</v>
      </c>
      <c r="M2019" t="s">
        <v>12781</v>
      </c>
      <c r="N2019" t="s">
        <v>9446</v>
      </c>
      <c r="O2019" t="s">
        <v>13196</v>
      </c>
      <c r="P2019" t="s">
        <v>9647</v>
      </c>
      <c r="Q2019" t="s">
        <v>9421</v>
      </c>
      <c r="R2019" t="s">
        <v>84</v>
      </c>
      <c r="S2019" t="s">
        <v>13197</v>
      </c>
      <c r="T2019" t="s">
        <v>13198</v>
      </c>
    </row>
    <row r="2020" spans="1:20">
      <c r="A2020" t="s">
        <v>13193</v>
      </c>
      <c r="B2020" t="s">
        <v>9409</v>
      </c>
      <c r="C2020" t="s">
        <v>13194</v>
      </c>
      <c r="D2020" t="s">
        <v>9410</v>
      </c>
      <c r="E2020" t="s">
        <v>13195</v>
      </c>
      <c r="F2020" t="s">
        <v>9412</v>
      </c>
      <c r="G2020" t="s">
        <v>9413</v>
      </c>
      <c r="H2020" t="s">
        <v>12665</v>
      </c>
      <c r="I2020" t="s">
        <v>9469</v>
      </c>
      <c r="J2020" t="s">
        <v>11</v>
      </c>
      <c r="K2020" t="s">
        <v>9416</v>
      </c>
      <c r="L2020" t="s">
        <v>9417</v>
      </c>
      <c r="M2020" t="s">
        <v>12781</v>
      </c>
      <c r="N2020" t="s">
        <v>12667</v>
      </c>
      <c r="O2020" t="s">
        <v>13199</v>
      </c>
      <c r="P2020" t="s">
        <v>9647</v>
      </c>
      <c r="Q2020" t="s">
        <v>9421</v>
      </c>
      <c r="R2020" t="s">
        <v>84</v>
      </c>
      <c r="S2020" t="s">
        <v>13200</v>
      </c>
      <c r="T2020" t="s">
        <v>13201</v>
      </c>
    </row>
    <row r="2021" spans="1:20">
      <c r="A2021" t="s">
        <v>13202</v>
      </c>
      <c r="B2021" t="s">
        <v>9409</v>
      </c>
      <c r="C2021" t="s">
        <v>13203</v>
      </c>
      <c r="D2021" t="s">
        <v>9410</v>
      </c>
      <c r="E2021" t="s">
        <v>13204</v>
      </c>
      <c r="F2021" t="s">
        <v>9412</v>
      </c>
      <c r="G2021" t="s">
        <v>9413</v>
      </c>
      <c r="H2021" t="s">
        <v>12665</v>
      </c>
      <c r="I2021" t="s">
        <v>9628</v>
      </c>
      <c r="J2021" t="s">
        <v>914</v>
      </c>
      <c r="K2021" t="s">
        <v>9416</v>
      </c>
      <c r="L2021" t="s">
        <v>9417</v>
      </c>
      <c r="M2021" t="s">
        <v>12805</v>
      </c>
      <c r="N2021" t="s">
        <v>12700</v>
      </c>
      <c r="O2021" t="s">
        <v>13205</v>
      </c>
      <c r="P2021" t="s">
        <v>9420</v>
      </c>
      <c r="Q2021" t="s">
        <v>9421</v>
      </c>
      <c r="R2021" t="s">
        <v>17</v>
      </c>
      <c r="S2021" t="s">
        <v>13202</v>
      </c>
      <c r="T2021" t="s">
        <v>13206</v>
      </c>
    </row>
    <row r="2022" spans="1:20">
      <c r="A2022" t="s">
        <v>35</v>
      </c>
      <c r="B2022" t="s">
        <v>20</v>
      </c>
      <c r="C2022" t="s">
        <v>4477</v>
      </c>
      <c r="D2022" t="s">
        <v>9666</v>
      </c>
      <c r="E2022" t="s">
        <v>13207</v>
      </c>
      <c r="F2022" t="s">
        <v>9412</v>
      </c>
      <c r="G2022" t="s">
        <v>9413</v>
      </c>
      <c r="H2022" t="s">
        <v>12665</v>
      </c>
      <c r="I2022" t="s">
        <v>10822</v>
      </c>
      <c r="J2022" t="s">
        <v>11</v>
      </c>
      <c r="K2022" t="s">
        <v>9416</v>
      </c>
      <c r="L2022" t="s">
        <v>9417</v>
      </c>
      <c r="M2022" t="s">
        <v>12666</v>
      </c>
      <c r="N2022" t="s">
        <v>9430</v>
      </c>
      <c r="O2022" t="s">
        <v>4480</v>
      </c>
      <c r="P2022" t="s">
        <v>9474</v>
      </c>
      <c r="Q2022" t="s">
        <v>9421</v>
      </c>
      <c r="R2022" t="s">
        <v>43</v>
      </c>
      <c r="S2022" t="s">
        <v>44</v>
      </c>
      <c r="T2022" t="s">
        <v>46</v>
      </c>
    </row>
    <row r="2023" spans="1:20">
      <c r="A2023" t="s">
        <v>35</v>
      </c>
      <c r="B2023" t="s">
        <v>20</v>
      </c>
      <c r="C2023" t="s">
        <v>4477</v>
      </c>
      <c r="D2023" t="s">
        <v>9666</v>
      </c>
      <c r="E2023" t="s">
        <v>13207</v>
      </c>
      <c r="F2023" t="s">
        <v>9412</v>
      </c>
      <c r="G2023" t="s">
        <v>9413</v>
      </c>
      <c r="H2023" t="s">
        <v>12665</v>
      </c>
      <c r="I2023" t="s">
        <v>10822</v>
      </c>
      <c r="J2023" t="s">
        <v>11</v>
      </c>
      <c r="K2023" t="s">
        <v>9416</v>
      </c>
      <c r="L2023" t="s">
        <v>9417</v>
      </c>
      <c r="M2023" t="s">
        <v>12666</v>
      </c>
      <c r="N2023" t="s">
        <v>12667</v>
      </c>
      <c r="O2023" t="s">
        <v>4475</v>
      </c>
      <c r="P2023" t="s">
        <v>9623</v>
      </c>
      <c r="Q2023" t="s">
        <v>9421</v>
      </c>
      <c r="R2023" t="s">
        <v>24</v>
      </c>
      <c r="S2023" t="s">
        <v>36</v>
      </c>
      <c r="T2023" t="s">
        <v>38</v>
      </c>
    </row>
    <row r="2024" spans="1:20">
      <c r="A2024" t="s">
        <v>35</v>
      </c>
      <c r="B2024" t="s">
        <v>20</v>
      </c>
      <c r="C2024" t="s">
        <v>4477</v>
      </c>
      <c r="D2024" t="s">
        <v>9666</v>
      </c>
      <c r="E2024" t="s">
        <v>13207</v>
      </c>
      <c r="F2024" t="s">
        <v>9412</v>
      </c>
      <c r="G2024" t="s">
        <v>9413</v>
      </c>
      <c r="H2024" t="s">
        <v>12665</v>
      </c>
      <c r="I2024" t="s">
        <v>10822</v>
      </c>
      <c r="J2024" t="s">
        <v>11</v>
      </c>
      <c r="K2024" t="s">
        <v>9445</v>
      </c>
      <c r="L2024" t="s">
        <v>9417</v>
      </c>
      <c r="M2024" t="s">
        <v>12666</v>
      </c>
      <c r="N2024" t="s">
        <v>9426</v>
      </c>
      <c r="O2024" t="s">
        <v>9446</v>
      </c>
      <c r="P2024" t="s">
        <v>9567</v>
      </c>
      <c r="Q2024" t="s">
        <v>9421</v>
      </c>
      <c r="R2024" t="s">
        <v>43</v>
      </c>
      <c r="S2024" t="s">
        <v>40</v>
      </c>
      <c r="T2024" t="s">
        <v>42</v>
      </c>
    </row>
    <row r="2025" spans="1:20">
      <c r="A2025" t="s">
        <v>213</v>
      </c>
      <c r="B2025" t="s">
        <v>20</v>
      </c>
      <c r="C2025" t="s">
        <v>4639</v>
      </c>
      <c r="D2025" t="s">
        <v>9460</v>
      </c>
      <c r="E2025" t="s">
        <v>13208</v>
      </c>
      <c r="F2025" t="s">
        <v>9412</v>
      </c>
      <c r="G2025" t="s">
        <v>9413</v>
      </c>
      <c r="H2025" t="s">
        <v>12665</v>
      </c>
      <c r="I2025" t="s">
        <v>9472</v>
      </c>
      <c r="J2025" t="s">
        <v>147</v>
      </c>
      <c r="K2025" t="s">
        <v>9416</v>
      </c>
      <c r="L2025" t="s">
        <v>9417</v>
      </c>
      <c r="M2025" t="s">
        <v>12800</v>
      </c>
      <c r="N2025" t="s">
        <v>12719</v>
      </c>
      <c r="O2025" t="s">
        <v>4637</v>
      </c>
      <c r="P2025" t="s">
        <v>9420</v>
      </c>
      <c r="Q2025" t="s">
        <v>9421</v>
      </c>
      <c r="R2025" t="s">
        <v>17</v>
      </c>
      <c r="S2025" t="s">
        <v>213</v>
      </c>
      <c r="T2025" t="s">
        <v>215</v>
      </c>
    </row>
    <row r="2026" spans="1:20">
      <c r="A2026" t="s">
        <v>774</v>
      </c>
      <c r="B2026" t="s">
        <v>62</v>
      </c>
      <c r="C2026" t="s">
        <v>5206</v>
      </c>
      <c r="D2026" t="s">
        <v>9448</v>
      </c>
      <c r="E2026" t="s">
        <v>13209</v>
      </c>
      <c r="F2026" t="s">
        <v>9412</v>
      </c>
      <c r="G2026" t="s">
        <v>9413</v>
      </c>
      <c r="H2026" t="s">
        <v>12665</v>
      </c>
      <c r="I2026" t="s">
        <v>10822</v>
      </c>
      <c r="J2026" t="s">
        <v>710</v>
      </c>
      <c r="K2026" t="s">
        <v>9445</v>
      </c>
      <c r="L2026" t="s">
        <v>9417</v>
      </c>
      <c r="M2026" t="s">
        <v>13210</v>
      </c>
      <c r="N2026" t="s">
        <v>9426</v>
      </c>
      <c r="O2026" t="s">
        <v>9446</v>
      </c>
      <c r="P2026" t="s">
        <v>13211</v>
      </c>
      <c r="Q2026" t="s">
        <v>9421</v>
      </c>
      <c r="R2026" t="s">
        <v>17</v>
      </c>
      <c r="S2026" t="s">
        <v>778</v>
      </c>
      <c r="T2026" t="s">
        <v>780</v>
      </c>
    </row>
    <row r="2027" spans="1:20">
      <c r="A2027" t="s">
        <v>774</v>
      </c>
      <c r="B2027" t="s">
        <v>62</v>
      </c>
      <c r="C2027" t="s">
        <v>5206</v>
      </c>
      <c r="D2027" t="s">
        <v>9448</v>
      </c>
      <c r="E2027" t="s">
        <v>13209</v>
      </c>
      <c r="F2027" t="s">
        <v>9412</v>
      </c>
      <c r="G2027" t="s">
        <v>9413</v>
      </c>
      <c r="H2027" t="s">
        <v>12665</v>
      </c>
      <c r="I2027" t="s">
        <v>10822</v>
      </c>
      <c r="J2027" t="s">
        <v>710</v>
      </c>
      <c r="K2027" t="s">
        <v>9416</v>
      </c>
      <c r="L2027" t="s">
        <v>9417</v>
      </c>
      <c r="M2027" t="s">
        <v>13210</v>
      </c>
      <c r="N2027" t="s">
        <v>12725</v>
      </c>
      <c r="O2027" t="s">
        <v>5204</v>
      </c>
      <c r="P2027" t="s">
        <v>9420</v>
      </c>
      <c r="Q2027" t="s">
        <v>9421</v>
      </c>
      <c r="R2027" t="s">
        <v>17</v>
      </c>
      <c r="S2027" t="s">
        <v>774</v>
      </c>
      <c r="T2027" t="s">
        <v>776</v>
      </c>
    </row>
    <row r="2028" spans="1:20">
      <c r="A2028" t="s">
        <v>4482</v>
      </c>
      <c r="B2028" t="s">
        <v>9409</v>
      </c>
      <c r="C2028" t="s">
        <v>4485</v>
      </c>
      <c r="D2028" t="s">
        <v>9410</v>
      </c>
      <c r="E2028" t="s">
        <v>13212</v>
      </c>
      <c r="F2028" t="s">
        <v>9412</v>
      </c>
      <c r="G2028" t="s">
        <v>9413</v>
      </c>
      <c r="H2028" t="s">
        <v>12665</v>
      </c>
      <c r="I2028" t="s">
        <v>9874</v>
      </c>
      <c r="J2028" t="s">
        <v>11</v>
      </c>
      <c r="K2028" t="s">
        <v>9416</v>
      </c>
      <c r="L2028" t="s">
        <v>9417</v>
      </c>
      <c r="M2028" t="s">
        <v>12781</v>
      </c>
      <c r="N2028" t="s">
        <v>12667</v>
      </c>
      <c r="O2028" t="s">
        <v>4483</v>
      </c>
      <c r="P2028" t="s">
        <v>9420</v>
      </c>
      <c r="Q2028" t="s">
        <v>9421</v>
      </c>
      <c r="R2028" t="s">
        <v>17</v>
      </c>
      <c r="S2028" t="s">
        <v>4482</v>
      </c>
      <c r="T2028" t="s">
        <v>13213</v>
      </c>
    </row>
    <row r="2029" spans="1:20">
      <c r="A2029" t="s">
        <v>4482</v>
      </c>
      <c r="B2029" t="s">
        <v>9409</v>
      </c>
      <c r="C2029" t="s">
        <v>4485</v>
      </c>
      <c r="D2029" t="s">
        <v>9410</v>
      </c>
      <c r="E2029" t="s">
        <v>13212</v>
      </c>
      <c r="F2029" t="s">
        <v>9412</v>
      </c>
      <c r="G2029" t="s">
        <v>9413</v>
      </c>
      <c r="H2029" t="s">
        <v>12665</v>
      </c>
      <c r="I2029" t="s">
        <v>9874</v>
      </c>
      <c r="J2029" t="s">
        <v>11</v>
      </c>
      <c r="K2029" t="s">
        <v>9416</v>
      </c>
      <c r="L2029" t="s">
        <v>9417</v>
      </c>
      <c r="M2029" t="s">
        <v>12781</v>
      </c>
      <c r="N2029" t="s">
        <v>9430</v>
      </c>
      <c r="O2029" t="s">
        <v>4488</v>
      </c>
      <c r="P2029" t="s">
        <v>9431</v>
      </c>
      <c r="Q2029" t="s">
        <v>9421</v>
      </c>
      <c r="R2029" t="s">
        <v>24</v>
      </c>
      <c r="S2029" t="s">
        <v>4487</v>
      </c>
      <c r="T2029" t="s">
        <v>13214</v>
      </c>
    </row>
    <row r="2030" spans="1:20">
      <c r="A2030" t="s">
        <v>47</v>
      </c>
      <c r="B2030" t="s">
        <v>20</v>
      </c>
      <c r="C2030" t="s">
        <v>4493</v>
      </c>
      <c r="D2030" t="s">
        <v>9475</v>
      </c>
      <c r="E2030" t="s">
        <v>13215</v>
      </c>
      <c r="F2030" t="s">
        <v>9412</v>
      </c>
      <c r="G2030" t="s">
        <v>9413</v>
      </c>
      <c r="H2030" t="s">
        <v>12665</v>
      </c>
      <c r="I2030" t="s">
        <v>9781</v>
      </c>
      <c r="J2030" t="s">
        <v>11</v>
      </c>
      <c r="K2030" t="s">
        <v>9416</v>
      </c>
      <c r="L2030" t="s">
        <v>9417</v>
      </c>
      <c r="M2030" t="s">
        <v>12693</v>
      </c>
      <c r="N2030" t="s">
        <v>9426</v>
      </c>
      <c r="O2030" t="s">
        <v>4497</v>
      </c>
      <c r="P2030" t="s">
        <v>9655</v>
      </c>
      <c r="Q2030" t="s">
        <v>9421</v>
      </c>
      <c r="R2030" t="s">
        <v>56</v>
      </c>
      <c r="S2030" t="s">
        <v>53</v>
      </c>
      <c r="T2030" t="s">
        <v>55</v>
      </c>
    </row>
    <row r="2031" spans="1:20">
      <c r="A2031" t="s">
        <v>47</v>
      </c>
      <c r="B2031" t="s">
        <v>20</v>
      </c>
      <c r="C2031" t="s">
        <v>4493</v>
      </c>
      <c r="D2031" t="s">
        <v>9475</v>
      </c>
      <c r="E2031" t="s">
        <v>13215</v>
      </c>
      <c r="F2031" t="s">
        <v>9412</v>
      </c>
      <c r="G2031" t="s">
        <v>9413</v>
      </c>
      <c r="H2031" t="s">
        <v>12665</v>
      </c>
      <c r="I2031" t="s">
        <v>9781</v>
      </c>
      <c r="J2031" t="s">
        <v>11</v>
      </c>
      <c r="K2031" t="s">
        <v>9445</v>
      </c>
      <c r="L2031" t="s">
        <v>9417</v>
      </c>
      <c r="M2031" t="s">
        <v>12693</v>
      </c>
      <c r="N2031" t="s">
        <v>9430</v>
      </c>
      <c r="O2031" t="s">
        <v>9446</v>
      </c>
      <c r="P2031" t="s">
        <v>9431</v>
      </c>
      <c r="Q2031" t="s">
        <v>9421</v>
      </c>
      <c r="R2031" t="s">
        <v>24</v>
      </c>
      <c r="S2031" t="s">
        <v>32</v>
      </c>
      <c r="T2031" t="s">
        <v>34</v>
      </c>
    </row>
    <row r="2032" spans="1:20">
      <c r="A2032" t="s">
        <v>47</v>
      </c>
      <c r="B2032" t="s">
        <v>20</v>
      </c>
      <c r="C2032" t="s">
        <v>4493</v>
      </c>
      <c r="D2032" t="s">
        <v>9475</v>
      </c>
      <c r="E2032" t="s">
        <v>13215</v>
      </c>
      <c r="F2032" t="s">
        <v>9412</v>
      </c>
      <c r="G2032" t="s">
        <v>9413</v>
      </c>
      <c r="H2032" t="s">
        <v>12665</v>
      </c>
      <c r="I2032" t="s">
        <v>9781</v>
      </c>
      <c r="J2032" t="s">
        <v>11</v>
      </c>
      <c r="K2032" t="s">
        <v>9416</v>
      </c>
      <c r="L2032" t="s">
        <v>9417</v>
      </c>
      <c r="M2032" t="s">
        <v>12693</v>
      </c>
      <c r="N2032" t="s">
        <v>9430</v>
      </c>
      <c r="O2032" t="s">
        <v>4495</v>
      </c>
      <c r="P2032" t="s">
        <v>9490</v>
      </c>
      <c r="Q2032" t="s">
        <v>9421</v>
      </c>
      <c r="R2032" t="s">
        <v>52</v>
      </c>
      <c r="S2032" t="s">
        <v>49</v>
      </c>
      <c r="T2032" t="s">
        <v>51</v>
      </c>
    </row>
    <row r="2033" spans="1:20">
      <c r="A2033" t="s">
        <v>57</v>
      </c>
      <c r="B2033" t="s">
        <v>62</v>
      </c>
      <c r="C2033" t="s">
        <v>4500</v>
      </c>
      <c r="D2033" t="s">
        <v>9448</v>
      </c>
      <c r="E2033" t="s">
        <v>13216</v>
      </c>
      <c r="F2033" t="s">
        <v>9412</v>
      </c>
      <c r="G2033" t="s">
        <v>9413</v>
      </c>
      <c r="H2033" t="s">
        <v>12665</v>
      </c>
      <c r="I2033" t="s">
        <v>9771</v>
      </c>
      <c r="J2033" t="s">
        <v>11</v>
      </c>
      <c r="K2033" t="s">
        <v>9416</v>
      </c>
      <c r="L2033" t="s">
        <v>9417</v>
      </c>
      <c r="M2033" t="s">
        <v>12666</v>
      </c>
      <c r="N2033" t="s">
        <v>12667</v>
      </c>
      <c r="O2033" t="s">
        <v>13217</v>
      </c>
      <c r="P2033" t="s">
        <v>9420</v>
      </c>
      <c r="Q2033" t="s">
        <v>9421</v>
      </c>
      <c r="R2033" t="s">
        <v>17</v>
      </c>
      <c r="S2033" t="s">
        <v>63</v>
      </c>
      <c r="T2033" t="s">
        <v>65</v>
      </c>
    </row>
    <row r="2034" spans="1:20">
      <c r="A2034" t="s">
        <v>57</v>
      </c>
      <c r="B2034" t="s">
        <v>62</v>
      </c>
      <c r="C2034" t="s">
        <v>4500</v>
      </c>
      <c r="D2034" t="s">
        <v>9448</v>
      </c>
      <c r="E2034" t="s">
        <v>13216</v>
      </c>
      <c r="F2034" t="s">
        <v>9412</v>
      </c>
      <c r="G2034" t="s">
        <v>9413</v>
      </c>
      <c r="H2034" t="s">
        <v>12665</v>
      </c>
      <c r="I2034" t="s">
        <v>9771</v>
      </c>
      <c r="J2034" t="s">
        <v>11</v>
      </c>
      <c r="K2034" t="s">
        <v>9416</v>
      </c>
      <c r="L2034" t="s">
        <v>9417</v>
      </c>
      <c r="M2034" t="s">
        <v>12666</v>
      </c>
      <c r="N2034" t="s">
        <v>9430</v>
      </c>
      <c r="O2034" t="s">
        <v>4502</v>
      </c>
      <c r="P2034" t="s">
        <v>9431</v>
      </c>
      <c r="Q2034" t="s">
        <v>9421</v>
      </c>
      <c r="R2034" t="s">
        <v>24</v>
      </c>
      <c r="S2034" t="s">
        <v>66</v>
      </c>
      <c r="T2034" t="s">
        <v>68</v>
      </c>
    </row>
    <row r="2035" spans="1:20">
      <c r="A2035" t="s">
        <v>57</v>
      </c>
      <c r="B2035" t="s">
        <v>62</v>
      </c>
      <c r="C2035" t="s">
        <v>4500</v>
      </c>
      <c r="D2035" t="s">
        <v>9448</v>
      </c>
      <c r="E2035" t="s">
        <v>13216</v>
      </c>
      <c r="F2035" t="s">
        <v>9412</v>
      </c>
      <c r="G2035" t="s">
        <v>9413</v>
      </c>
      <c r="H2035" t="s">
        <v>12665</v>
      </c>
      <c r="I2035" t="s">
        <v>9771</v>
      </c>
      <c r="J2035" t="s">
        <v>11</v>
      </c>
      <c r="K2035" t="s">
        <v>9445</v>
      </c>
      <c r="L2035" t="s">
        <v>9417</v>
      </c>
      <c r="M2035" t="s">
        <v>12666</v>
      </c>
      <c r="N2035" t="s">
        <v>9426</v>
      </c>
      <c r="O2035" t="s">
        <v>9446</v>
      </c>
      <c r="P2035" t="s">
        <v>9479</v>
      </c>
      <c r="Q2035" t="s">
        <v>9421</v>
      </c>
      <c r="R2035" t="s">
        <v>43</v>
      </c>
      <c r="S2035" t="s">
        <v>58</v>
      </c>
      <c r="T2035" t="s">
        <v>60</v>
      </c>
    </row>
    <row r="2036" spans="1:20">
      <c r="A2036" t="s">
        <v>4507</v>
      </c>
      <c r="B2036" t="s">
        <v>9409</v>
      </c>
      <c r="C2036" t="s">
        <v>4510</v>
      </c>
      <c r="D2036" t="s">
        <v>9410</v>
      </c>
      <c r="E2036" t="s">
        <v>13218</v>
      </c>
      <c r="F2036" t="s">
        <v>9412</v>
      </c>
      <c r="G2036" t="s">
        <v>9413</v>
      </c>
      <c r="H2036" t="s">
        <v>12665</v>
      </c>
      <c r="I2036" t="s">
        <v>9781</v>
      </c>
      <c r="J2036" t="s">
        <v>11</v>
      </c>
      <c r="K2036" t="s">
        <v>9416</v>
      </c>
      <c r="L2036" t="s">
        <v>9417</v>
      </c>
      <c r="M2036" t="s">
        <v>12673</v>
      </c>
      <c r="N2036" t="s">
        <v>12667</v>
      </c>
      <c r="O2036" t="s">
        <v>4508</v>
      </c>
      <c r="P2036" t="s">
        <v>9420</v>
      </c>
      <c r="Q2036" t="s">
        <v>9421</v>
      </c>
      <c r="R2036" t="s">
        <v>17</v>
      </c>
      <c r="S2036" t="s">
        <v>4507</v>
      </c>
      <c r="T2036" t="s">
        <v>13219</v>
      </c>
    </row>
    <row r="2037" spans="1:20">
      <c r="A2037" t="s">
        <v>958</v>
      </c>
      <c r="B2037" t="s">
        <v>62</v>
      </c>
      <c r="C2037" t="s">
        <v>5363</v>
      </c>
      <c r="D2037" t="s">
        <v>9448</v>
      </c>
      <c r="E2037" t="s">
        <v>13220</v>
      </c>
      <c r="F2037" t="s">
        <v>9412</v>
      </c>
      <c r="G2037" t="s">
        <v>9413</v>
      </c>
      <c r="H2037" t="s">
        <v>12665</v>
      </c>
      <c r="I2037" t="s">
        <v>10434</v>
      </c>
      <c r="J2037" t="s">
        <v>914</v>
      </c>
      <c r="K2037" t="s">
        <v>9416</v>
      </c>
      <c r="L2037" t="s">
        <v>9417</v>
      </c>
      <c r="M2037" t="s">
        <v>12673</v>
      </c>
      <c r="N2037" t="s">
        <v>9446</v>
      </c>
      <c r="O2037" t="s">
        <v>5361</v>
      </c>
      <c r="P2037" t="s">
        <v>9647</v>
      </c>
      <c r="Q2037" t="s">
        <v>9421</v>
      </c>
      <c r="R2037" t="s">
        <v>84</v>
      </c>
      <c r="S2037" t="s">
        <v>959</v>
      </c>
      <c r="T2037" t="s">
        <v>961</v>
      </c>
    </row>
    <row r="2038" spans="1:20">
      <c r="A2038" t="s">
        <v>958</v>
      </c>
      <c r="B2038" t="s">
        <v>62</v>
      </c>
      <c r="C2038" t="s">
        <v>5363</v>
      </c>
      <c r="D2038" t="s">
        <v>9448</v>
      </c>
      <c r="E2038" t="s">
        <v>13220</v>
      </c>
      <c r="F2038" t="s">
        <v>9412</v>
      </c>
      <c r="G2038" t="s">
        <v>9413</v>
      </c>
      <c r="H2038" t="s">
        <v>12665</v>
      </c>
      <c r="I2038" t="s">
        <v>10434</v>
      </c>
      <c r="J2038" t="s">
        <v>914</v>
      </c>
      <c r="K2038" t="s">
        <v>9416</v>
      </c>
      <c r="L2038" t="s">
        <v>9417</v>
      </c>
      <c r="M2038" t="s">
        <v>12673</v>
      </c>
      <c r="N2038" t="s">
        <v>9430</v>
      </c>
      <c r="O2038" t="s">
        <v>5367</v>
      </c>
      <c r="P2038" t="s">
        <v>9647</v>
      </c>
      <c r="Q2038" t="s">
        <v>9421</v>
      </c>
      <c r="R2038" t="s">
        <v>84</v>
      </c>
      <c r="S2038" t="s">
        <v>966</v>
      </c>
      <c r="T2038" t="s">
        <v>968</v>
      </c>
    </row>
    <row r="2039" spans="1:20">
      <c r="A2039" t="s">
        <v>958</v>
      </c>
      <c r="B2039" t="s">
        <v>62</v>
      </c>
      <c r="C2039" t="s">
        <v>5363</v>
      </c>
      <c r="D2039" t="s">
        <v>9448</v>
      </c>
      <c r="E2039" t="s">
        <v>13220</v>
      </c>
      <c r="F2039" t="s">
        <v>9412</v>
      </c>
      <c r="G2039" t="s">
        <v>9413</v>
      </c>
      <c r="H2039" t="s">
        <v>12665</v>
      </c>
      <c r="I2039" t="s">
        <v>10434</v>
      </c>
      <c r="J2039" t="s">
        <v>914</v>
      </c>
      <c r="K2039" t="s">
        <v>9416</v>
      </c>
      <c r="L2039" t="s">
        <v>9417</v>
      </c>
      <c r="M2039" t="s">
        <v>12673</v>
      </c>
      <c r="N2039" t="s">
        <v>9446</v>
      </c>
      <c r="O2039" t="s">
        <v>5365</v>
      </c>
      <c r="P2039" t="s">
        <v>9655</v>
      </c>
      <c r="Q2039" t="s">
        <v>9421</v>
      </c>
      <c r="R2039" t="s">
        <v>56</v>
      </c>
      <c r="S2039" t="s">
        <v>963</v>
      </c>
      <c r="T2039" t="s">
        <v>965</v>
      </c>
    </row>
    <row r="2040" spans="1:20">
      <c r="A2040" t="s">
        <v>13221</v>
      </c>
      <c r="B2040" t="s">
        <v>9409</v>
      </c>
      <c r="C2040" t="s">
        <v>13222</v>
      </c>
      <c r="D2040" t="s">
        <v>9410</v>
      </c>
      <c r="E2040" t="s">
        <v>13223</v>
      </c>
      <c r="F2040" t="s">
        <v>9601</v>
      </c>
      <c r="G2040" t="s">
        <v>9413</v>
      </c>
      <c r="H2040" t="s">
        <v>12665</v>
      </c>
      <c r="I2040" t="s">
        <v>9819</v>
      </c>
      <c r="J2040" t="s">
        <v>445</v>
      </c>
      <c r="K2040" t="s">
        <v>9416</v>
      </c>
      <c r="L2040" t="s">
        <v>9417</v>
      </c>
      <c r="M2040" t="s">
        <v>12710</v>
      </c>
      <c r="N2040" t="s">
        <v>12682</v>
      </c>
      <c r="O2040" t="s">
        <v>13224</v>
      </c>
      <c r="P2040" t="s">
        <v>9526</v>
      </c>
      <c r="Q2040" t="s">
        <v>9421</v>
      </c>
      <c r="R2040" t="s">
        <v>17</v>
      </c>
      <c r="S2040" t="s">
        <v>13221</v>
      </c>
      <c r="T2040" t="s">
        <v>13225</v>
      </c>
    </row>
    <row r="2041" spans="1:20">
      <c r="A2041" t="s">
        <v>781</v>
      </c>
      <c r="B2041" t="s">
        <v>20</v>
      </c>
      <c r="C2041" t="s">
        <v>784</v>
      </c>
      <c r="D2041" t="s">
        <v>9455</v>
      </c>
      <c r="E2041" t="s">
        <v>13226</v>
      </c>
      <c r="F2041" t="s">
        <v>9412</v>
      </c>
      <c r="G2041" t="s">
        <v>9413</v>
      </c>
      <c r="H2041" t="s">
        <v>12</v>
      </c>
      <c r="I2041" t="s">
        <v>9771</v>
      </c>
      <c r="J2041" t="s">
        <v>710</v>
      </c>
      <c r="K2041" t="s">
        <v>9416</v>
      </c>
      <c r="L2041" t="s">
        <v>9417</v>
      </c>
      <c r="M2041" t="s">
        <v>13210</v>
      </c>
      <c r="N2041" t="s">
        <v>12725</v>
      </c>
      <c r="O2041" t="s">
        <v>5209</v>
      </c>
      <c r="P2041" t="s">
        <v>9420</v>
      </c>
      <c r="Q2041" t="s">
        <v>9421</v>
      </c>
      <c r="R2041" t="s">
        <v>17</v>
      </c>
      <c r="S2041" t="s">
        <v>781</v>
      </c>
      <c r="T2041" t="s">
        <v>783</v>
      </c>
    </row>
    <row r="2042" spans="1:20">
      <c r="A2042" t="s">
        <v>781</v>
      </c>
      <c r="B2042" t="s">
        <v>20</v>
      </c>
      <c r="C2042" t="s">
        <v>784</v>
      </c>
      <c r="D2042" t="s">
        <v>9455</v>
      </c>
      <c r="E2042" t="s">
        <v>13226</v>
      </c>
      <c r="F2042" t="s">
        <v>9412</v>
      </c>
      <c r="G2042" t="s">
        <v>9413</v>
      </c>
      <c r="H2042" t="s">
        <v>12</v>
      </c>
      <c r="I2042" t="s">
        <v>9771</v>
      </c>
      <c r="J2042" t="s">
        <v>710</v>
      </c>
      <c r="K2042" t="s">
        <v>9445</v>
      </c>
      <c r="L2042" t="s">
        <v>9417</v>
      </c>
      <c r="M2042" t="s">
        <v>13210</v>
      </c>
      <c r="N2042" t="s">
        <v>9426</v>
      </c>
      <c r="O2042" t="s">
        <v>9446</v>
      </c>
      <c r="P2042" t="s">
        <v>9567</v>
      </c>
      <c r="Q2042" t="s">
        <v>9421</v>
      </c>
      <c r="R2042" t="s">
        <v>43</v>
      </c>
      <c r="S2042" t="s">
        <v>40</v>
      </c>
      <c r="T2042" t="s">
        <v>42</v>
      </c>
    </row>
    <row r="2043" spans="1:20">
      <c r="A2043" t="s">
        <v>781</v>
      </c>
      <c r="B2043" t="s">
        <v>20</v>
      </c>
      <c r="C2043" t="s">
        <v>784</v>
      </c>
      <c r="D2043" t="s">
        <v>9455</v>
      </c>
      <c r="E2043" t="s">
        <v>13226</v>
      </c>
      <c r="F2043" t="s">
        <v>9412</v>
      </c>
      <c r="G2043" t="s">
        <v>9413</v>
      </c>
      <c r="H2043" t="s">
        <v>12</v>
      </c>
      <c r="I2043" t="s">
        <v>9771</v>
      </c>
      <c r="J2043" t="s">
        <v>710</v>
      </c>
      <c r="K2043" t="s">
        <v>9416</v>
      </c>
      <c r="L2043" t="s">
        <v>9417</v>
      </c>
      <c r="M2043" t="s">
        <v>13210</v>
      </c>
      <c r="N2043" t="s">
        <v>9430</v>
      </c>
      <c r="O2043" t="s">
        <v>5213</v>
      </c>
      <c r="P2043" t="s">
        <v>9647</v>
      </c>
      <c r="Q2043" t="s">
        <v>9421</v>
      </c>
      <c r="R2043" t="s">
        <v>84</v>
      </c>
      <c r="S2043" t="s">
        <v>785</v>
      </c>
      <c r="T2043" t="s">
        <v>787</v>
      </c>
    </row>
    <row r="2044" spans="1:20">
      <c r="A2044" t="s">
        <v>69</v>
      </c>
      <c r="B2044" t="s">
        <v>62</v>
      </c>
      <c r="C2044" t="s">
        <v>4514</v>
      </c>
      <c r="D2044" t="s">
        <v>9448</v>
      </c>
      <c r="E2044" t="s">
        <v>13227</v>
      </c>
      <c r="F2044" t="s">
        <v>9412</v>
      </c>
      <c r="G2044" t="s">
        <v>9413</v>
      </c>
      <c r="H2044" t="s">
        <v>12665</v>
      </c>
      <c r="I2044" t="s">
        <v>9482</v>
      </c>
      <c r="J2044" t="s">
        <v>11</v>
      </c>
      <c r="K2044" t="s">
        <v>9445</v>
      </c>
      <c r="L2044" t="s">
        <v>9417</v>
      </c>
      <c r="M2044" t="s">
        <v>12693</v>
      </c>
      <c r="N2044" t="s">
        <v>9426</v>
      </c>
      <c r="O2044" t="s">
        <v>9446</v>
      </c>
      <c r="P2044" t="s">
        <v>9479</v>
      </c>
      <c r="Q2044" t="s">
        <v>9421</v>
      </c>
      <c r="R2044" t="s">
        <v>43</v>
      </c>
      <c r="S2044" t="s">
        <v>58</v>
      </c>
      <c r="T2044" t="s">
        <v>60</v>
      </c>
    </row>
    <row r="2045" spans="1:20">
      <c r="A2045" t="s">
        <v>69</v>
      </c>
      <c r="B2045" t="s">
        <v>62</v>
      </c>
      <c r="C2045" t="s">
        <v>4514</v>
      </c>
      <c r="D2045" t="s">
        <v>9448</v>
      </c>
      <c r="E2045" t="s">
        <v>13227</v>
      </c>
      <c r="F2045" t="s">
        <v>9412</v>
      </c>
      <c r="G2045" t="s">
        <v>9413</v>
      </c>
      <c r="H2045" t="s">
        <v>12665</v>
      </c>
      <c r="I2045" t="s">
        <v>9482</v>
      </c>
      <c r="J2045" t="s">
        <v>11</v>
      </c>
      <c r="K2045" t="s">
        <v>9416</v>
      </c>
      <c r="L2045" t="s">
        <v>9417</v>
      </c>
      <c r="M2045" t="s">
        <v>12693</v>
      </c>
      <c r="N2045" t="s">
        <v>12667</v>
      </c>
      <c r="O2045" t="s">
        <v>4512</v>
      </c>
      <c r="P2045" t="s">
        <v>9420</v>
      </c>
      <c r="Q2045" t="s">
        <v>9421</v>
      </c>
      <c r="R2045" t="s">
        <v>17</v>
      </c>
      <c r="S2045" t="s">
        <v>69</v>
      </c>
      <c r="T2045" t="s">
        <v>72</v>
      </c>
    </row>
    <row r="2046" spans="1:20">
      <c r="A2046" t="s">
        <v>69</v>
      </c>
      <c r="B2046" t="s">
        <v>62</v>
      </c>
      <c r="C2046" t="s">
        <v>4514</v>
      </c>
      <c r="D2046" t="s">
        <v>9448</v>
      </c>
      <c r="E2046" t="s">
        <v>13227</v>
      </c>
      <c r="F2046" t="s">
        <v>9412</v>
      </c>
      <c r="G2046" t="s">
        <v>9413</v>
      </c>
      <c r="H2046" t="s">
        <v>12665</v>
      </c>
      <c r="I2046" t="s">
        <v>9482</v>
      </c>
      <c r="J2046" t="s">
        <v>11</v>
      </c>
      <c r="K2046" t="s">
        <v>9416</v>
      </c>
      <c r="L2046" t="s">
        <v>9417</v>
      </c>
      <c r="M2046" t="s">
        <v>12693</v>
      </c>
      <c r="N2046" t="s">
        <v>12667</v>
      </c>
      <c r="O2046" t="s">
        <v>4505</v>
      </c>
      <c r="P2046" t="s">
        <v>13228</v>
      </c>
      <c r="Q2046" t="s">
        <v>9421</v>
      </c>
      <c r="R2046" t="s">
        <v>17</v>
      </c>
      <c r="S2046" t="s">
        <v>4504</v>
      </c>
      <c r="T2046" t="s">
        <v>13229</v>
      </c>
    </row>
    <row r="2047" spans="1:20">
      <c r="A2047" t="s">
        <v>73</v>
      </c>
      <c r="B2047" t="s">
        <v>20</v>
      </c>
      <c r="C2047" t="s">
        <v>4521</v>
      </c>
      <c r="D2047" t="s">
        <v>9677</v>
      </c>
      <c r="E2047" t="s">
        <v>13230</v>
      </c>
      <c r="F2047" t="s">
        <v>9412</v>
      </c>
      <c r="G2047" t="s">
        <v>9413</v>
      </c>
      <c r="H2047" t="s">
        <v>12665</v>
      </c>
      <c r="I2047" t="s">
        <v>10822</v>
      </c>
      <c r="J2047" t="s">
        <v>11</v>
      </c>
      <c r="K2047" t="s">
        <v>9416</v>
      </c>
      <c r="L2047" t="s">
        <v>9417</v>
      </c>
      <c r="M2047" t="s">
        <v>12693</v>
      </c>
      <c r="N2047" t="s">
        <v>9446</v>
      </c>
      <c r="O2047" t="s">
        <v>4523</v>
      </c>
      <c r="P2047" t="s">
        <v>9647</v>
      </c>
      <c r="Q2047" t="s">
        <v>9421</v>
      </c>
      <c r="R2047" t="s">
        <v>84</v>
      </c>
      <c r="S2047" t="s">
        <v>81</v>
      </c>
      <c r="T2047" t="s">
        <v>83</v>
      </c>
    </row>
    <row r="2048" spans="1:20">
      <c r="A2048" t="s">
        <v>73</v>
      </c>
      <c r="B2048" t="s">
        <v>20</v>
      </c>
      <c r="C2048" t="s">
        <v>4521</v>
      </c>
      <c r="D2048" t="s">
        <v>9677</v>
      </c>
      <c r="E2048" t="s">
        <v>13230</v>
      </c>
      <c r="F2048" t="s">
        <v>9412</v>
      </c>
      <c r="G2048" t="s">
        <v>9413</v>
      </c>
      <c r="H2048" t="s">
        <v>12665</v>
      </c>
      <c r="I2048" t="s">
        <v>10822</v>
      </c>
      <c r="J2048" t="s">
        <v>11</v>
      </c>
      <c r="K2048" t="s">
        <v>9445</v>
      </c>
      <c r="L2048" t="s">
        <v>9417</v>
      </c>
      <c r="M2048" t="s">
        <v>12693</v>
      </c>
      <c r="N2048" t="s">
        <v>9426</v>
      </c>
      <c r="O2048" t="s">
        <v>9446</v>
      </c>
      <c r="P2048" t="s">
        <v>9567</v>
      </c>
      <c r="Q2048" t="s">
        <v>9421</v>
      </c>
      <c r="R2048" t="s">
        <v>43</v>
      </c>
      <c r="S2048" t="s">
        <v>74</v>
      </c>
      <c r="T2048" t="s">
        <v>76</v>
      </c>
    </row>
    <row r="2049" spans="1:20">
      <c r="A2049" t="s">
        <v>73</v>
      </c>
      <c r="B2049" t="s">
        <v>20</v>
      </c>
      <c r="C2049" t="s">
        <v>4521</v>
      </c>
      <c r="D2049" t="s">
        <v>9677</v>
      </c>
      <c r="E2049" t="s">
        <v>13230</v>
      </c>
      <c r="F2049" t="s">
        <v>9412</v>
      </c>
      <c r="G2049" t="s">
        <v>9413</v>
      </c>
      <c r="H2049" t="s">
        <v>12665</v>
      </c>
      <c r="I2049" t="s">
        <v>10822</v>
      </c>
      <c r="J2049" t="s">
        <v>11</v>
      </c>
      <c r="K2049" t="s">
        <v>9416</v>
      </c>
      <c r="L2049" t="s">
        <v>9417</v>
      </c>
      <c r="M2049" t="s">
        <v>12693</v>
      </c>
      <c r="N2049" t="s">
        <v>12667</v>
      </c>
      <c r="O2049" t="s">
        <v>4525</v>
      </c>
      <c r="P2049" t="s">
        <v>9429</v>
      </c>
      <c r="Q2049" t="s">
        <v>9421</v>
      </c>
      <c r="R2049" t="s">
        <v>52</v>
      </c>
      <c r="S2049" t="s">
        <v>85</v>
      </c>
      <c r="T2049" t="s">
        <v>87</v>
      </c>
    </row>
    <row r="2050" spans="1:20">
      <c r="A2050" t="s">
        <v>73</v>
      </c>
      <c r="B2050" t="s">
        <v>20</v>
      </c>
      <c r="C2050" t="s">
        <v>4521</v>
      </c>
      <c r="D2050" t="s">
        <v>9677</v>
      </c>
      <c r="E2050" t="s">
        <v>13230</v>
      </c>
      <c r="F2050" t="s">
        <v>9412</v>
      </c>
      <c r="G2050" t="s">
        <v>9413</v>
      </c>
      <c r="H2050" t="s">
        <v>12665</v>
      </c>
      <c r="I2050" t="s">
        <v>10822</v>
      </c>
      <c r="J2050" t="s">
        <v>11</v>
      </c>
      <c r="K2050" t="s">
        <v>9416</v>
      </c>
      <c r="L2050" t="s">
        <v>9417</v>
      </c>
      <c r="M2050" t="s">
        <v>12693</v>
      </c>
      <c r="N2050" t="s">
        <v>9430</v>
      </c>
      <c r="O2050" t="s">
        <v>4519</v>
      </c>
      <c r="P2050" t="s">
        <v>9651</v>
      </c>
      <c r="Q2050" t="s">
        <v>9421</v>
      </c>
      <c r="R2050" t="s">
        <v>56</v>
      </c>
      <c r="S2050" t="s">
        <v>78</v>
      </c>
      <c r="T2050" t="s">
        <v>80</v>
      </c>
    </row>
    <row r="2051" spans="1:20">
      <c r="A2051" t="s">
        <v>13231</v>
      </c>
      <c r="B2051" t="s">
        <v>9409</v>
      </c>
      <c r="C2051" t="s">
        <v>13232</v>
      </c>
      <c r="D2051" t="s">
        <v>9410</v>
      </c>
      <c r="E2051" t="s">
        <v>13233</v>
      </c>
      <c r="F2051" t="s">
        <v>9412</v>
      </c>
      <c r="G2051" t="s">
        <v>9413</v>
      </c>
      <c r="H2051" t="s">
        <v>12</v>
      </c>
      <c r="I2051" t="s">
        <v>9472</v>
      </c>
      <c r="J2051" t="s">
        <v>287</v>
      </c>
      <c r="K2051" t="s">
        <v>9416</v>
      </c>
      <c r="L2051" t="s">
        <v>9417</v>
      </c>
      <c r="M2051" t="s">
        <v>12681</v>
      </c>
      <c r="N2051" t="s">
        <v>12688</v>
      </c>
      <c r="O2051" t="s">
        <v>13234</v>
      </c>
      <c r="P2051" t="s">
        <v>9420</v>
      </c>
      <c r="Q2051" t="s">
        <v>9421</v>
      </c>
      <c r="R2051" t="s">
        <v>17</v>
      </c>
      <c r="S2051" t="s">
        <v>13231</v>
      </c>
      <c r="T2051" t="s">
        <v>13235</v>
      </c>
    </row>
    <row r="2052" spans="1:20">
      <c r="A2052" t="s">
        <v>336</v>
      </c>
      <c r="B2052" t="s">
        <v>62</v>
      </c>
      <c r="C2052" t="s">
        <v>4770</v>
      </c>
      <c r="D2052" t="s">
        <v>9448</v>
      </c>
      <c r="E2052" t="s">
        <v>13236</v>
      </c>
      <c r="F2052" t="s">
        <v>9412</v>
      </c>
      <c r="G2052" t="s">
        <v>9413</v>
      </c>
      <c r="H2052" t="s">
        <v>12665</v>
      </c>
      <c r="I2052" t="s">
        <v>9771</v>
      </c>
      <c r="J2052" t="s">
        <v>287</v>
      </c>
      <c r="K2052" t="s">
        <v>9416</v>
      </c>
      <c r="L2052" t="s">
        <v>9417</v>
      </c>
      <c r="M2052" t="s">
        <v>12673</v>
      </c>
      <c r="N2052" t="s">
        <v>9446</v>
      </c>
      <c r="O2052" t="s">
        <v>4768</v>
      </c>
      <c r="P2052" t="s">
        <v>9647</v>
      </c>
      <c r="Q2052" t="s">
        <v>9421</v>
      </c>
      <c r="R2052" t="s">
        <v>84</v>
      </c>
      <c r="S2052" t="s">
        <v>337</v>
      </c>
      <c r="T2052" t="s">
        <v>339</v>
      </c>
    </row>
    <row r="2053" spans="1:20">
      <c r="A2053" t="s">
        <v>336</v>
      </c>
      <c r="B2053" t="s">
        <v>62</v>
      </c>
      <c r="C2053" t="s">
        <v>4770</v>
      </c>
      <c r="D2053" t="s">
        <v>9448</v>
      </c>
      <c r="E2053" t="s">
        <v>13236</v>
      </c>
      <c r="F2053" t="s">
        <v>9412</v>
      </c>
      <c r="G2053" t="s">
        <v>9413</v>
      </c>
      <c r="H2053" t="s">
        <v>12665</v>
      </c>
      <c r="I2053" t="s">
        <v>9771</v>
      </c>
      <c r="J2053" t="s">
        <v>287</v>
      </c>
      <c r="K2053" t="s">
        <v>9416</v>
      </c>
      <c r="L2053" t="s">
        <v>9417</v>
      </c>
      <c r="M2053" t="s">
        <v>12673</v>
      </c>
      <c r="N2053" t="s">
        <v>12688</v>
      </c>
      <c r="O2053" t="s">
        <v>4772</v>
      </c>
      <c r="P2053" t="s">
        <v>9420</v>
      </c>
      <c r="Q2053" t="s">
        <v>9421</v>
      </c>
      <c r="R2053" t="s">
        <v>17</v>
      </c>
      <c r="S2053" t="s">
        <v>341</v>
      </c>
      <c r="T2053" t="s">
        <v>343</v>
      </c>
    </row>
    <row r="2054" spans="1:20">
      <c r="A2054" t="s">
        <v>336</v>
      </c>
      <c r="B2054" t="s">
        <v>62</v>
      </c>
      <c r="C2054" t="s">
        <v>4770</v>
      </c>
      <c r="D2054" t="s">
        <v>9448</v>
      </c>
      <c r="E2054" t="s">
        <v>13236</v>
      </c>
      <c r="F2054" t="s">
        <v>9412</v>
      </c>
      <c r="G2054" t="s">
        <v>9413</v>
      </c>
      <c r="H2054" t="s">
        <v>12665</v>
      </c>
      <c r="I2054" t="s">
        <v>9771</v>
      </c>
      <c r="J2054" t="s">
        <v>287</v>
      </c>
      <c r="K2054" t="s">
        <v>9416</v>
      </c>
      <c r="L2054" t="s">
        <v>9417</v>
      </c>
      <c r="M2054" t="s">
        <v>12673</v>
      </c>
      <c r="N2054" t="s">
        <v>12688</v>
      </c>
      <c r="O2054" t="s">
        <v>4774</v>
      </c>
      <c r="P2054" t="s">
        <v>9429</v>
      </c>
      <c r="Q2054" t="s">
        <v>9421</v>
      </c>
      <c r="R2054" t="s">
        <v>52</v>
      </c>
      <c r="S2054" t="s">
        <v>344</v>
      </c>
      <c r="T2054" t="s">
        <v>346</v>
      </c>
    </row>
    <row r="2055" spans="1:20">
      <c r="A2055" t="s">
        <v>969</v>
      </c>
      <c r="B2055" t="s">
        <v>62</v>
      </c>
      <c r="C2055" t="s">
        <v>5370</v>
      </c>
      <c r="D2055" t="s">
        <v>9448</v>
      </c>
      <c r="E2055" t="s">
        <v>13237</v>
      </c>
      <c r="F2055" t="s">
        <v>9412</v>
      </c>
      <c r="G2055" t="s">
        <v>9413</v>
      </c>
      <c r="H2055" t="s">
        <v>12665</v>
      </c>
      <c r="I2055" t="s">
        <v>10452</v>
      </c>
      <c r="J2055" t="s">
        <v>914</v>
      </c>
      <c r="K2055" t="s">
        <v>9416</v>
      </c>
      <c r="L2055" t="s">
        <v>9417</v>
      </c>
      <c r="M2055" t="s">
        <v>12699</v>
      </c>
      <c r="N2055" t="s">
        <v>12700</v>
      </c>
      <c r="O2055" t="s">
        <v>5369</v>
      </c>
      <c r="P2055" t="s">
        <v>9623</v>
      </c>
      <c r="Q2055" t="s">
        <v>9421</v>
      </c>
      <c r="R2055" t="s">
        <v>24</v>
      </c>
      <c r="S2055" t="s">
        <v>970</v>
      </c>
      <c r="T2055" t="s">
        <v>972</v>
      </c>
    </row>
    <row r="2056" spans="1:20">
      <c r="A2056" t="s">
        <v>969</v>
      </c>
      <c r="B2056" t="s">
        <v>62</v>
      </c>
      <c r="C2056" t="s">
        <v>5370</v>
      </c>
      <c r="D2056" t="s">
        <v>9448</v>
      </c>
      <c r="E2056" t="s">
        <v>13237</v>
      </c>
      <c r="F2056" t="s">
        <v>9412</v>
      </c>
      <c r="G2056" t="s">
        <v>9413</v>
      </c>
      <c r="H2056" t="s">
        <v>12665</v>
      </c>
      <c r="I2056" t="s">
        <v>10452</v>
      </c>
      <c r="J2056" t="s">
        <v>914</v>
      </c>
      <c r="K2056" t="s">
        <v>9416</v>
      </c>
      <c r="L2056" t="s">
        <v>9417</v>
      </c>
      <c r="M2056" t="s">
        <v>12699</v>
      </c>
      <c r="N2056" t="s">
        <v>12700</v>
      </c>
      <c r="O2056" t="s">
        <v>5372</v>
      </c>
      <c r="P2056" t="s">
        <v>9429</v>
      </c>
      <c r="Q2056" t="s">
        <v>9421</v>
      </c>
      <c r="R2056" t="s">
        <v>52</v>
      </c>
      <c r="S2056" t="s">
        <v>974</v>
      </c>
      <c r="T2056" t="s">
        <v>976</v>
      </c>
    </row>
    <row r="2057" spans="1:20">
      <c r="A2057" t="s">
        <v>788</v>
      </c>
      <c r="B2057" t="s">
        <v>62</v>
      </c>
      <c r="C2057" t="s">
        <v>5217</v>
      </c>
      <c r="D2057" t="s">
        <v>445</v>
      </c>
      <c r="E2057" t="s">
        <v>13238</v>
      </c>
      <c r="F2057" t="s">
        <v>9412</v>
      </c>
      <c r="G2057" t="s">
        <v>9413</v>
      </c>
      <c r="H2057" t="s">
        <v>12665</v>
      </c>
      <c r="I2057" t="s">
        <v>10205</v>
      </c>
      <c r="J2057" t="s">
        <v>710</v>
      </c>
      <c r="K2057" t="s">
        <v>9416</v>
      </c>
      <c r="L2057" t="s">
        <v>9417</v>
      </c>
      <c r="M2057" t="s">
        <v>12738</v>
      </c>
      <c r="N2057" t="s">
        <v>12725</v>
      </c>
      <c r="O2057" t="s">
        <v>5215</v>
      </c>
      <c r="P2057" t="s">
        <v>9420</v>
      </c>
      <c r="Q2057" t="s">
        <v>9421</v>
      </c>
      <c r="R2057" t="s">
        <v>17</v>
      </c>
      <c r="S2057" t="s">
        <v>788</v>
      </c>
      <c r="T2057" t="s">
        <v>790</v>
      </c>
    </row>
    <row r="2058" spans="1:20">
      <c r="A2058" t="s">
        <v>13239</v>
      </c>
      <c r="B2058" t="s">
        <v>9409</v>
      </c>
      <c r="C2058" t="s">
        <v>13240</v>
      </c>
      <c r="D2058" t="s">
        <v>9410</v>
      </c>
      <c r="E2058" t="s">
        <v>13241</v>
      </c>
      <c r="F2058" t="s">
        <v>9412</v>
      </c>
      <c r="G2058" t="s">
        <v>9413</v>
      </c>
      <c r="H2058" t="s">
        <v>12665</v>
      </c>
      <c r="I2058" t="s">
        <v>9450</v>
      </c>
      <c r="J2058" t="s">
        <v>287</v>
      </c>
      <c r="K2058" t="s">
        <v>9416</v>
      </c>
      <c r="L2058" t="s">
        <v>9417</v>
      </c>
      <c r="M2058" t="s">
        <v>12714</v>
      </c>
      <c r="N2058" t="s">
        <v>12688</v>
      </c>
      <c r="O2058" t="s">
        <v>13242</v>
      </c>
      <c r="P2058" t="s">
        <v>10789</v>
      </c>
      <c r="Q2058" t="s">
        <v>9421</v>
      </c>
      <c r="R2058" t="s">
        <v>553</v>
      </c>
      <c r="S2058" t="s">
        <v>13239</v>
      </c>
      <c r="T2058" t="s">
        <v>13243</v>
      </c>
    </row>
    <row r="2059" spans="1:20">
      <c r="A2059" t="s">
        <v>4776</v>
      </c>
      <c r="B2059" t="s">
        <v>62</v>
      </c>
      <c r="C2059" t="s">
        <v>13244</v>
      </c>
      <c r="D2059" t="s">
        <v>445</v>
      </c>
      <c r="E2059" t="s">
        <v>13245</v>
      </c>
      <c r="F2059" t="s">
        <v>9412</v>
      </c>
      <c r="G2059" t="s">
        <v>9413</v>
      </c>
      <c r="H2059" t="s">
        <v>12</v>
      </c>
      <c r="I2059" t="s">
        <v>9528</v>
      </c>
      <c r="J2059" t="s">
        <v>287</v>
      </c>
      <c r="K2059" t="s">
        <v>9445</v>
      </c>
      <c r="L2059" t="s">
        <v>9417</v>
      </c>
      <c r="M2059" t="s">
        <v>12681</v>
      </c>
      <c r="N2059" t="s">
        <v>12688</v>
      </c>
      <c r="O2059" t="s">
        <v>9446</v>
      </c>
      <c r="P2059" t="s">
        <v>9623</v>
      </c>
      <c r="Q2059" t="s">
        <v>9421</v>
      </c>
      <c r="R2059" t="s">
        <v>24</v>
      </c>
      <c r="S2059" t="s">
        <v>4777</v>
      </c>
      <c r="T2059" t="s">
        <v>12689</v>
      </c>
    </row>
    <row r="2060" spans="1:20">
      <c r="A2060" t="s">
        <v>4782</v>
      </c>
      <c r="B2060" t="s">
        <v>62</v>
      </c>
      <c r="C2060" t="s">
        <v>13246</v>
      </c>
      <c r="D2060" t="s">
        <v>445</v>
      </c>
      <c r="E2060" t="s">
        <v>13247</v>
      </c>
      <c r="F2060" t="s">
        <v>9412</v>
      </c>
      <c r="G2060" t="s">
        <v>9413</v>
      </c>
      <c r="H2060" t="s">
        <v>12</v>
      </c>
      <c r="I2060" t="s">
        <v>9522</v>
      </c>
      <c r="J2060" t="s">
        <v>287</v>
      </c>
      <c r="K2060" t="s">
        <v>9445</v>
      </c>
      <c r="L2060" t="s">
        <v>9417</v>
      </c>
      <c r="M2060" t="s">
        <v>12714</v>
      </c>
      <c r="N2060" t="s">
        <v>12688</v>
      </c>
      <c r="O2060" t="s">
        <v>9446</v>
      </c>
      <c r="P2060" t="s">
        <v>9420</v>
      </c>
      <c r="Q2060" t="s">
        <v>9421</v>
      </c>
      <c r="R2060" t="s">
        <v>17</v>
      </c>
      <c r="S2060" t="s">
        <v>288</v>
      </c>
      <c r="T2060" t="s">
        <v>290</v>
      </c>
    </row>
    <row r="2061" spans="1:20">
      <c r="A2061" t="s">
        <v>347</v>
      </c>
      <c r="B2061" t="s">
        <v>62</v>
      </c>
      <c r="C2061" t="s">
        <v>4787</v>
      </c>
      <c r="D2061" t="s">
        <v>445</v>
      </c>
      <c r="E2061" t="s">
        <v>13248</v>
      </c>
      <c r="F2061" t="s">
        <v>9412</v>
      </c>
      <c r="G2061" t="s">
        <v>9413</v>
      </c>
      <c r="H2061" t="s">
        <v>12665</v>
      </c>
      <c r="I2061" t="s">
        <v>9528</v>
      </c>
      <c r="J2061" t="s">
        <v>287</v>
      </c>
      <c r="K2061" t="s">
        <v>9416</v>
      </c>
      <c r="L2061" t="s">
        <v>9417</v>
      </c>
      <c r="M2061" t="s">
        <v>12721</v>
      </c>
      <c r="N2061" t="s">
        <v>12688</v>
      </c>
      <c r="O2061" t="s">
        <v>4785</v>
      </c>
      <c r="P2061" t="s">
        <v>9420</v>
      </c>
      <c r="Q2061" t="s">
        <v>9421</v>
      </c>
      <c r="R2061" t="s">
        <v>17</v>
      </c>
      <c r="S2061" t="s">
        <v>348</v>
      </c>
      <c r="T2061" t="s">
        <v>350</v>
      </c>
    </row>
    <row r="2062" spans="1:20">
      <c r="A2062" t="s">
        <v>217</v>
      </c>
      <c r="B2062" t="s">
        <v>20</v>
      </c>
      <c r="C2062" t="s">
        <v>4641</v>
      </c>
      <c r="D2062" t="s">
        <v>9460</v>
      </c>
      <c r="E2062" t="s">
        <v>13249</v>
      </c>
      <c r="F2062" t="s">
        <v>9412</v>
      </c>
      <c r="G2062" t="s">
        <v>9413</v>
      </c>
      <c r="H2062" t="s">
        <v>12665</v>
      </c>
      <c r="I2062" t="s">
        <v>9771</v>
      </c>
      <c r="J2062" t="s">
        <v>147</v>
      </c>
      <c r="K2062" t="s">
        <v>9416</v>
      </c>
      <c r="L2062" t="s">
        <v>9417</v>
      </c>
      <c r="M2062" t="s">
        <v>12924</v>
      </c>
      <c r="N2062" t="s">
        <v>9446</v>
      </c>
      <c r="O2062" t="s">
        <v>4643</v>
      </c>
      <c r="P2062" t="s">
        <v>9655</v>
      </c>
      <c r="Q2062" t="s">
        <v>9421</v>
      </c>
      <c r="R2062" t="s">
        <v>56</v>
      </c>
      <c r="S2062" t="s">
        <v>219</v>
      </c>
      <c r="T2062" t="s">
        <v>221</v>
      </c>
    </row>
    <row r="2063" spans="1:20">
      <c r="A2063" t="s">
        <v>217</v>
      </c>
      <c r="B2063" t="s">
        <v>20</v>
      </c>
      <c r="C2063" t="s">
        <v>4641</v>
      </c>
      <c r="D2063" t="s">
        <v>9460</v>
      </c>
      <c r="E2063" t="s">
        <v>13249</v>
      </c>
      <c r="F2063" t="s">
        <v>9412</v>
      </c>
      <c r="G2063" t="s">
        <v>9413</v>
      </c>
      <c r="H2063" t="s">
        <v>12665</v>
      </c>
      <c r="I2063" t="s">
        <v>9771</v>
      </c>
      <c r="J2063" t="s">
        <v>147</v>
      </c>
      <c r="K2063" t="s">
        <v>9416</v>
      </c>
      <c r="L2063" t="s">
        <v>9417</v>
      </c>
      <c r="M2063" t="s">
        <v>12924</v>
      </c>
      <c r="N2063" t="s">
        <v>12719</v>
      </c>
      <c r="O2063" t="s">
        <v>4645</v>
      </c>
      <c r="P2063" t="s">
        <v>9647</v>
      </c>
      <c r="Q2063" t="s">
        <v>9421</v>
      </c>
      <c r="R2063" t="s">
        <v>84</v>
      </c>
      <c r="S2063" t="s">
        <v>222</v>
      </c>
      <c r="T2063" t="s">
        <v>224</v>
      </c>
    </row>
    <row r="2064" spans="1:20">
      <c r="A2064" t="s">
        <v>217</v>
      </c>
      <c r="B2064" t="s">
        <v>20</v>
      </c>
      <c r="C2064" t="s">
        <v>4641</v>
      </c>
      <c r="D2064" t="s">
        <v>9460</v>
      </c>
      <c r="E2064" t="s">
        <v>13249</v>
      </c>
      <c r="F2064" t="s">
        <v>9412</v>
      </c>
      <c r="G2064" t="s">
        <v>9413</v>
      </c>
      <c r="H2064" t="s">
        <v>12665</v>
      </c>
      <c r="I2064" t="s">
        <v>9771</v>
      </c>
      <c r="J2064" t="s">
        <v>147</v>
      </c>
      <c r="K2064" t="s">
        <v>9445</v>
      </c>
      <c r="L2064" t="s">
        <v>9417</v>
      </c>
      <c r="M2064" t="s">
        <v>12924</v>
      </c>
      <c r="N2064" t="s">
        <v>9426</v>
      </c>
      <c r="O2064" t="s">
        <v>9446</v>
      </c>
      <c r="P2064" t="s">
        <v>9479</v>
      </c>
      <c r="Q2064" t="s">
        <v>9421</v>
      </c>
      <c r="R2064" t="s">
        <v>43</v>
      </c>
      <c r="S2064" t="s">
        <v>58</v>
      </c>
      <c r="T2064" t="s">
        <v>60</v>
      </c>
    </row>
    <row r="2065" spans="1:20">
      <c r="A2065" t="s">
        <v>217</v>
      </c>
      <c r="B2065" t="s">
        <v>20</v>
      </c>
      <c r="C2065" t="s">
        <v>4641</v>
      </c>
      <c r="D2065" t="s">
        <v>9460</v>
      </c>
      <c r="E2065" t="s">
        <v>13249</v>
      </c>
      <c r="F2065" t="s">
        <v>9412</v>
      </c>
      <c r="G2065" t="s">
        <v>9413</v>
      </c>
      <c r="H2065" t="s">
        <v>12665</v>
      </c>
      <c r="I2065" t="s">
        <v>9771</v>
      </c>
      <c r="J2065" t="s">
        <v>147</v>
      </c>
      <c r="K2065" t="s">
        <v>9416</v>
      </c>
      <c r="L2065" t="s">
        <v>9417</v>
      </c>
      <c r="M2065" t="s">
        <v>12924</v>
      </c>
      <c r="N2065" t="s">
        <v>12719</v>
      </c>
      <c r="O2065" t="s">
        <v>4647</v>
      </c>
      <c r="P2065" t="s">
        <v>9429</v>
      </c>
      <c r="Q2065" t="s">
        <v>9421</v>
      </c>
      <c r="R2065" t="s">
        <v>52</v>
      </c>
      <c r="S2065" t="s">
        <v>225</v>
      </c>
      <c r="T2065" t="s">
        <v>227</v>
      </c>
    </row>
    <row r="2066" spans="1:20">
      <c r="A2066" t="s">
        <v>5219</v>
      </c>
      <c r="B2066" t="s">
        <v>9409</v>
      </c>
      <c r="C2066" t="s">
        <v>5222</v>
      </c>
      <c r="D2066" t="s">
        <v>9410</v>
      </c>
      <c r="E2066" t="s">
        <v>13250</v>
      </c>
      <c r="F2066" t="s">
        <v>9412</v>
      </c>
      <c r="G2066" t="s">
        <v>9413</v>
      </c>
      <c r="H2066" t="s">
        <v>12665</v>
      </c>
      <c r="I2066" t="s">
        <v>9472</v>
      </c>
      <c r="J2066" t="s">
        <v>710</v>
      </c>
      <c r="K2066" t="s">
        <v>9416</v>
      </c>
      <c r="L2066" t="s">
        <v>9417</v>
      </c>
      <c r="M2066" t="s">
        <v>13251</v>
      </c>
      <c r="N2066" t="s">
        <v>12725</v>
      </c>
      <c r="O2066" t="s">
        <v>5220</v>
      </c>
      <c r="P2066" t="s">
        <v>9524</v>
      </c>
      <c r="Q2066" t="s">
        <v>9421</v>
      </c>
      <c r="R2066" t="s">
        <v>24</v>
      </c>
      <c r="S2066" t="s">
        <v>5219</v>
      </c>
      <c r="T2066" t="s">
        <v>13252</v>
      </c>
    </row>
    <row r="2067" spans="1:20">
      <c r="A2067" t="s">
        <v>541</v>
      </c>
      <c r="B2067" t="s">
        <v>62</v>
      </c>
      <c r="C2067" t="s">
        <v>4988</v>
      </c>
      <c r="D2067" t="s">
        <v>445</v>
      </c>
      <c r="E2067" t="s">
        <v>13253</v>
      </c>
      <c r="F2067" t="s">
        <v>9412</v>
      </c>
      <c r="G2067" t="s">
        <v>9413</v>
      </c>
      <c r="H2067" t="s">
        <v>12665</v>
      </c>
      <c r="I2067" t="s">
        <v>10648</v>
      </c>
      <c r="J2067" t="s">
        <v>445</v>
      </c>
      <c r="K2067" t="s">
        <v>9416</v>
      </c>
      <c r="L2067" t="s">
        <v>9417</v>
      </c>
      <c r="M2067" t="s">
        <v>12734</v>
      </c>
      <c r="N2067" t="s">
        <v>12682</v>
      </c>
      <c r="O2067" t="s">
        <v>4986</v>
      </c>
      <c r="P2067" t="s">
        <v>9420</v>
      </c>
      <c r="Q2067" t="s">
        <v>9421</v>
      </c>
      <c r="R2067" t="s">
        <v>17</v>
      </c>
      <c r="S2067" t="s">
        <v>542</v>
      </c>
      <c r="T2067" t="s">
        <v>544</v>
      </c>
    </row>
    <row r="2068" spans="1:20">
      <c r="A2068" t="s">
        <v>541</v>
      </c>
      <c r="B2068" t="s">
        <v>62</v>
      </c>
      <c r="C2068" t="s">
        <v>4988</v>
      </c>
      <c r="D2068" t="s">
        <v>445</v>
      </c>
      <c r="E2068" t="s">
        <v>13253</v>
      </c>
      <c r="F2068" t="s">
        <v>9412</v>
      </c>
      <c r="G2068" t="s">
        <v>9413</v>
      </c>
      <c r="H2068" t="s">
        <v>12665</v>
      </c>
      <c r="I2068" t="s">
        <v>10648</v>
      </c>
      <c r="J2068" t="s">
        <v>445</v>
      </c>
      <c r="K2068" t="s">
        <v>9445</v>
      </c>
      <c r="L2068" t="s">
        <v>9417</v>
      </c>
      <c r="M2068" t="s">
        <v>12734</v>
      </c>
      <c r="N2068" t="s">
        <v>9426</v>
      </c>
      <c r="O2068" t="s">
        <v>9446</v>
      </c>
      <c r="P2068" t="s">
        <v>9479</v>
      </c>
      <c r="Q2068" t="s">
        <v>9421</v>
      </c>
      <c r="R2068" t="s">
        <v>43</v>
      </c>
      <c r="S2068" t="s">
        <v>333</v>
      </c>
      <c r="T2068" t="s">
        <v>335</v>
      </c>
    </row>
    <row r="2069" spans="1:20">
      <c r="A2069" t="s">
        <v>792</v>
      </c>
      <c r="B2069" t="s">
        <v>20</v>
      </c>
      <c r="C2069" t="s">
        <v>5226</v>
      </c>
      <c r="D2069" t="s">
        <v>9455</v>
      </c>
      <c r="E2069" t="s">
        <v>13254</v>
      </c>
      <c r="F2069" t="s">
        <v>9412</v>
      </c>
      <c r="G2069" t="s">
        <v>9413</v>
      </c>
      <c r="H2069" t="s">
        <v>12665</v>
      </c>
      <c r="I2069" t="s">
        <v>9771</v>
      </c>
      <c r="J2069" t="s">
        <v>710</v>
      </c>
      <c r="K2069" t="s">
        <v>9416</v>
      </c>
      <c r="L2069" t="s">
        <v>9417</v>
      </c>
      <c r="M2069" t="s">
        <v>13210</v>
      </c>
      <c r="N2069" t="s">
        <v>9426</v>
      </c>
      <c r="O2069" t="s">
        <v>5208</v>
      </c>
      <c r="P2069" t="s">
        <v>13211</v>
      </c>
      <c r="Q2069" t="s">
        <v>9421</v>
      </c>
      <c r="R2069" t="s">
        <v>17</v>
      </c>
      <c r="S2069" t="s">
        <v>778</v>
      </c>
      <c r="T2069" t="s">
        <v>780</v>
      </c>
    </row>
    <row r="2070" spans="1:20">
      <c r="A2070" t="s">
        <v>792</v>
      </c>
      <c r="B2070" t="s">
        <v>20</v>
      </c>
      <c r="C2070" t="s">
        <v>5226</v>
      </c>
      <c r="D2070" t="s">
        <v>9455</v>
      </c>
      <c r="E2070" t="s">
        <v>13254</v>
      </c>
      <c r="F2070" t="s">
        <v>9412</v>
      </c>
      <c r="G2070" t="s">
        <v>9413</v>
      </c>
      <c r="H2070" t="s">
        <v>12665</v>
      </c>
      <c r="I2070" t="s">
        <v>9771</v>
      </c>
      <c r="J2070" t="s">
        <v>710</v>
      </c>
      <c r="K2070" t="s">
        <v>9416</v>
      </c>
      <c r="L2070" t="s">
        <v>9417</v>
      </c>
      <c r="M2070" t="s">
        <v>13210</v>
      </c>
      <c r="N2070" t="s">
        <v>12725</v>
      </c>
      <c r="O2070" t="s">
        <v>5224</v>
      </c>
      <c r="P2070" t="s">
        <v>9420</v>
      </c>
      <c r="Q2070" t="s">
        <v>9421</v>
      </c>
      <c r="R2070" t="s">
        <v>17</v>
      </c>
      <c r="S2070" t="s">
        <v>792</v>
      </c>
      <c r="T2070" t="s">
        <v>794</v>
      </c>
    </row>
    <row r="2071" spans="1:20">
      <c r="A2071" t="s">
        <v>796</v>
      </c>
      <c r="B2071" t="s">
        <v>62</v>
      </c>
      <c r="C2071" t="s">
        <v>5230</v>
      </c>
      <c r="D2071" t="s">
        <v>9448</v>
      </c>
      <c r="E2071" t="s">
        <v>13255</v>
      </c>
      <c r="F2071" t="s">
        <v>9412</v>
      </c>
      <c r="G2071" t="s">
        <v>9413</v>
      </c>
      <c r="H2071" t="s">
        <v>12665</v>
      </c>
      <c r="I2071" t="s">
        <v>9771</v>
      </c>
      <c r="J2071" t="s">
        <v>710</v>
      </c>
      <c r="K2071" t="s">
        <v>9416</v>
      </c>
      <c r="L2071" t="s">
        <v>9417</v>
      </c>
      <c r="M2071" t="s">
        <v>13210</v>
      </c>
      <c r="N2071" t="s">
        <v>12725</v>
      </c>
      <c r="O2071" t="s">
        <v>5228</v>
      </c>
      <c r="P2071" t="s">
        <v>9429</v>
      </c>
      <c r="Q2071" t="s">
        <v>9421</v>
      </c>
      <c r="R2071" t="s">
        <v>52</v>
      </c>
      <c r="S2071" t="s">
        <v>796</v>
      </c>
      <c r="T2071" t="s">
        <v>798</v>
      </c>
    </row>
    <row r="2072" spans="1:20">
      <c r="A2072" t="s">
        <v>800</v>
      </c>
      <c r="B2072" t="s">
        <v>20</v>
      </c>
      <c r="C2072" t="s">
        <v>5232</v>
      </c>
      <c r="D2072" t="s">
        <v>9475</v>
      </c>
      <c r="E2072" t="s">
        <v>13256</v>
      </c>
      <c r="F2072" t="s">
        <v>9412</v>
      </c>
      <c r="G2072" t="s">
        <v>9413</v>
      </c>
      <c r="H2072" t="s">
        <v>12665</v>
      </c>
      <c r="I2072" t="s">
        <v>9771</v>
      </c>
      <c r="J2072" t="s">
        <v>710</v>
      </c>
      <c r="K2072" t="s">
        <v>9445</v>
      </c>
      <c r="L2072" t="s">
        <v>9417</v>
      </c>
      <c r="M2072" t="s">
        <v>13210</v>
      </c>
      <c r="N2072" t="s">
        <v>9426</v>
      </c>
      <c r="O2072" t="s">
        <v>9446</v>
      </c>
      <c r="P2072" t="s">
        <v>9647</v>
      </c>
      <c r="Q2072" t="s">
        <v>9421</v>
      </c>
      <c r="R2072" t="s">
        <v>84</v>
      </c>
      <c r="S2072" t="s">
        <v>801</v>
      </c>
      <c r="T2072" t="s">
        <v>803</v>
      </c>
    </row>
    <row r="2073" spans="1:20">
      <c r="A2073" t="s">
        <v>800</v>
      </c>
      <c r="B2073" t="s">
        <v>20</v>
      </c>
      <c r="C2073" t="s">
        <v>5232</v>
      </c>
      <c r="D2073" t="s">
        <v>9475</v>
      </c>
      <c r="E2073" t="s">
        <v>13256</v>
      </c>
      <c r="F2073" t="s">
        <v>9412</v>
      </c>
      <c r="G2073" t="s">
        <v>9413</v>
      </c>
      <c r="H2073" t="s">
        <v>12665</v>
      </c>
      <c r="I2073" t="s">
        <v>9771</v>
      </c>
      <c r="J2073" t="s">
        <v>710</v>
      </c>
      <c r="K2073" t="s">
        <v>9416</v>
      </c>
      <c r="L2073" t="s">
        <v>9417</v>
      </c>
      <c r="M2073" t="s">
        <v>13210</v>
      </c>
      <c r="N2073" t="s">
        <v>12725</v>
      </c>
      <c r="O2073" t="s">
        <v>5234</v>
      </c>
      <c r="P2073" t="s">
        <v>9429</v>
      </c>
      <c r="Q2073" t="s">
        <v>9421</v>
      </c>
      <c r="R2073" t="s">
        <v>52</v>
      </c>
      <c r="S2073" t="s">
        <v>800</v>
      </c>
      <c r="T2073" t="s">
        <v>806</v>
      </c>
    </row>
    <row r="2074" spans="1:20">
      <c r="A2074" t="s">
        <v>13257</v>
      </c>
      <c r="B2074" t="s">
        <v>9409</v>
      </c>
      <c r="C2074" t="s">
        <v>13258</v>
      </c>
      <c r="D2074" t="s">
        <v>9410</v>
      </c>
      <c r="E2074" t="s">
        <v>13259</v>
      </c>
      <c r="F2074" t="s">
        <v>9412</v>
      </c>
      <c r="G2074" t="s">
        <v>9413</v>
      </c>
      <c r="H2074" t="s">
        <v>12665</v>
      </c>
      <c r="I2074" t="s">
        <v>10422</v>
      </c>
      <c r="J2074" t="s">
        <v>147</v>
      </c>
      <c r="K2074" t="s">
        <v>9416</v>
      </c>
      <c r="L2074" t="s">
        <v>9417</v>
      </c>
      <c r="M2074" t="s">
        <v>12924</v>
      </c>
      <c r="N2074" t="s">
        <v>12719</v>
      </c>
      <c r="O2074" t="s">
        <v>13260</v>
      </c>
      <c r="P2074" t="s">
        <v>9420</v>
      </c>
      <c r="Q2074" t="s">
        <v>9421</v>
      </c>
      <c r="R2074" t="s">
        <v>17</v>
      </c>
      <c r="S2074" t="s">
        <v>13257</v>
      </c>
      <c r="T2074" t="s">
        <v>13261</v>
      </c>
    </row>
    <row r="2075" spans="1:20">
      <c r="A2075" t="s">
        <v>88</v>
      </c>
      <c r="B2075" t="s">
        <v>20</v>
      </c>
      <c r="C2075" t="s">
        <v>4527</v>
      </c>
      <c r="D2075" t="s">
        <v>10052</v>
      </c>
      <c r="E2075" t="s">
        <v>13262</v>
      </c>
      <c r="F2075" t="s">
        <v>9412</v>
      </c>
      <c r="G2075" t="s">
        <v>9413</v>
      </c>
      <c r="H2075" t="s">
        <v>12665</v>
      </c>
      <c r="I2075" t="s">
        <v>10434</v>
      </c>
      <c r="J2075" t="s">
        <v>11</v>
      </c>
      <c r="K2075" t="s">
        <v>9445</v>
      </c>
      <c r="L2075" t="s">
        <v>9417</v>
      </c>
      <c r="M2075" t="s">
        <v>12666</v>
      </c>
      <c r="N2075" t="s">
        <v>9426</v>
      </c>
      <c r="O2075" t="s">
        <v>9446</v>
      </c>
      <c r="P2075" t="s">
        <v>9567</v>
      </c>
      <c r="Q2075" t="s">
        <v>9421</v>
      </c>
      <c r="R2075" t="s">
        <v>43</v>
      </c>
      <c r="S2075" t="s">
        <v>40</v>
      </c>
      <c r="T2075" t="s">
        <v>42</v>
      </c>
    </row>
    <row r="2076" spans="1:20">
      <c r="A2076" t="s">
        <v>88</v>
      </c>
      <c r="B2076" t="s">
        <v>20</v>
      </c>
      <c r="C2076" t="s">
        <v>4527</v>
      </c>
      <c r="D2076" t="s">
        <v>10052</v>
      </c>
      <c r="E2076" t="s">
        <v>13262</v>
      </c>
      <c r="F2076" t="s">
        <v>9412</v>
      </c>
      <c r="G2076" t="s">
        <v>9413</v>
      </c>
      <c r="H2076" t="s">
        <v>12665</v>
      </c>
      <c r="I2076" t="s">
        <v>10434</v>
      </c>
      <c r="J2076" t="s">
        <v>11</v>
      </c>
      <c r="K2076" t="s">
        <v>9416</v>
      </c>
      <c r="L2076" t="s">
        <v>9417</v>
      </c>
      <c r="M2076" t="s">
        <v>12666</v>
      </c>
      <c r="N2076" t="s">
        <v>9446</v>
      </c>
      <c r="O2076" t="s">
        <v>4531</v>
      </c>
      <c r="P2076" t="s">
        <v>9647</v>
      </c>
      <c r="Q2076" t="s">
        <v>9421</v>
      </c>
      <c r="R2076" t="s">
        <v>84</v>
      </c>
      <c r="S2076" t="s">
        <v>93</v>
      </c>
      <c r="T2076" t="s">
        <v>95</v>
      </c>
    </row>
    <row r="2077" spans="1:20">
      <c r="A2077" t="s">
        <v>88</v>
      </c>
      <c r="B2077" t="s">
        <v>20</v>
      </c>
      <c r="C2077" t="s">
        <v>4527</v>
      </c>
      <c r="D2077" t="s">
        <v>10052</v>
      </c>
      <c r="E2077" t="s">
        <v>13262</v>
      </c>
      <c r="F2077" t="s">
        <v>9412</v>
      </c>
      <c r="G2077" t="s">
        <v>9413</v>
      </c>
      <c r="H2077" t="s">
        <v>12665</v>
      </c>
      <c r="I2077" t="s">
        <v>10434</v>
      </c>
      <c r="J2077" t="s">
        <v>11</v>
      </c>
      <c r="K2077" t="s">
        <v>9416</v>
      </c>
      <c r="L2077" t="s">
        <v>9417</v>
      </c>
      <c r="M2077" t="s">
        <v>12666</v>
      </c>
      <c r="N2077" t="s">
        <v>9430</v>
      </c>
      <c r="O2077" t="s">
        <v>4529</v>
      </c>
      <c r="P2077" t="s">
        <v>11315</v>
      </c>
      <c r="Q2077" t="s">
        <v>9421</v>
      </c>
      <c r="R2077" t="s">
        <v>17</v>
      </c>
      <c r="S2077" t="s">
        <v>90</v>
      </c>
      <c r="T2077" t="s">
        <v>92</v>
      </c>
    </row>
    <row r="2078" spans="1:20">
      <c r="A2078" t="s">
        <v>96</v>
      </c>
      <c r="B2078" t="s">
        <v>20</v>
      </c>
      <c r="C2078" t="s">
        <v>4533</v>
      </c>
      <c r="D2078" t="s">
        <v>9460</v>
      </c>
      <c r="E2078" t="s">
        <v>13263</v>
      </c>
      <c r="F2078" t="s">
        <v>9412</v>
      </c>
      <c r="G2078" t="s">
        <v>9413</v>
      </c>
      <c r="H2078" t="s">
        <v>12665</v>
      </c>
      <c r="I2078" t="s">
        <v>9472</v>
      </c>
      <c r="J2078" t="s">
        <v>11</v>
      </c>
      <c r="K2078" t="s">
        <v>9416</v>
      </c>
      <c r="L2078" t="s">
        <v>9417</v>
      </c>
      <c r="M2078" t="s">
        <v>12673</v>
      </c>
      <c r="N2078" t="s">
        <v>12667</v>
      </c>
      <c r="O2078" t="s">
        <v>4537</v>
      </c>
      <c r="P2078" t="s">
        <v>9429</v>
      </c>
      <c r="Q2078" t="s">
        <v>9421</v>
      </c>
      <c r="R2078" t="s">
        <v>52</v>
      </c>
      <c r="S2078" t="s">
        <v>101</v>
      </c>
      <c r="T2078" t="s">
        <v>103</v>
      </c>
    </row>
    <row r="2079" spans="1:20">
      <c r="A2079" t="s">
        <v>96</v>
      </c>
      <c r="B2079" t="s">
        <v>20</v>
      </c>
      <c r="C2079" t="s">
        <v>4533</v>
      </c>
      <c r="D2079" t="s">
        <v>9460</v>
      </c>
      <c r="E2079" t="s">
        <v>13263</v>
      </c>
      <c r="F2079" t="s">
        <v>9412</v>
      </c>
      <c r="G2079" t="s">
        <v>9413</v>
      </c>
      <c r="H2079" t="s">
        <v>12665</v>
      </c>
      <c r="I2079" t="s">
        <v>9472</v>
      </c>
      <c r="J2079" t="s">
        <v>11</v>
      </c>
      <c r="K2079" t="s">
        <v>9445</v>
      </c>
      <c r="L2079" t="s">
        <v>9417</v>
      </c>
      <c r="M2079" t="s">
        <v>12673</v>
      </c>
      <c r="N2079" t="s">
        <v>9426</v>
      </c>
      <c r="O2079" t="s">
        <v>9446</v>
      </c>
      <c r="P2079" t="s">
        <v>9655</v>
      </c>
      <c r="Q2079" t="s">
        <v>9421</v>
      </c>
      <c r="R2079" t="s">
        <v>56</v>
      </c>
      <c r="S2079" t="s">
        <v>53</v>
      </c>
      <c r="T2079" t="s">
        <v>55</v>
      </c>
    </row>
    <row r="2080" spans="1:20">
      <c r="A2080" t="s">
        <v>96</v>
      </c>
      <c r="B2080" t="s">
        <v>20</v>
      </c>
      <c r="C2080" t="s">
        <v>4533</v>
      </c>
      <c r="D2080" t="s">
        <v>9460</v>
      </c>
      <c r="E2080" t="s">
        <v>13263</v>
      </c>
      <c r="F2080" t="s">
        <v>9412</v>
      </c>
      <c r="G2080" t="s">
        <v>9413</v>
      </c>
      <c r="H2080" t="s">
        <v>12665</v>
      </c>
      <c r="I2080" t="s">
        <v>9472</v>
      </c>
      <c r="J2080" t="s">
        <v>11</v>
      </c>
      <c r="K2080" t="s">
        <v>9416</v>
      </c>
      <c r="L2080" t="s">
        <v>9417</v>
      </c>
      <c r="M2080" t="s">
        <v>12673</v>
      </c>
      <c r="N2080" t="s">
        <v>12667</v>
      </c>
      <c r="O2080" t="s">
        <v>4535</v>
      </c>
      <c r="P2080" t="s">
        <v>9429</v>
      </c>
      <c r="Q2080" t="s">
        <v>9421</v>
      </c>
      <c r="R2080" t="s">
        <v>52</v>
      </c>
      <c r="S2080" t="s">
        <v>98</v>
      </c>
      <c r="T2080" t="s">
        <v>100</v>
      </c>
    </row>
    <row r="2081" spans="1:20">
      <c r="A2081" t="s">
        <v>96</v>
      </c>
      <c r="B2081" t="s">
        <v>20</v>
      </c>
      <c r="C2081" t="s">
        <v>4533</v>
      </c>
      <c r="D2081" t="s">
        <v>9460</v>
      </c>
      <c r="E2081" t="s">
        <v>13263</v>
      </c>
      <c r="F2081" t="s">
        <v>9412</v>
      </c>
      <c r="G2081" t="s">
        <v>9413</v>
      </c>
      <c r="H2081" t="s">
        <v>12665</v>
      </c>
      <c r="I2081" t="s">
        <v>9472</v>
      </c>
      <c r="J2081" t="s">
        <v>11</v>
      </c>
      <c r="K2081" t="s">
        <v>9416</v>
      </c>
      <c r="L2081" t="s">
        <v>9417</v>
      </c>
      <c r="M2081" t="s">
        <v>12673</v>
      </c>
      <c r="N2081" t="s">
        <v>9426</v>
      </c>
      <c r="O2081" t="s">
        <v>4499</v>
      </c>
      <c r="P2081" t="s">
        <v>9479</v>
      </c>
      <c r="Q2081" t="s">
        <v>9421</v>
      </c>
      <c r="R2081" t="s">
        <v>43</v>
      </c>
      <c r="S2081" t="s">
        <v>58</v>
      </c>
      <c r="T2081" t="s">
        <v>60</v>
      </c>
    </row>
    <row r="2082" spans="1:20">
      <c r="A2082" t="s">
        <v>96</v>
      </c>
      <c r="B2082" t="s">
        <v>20</v>
      </c>
      <c r="C2082" t="s">
        <v>4533</v>
      </c>
      <c r="D2082" t="s">
        <v>9460</v>
      </c>
      <c r="E2082" t="s">
        <v>13263</v>
      </c>
      <c r="F2082" t="s">
        <v>9412</v>
      </c>
      <c r="G2082" t="s">
        <v>9413</v>
      </c>
      <c r="H2082" t="s">
        <v>12665</v>
      </c>
      <c r="I2082" t="s">
        <v>9472</v>
      </c>
      <c r="J2082" t="s">
        <v>11</v>
      </c>
      <c r="K2082" t="s">
        <v>9416</v>
      </c>
      <c r="L2082" t="s">
        <v>9417</v>
      </c>
      <c r="M2082" t="s">
        <v>12673</v>
      </c>
      <c r="N2082" t="s">
        <v>9446</v>
      </c>
      <c r="O2082" t="s">
        <v>4539</v>
      </c>
      <c r="P2082" t="s">
        <v>9651</v>
      </c>
      <c r="Q2082" t="s">
        <v>9421</v>
      </c>
      <c r="R2082" t="s">
        <v>56</v>
      </c>
      <c r="S2082" t="s">
        <v>104</v>
      </c>
      <c r="T2082" t="s">
        <v>106</v>
      </c>
    </row>
    <row r="2083" spans="1:20">
      <c r="A2083" t="s">
        <v>807</v>
      </c>
      <c r="B2083" t="s">
        <v>62</v>
      </c>
      <c r="C2083" t="s">
        <v>5238</v>
      </c>
      <c r="D2083" t="s">
        <v>445</v>
      </c>
      <c r="E2083" t="s">
        <v>13264</v>
      </c>
      <c r="F2083" t="s">
        <v>9412</v>
      </c>
      <c r="G2083" t="s">
        <v>9413</v>
      </c>
      <c r="H2083" t="s">
        <v>12665</v>
      </c>
      <c r="I2083" t="s">
        <v>11078</v>
      </c>
      <c r="J2083" t="s">
        <v>710</v>
      </c>
      <c r="K2083" t="s">
        <v>9416</v>
      </c>
      <c r="L2083" t="s">
        <v>9417</v>
      </c>
      <c r="M2083" t="s">
        <v>13210</v>
      </c>
      <c r="N2083" t="s">
        <v>12725</v>
      </c>
      <c r="O2083" t="s">
        <v>5236</v>
      </c>
      <c r="P2083" t="s">
        <v>9420</v>
      </c>
      <c r="Q2083" t="s">
        <v>9421</v>
      </c>
      <c r="R2083" t="s">
        <v>17</v>
      </c>
      <c r="S2083" t="s">
        <v>807</v>
      </c>
      <c r="T2083" t="s">
        <v>809</v>
      </c>
    </row>
    <row r="2084" spans="1:20">
      <c r="A2084" t="s">
        <v>807</v>
      </c>
      <c r="B2084" t="s">
        <v>62</v>
      </c>
      <c r="C2084" t="s">
        <v>5238</v>
      </c>
      <c r="D2084" t="s">
        <v>445</v>
      </c>
      <c r="E2084" t="s">
        <v>13264</v>
      </c>
      <c r="F2084" t="s">
        <v>9412</v>
      </c>
      <c r="G2084" t="s">
        <v>9413</v>
      </c>
      <c r="H2084" t="s">
        <v>12665</v>
      </c>
      <c r="I2084" t="s">
        <v>11078</v>
      </c>
      <c r="J2084" t="s">
        <v>710</v>
      </c>
      <c r="K2084" t="s">
        <v>9416</v>
      </c>
      <c r="L2084" t="s">
        <v>9417</v>
      </c>
      <c r="M2084" t="s">
        <v>13210</v>
      </c>
      <c r="N2084" t="s">
        <v>12725</v>
      </c>
      <c r="O2084" t="s">
        <v>5240</v>
      </c>
      <c r="P2084" t="s">
        <v>9429</v>
      </c>
      <c r="Q2084" t="s">
        <v>9421</v>
      </c>
      <c r="R2084" t="s">
        <v>52</v>
      </c>
      <c r="S2084" t="s">
        <v>811</v>
      </c>
      <c r="T2084" t="s">
        <v>813</v>
      </c>
    </row>
    <row r="2085" spans="1:20">
      <c r="A2085" t="s">
        <v>807</v>
      </c>
      <c r="B2085" t="s">
        <v>62</v>
      </c>
      <c r="C2085" t="s">
        <v>5238</v>
      </c>
      <c r="D2085" t="s">
        <v>445</v>
      </c>
      <c r="E2085" t="s">
        <v>13264</v>
      </c>
      <c r="F2085" t="s">
        <v>9412</v>
      </c>
      <c r="G2085" t="s">
        <v>9413</v>
      </c>
      <c r="H2085" t="s">
        <v>12665</v>
      </c>
      <c r="I2085" t="s">
        <v>11078</v>
      </c>
      <c r="J2085" t="s">
        <v>710</v>
      </c>
      <c r="K2085" t="s">
        <v>9445</v>
      </c>
      <c r="L2085" t="s">
        <v>9417</v>
      </c>
      <c r="M2085" t="s">
        <v>13210</v>
      </c>
      <c r="N2085" t="s">
        <v>9426</v>
      </c>
      <c r="O2085" t="s">
        <v>9446</v>
      </c>
      <c r="P2085" t="s">
        <v>9479</v>
      </c>
      <c r="Q2085" t="s">
        <v>9421</v>
      </c>
      <c r="R2085" t="s">
        <v>43</v>
      </c>
      <c r="S2085" t="s">
        <v>364</v>
      </c>
      <c r="T2085" t="s">
        <v>366</v>
      </c>
    </row>
    <row r="2086" spans="1:20">
      <c r="A2086" t="s">
        <v>228</v>
      </c>
      <c r="B2086" t="s">
        <v>20</v>
      </c>
      <c r="C2086" t="s">
        <v>4651</v>
      </c>
      <c r="D2086" t="s">
        <v>9455</v>
      </c>
      <c r="E2086" t="s">
        <v>13265</v>
      </c>
      <c r="F2086" t="s">
        <v>9412</v>
      </c>
      <c r="G2086" t="s">
        <v>9413</v>
      </c>
      <c r="H2086" t="s">
        <v>12665</v>
      </c>
      <c r="I2086" t="s">
        <v>10452</v>
      </c>
      <c r="J2086" t="s">
        <v>147</v>
      </c>
      <c r="K2086" t="s">
        <v>9416</v>
      </c>
      <c r="L2086" t="s">
        <v>9417</v>
      </c>
      <c r="M2086" t="s">
        <v>12938</v>
      </c>
      <c r="N2086" t="s">
        <v>12719</v>
      </c>
      <c r="O2086" t="s">
        <v>4653</v>
      </c>
      <c r="P2086" t="s">
        <v>9420</v>
      </c>
      <c r="Q2086" t="s">
        <v>9421</v>
      </c>
      <c r="R2086" t="s">
        <v>17</v>
      </c>
      <c r="S2086" t="s">
        <v>233</v>
      </c>
      <c r="T2086" t="s">
        <v>235</v>
      </c>
    </row>
    <row r="2087" spans="1:20">
      <c r="A2087" t="s">
        <v>228</v>
      </c>
      <c r="B2087" t="s">
        <v>20</v>
      </c>
      <c r="C2087" t="s">
        <v>4651</v>
      </c>
      <c r="D2087" t="s">
        <v>9455</v>
      </c>
      <c r="E2087" t="s">
        <v>13265</v>
      </c>
      <c r="F2087" t="s">
        <v>9412</v>
      </c>
      <c r="G2087" t="s">
        <v>9413</v>
      </c>
      <c r="H2087" t="s">
        <v>12665</v>
      </c>
      <c r="I2087" t="s">
        <v>10452</v>
      </c>
      <c r="J2087" t="s">
        <v>147</v>
      </c>
      <c r="K2087" t="s">
        <v>9416</v>
      </c>
      <c r="L2087" t="s">
        <v>9417</v>
      </c>
      <c r="M2087" t="s">
        <v>12938</v>
      </c>
      <c r="N2087" t="s">
        <v>12719</v>
      </c>
      <c r="O2087" t="s">
        <v>4655</v>
      </c>
      <c r="P2087" t="s">
        <v>9429</v>
      </c>
      <c r="Q2087" t="s">
        <v>9421</v>
      </c>
      <c r="R2087" t="s">
        <v>52</v>
      </c>
      <c r="S2087" t="s">
        <v>236</v>
      </c>
      <c r="T2087" t="s">
        <v>238</v>
      </c>
    </row>
    <row r="2088" spans="1:20">
      <c r="A2088" t="s">
        <v>228</v>
      </c>
      <c r="B2088" t="s">
        <v>20</v>
      </c>
      <c r="C2088" t="s">
        <v>4651</v>
      </c>
      <c r="D2088" t="s">
        <v>9455</v>
      </c>
      <c r="E2088" t="s">
        <v>13265</v>
      </c>
      <c r="F2088" t="s">
        <v>9412</v>
      </c>
      <c r="G2088" t="s">
        <v>9413</v>
      </c>
      <c r="H2088" t="s">
        <v>12665</v>
      </c>
      <c r="I2088" t="s">
        <v>10452</v>
      </c>
      <c r="J2088" t="s">
        <v>147</v>
      </c>
      <c r="K2088" t="s">
        <v>9416</v>
      </c>
      <c r="L2088" t="s">
        <v>9417</v>
      </c>
      <c r="M2088" t="s">
        <v>12938</v>
      </c>
      <c r="N2088" t="s">
        <v>12719</v>
      </c>
      <c r="O2088" t="s">
        <v>4649</v>
      </c>
      <c r="P2088" t="s">
        <v>9429</v>
      </c>
      <c r="Q2088" t="s">
        <v>9421</v>
      </c>
      <c r="R2088" t="s">
        <v>52</v>
      </c>
      <c r="S2088" t="s">
        <v>229</v>
      </c>
      <c r="T2088" t="s">
        <v>231</v>
      </c>
    </row>
    <row r="2089" spans="1:20">
      <c r="A2089" t="s">
        <v>977</v>
      </c>
      <c r="B2089" t="s">
        <v>62</v>
      </c>
      <c r="C2089" t="s">
        <v>5376</v>
      </c>
      <c r="D2089" t="s">
        <v>9448</v>
      </c>
      <c r="E2089" t="s">
        <v>13266</v>
      </c>
      <c r="F2089" t="s">
        <v>9412</v>
      </c>
      <c r="G2089" t="s">
        <v>9413</v>
      </c>
      <c r="H2089" t="s">
        <v>12665</v>
      </c>
      <c r="I2089" t="s">
        <v>9472</v>
      </c>
      <c r="J2089" t="s">
        <v>914</v>
      </c>
      <c r="K2089" t="s">
        <v>9416</v>
      </c>
      <c r="L2089" t="s">
        <v>9417</v>
      </c>
      <c r="M2089" t="s">
        <v>12681</v>
      </c>
      <c r="N2089" t="s">
        <v>9430</v>
      </c>
      <c r="O2089" t="s">
        <v>5374</v>
      </c>
      <c r="P2089" t="s">
        <v>9524</v>
      </c>
      <c r="Q2089" t="s">
        <v>9421</v>
      </c>
      <c r="R2089" t="s">
        <v>24</v>
      </c>
      <c r="S2089" t="s">
        <v>978</v>
      </c>
      <c r="T2089" t="s">
        <v>980</v>
      </c>
    </row>
    <row r="2090" spans="1:20">
      <c r="A2090" t="s">
        <v>977</v>
      </c>
      <c r="B2090" t="s">
        <v>62</v>
      </c>
      <c r="C2090" t="s">
        <v>5376</v>
      </c>
      <c r="D2090" t="s">
        <v>9448</v>
      </c>
      <c r="E2090" t="s">
        <v>13266</v>
      </c>
      <c r="F2090" t="s">
        <v>9412</v>
      </c>
      <c r="G2090" t="s">
        <v>9413</v>
      </c>
      <c r="H2090" t="s">
        <v>12665</v>
      </c>
      <c r="I2090" t="s">
        <v>9472</v>
      </c>
      <c r="J2090" t="s">
        <v>914</v>
      </c>
      <c r="K2090" t="s">
        <v>9416</v>
      </c>
      <c r="L2090" t="s">
        <v>9417</v>
      </c>
      <c r="M2090" t="s">
        <v>12681</v>
      </c>
      <c r="N2090" t="s">
        <v>12700</v>
      </c>
      <c r="O2090" t="s">
        <v>5378</v>
      </c>
      <c r="P2090" t="s">
        <v>9420</v>
      </c>
      <c r="Q2090" t="s">
        <v>9421</v>
      </c>
      <c r="R2090" t="s">
        <v>24</v>
      </c>
      <c r="S2090" t="s">
        <v>555</v>
      </c>
      <c r="T2090" t="s">
        <v>983</v>
      </c>
    </row>
    <row r="2091" spans="1:20">
      <c r="A2091" t="s">
        <v>977</v>
      </c>
      <c r="B2091" t="s">
        <v>62</v>
      </c>
      <c r="C2091" t="s">
        <v>5376</v>
      </c>
      <c r="D2091" t="s">
        <v>9448</v>
      </c>
      <c r="E2091" t="s">
        <v>13266</v>
      </c>
      <c r="F2091" t="s">
        <v>9412</v>
      </c>
      <c r="G2091" t="s">
        <v>9413</v>
      </c>
      <c r="H2091" t="s">
        <v>12665</v>
      </c>
      <c r="I2091" t="s">
        <v>9472</v>
      </c>
      <c r="J2091" t="s">
        <v>914</v>
      </c>
      <c r="K2091" t="s">
        <v>9416</v>
      </c>
      <c r="L2091" t="s">
        <v>9417</v>
      </c>
      <c r="M2091" t="s">
        <v>12681</v>
      </c>
      <c r="N2091" t="s">
        <v>12700</v>
      </c>
      <c r="O2091" t="s">
        <v>5379</v>
      </c>
      <c r="P2091" t="s">
        <v>9429</v>
      </c>
      <c r="Q2091" t="s">
        <v>9421</v>
      </c>
      <c r="R2091" t="s">
        <v>52</v>
      </c>
      <c r="S2091" t="s">
        <v>984</v>
      </c>
      <c r="T2091" t="s">
        <v>986</v>
      </c>
    </row>
    <row r="2092" spans="1:20">
      <c r="A2092" t="s">
        <v>814</v>
      </c>
      <c r="B2092" t="s">
        <v>62</v>
      </c>
      <c r="C2092" t="s">
        <v>5242</v>
      </c>
      <c r="D2092" t="s">
        <v>445</v>
      </c>
      <c r="E2092" t="s">
        <v>13267</v>
      </c>
      <c r="F2092" t="s">
        <v>9412</v>
      </c>
      <c r="G2092" t="s">
        <v>9413</v>
      </c>
      <c r="H2092" t="s">
        <v>12665</v>
      </c>
      <c r="I2092" t="s">
        <v>9714</v>
      </c>
      <c r="J2092" t="s">
        <v>710</v>
      </c>
      <c r="K2092" t="s">
        <v>9416</v>
      </c>
      <c r="L2092" t="s">
        <v>9417</v>
      </c>
      <c r="M2092" t="s">
        <v>12974</v>
      </c>
      <c r="N2092" t="s">
        <v>12725</v>
      </c>
      <c r="O2092" t="s">
        <v>5244</v>
      </c>
      <c r="P2092" t="s">
        <v>9524</v>
      </c>
      <c r="Q2092" t="s">
        <v>9421</v>
      </c>
      <c r="R2092" t="s">
        <v>24</v>
      </c>
      <c r="S2092" t="s">
        <v>814</v>
      </c>
      <c r="T2092" t="s">
        <v>817</v>
      </c>
    </row>
    <row r="2093" spans="1:20">
      <c r="A2093" t="s">
        <v>814</v>
      </c>
      <c r="B2093" t="s">
        <v>62</v>
      </c>
      <c r="C2093" t="s">
        <v>5242</v>
      </c>
      <c r="D2093" t="s">
        <v>445</v>
      </c>
      <c r="E2093" t="s">
        <v>13267</v>
      </c>
      <c r="F2093" t="s">
        <v>9412</v>
      </c>
      <c r="G2093" t="s">
        <v>9413</v>
      </c>
      <c r="H2093" t="s">
        <v>12665</v>
      </c>
      <c r="I2093" t="s">
        <v>9714</v>
      </c>
      <c r="J2093" t="s">
        <v>710</v>
      </c>
      <c r="K2093" t="s">
        <v>9445</v>
      </c>
      <c r="L2093" t="s">
        <v>9417</v>
      </c>
      <c r="M2093" t="s">
        <v>12974</v>
      </c>
      <c r="N2093" t="s">
        <v>9426</v>
      </c>
      <c r="O2093" t="s">
        <v>9446</v>
      </c>
      <c r="P2093" t="s">
        <v>9567</v>
      </c>
      <c r="Q2093" t="s">
        <v>9421</v>
      </c>
      <c r="R2093" t="s">
        <v>43</v>
      </c>
      <c r="S2093" t="s">
        <v>40</v>
      </c>
      <c r="T2093" t="s">
        <v>42</v>
      </c>
    </row>
    <row r="2094" spans="1:20">
      <c r="A2094" t="s">
        <v>987</v>
      </c>
      <c r="B2094" t="s">
        <v>20</v>
      </c>
      <c r="C2094" t="s">
        <v>5381</v>
      </c>
      <c r="D2094" t="s">
        <v>9460</v>
      </c>
      <c r="E2094" t="s">
        <v>13268</v>
      </c>
      <c r="F2094" t="s">
        <v>9412</v>
      </c>
      <c r="G2094" t="s">
        <v>9413</v>
      </c>
      <c r="H2094" t="s">
        <v>12665</v>
      </c>
      <c r="I2094" t="s">
        <v>10434</v>
      </c>
      <c r="J2094" t="s">
        <v>914</v>
      </c>
      <c r="K2094" t="s">
        <v>9416</v>
      </c>
      <c r="L2094" t="s">
        <v>9417</v>
      </c>
      <c r="M2094" t="s">
        <v>12673</v>
      </c>
      <c r="N2094" t="s">
        <v>12700</v>
      </c>
      <c r="O2094" t="s">
        <v>5383</v>
      </c>
      <c r="P2094" t="s">
        <v>9420</v>
      </c>
      <c r="Q2094" t="s">
        <v>9421</v>
      </c>
      <c r="R2094" t="s">
        <v>17</v>
      </c>
      <c r="S2094" t="s">
        <v>989</v>
      </c>
      <c r="T2094" t="s">
        <v>991</v>
      </c>
    </row>
    <row r="2095" spans="1:20">
      <c r="A2095" t="s">
        <v>987</v>
      </c>
      <c r="B2095" t="s">
        <v>20</v>
      </c>
      <c r="C2095" t="s">
        <v>5381</v>
      </c>
      <c r="D2095" t="s">
        <v>9460</v>
      </c>
      <c r="E2095" t="s">
        <v>13268</v>
      </c>
      <c r="F2095" t="s">
        <v>9412</v>
      </c>
      <c r="G2095" t="s">
        <v>9413</v>
      </c>
      <c r="H2095" t="s">
        <v>12665</v>
      </c>
      <c r="I2095" t="s">
        <v>10434</v>
      </c>
      <c r="J2095" t="s">
        <v>914</v>
      </c>
      <c r="K2095" t="s">
        <v>9445</v>
      </c>
      <c r="L2095" t="s">
        <v>9417</v>
      </c>
      <c r="M2095" t="s">
        <v>12673</v>
      </c>
      <c r="N2095" t="s">
        <v>9426</v>
      </c>
      <c r="O2095" t="s">
        <v>9446</v>
      </c>
      <c r="P2095" t="s">
        <v>9567</v>
      </c>
      <c r="Q2095" t="s">
        <v>9421</v>
      </c>
      <c r="R2095" t="s">
        <v>43</v>
      </c>
      <c r="S2095" t="s">
        <v>126</v>
      </c>
      <c r="T2095" t="s">
        <v>128</v>
      </c>
    </row>
    <row r="2096" spans="1:20">
      <c r="A2096" t="s">
        <v>987</v>
      </c>
      <c r="B2096" t="s">
        <v>20</v>
      </c>
      <c r="C2096" t="s">
        <v>5381</v>
      </c>
      <c r="D2096" t="s">
        <v>9460</v>
      </c>
      <c r="E2096" t="s">
        <v>13268</v>
      </c>
      <c r="F2096" t="s">
        <v>9412</v>
      </c>
      <c r="G2096" t="s">
        <v>9413</v>
      </c>
      <c r="H2096" t="s">
        <v>12665</v>
      </c>
      <c r="I2096" t="s">
        <v>10434</v>
      </c>
      <c r="J2096" t="s">
        <v>914</v>
      </c>
      <c r="K2096" t="s">
        <v>9416</v>
      </c>
      <c r="L2096" t="s">
        <v>9417</v>
      </c>
      <c r="M2096" t="s">
        <v>12673</v>
      </c>
      <c r="N2096" t="s">
        <v>9430</v>
      </c>
      <c r="O2096" t="s">
        <v>5385</v>
      </c>
      <c r="P2096" t="s">
        <v>9524</v>
      </c>
      <c r="Q2096" t="s">
        <v>9421</v>
      </c>
      <c r="R2096" t="s">
        <v>995</v>
      </c>
      <c r="S2096" t="s">
        <v>992</v>
      </c>
      <c r="T2096" t="s">
        <v>994</v>
      </c>
    </row>
    <row r="2097" spans="1:20">
      <c r="A2097" t="s">
        <v>546</v>
      </c>
      <c r="B2097" t="s">
        <v>20</v>
      </c>
      <c r="C2097" t="s">
        <v>549</v>
      </c>
      <c r="D2097" t="s">
        <v>9460</v>
      </c>
      <c r="E2097" t="s">
        <v>13269</v>
      </c>
      <c r="F2097" t="s">
        <v>9412</v>
      </c>
      <c r="G2097" t="s">
        <v>9413</v>
      </c>
      <c r="H2097" t="s">
        <v>12</v>
      </c>
      <c r="I2097" t="s">
        <v>10474</v>
      </c>
      <c r="J2097" t="s">
        <v>445</v>
      </c>
      <c r="K2097" t="s">
        <v>9416</v>
      </c>
      <c r="L2097" t="s">
        <v>9417</v>
      </c>
      <c r="M2097" t="s">
        <v>12710</v>
      </c>
      <c r="N2097" t="s">
        <v>12682</v>
      </c>
      <c r="O2097" t="s">
        <v>4990</v>
      </c>
      <c r="P2097" t="s">
        <v>9459</v>
      </c>
      <c r="Q2097" t="s">
        <v>9421</v>
      </c>
      <c r="R2097" t="s">
        <v>17</v>
      </c>
      <c r="S2097" t="s">
        <v>546</v>
      </c>
      <c r="T2097" t="s">
        <v>548</v>
      </c>
    </row>
    <row r="2098" spans="1:20">
      <c r="A2098" t="s">
        <v>13270</v>
      </c>
      <c r="B2098" t="s">
        <v>9409</v>
      </c>
      <c r="C2098" t="s">
        <v>13271</v>
      </c>
      <c r="D2098" t="s">
        <v>9410</v>
      </c>
      <c r="E2098" t="s">
        <v>13272</v>
      </c>
      <c r="F2098" t="s">
        <v>9412</v>
      </c>
      <c r="G2098" t="s">
        <v>9413</v>
      </c>
      <c r="H2098" t="s">
        <v>12665</v>
      </c>
      <c r="I2098" t="s">
        <v>13273</v>
      </c>
      <c r="J2098" t="s">
        <v>445</v>
      </c>
      <c r="K2098" t="s">
        <v>9416</v>
      </c>
      <c r="L2098" t="s">
        <v>9417</v>
      </c>
      <c r="M2098" t="s">
        <v>12791</v>
      </c>
      <c r="N2098" t="s">
        <v>12682</v>
      </c>
      <c r="O2098" t="s">
        <v>13274</v>
      </c>
      <c r="P2098" t="s">
        <v>9429</v>
      </c>
      <c r="Q2098" t="s">
        <v>9421</v>
      </c>
      <c r="R2098" t="s">
        <v>52</v>
      </c>
      <c r="S2098" t="s">
        <v>13270</v>
      </c>
      <c r="T2098" t="s">
        <v>13275</v>
      </c>
    </row>
    <row r="2099" spans="1:20">
      <c r="A2099" t="s">
        <v>550</v>
      </c>
      <c r="B2099" t="s">
        <v>62</v>
      </c>
      <c r="C2099" t="s">
        <v>554</v>
      </c>
      <c r="D2099" t="s">
        <v>445</v>
      </c>
      <c r="E2099" t="s">
        <v>13276</v>
      </c>
      <c r="F2099" t="s">
        <v>9412</v>
      </c>
      <c r="G2099" t="s">
        <v>9413</v>
      </c>
      <c r="H2099" t="s">
        <v>12</v>
      </c>
      <c r="I2099" t="s">
        <v>9450</v>
      </c>
      <c r="J2099" t="s">
        <v>445</v>
      </c>
      <c r="K2099" t="s">
        <v>9416</v>
      </c>
      <c r="L2099" t="s">
        <v>9417</v>
      </c>
      <c r="M2099" t="s">
        <v>12710</v>
      </c>
      <c r="N2099" t="s">
        <v>12682</v>
      </c>
      <c r="O2099" t="s">
        <v>4994</v>
      </c>
      <c r="P2099" t="s">
        <v>10789</v>
      </c>
      <c r="Q2099" t="s">
        <v>9421</v>
      </c>
      <c r="R2099" t="s">
        <v>553</v>
      </c>
      <c r="S2099" t="s">
        <v>550</v>
      </c>
      <c r="T2099" t="s">
        <v>552</v>
      </c>
    </row>
    <row r="2100" spans="1:20">
      <c r="A2100" t="s">
        <v>555</v>
      </c>
      <c r="B2100" t="s">
        <v>20</v>
      </c>
      <c r="C2100" t="s">
        <v>559</v>
      </c>
      <c r="D2100" t="s">
        <v>9460</v>
      </c>
      <c r="E2100" t="s">
        <v>13277</v>
      </c>
      <c r="F2100" t="s">
        <v>9601</v>
      </c>
      <c r="G2100" t="s">
        <v>9413</v>
      </c>
      <c r="H2100" t="s">
        <v>12</v>
      </c>
      <c r="I2100" t="s">
        <v>9819</v>
      </c>
      <c r="J2100" t="s">
        <v>445</v>
      </c>
      <c r="K2100" t="s">
        <v>9416</v>
      </c>
      <c r="L2100" t="s">
        <v>9417</v>
      </c>
      <c r="M2100" t="s">
        <v>12681</v>
      </c>
      <c r="N2100" t="s">
        <v>9446</v>
      </c>
      <c r="O2100" t="s">
        <v>4997</v>
      </c>
      <c r="P2100" t="s">
        <v>9655</v>
      </c>
      <c r="Q2100" t="s">
        <v>9421</v>
      </c>
      <c r="R2100" t="s">
        <v>56</v>
      </c>
      <c r="S2100" t="s">
        <v>556</v>
      </c>
      <c r="T2100" t="s">
        <v>558</v>
      </c>
    </row>
    <row r="2101" spans="1:20">
      <c r="A2101" t="s">
        <v>352</v>
      </c>
      <c r="B2101" t="s">
        <v>20</v>
      </c>
      <c r="C2101" t="s">
        <v>4791</v>
      </c>
      <c r="D2101" t="s">
        <v>9455</v>
      </c>
      <c r="E2101" t="s">
        <v>13278</v>
      </c>
      <c r="F2101" t="s">
        <v>9412</v>
      </c>
      <c r="G2101" t="s">
        <v>9413</v>
      </c>
      <c r="H2101" t="s">
        <v>12665</v>
      </c>
      <c r="I2101" t="s">
        <v>10422</v>
      </c>
      <c r="J2101" t="s">
        <v>287</v>
      </c>
      <c r="K2101" t="s">
        <v>9416</v>
      </c>
      <c r="L2101" t="s">
        <v>9417</v>
      </c>
      <c r="M2101" t="s">
        <v>12721</v>
      </c>
      <c r="N2101" t="s">
        <v>12688</v>
      </c>
      <c r="O2101" t="s">
        <v>4793</v>
      </c>
      <c r="P2101" t="s">
        <v>9420</v>
      </c>
      <c r="Q2101" t="s">
        <v>9421</v>
      </c>
      <c r="R2101" t="s">
        <v>17</v>
      </c>
      <c r="S2101" t="s">
        <v>356</v>
      </c>
      <c r="T2101" t="s">
        <v>358</v>
      </c>
    </row>
    <row r="2102" spans="1:20">
      <c r="A2102" t="s">
        <v>352</v>
      </c>
      <c r="B2102" t="s">
        <v>20</v>
      </c>
      <c r="C2102" t="s">
        <v>4791</v>
      </c>
      <c r="D2102" t="s">
        <v>9455</v>
      </c>
      <c r="E2102" t="s">
        <v>13278</v>
      </c>
      <c r="F2102" t="s">
        <v>9412</v>
      </c>
      <c r="G2102" t="s">
        <v>9413</v>
      </c>
      <c r="H2102" t="s">
        <v>12665</v>
      </c>
      <c r="I2102" t="s">
        <v>10422</v>
      </c>
      <c r="J2102" t="s">
        <v>287</v>
      </c>
      <c r="K2102" t="s">
        <v>9416</v>
      </c>
      <c r="L2102" t="s">
        <v>9417</v>
      </c>
      <c r="M2102" t="s">
        <v>12721</v>
      </c>
      <c r="N2102" t="s">
        <v>12688</v>
      </c>
      <c r="O2102" t="s">
        <v>4789</v>
      </c>
      <c r="P2102" t="s">
        <v>9429</v>
      </c>
      <c r="Q2102" t="s">
        <v>9421</v>
      </c>
      <c r="R2102" t="s">
        <v>52</v>
      </c>
      <c r="S2102" t="s">
        <v>352</v>
      </c>
      <c r="T2102" t="s">
        <v>354</v>
      </c>
    </row>
    <row r="2103" spans="1:20">
      <c r="A2103" t="s">
        <v>996</v>
      </c>
      <c r="B2103" t="s">
        <v>20</v>
      </c>
      <c r="C2103" t="s">
        <v>5387</v>
      </c>
      <c r="D2103" t="s">
        <v>9460</v>
      </c>
      <c r="E2103" t="s">
        <v>13279</v>
      </c>
      <c r="F2103" t="s">
        <v>9412</v>
      </c>
      <c r="G2103" t="s">
        <v>9413</v>
      </c>
      <c r="H2103" t="s">
        <v>12665</v>
      </c>
      <c r="I2103" t="s">
        <v>10822</v>
      </c>
      <c r="J2103" t="s">
        <v>914</v>
      </c>
      <c r="K2103" t="s">
        <v>9445</v>
      </c>
      <c r="L2103" t="s">
        <v>9417</v>
      </c>
      <c r="M2103" t="s">
        <v>12681</v>
      </c>
      <c r="N2103" t="s">
        <v>9426</v>
      </c>
      <c r="O2103" t="s">
        <v>9446</v>
      </c>
      <c r="P2103" t="s">
        <v>9567</v>
      </c>
      <c r="Q2103" t="s">
        <v>9421</v>
      </c>
      <c r="R2103" t="s">
        <v>43</v>
      </c>
      <c r="S2103" t="s">
        <v>74</v>
      </c>
      <c r="T2103" t="s">
        <v>76</v>
      </c>
    </row>
    <row r="2104" spans="1:20">
      <c r="A2104" t="s">
        <v>996</v>
      </c>
      <c r="B2104" t="s">
        <v>20</v>
      </c>
      <c r="C2104" t="s">
        <v>5387</v>
      </c>
      <c r="D2104" t="s">
        <v>9460</v>
      </c>
      <c r="E2104" t="s">
        <v>13279</v>
      </c>
      <c r="F2104" t="s">
        <v>9412</v>
      </c>
      <c r="G2104" t="s">
        <v>9413</v>
      </c>
      <c r="H2104" t="s">
        <v>12665</v>
      </c>
      <c r="I2104" t="s">
        <v>10822</v>
      </c>
      <c r="J2104" t="s">
        <v>914</v>
      </c>
      <c r="K2104" t="s">
        <v>9416</v>
      </c>
      <c r="L2104" t="s">
        <v>9417</v>
      </c>
      <c r="M2104" t="s">
        <v>12681</v>
      </c>
      <c r="N2104" t="s">
        <v>12700</v>
      </c>
      <c r="O2104" t="s">
        <v>5389</v>
      </c>
      <c r="P2104" t="s">
        <v>9420</v>
      </c>
      <c r="Q2104" t="s">
        <v>9421</v>
      </c>
      <c r="R2104" t="s">
        <v>17</v>
      </c>
      <c r="S2104" t="s">
        <v>998</v>
      </c>
      <c r="T2104" t="s">
        <v>1000</v>
      </c>
    </row>
    <row r="2105" spans="1:20">
      <c r="A2105" t="s">
        <v>359</v>
      </c>
      <c r="B2105" t="s">
        <v>62</v>
      </c>
      <c r="C2105" t="s">
        <v>4797</v>
      </c>
      <c r="D2105" t="s">
        <v>445</v>
      </c>
      <c r="E2105" t="s">
        <v>13280</v>
      </c>
      <c r="F2105" t="s">
        <v>9412</v>
      </c>
      <c r="G2105" t="s">
        <v>9413</v>
      </c>
      <c r="H2105" t="s">
        <v>12665</v>
      </c>
      <c r="I2105" t="s">
        <v>9452</v>
      </c>
      <c r="J2105" t="s">
        <v>287</v>
      </c>
      <c r="K2105" t="s">
        <v>9445</v>
      </c>
      <c r="L2105" t="s">
        <v>9417</v>
      </c>
      <c r="M2105" t="s">
        <v>12714</v>
      </c>
      <c r="N2105" t="s">
        <v>9426</v>
      </c>
      <c r="O2105" t="s">
        <v>9446</v>
      </c>
      <c r="P2105" t="s">
        <v>9479</v>
      </c>
      <c r="Q2105" t="s">
        <v>9421</v>
      </c>
      <c r="R2105" t="s">
        <v>43</v>
      </c>
      <c r="S2105" t="s">
        <v>364</v>
      </c>
      <c r="T2105" t="s">
        <v>366</v>
      </c>
    </row>
    <row r="2106" spans="1:20">
      <c r="A2106" t="s">
        <v>359</v>
      </c>
      <c r="B2106" t="s">
        <v>62</v>
      </c>
      <c r="C2106" t="s">
        <v>4797</v>
      </c>
      <c r="D2106" t="s">
        <v>445</v>
      </c>
      <c r="E2106" t="s">
        <v>13280</v>
      </c>
      <c r="F2106" t="s">
        <v>9412</v>
      </c>
      <c r="G2106" t="s">
        <v>9413</v>
      </c>
      <c r="H2106" t="s">
        <v>12665</v>
      </c>
      <c r="I2106" t="s">
        <v>9452</v>
      </c>
      <c r="J2106" t="s">
        <v>287</v>
      </c>
      <c r="K2106" t="s">
        <v>9416</v>
      </c>
      <c r="L2106" t="s">
        <v>9417</v>
      </c>
      <c r="M2106" t="s">
        <v>12714</v>
      </c>
      <c r="N2106" t="s">
        <v>12688</v>
      </c>
      <c r="O2106" t="s">
        <v>4795</v>
      </c>
      <c r="P2106" t="s">
        <v>9524</v>
      </c>
      <c r="Q2106" t="s">
        <v>9421</v>
      </c>
      <c r="R2106" t="s">
        <v>24</v>
      </c>
      <c r="S2106" t="s">
        <v>360</v>
      </c>
      <c r="T2106" t="s">
        <v>362</v>
      </c>
    </row>
    <row r="2107" spans="1:20">
      <c r="A2107" t="s">
        <v>348</v>
      </c>
      <c r="B2107" t="s">
        <v>9409</v>
      </c>
      <c r="C2107" t="s">
        <v>13281</v>
      </c>
      <c r="D2107" t="s">
        <v>9410</v>
      </c>
      <c r="E2107" t="s">
        <v>13282</v>
      </c>
      <c r="F2107" t="s">
        <v>9412</v>
      </c>
      <c r="G2107" t="s">
        <v>9413</v>
      </c>
      <c r="H2107" t="s">
        <v>12665</v>
      </c>
      <c r="I2107" t="s">
        <v>10822</v>
      </c>
      <c r="J2107" t="s">
        <v>287</v>
      </c>
      <c r="K2107" t="s">
        <v>9445</v>
      </c>
      <c r="L2107" t="s">
        <v>9417</v>
      </c>
      <c r="M2107" t="s">
        <v>12681</v>
      </c>
      <c r="N2107" t="s">
        <v>12688</v>
      </c>
      <c r="O2107" t="s">
        <v>9446</v>
      </c>
      <c r="P2107" t="s">
        <v>9420</v>
      </c>
      <c r="Q2107" t="s">
        <v>9421</v>
      </c>
      <c r="R2107" t="s">
        <v>17</v>
      </c>
      <c r="S2107" t="s">
        <v>13231</v>
      </c>
      <c r="T2107" t="s">
        <v>13235</v>
      </c>
    </row>
    <row r="2108" spans="1:20">
      <c r="A2108" t="s">
        <v>367</v>
      </c>
      <c r="B2108" t="s">
        <v>62</v>
      </c>
      <c r="C2108" t="s">
        <v>4799</v>
      </c>
      <c r="D2108" t="s">
        <v>445</v>
      </c>
      <c r="E2108" t="s">
        <v>13283</v>
      </c>
      <c r="F2108" t="s">
        <v>9412</v>
      </c>
      <c r="G2108" t="s">
        <v>9413</v>
      </c>
      <c r="H2108" t="s">
        <v>12665</v>
      </c>
      <c r="I2108" t="s">
        <v>10286</v>
      </c>
      <c r="J2108" t="s">
        <v>287</v>
      </c>
      <c r="K2108" t="s">
        <v>9445</v>
      </c>
      <c r="L2108" t="s">
        <v>9417</v>
      </c>
      <c r="M2108" t="s">
        <v>12714</v>
      </c>
      <c r="N2108" t="s">
        <v>9426</v>
      </c>
      <c r="O2108" t="s">
        <v>9446</v>
      </c>
      <c r="P2108" t="s">
        <v>9567</v>
      </c>
      <c r="Q2108" t="s">
        <v>9421</v>
      </c>
      <c r="R2108" t="s">
        <v>43</v>
      </c>
      <c r="S2108" t="s">
        <v>74</v>
      </c>
      <c r="T2108" t="s">
        <v>76</v>
      </c>
    </row>
    <row r="2109" spans="1:20">
      <c r="A2109" t="s">
        <v>367</v>
      </c>
      <c r="B2109" t="s">
        <v>62</v>
      </c>
      <c r="C2109" t="s">
        <v>4799</v>
      </c>
      <c r="D2109" t="s">
        <v>445</v>
      </c>
      <c r="E2109" t="s">
        <v>13283</v>
      </c>
      <c r="F2109" t="s">
        <v>9412</v>
      </c>
      <c r="G2109" t="s">
        <v>9413</v>
      </c>
      <c r="H2109" t="s">
        <v>12665</v>
      </c>
      <c r="I2109" t="s">
        <v>10286</v>
      </c>
      <c r="J2109" t="s">
        <v>287</v>
      </c>
      <c r="K2109" t="s">
        <v>9416</v>
      </c>
      <c r="L2109" t="s">
        <v>9417</v>
      </c>
      <c r="M2109" t="s">
        <v>12714</v>
      </c>
      <c r="N2109" t="s">
        <v>12688</v>
      </c>
      <c r="O2109" t="s">
        <v>4803</v>
      </c>
      <c r="P2109" t="s">
        <v>9420</v>
      </c>
      <c r="Q2109" t="s">
        <v>9421</v>
      </c>
      <c r="R2109" t="s">
        <v>17</v>
      </c>
      <c r="S2109" t="s">
        <v>372</v>
      </c>
      <c r="T2109" t="s">
        <v>374</v>
      </c>
    </row>
    <row r="2110" spans="1:20">
      <c r="A2110" t="s">
        <v>367</v>
      </c>
      <c r="B2110" t="s">
        <v>62</v>
      </c>
      <c r="C2110" t="s">
        <v>4799</v>
      </c>
      <c r="D2110" t="s">
        <v>445</v>
      </c>
      <c r="E2110" t="s">
        <v>13283</v>
      </c>
      <c r="F2110" t="s">
        <v>9412</v>
      </c>
      <c r="G2110" t="s">
        <v>9413</v>
      </c>
      <c r="H2110" t="s">
        <v>12665</v>
      </c>
      <c r="I2110" t="s">
        <v>10286</v>
      </c>
      <c r="J2110" t="s">
        <v>287</v>
      </c>
      <c r="K2110" t="s">
        <v>9416</v>
      </c>
      <c r="L2110" t="s">
        <v>9417</v>
      </c>
      <c r="M2110" t="s">
        <v>12714</v>
      </c>
      <c r="N2110" t="s">
        <v>12688</v>
      </c>
      <c r="O2110" t="s">
        <v>4801</v>
      </c>
      <c r="P2110" t="s">
        <v>9647</v>
      </c>
      <c r="Q2110" t="s">
        <v>9421</v>
      </c>
      <c r="R2110" t="s">
        <v>84</v>
      </c>
      <c r="S2110" t="s">
        <v>369</v>
      </c>
      <c r="T2110" t="s">
        <v>371</v>
      </c>
    </row>
    <row r="2111" spans="1:20">
      <c r="A2111" t="s">
        <v>560</v>
      </c>
      <c r="B2111" t="s">
        <v>62</v>
      </c>
      <c r="C2111" t="s">
        <v>5002</v>
      </c>
      <c r="D2111" t="s">
        <v>445</v>
      </c>
      <c r="E2111" t="s">
        <v>13284</v>
      </c>
      <c r="F2111" t="s">
        <v>9412</v>
      </c>
      <c r="G2111" t="s">
        <v>9413</v>
      </c>
      <c r="H2111" t="s">
        <v>12665</v>
      </c>
      <c r="I2111" t="s">
        <v>9452</v>
      </c>
      <c r="J2111" t="s">
        <v>445</v>
      </c>
      <c r="K2111" t="s">
        <v>9416</v>
      </c>
      <c r="L2111" t="s">
        <v>9417</v>
      </c>
      <c r="M2111" t="s">
        <v>12710</v>
      </c>
      <c r="N2111" t="s">
        <v>12682</v>
      </c>
      <c r="O2111" t="s">
        <v>5001</v>
      </c>
      <c r="P2111" t="s">
        <v>9429</v>
      </c>
      <c r="Q2111" t="s">
        <v>9421</v>
      </c>
      <c r="R2111" t="s">
        <v>52</v>
      </c>
      <c r="S2111" t="s">
        <v>560</v>
      </c>
      <c r="T2111" t="s">
        <v>562</v>
      </c>
    </row>
    <row r="2112" spans="1:20">
      <c r="A2112" t="s">
        <v>564</v>
      </c>
      <c r="B2112" t="s">
        <v>62</v>
      </c>
      <c r="C2112" t="s">
        <v>5006</v>
      </c>
      <c r="D2112" t="s">
        <v>445</v>
      </c>
      <c r="E2112" t="s">
        <v>13285</v>
      </c>
      <c r="F2112" t="s">
        <v>9412</v>
      </c>
      <c r="G2112" t="s">
        <v>9413</v>
      </c>
      <c r="H2112" t="s">
        <v>12665</v>
      </c>
      <c r="I2112" t="s">
        <v>11276</v>
      </c>
      <c r="J2112" t="s">
        <v>445</v>
      </c>
      <c r="K2112" t="s">
        <v>9416</v>
      </c>
      <c r="L2112" t="s">
        <v>9417</v>
      </c>
      <c r="M2112" t="s">
        <v>12721</v>
      </c>
      <c r="N2112" t="s">
        <v>12682</v>
      </c>
      <c r="O2112" t="s">
        <v>5004</v>
      </c>
      <c r="P2112" t="s">
        <v>9524</v>
      </c>
      <c r="Q2112" t="s">
        <v>9421</v>
      </c>
      <c r="R2112" t="s">
        <v>24</v>
      </c>
      <c r="S2112" t="s">
        <v>564</v>
      </c>
      <c r="T2112" t="s">
        <v>566</v>
      </c>
    </row>
    <row r="2113" spans="1:20">
      <c r="A2113" t="s">
        <v>568</v>
      </c>
      <c r="B2113" t="s">
        <v>62</v>
      </c>
      <c r="C2113" t="s">
        <v>5010</v>
      </c>
      <c r="D2113" t="s">
        <v>9448</v>
      </c>
      <c r="E2113" t="s">
        <v>571</v>
      </c>
      <c r="F2113" t="s">
        <v>9601</v>
      </c>
      <c r="G2113" t="s">
        <v>9413</v>
      </c>
      <c r="H2113" t="s">
        <v>12665</v>
      </c>
      <c r="I2113" t="s">
        <v>9826</v>
      </c>
      <c r="J2113" t="s">
        <v>445</v>
      </c>
      <c r="K2113" t="s">
        <v>9416</v>
      </c>
      <c r="L2113" t="s">
        <v>9417</v>
      </c>
      <c r="M2113" t="s">
        <v>12710</v>
      </c>
      <c r="N2113" t="s">
        <v>12682</v>
      </c>
      <c r="O2113" t="s">
        <v>5008</v>
      </c>
      <c r="P2113" t="s">
        <v>11844</v>
      </c>
      <c r="Q2113" t="s">
        <v>9421</v>
      </c>
      <c r="R2113" t="s">
        <v>52</v>
      </c>
      <c r="S2113" t="s">
        <v>569</v>
      </c>
      <c r="T2113" t="s">
        <v>571</v>
      </c>
    </row>
    <row r="2114" spans="1:20">
      <c r="A2114" t="s">
        <v>375</v>
      </c>
      <c r="B2114" t="s">
        <v>62</v>
      </c>
      <c r="C2114" t="s">
        <v>13286</v>
      </c>
      <c r="D2114" t="s">
        <v>445</v>
      </c>
      <c r="E2114" t="s">
        <v>13287</v>
      </c>
      <c r="F2114" t="s">
        <v>9412</v>
      </c>
      <c r="G2114" t="s">
        <v>9413</v>
      </c>
      <c r="H2114" t="s">
        <v>12665</v>
      </c>
      <c r="I2114" t="s">
        <v>10407</v>
      </c>
      <c r="J2114" t="s">
        <v>287</v>
      </c>
      <c r="K2114" t="s">
        <v>9416</v>
      </c>
      <c r="L2114" t="s">
        <v>9417</v>
      </c>
      <c r="M2114" t="s">
        <v>12714</v>
      </c>
      <c r="N2114" t="s">
        <v>12688</v>
      </c>
      <c r="O2114" t="s">
        <v>4805</v>
      </c>
      <c r="P2114" t="s">
        <v>9429</v>
      </c>
      <c r="Q2114" t="s">
        <v>9421</v>
      </c>
      <c r="R2114" t="s">
        <v>52</v>
      </c>
      <c r="S2114" t="s">
        <v>376</v>
      </c>
      <c r="T2114" t="s">
        <v>378</v>
      </c>
    </row>
    <row r="2115" spans="1:20">
      <c r="A2115" t="s">
        <v>818</v>
      </c>
      <c r="B2115" t="s">
        <v>62</v>
      </c>
      <c r="C2115" t="s">
        <v>5247</v>
      </c>
      <c r="D2115" t="s">
        <v>445</v>
      </c>
      <c r="E2115" t="s">
        <v>13288</v>
      </c>
      <c r="F2115" t="s">
        <v>9412</v>
      </c>
      <c r="G2115" t="s">
        <v>9413</v>
      </c>
      <c r="H2115" t="s">
        <v>12665</v>
      </c>
      <c r="I2115" t="s">
        <v>10407</v>
      </c>
      <c r="J2115" t="s">
        <v>710</v>
      </c>
      <c r="K2115" t="s">
        <v>9416</v>
      </c>
      <c r="L2115" t="s">
        <v>9417</v>
      </c>
      <c r="M2115" t="s">
        <v>12974</v>
      </c>
      <c r="N2115" t="s">
        <v>12725</v>
      </c>
      <c r="O2115" t="s">
        <v>5245</v>
      </c>
      <c r="P2115" t="s">
        <v>9420</v>
      </c>
      <c r="Q2115" t="s">
        <v>9421</v>
      </c>
      <c r="R2115" t="s">
        <v>17</v>
      </c>
      <c r="S2115" t="s">
        <v>819</v>
      </c>
      <c r="T2115" t="s">
        <v>821</v>
      </c>
    </row>
    <row r="2116" spans="1:20">
      <c r="A2116" t="s">
        <v>573</v>
      </c>
      <c r="B2116" t="s">
        <v>62</v>
      </c>
      <c r="C2116" t="s">
        <v>5012</v>
      </c>
      <c r="D2116" t="s">
        <v>445</v>
      </c>
      <c r="E2116" t="s">
        <v>13289</v>
      </c>
      <c r="F2116" t="s">
        <v>9412</v>
      </c>
      <c r="G2116" t="s">
        <v>9413</v>
      </c>
      <c r="H2116" t="s">
        <v>12665</v>
      </c>
      <c r="I2116" t="s">
        <v>9424</v>
      </c>
      <c r="J2116" t="s">
        <v>445</v>
      </c>
      <c r="K2116" t="s">
        <v>9416</v>
      </c>
      <c r="L2116" t="s">
        <v>9417</v>
      </c>
      <c r="M2116" t="s">
        <v>12721</v>
      </c>
      <c r="N2116" t="s">
        <v>12682</v>
      </c>
      <c r="O2116" t="s">
        <v>5014</v>
      </c>
      <c r="P2116" t="s">
        <v>9459</v>
      </c>
      <c r="Q2116" t="s">
        <v>9421</v>
      </c>
      <c r="R2116" t="s">
        <v>17</v>
      </c>
      <c r="S2116" t="s">
        <v>573</v>
      </c>
      <c r="T2116" t="s">
        <v>576</v>
      </c>
    </row>
    <row r="2117" spans="1:20">
      <c r="A2117" t="s">
        <v>573</v>
      </c>
      <c r="B2117" t="s">
        <v>62</v>
      </c>
      <c r="C2117" t="s">
        <v>5012</v>
      </c>
      <c r="D2117" t="s">
        <v>445</v>
      </c>
      <c r="E2117" t="s">
        <v>13289</v>
      </c>
      <c r="F2117" t="s">
        <v>9412</v>
      </c>
      <c r="G2117" t="s">
        <v>9413</v>
      </c>
      <c r="H2117" t="s">
        <v>12665</v>
      </c>
      <c r="I2117" t="s">
        <v>9424</v>
      </c>
      <c r="J2117" t="s">
        <v>445</v>
      </c>
      <c r="K2117" t="s">
        <v>9445</v>
      </c>
      <c r="L2117" t="s">
        <v>9417</v>
      </c>
      <c r="M2117" t="s">
        <v>12721</v>
      </c>
      <c r="N2117" t="s">
        <v>9426</v>
      </c>
      <c r="O2117" t="s">
        <v>9446</v>
      </c>
      <c r="P2117" t="s">
        <v>9524</v>
      </c>
      <c r="Q2117" t="s">
        <v>9421</v>
      </c>
      <c r="R2117" t="s">
        <v>24</v>
      </c>
      <c r="S2117" t="s">
        <v>244</v>
      </c>
      <c r="T2117" t="s">
        <v>246</v>
      </c>
    </row>
    <row r="2118" spans="1:20">
      <c r="A2118" t="s">
        <v>573</v>
      </c>
      <c r="B2118" t="s">
        <v>62</v>
      </c>
      <c r="C2118" t="s">
        <v>5012</v>
      </c>
      <c r="D2118" t="s">
        <v>445</v>
      </c>
      <c r="E2118" t="s">
        <v>13289</v>
      </c>
      <c r="F2118" t="s">
        <v>9412</v>
      </c>
      <c r="G2118" t="s">
        <v>9413</v>
      </c>
      <c r="H2118" t="s">
        <v>12665</v>
      </c>
      <c r="I2118" t="s">
        <v>9424</v>
      </c>
      <c r="J2118" t="s">
        <v>445</v>
      </c>
      <c r="K2118" t="s">
        <v>9416</v>
      </c>
      <c r="L2118" t="s">
        <v>9417</v>
      </c>
      <c r="M2118" t="s">
        <v>12721</v>
      </c>
      <c r="N2118" t="s">
        <v>12682</v>
      </c>
      <c r="O2118" t="s">
        <v>5015</v>
      </c>
      <c r="P2118" t="s">
        <v>9429</v>
      </c>
      <c r="Q2118" t="s">
        <v>9421</v>
      </c>
      <c r="R2118" t="s">
        <v>52</v>
      </c>
      <c r="S2118" t="s">
        <v>577</v>
      </c>
      <c r="T2118" t="s">
        <v>579</v>
      </c>
    </row>
    <row r="2119" spans="1:20">
      <c r="A2119" t="s">
        <v>12904</v>
      </c>
      <c r="B2119" t="s">
        <v>9409</v>
      </c>
      <c r="C2119" t="s">
        <v>13290</v>
      </c>
      <c r="D2119" t="s">
        <v>9410</v>
      </c>
      <c r="E2119" t="s">
        <v>13291</v>
      </c>
      <c r="F2119" t="s">
        <v>9601</v>
      </c>
      <c r="G2119" t="s">
        <v>9413</v>
      </c>
      <c r="H2119" t="s">
        <v>12665</v>
      </c>
      <c r="I2119" t="s">
        <v>9469</v>
      </c>
      <c r="J2119" t="s">
        <v>710</v>
      </c>
      <c r="K2119" t="s">
        <v>9416</v>
      </c>
      <c r="L2119" t="s">
        <v>9417</v>
      </c>
      <c r="M2119" t="s">
        <v>12974</v>
      </c>
      <c r="N2119" t="s">
        <v>12725</v>
      </c>
      <c r="O2119" t="s">
        <v>13292</v>
      </c>
      <c r="P2119" t="s">
        <v>9459</v>
      </c>
      <c r="Q2119" t="s">
        <v>9421</v>
      </c>
      <c r="R2119" t="s">
        <v>17</v>
      </c>
      <c r="S2119" t="s">
        <v>13293</v>
      </c>
      <c r="T2119" t="s">
        <v>13294</v>
      </c>
    </row>
    <row r="2120" spans="1:20">
      <c r="A2120" t="s">
        <v>12850</v>
      </c>
      <c r="B2120" t="s">
        <v>9409</v>
      </c>
      <c r="C2120" t="s">
        <v>13295</v>
      </c>
      <c r="D2120" t="s">
        <v>9410</v>
      </c>
      <c r="E2120" t="s">
        <v>13296</v>
      </c>
      <c r="F2120" t="s">
        <v>9601</v>
      </c>
      <c r="G2120" t="s">
        <v>9413</v>
      </c>
      <c r="H2120" t="s">
        <v>12665</v>
      </c>
      <c r="I2120" t="s">
        <v>9729</v>
      </c>
      <c r="J2120" t="s">
        <v>710</v>
      </c>
      <c r="K2120" t="s">
        <v>9416</v>
      </c>
      <c r="L2120" t="s">
        <v>9417</v>
      </c>
      <c r="M2120" t="s">
        <v>12724</v>
      </c>
      <c r="N2120" t="s">
        <v>12725</v>
      </c>
      <c r="O2120" t="s">
        <v>13297</v>
      </c>
      <c r="P2120" t="s">
        <v>9459</v>
      </c>
      <c r="Q2120" t="s">
        <v>9421</v>
      </c>
      <c r="R2120" t="s">
        <v>17</v>
      </c>
      <c r="S2120" t="s">
        <v>13298</v>
      </c>
      <c r="T2120" t="s">
        <v>13299</v>
      </c>
    </row>
    <row r="2121" spans="1:20">
      <c r="A2121" t="s">
        <v>239</v>
      </c>
      <c r="B2121" t="s">
        <v>62</v>
      </c>
      <c r="C2121" t="s">
        <v>4658</v>
      </c>
      <c r="D2121" t="s">
        <v>445</v>
      </c>
      <c r="E2121" t="s">
        <v>13300</v>
      </c>
      <c r="F2121" t="s">
        <v>9412</v>
      </c>
      <c r="G2121" t="s">
        <v>9413</v>
      </c>
      <c r="H2121" t="s">
        <v>12665</v>
      </c>
      <c r="I2121" t="s">
        <v>10443</v>
      </c>
      <c r="J2121" t="s">
        <v>147</v>
      </c>
      <c r="K2121" t="s">
        <v>9416</v>
      </c>
      <c r="L2121" t="s">
        <v>9417</v>
      </c>
      <c r="M2121" t="s">
        <v>12800</v>
      </c>
      <c r="N2121" t="s">
        <v>12719</v>
      </c>
      <c r="O2121" t="s">
        <v>4657</v>
      </c>
      <c r="P2121" t="s">
        <v>9420</v>
      </c>
      <c r="Q2121" t="s">
        <v>9421</v>
      </c>
      <c r="R2121" t="s">
        <v>17</v>
      </c>
      <c r="S2121" t="s">
        <v>240</v>
      </c>
      <c r="T2121" t="s">
        <v>242</v>
      </c>
    </row>
    <row r="2122" spans="1:20">
      <c r="A2122" t="s">
        <v>839</v>
      </c>
      <c r="B2122" t="s">
        <v>62</v>
      </c>
      <c r="C2122" t="s">
        <v>13301</v>
      </c>
      <c r="D2122" t="s">
        <v>445</v>
      </c>
      <c r="E2122" t="s">
        <v>13302</v>
      </c>
      <c r="F2122" t="s">
        <v>9412</v>
      </c>
      <c r="G2122" t="s">
        <v>9413</v>
      </c>
      <c r="H2122" t="s">
        <v>12</v>
      </c>
      <c r="I2122" t="s">
        <v>10632</v>
      </c>
      <c r="J2122" t="s">
        <v>914</v>
      </c>
      <c r="K2122" t="s">
        <v>9416</v>
      </c>
      <c r="L2122" t="s">
        <v>9417</v>
      </c>
      <c r="M2122" t="s">
        <v>12699</v>
      </c>
      <c r="N2122" t="s">
        <v>12700</v>
      </c>
      <c r="O2122" t="s">
        <v>5392</v>
      </c>
      <c r="P2122" t="s">
        <v>9420</v>
      </c>
      <c r="Q2122" t="s">
        <v>9421</v>
      </c>
      <c r="R2122" t="s">
        <v>17</v>
      </c>
      <c r="S2122" t="s">
        <v>5391</v>
      </c>
      <c r="T2122" t="s">
        <v>13303</v>
      </c>
    </row>
    <row r="2123" spans="1:20">
      <c r="A2123" t="s">
        <v>380</v>
      </c>
      <c r="B2123" t="s">
        <v>62</v>
      </c>
      <c r="C2123" t="s">
        <v>384</v>
      </c>
      <c r="D2123" t="s">
        <v>445</v>
      </c>
      <c r="E2123" t="s">
        <v>13304</v>
      </c>
      <c r="F2123" t="s">
        <v>9412</v>
      </c>
      <c r="G2123" t="s">
        <v>9413</v>
      </c>
      <c r="H2123" t="s">
        <v>12</v>
      </c>
      <c r="I2123" t="s">
        <v>10492</v>
      </c>
      <c r="J2123" t="s">
        <v>287</v>
      </c>
      <c r="K2123" t="s">
        <v>9445</v>
      </c>
      <c r="L2123" t="s">
        <v>9417</v>
      </c>
      <c r="M2123" t="s">
        <v>12721</v>
      </c>
      <c r="N2123" t="s">
        <v>9426</v>
      </c>
      <c r="O2123" t="s">
        <v>9446</v>
      </c>
      <c r="P2123" t="s">
        <v>9479</v>
      </c>
      <c r="Q2123" t="s">
        <v>9421</v>
      </c>
      <c r="R2123" t="s">
        <v>43</v>
      </c>
      <c r="S2123" t="s">
        <v>364</v>
      </c>
      <c r="T2123" t="s">
        <v>366</v>
      </c>
    </row>
    <row r="2124" spans="1:20">
      <c r="A2124" t="s">
        <v>380</v>
      </c>
      <c r="B2124" t="s">
        <v>62</v>
      </c>
      <c r="C2124" t="s">
        <v>384</v>
      </c>
      <c r="D2124" t="s">
        <v>445</v>
      </c>
      <c r="E2124" t="s">
        <v>13304</v>
      </c>
      <c r="F2124" t="s">
        <v>9412</v>
      </c>
      <c r="G2124" t="s">
        <v>9413</v>
      </c>
      <c r="H2124" t="s">
        <v>12</v>
      </c>
      <c r="I2124" t="s">
        <v>10492</v>
      </c>
      <c r="J2124" t="s">
        <v>287</v>
      </c>
      <c r="K2124" t="s">
        <v>9416</v>
      </c>
      <c r="L2124" t="s">
        <v>9417</v>
      </c>
      <c r="M2124" t="s">
        <v>12721</v>
      </c>
      <c r="N2124" t="s">
        <v>12688</v>
      </c>
      <c r="O2124" t="s">
        <v>4809</v>
      </c>
      <c r="P2124" t="s">
        <v>9420</v>
      </c>
      <c r="Q2124" t="s">
        <v>9421</v>
      </c>
      <c r="R2124" t="s">
        <v>17</v>
      </c>
      <c r="S2124" t="s">
        <v>381</v>
      </c>
      <c r="T2124" t="s">
        <v>383</v>
      </c>
    </row>
    <row r="2125" spans="1:20">
      <c r="A2125" t="s">
        <v>580</v>
      </c>
      <c r="B2125" t="s">
        <v>62</v>
      </c>
      <c r="C2125" t="s">
        <v>5018</v>
      </c>
      <c r="D2125" t="s">
        <v>9448</v>
      </c>
      <c r="E2125" t="s">
        <v>13305</v>
      </c>
      <c r="F2125" t="s">
        <v>9412</v>
      </c>
      <c r="G2125" t="s">
        <v>10660</v>
      </c>
      <c r="H2125" t="s">
        <v>12665</v>
      </c>
      <c r="I2125" t="s">
        <v>9452</v>
      </c>
      <c r="J2125" t="s">
        <v>445</v>
      </c>
      <c r="K2125" t="s">
        <v>9416</v>
      </c>
      <c r="L2125" t="s">
        <v>9417</v>
      </c>
      <c r="M2125" t="s">
        <v>12791</v>
      </c>
      <c r="N2125" t="s">
        <v>12682</v>
      </c>
      <c r="O2125" t="s">
        <v>5017</v>
      </c>
      <c r="P2125" t="s">
        <v>9420</v>
      </c>
      <c r="Q2125" t="s">
        <v>9421</v>
      </c>
      <c r="R2125" t="s">
        <v>17</v>
      </c>
      <c r="S2125" t="s">
        <v>580</v>
      </c>
      <c r="T2125" t="s">
        <v>582</v>
      </c>
    </row>
    <row r="2126" spans="1:20">
      <c r="A2126" t="s">
        <v>5020</v>
      </c>
      <c r="B2126" t="s">
        <v>62</v>
      </c>
      <c r="C2126" t="s">
        <v>13306</v>
      </c>
      <c r="D2126" t="s">
        <v>445</v>
      </c>
      <c r="E2126" t="s">
        <v>13307</v>
      </c>
      <c r="F2126" t="s">
        <v>9412</v>
      </c>
      <c r="G2126" t="s">
        <v>9413</v>
      </c>
      <c r="H2126" t="s">
        <v>12</v>
      </c>
      <c r="I2126" t="s">
        <v>10597</v>
      </c>
      <c r="J2126" t="s">
        <v>445</v>
      </c>
      <c r="K2126" t="s">
        <v>9445</v>
      </c>
      <c r="L2126" t="s">
        <v>9417</v>
      </c>
      <c r="M2126" t="s">
        <v>12791</v>
      </c>
      <c r="N2126" t="s">
        <v>12682</v>
      </c>
      <c r="O2126" t="s">
        <v>9446</v>
      </c>
      <c r="P2126" t="s">
        <v>9420</v>
      </c>
      <c r="Q2126" t="s">
        <v>9421</v>
      </c>
      <c r="R2126" t="s">
        <v>17</v>
      </c>
      <c r="S2126" t="s">
        <v>5021</v>
      </c>
      <c r="T2126" t="s">
        <v>12792</v>
      </c>
    </row>
    <row r="2127" spans="1:20">
      <c r="A2127" t="s">
        <v>13308</v>
      </c>
      <c r="B2127" t="s">
        <v>62</v>
      </c>
      <c r="C2127" t="s">
        <v>13309</v>
      </c>
      <c r="D2127" t="s">
        <v>9410</v>
      </c>
      <c r="E2127" t="s">
        <v>13310</v>
      </c>
      <c r="F2127" t="s">
        <v>9601</v>
      </c>
      <c r="G2127" t="s">
        <v>9413</v>
      </c>
      <c r="H2127" t="s">
        <v>12665</v>
      </c>
      <c r="I2127" t="s">
        <v>10205</v>
      </c>
      <c r="J2127" t="s">
        <v>11</v>
      </c>
      <c r="K2127" t="s">
        <v>9445</v>
      </c>
      <c r="L2127" t="s">
        <v>9417</v>
      </c>
      <c r="M2127" t="s">
        <v>12781</v>
      </c>
      <c r="N2127" t="s">
        <v>12667</v>
      </c>
      <c r="O2127" t="s">
        <v>9446</v>
      </c>
      <c r="P2127" t="s">
        <v>9603</v>
      </c>
      <c r="Q2127" t="s">
        <v>9421</v>
      </c>
      <c r="R2127" t="s">
        <v>9604</v>
      </c>
      <c r="S2127" t="s">
        <v>13311</v>
      </c>
      <c r="T2127" t="s">
        <v>13312</v>
      </c>
    </row>
    <row r="2128" spans="1:20">
      <c r="A2128" t="s">
        <v>13313</v>
      </c>
      <c r="B2128" t="s">
        <v>62</v>
      </c>
      <c r="C2128" t="s">
        <v>13314</v>
      </c>
      <c r="D2128" t="s">
        <v>9410</v>
      </c>
      <c r="E2128" t="s">
        <v>13315</v>
      </c>
      <c r="F2128" t="s">
        <v>9601</v>
      </c>
      <c r="G2128" t="s">
        <v>9413</v>
      </c>
      <c r="H2128" t="s">
        <v>12</v>
      </c>
      <c r="I2128" t="s">
        <v>10509</v>
      </c>
      <c r="J2128" t="s">
        <v>11</v>
      </c>
      <c r="K2128" t="s">
        <v>9416</v>
      </c>
      <c r="L2128" t="s">
        <v>9417</v>
      </c>
      <c r="M2128" t="s">
        <v>12693</v>
      </c>
      <c r="N2128" t="s">
        <v>12667</v>
      </c>
      <c r="O2128" t="s">
        <v>13316</v>
      </c>
      <c r="P2128" t="s">
        <v>9603</v>
      </c>
      <c r="Q2128" t="s">
        <v>9421</v>
      </c>
      <c r="R2128" t="s">
        <v>9604</v>
      </c>
      <c r="S2128" t="s">
        <v>13311</v>
      </c>
      <c r="T2128" t="s">
        <v>13312</v>
      </c>
    </row>
    <row r="2129" spans="1:20">
      <c r="A2129" t="s">
        <v>5396</v>
      </c>
      <c r="B2129" t="s">
        <v>62</v>
      </c>
      <c r="C2129" t="s">
        <v>13317</v>
      </c>
      <c r="D2129" t="s">
        <v>445</v>
      </c>
      <c r="E2129" t="s">
        <v>13318</v>
      </c>
      <c r="F2129" t="s">
        <v>9601</v>
      </c>
      <c r="G2129" t="s">
        <v>9413</v>
      </c>
      <c r="H2129" t="s">
        <v>12</v>
      </c>
      <c r="I2129" t="s">
        <v>10601</v>
      </c>
      <c r="J2129" t="s">
        <v>914</v>
      </c>
      <c r="K2129" t="s">
        <v>9445</v>
      </c>
      <c r="L2129" t="s">
        <v>9417</v>
      </c>
      <c r="M2129" t="s">
        <v>12805</v>
      </c>
      <c r="N2129" t="s">
        <v>9426</v>
      </c>
      <c r="O2129" t="s">
        <v>9446</v>
      </c>
      <c r="P2129" t="s">
        <v>9647</v>
      </c>
      <c r="Q2129" t="s">
        <v>9421</v>
      </c>
      <c r="R2129" t="s">
        <v>84</v>
      </c>
      <c r="S2129" t="s">
        <v>193</v>
      </c>
      <c r="T2129" t="s">
        <v>195</v>
      </c>
    </row>
    <row r="2130" spans="1:20">
      <c r="A2130" t="s">
        <v>584</v>
      </c>
      <c r="B2130" t="s">
        <v>62</v>
      </c>
      <c r="C2130" t="s">
        <v>5027</v>
      </c>
      <c r="D2130" t="s">
        <v>445</v>
      </c>
      <c r="E2130" t="s">
        <v>13319</v>
      </c>
      <c r="F2130" t="s">
        <v>9412</v>
      </c>
      <c r="G2130" t="s">
        <v>10660</v>
      </c>
      <c r="H2130" t="s">
        <v>12665</v>
      </c>
      <c r="I2130" t="s">
        <v>9452</v>
      </c>
      <c r="J2130" t="s">
        <v>445</v>
      </c>
      <c r="K2130" t="s">
        <v>9416</v>
      </c>
      <c r="L2130" t="s">
        <v>9417</v>
      </c>
      <c r="M2130" t="s">
        <v>12706</v>
      </c>
      <c r="N2130" t="s">
        <v>12682</v>
      </c>
      <c r="O2130" t="s">
        <v>5026</v>
      </c>
      <c r="P2130" t="s">
        <v>9420</v>
      </c>
      <c r="Q2130" t="s">
        <v>9421</v>
      </c>
      <c r="R2130" t="s">
        <v>17</v>
      </c>
      <c r="S2130" t="s">
        <v>584</v>
      </c>
      <c r="T2130" t="s">
        <v>586</v>
      </c>
    </row>
    <row r="2131" spans="1:20">
      <c r="A2131" t="s">
        <v>376</v>
      </c>
      <c r="B2131" t="s">
        <v>62</v>
      </c>
      <c r="C2131" t="s">
        <v>5032</v>
      </c>
      <c r="D2131" t="s">
        <v>445</v>
      </c>
      <c r="E2131" t="s">
        <v>13320</v>
      </c>
      <c r="F2131" t="s">
        <v>9412</v>
      </c>
      <c r="G2131" t="s">
        <v>9413</v>
      </c>
      <c r="H2131" t="s">
        <v>12665</v>
      </c>
      <c r="I2131" t="s">
        <v>10492</v>
      </c>
      <c r="J2131" t="s">
        <v>445</v>
      </c>
      <c r="K2131" t="s">
        <v>9445</v>
      </c>
      <c r="L2131" t="s">
        <v>9417</v>
      </c>
      <c r="M2131" t="s">
        <v>12734</v>
      </c>
      <c r="N2131" t="s">
        <v>12682</v>
      </c>
      <c r="O2131" t="s">
        <v>9446</v>
      </c>
      <c r="P2131" t="s">
        <v>9459</v>
      </c>
      <c r="Q2131" t="s">
        <v>9421</v>
      </c>
      <c r="R2131" t="s">
        <v>17</v>
      </c>
      <c r="S2131" t="s">
        <v>5029</v>
      </c>
      <c r="T2131" t="s">
        <v>13009</v>
      </c>
    </row>
    <row r="2132" spans="1:20">
      <c r="A2132" t="s">
        <v>823</v>
      </c>
      <c r="B2132" t="s">
        <v>62</v>
      </c>
      <c r="C2132" t="s">
        <v>13321</v>
      </c>
      <c r="D2132" t="s">
        <v>445</v>
      </c>
      <c r="E2132" t="s">
        <v>13322</v>
      </c>
      <c r="F2132" t="s">
        <v>9412</v>
      </c>
      <c r="G2132" t="s">
        <v>9413</v>
      </c>
      <c r="H2132" t="s">
        <v>12665</v>
      </c>
      <c r="I2132" t="s">
        <v>10400</v>
      </c>
      <c r="J2132" t="s">
        <v>710</v>
      </c>
      <c r="K2132" t="s">
        <v>9416</v>
      </c>
      <c r="L2132" t="s">
        <v>9417</v>
      </c>
      <c r="M2132" t="s">
        <v>12738</v>
      </c>
      <c r="N2132" t="s">
        <v>9446</v>
      </c>
      <c r="O2132" t="s">
        <v>5249</v>
      </c>
      <c r="P2132" t="s">
        <v>9655</v>
      </c>
      <c r="Q2132" t="s">
        <v>9421</v>
      </c>
      <c r="R2132" t="s">
        <v>56</v>
      </c>
      <c r="S2132" t="s">
        <v>824</v>
      </c>
      <c r="T2132" t="s">
        <v>826</v>
      </c>
    </row>
    <row r="2133" spans="1:20">
      <c r="A2133" t="s">
        <v>823</v>
      </c>
      <c r="B2133" t="s">
        <v>62</v>
      </c>
      <c r="C2133" t="s">
        <v>13321</v>
      </c>
      <c r="D2133" t="s">
        <v>445</v>
      </c>
      <c r="E2133" t="s">
        <v>13322</v>
      </c>
      <c r="F2133" t="s">
        <v>9412</v>
      </c>
      <c r="G2133" t="s">
        <v>9413</v>
      </c>
      <c r="H2133" t="s">
        <v>12665</v>
      </c>
      <c r="I2133" t="s">
        <v>10400</v>
      </c>
      <c r="J2133" t="s">
        <v>710</v>
      </c>
      <c r="K2133" t="s">
        <v>9416</v>
      </c>
      <c r="L2133" t="s">
        <v>9417</v>
      </c>
      <c r="M2133" t="s">
        <v>12738</v>
      </c>
      <c r="N2133" t="s">
        <v>9446</v>
      </c>
      <c r="O2133" t="s">
        <v>5255</v>
      </c>
      <c r="P2133" t="s">
        <v>9655</v>
      </c>
      <c r="Q2133" t="s">
        <v>9421</v>
      </c>
      <c r="R2133" t="s">
        <v>56</v>
      </c>
      <c r="S2133" t="s">
        <v>831</v>
      </c>
      <c r="T2133" t="s">
        <v>833</v>
      </c>
    </row>
    <row r="2134" spans="1:20">
      <c r="A2134" t="s">
        <v>823</v>
      </c>
      <c r="B2134" t="s">
        <v>62</v>
      </c>
      <c r="C2134" t="s">
        <v>13321</v>
      </c>
      <c r="D2134" t="s">
        <v>445</v>
      </c>
      <c r="E2134" t="s">
        <v>13322</v>
      </c>
      <c r="F2134" t="s">
        <v>9412</v>
      </c>
      <c r="G2134" t="s">
        <v>9413</v>
      </c>
      <c r="H2134" t="s">
        <v>12665</v>
      </c>
      <c r="I2134" t="s">
        <v>10400</v>
      </c>
      <c r="J2134" t="s">
        <v>710</v>
      </c>
      <c r="K2134" t="s">
        <v>9445</v>
      </c>
      <c r="L2134" t="s">
        <v>9417</v>
      </c>
      <c r="M2134" t="s">
        <v>12738</v>
      </c>
      <c r="N2134" t="s">
        <v>9426</v>
      </c>
      <c r="O2134" t="s">
        <v>9446</v>
      </c>
      <c r="P2134" t="s">
        <v>9655</v>
      </c>
      <c r="Q2134" t="s">
        <v>9421</v>
      </c>
      <c r="R2134" t="s">
        <v>56</v>
      </c>
      <c r="S2134" t="s">
        <v>53</v>
      </c>
      <c r="T2134" t="s">
        <v>55</v>
      </c>
    </row>
    <row r="2135" spans="1:20">
      <c r="A2135" t="s">
        <v>823</v>
      </c>
      <c r="B2135" t="s">
        <v>62</v>
      </c>
      <c r="C2135" t="s">
        <v>13321</v>
      </c>
      <c r="D2135" t="s">
        <v>445</v>
      </c>
      <c r="E2135" t="s">
        <v>13322</v>
      </c>
      <c r="F2135" t="s">
        <v>9412</v>
      </c>
      <c r="G2135" t="s">
        <v>9413</v>
      </c>
      <c r="H2135" t="s">
        <v>12665</v>
      </c>
      <c r="I2135" t="s">
        <v>10400</v>
      </c>
      <c r="J2135" t="s">
        <v>710</v>
      </c>
      <c r="K2135" t="s">
        <v>9416</v>
      </c>
      <c r="L2135" t="s">
        <v>9417</v>
      </c>
      <c r="M2135" t="s">
        <v>12738</v>
      </c>
      <c r="N2135" t="s">
        <v>9446</v>
      </c>
      <c r="O2135" t="s">
        <v>5253</v>
      </c>
      <c r="P2135" t="s">
        <v>9655</v>
      </c>
      <c r="Q2135" t="s">
        <v>9421</v>
      </c>
      <c r="R2135" t="s">
        <v>56</v>
      </c>
      <c r="S2135" t="s">
        <v>828</v>
      </c>
      <c r="T2135" t="s">
        <v>830</v>
      </c>
    </row>
    <row r="2136" spans="1:20">
      <c r="A2136" t="s">
        <v>588</v>
      </c>
      <c r="B2136" t="s">
        <v>62</v>
      </c>
      <c r="C2136" t="s">
        <v>5036</v>
      </c>
      <c r="D2136" t="s">
        <v>445</v>
      </c>
      <c r="E2136" t="s">
        <v>13323</v>
      </c>
      <c r="F2136" t="s">
        <v>9412</v>
      </c>
      <c r="G2136" t="s">
        <v>9413</v>
      </c>
      <c r="H2136" t="s">
        <v>12665</v>
      </c>
      <c r="I2136" t="s">
        <v>10476</v>
      </c>
      <c r="J2136" t="s">
        <v>445</v>
      </c>
      <c r="K2136" t="s">
        <v>9445</v>
      </c>
      <c r="L2136" t="s">
        <v>9417</v>
      </c>
      <c r="M2136" t="s">
        <v>12706</v>
      </c>
      <c r="N2136" t="s">
        <v>9426</v>
      </c>
      <c r="O2136" t="s">
        <v>9446</v>
      </c>
      <c r="P2136" t="s">
        <v>9655</v>
      </c>
      <c r="Q2136" t="s">
        <v>9421</v>
      </c>
      <c r="R2136" t="s">
        <v>56</v>
      </c>
      <c r="S2136" t="s">
        <v>592</v>
      </c>
      <c r="T2136" t="s">
        <v>594</v>
      </c>
    </row>
    <row r="2137" spans="1:20">
      <c r="A2137" t="s">
        <v>588</v>
      </c>
      <c r="B2137" t="s">
        <v>62</v>
      </c>
      <c r="C2137" t="s">
        <v>5036</v>
      </c>
      <c r="D2137" t="s">
        <v>445</v>
      </c>
      <c r="E2137" t="s">
        <v>13323</v>
      </c>
      <c r="F2137" t="s">
        <v>9412</v>
      </c>
      <c r="G2137" t="s">
        <v>9413</v>
      </c>
      <c r="H2137" t="s">
        <v>12665</v>
      </c>
      <c r="I2137" t="s">
        <v>10476</v>
      </c>
      <c r="J2137" t="s">
        <v>445</v>
      </c>
      <c r="K2137" t="s">
        <v>9416</v>
      </c>
      <c r="L2137" t="s">
        <v>9417</v>
      </c>
      <c r="M2137" t="s">
        <v>12706</v>
      </c>
      <c r="N2137" t="s">
        <v>12682</v>
      </c>
      <c r="O2137" t="s">
        <v>5034</v>
      </c>
      <c r="P2137" t="s">
        <v>9647</v>
      </c>
      <c r="Q2137" t="s">
        <v>9421</v>
      </c>
      <c r="R2137" t="s">
        <v>84</v>
      </c>
      <c r="S2137" t="s">
        <v>588</v>
      </c>
      <c r="T2137" t="s">
        <v>590</v>
      </c>
    </row>
    <row r="2138" spans="1:20">
      <c r="A2138" t="s">
        <v>13324</v>
      </c>
      <c r="B2138" t="s">
        <v>9409</v>
      </c>
      <c r="C2138" t="s">
        <v>13325</v>
      </c>
      <c r="D2138" t="s">
        <v>9410</v>
      </c>
      <c r="E2138" t="s">
        <v>13326</v>
      </c>
      <c r="F2138" t="s">
        <v>9601</v>
      </c>
      <c r="G2138" t="s">
        <v>9413</v>
      </c>
      <c r="H2138" t="s">
        <v>12665</v>
      </c>
      <c r="I2138" t="s">
        <v>10407</v>
      </c>
      <c r="J2138" t="s">
        <v>445</v>
      </c>
      <c r="K2138" t="s">
        <v>9445</v>
      </c>
      <c r="L2138" t="s">
        <v>9417</v>
      </c>
      <c r="M2138" t="s">
        <v>12734</v>
      </c>
      <c r="N2138" t="s">
        <v>12682</v>
      </c>
      <c r="O2138" t="s">
        <v>9446</v>
      </c>
      <c r="P2138" t="s">
        <v>9603</v>
      </c>
      <c r="Q2138" t="s">
        <v>9421</v>
      </c>
      <c r="R2138" t="s">
        <v>9604</v>
      </c>
      <c r="S2138" t="s">
        <v>13327</v>
      </c>
      <c r="T2138" t="s">
        <v>13328</v>
      </c>
    </row>
    <row r="2139" spans="1:20">
      <c r="A2139" t="s">
        <v>13329</v>
      </c>
      <c r="B2139" t="s">
        <v>62</v>
      </c>
      <c r="C2139" t="s">
        <v>13330</v>
      </c>
      <c r="D2139" t="s">
        <v>9410</v>
      </c>
      <c r="E2139" t="s">
        <v>13331</v>
      </c>
      <c r="F2139" t="s">
        <v>9601</v>
      </c>
      <c r="G2139" t="s">
        <v>9413</v>
      </c>
      <c r="H2139" t="s">
        <v>12665</v>
      </c>
      <c r="I2139" t="s">
        <v>9495</v>
      </c>
      <c r="J2139" t="s">
        <v>445</v>
      </c>
      <c r="K2139" t="s">
        <v>9445</v>
      </c>
      <c r="L2139" t="s">
        <v>9417</v>
      </c>
      <c r="M2139" t="s">
        <v>12706</v>
      </c>
      <c r="N2139" t="s">
        <v>12682</v>
      </c>
      <c r="O2139" t="s">
        <v>9446</v>
      </c>
      <c r="P2139" t="s">
        <v>9603</v>
      </c>
      <c r="Q2139" t="s">
        <v>9421</v>
      </c>
      <c r="R2139" t="s">
        <v>9604</v>
      </c>
      <c r="S2139" t="s">
        <v>13327</v>
      </c>
      <c r="T2139" t="s">
        <v>13328</v>
      </c>
    </row>
    <row r="2140" spans="1:20">
      <c r="A2140" t="s">
        <v>233</v>
      </c>
      <c r="B2140" t="s">
        <v>62</v>
      </c>
      <c r="C2140" t="s">
        <v>247</v>
      </c>
      <c r="D2140" t="s">
        <v>445</v>
      </c>
      <c r="E2140" t="s">
        <v>13332</v>
      </c>
      <c r="F2140" t="s">
        <v>9601</v>
      </c>
      <c r="G2140" t="s">
        <v>9413</v>
      </c>
      <c r="H2140" t="s">
        <v>12</v>
      </c>
      <c r="I2140" t="s">
        <v>10400</v>
      </c>
      <c r="J2140" t="s">
        <v>147</v>
      </c>
      <c r="K2140" t="s">
        <v>9445</v>
      </c>
      <c r="L2140" t="s">
        <v>9417</v>
      </c>
      <c r="M2140" t="s">
        <v>12805</v>
      </c>
      <c r="N2140" t="s">
        <v>9426</v>
      </c>
      <c r="O2140" t="s">
        <v>9446</v>
      </c>
      <c r="P2140" t="s">
        <v>9524</v>
      </c>
      <c r="Q2140" t="s">
        <v>9421</v>
      </c>
      <c r="R2140" t="s">
        <v>24</v>
      </c>
      <c r="S2140" t="s">
        <v>244</v>
      </c>
      <c r="T2140" t="s">
        <v>246</v>
      </c>
    </row>
    <row r="2141" spans="1:20">
      <c r="A2141" t="s">
        <v>233</v>
      </c>
      <c r="B2141" t="s">
        <v>62</v>
      </c>
      <c r="C2141" t="s">
        <v>247</v>
      </c>
      <c r="D2141" t="s">
        <v>445</v>
      </c>
      <c r="E2141" t="s">
        <v>13332</v>
      </c>
      <c r="F2141" t="s">
        <v>9601</v>
      </c>
      <c r="G2141" t="s">
        <v>9413</v>
      </c>
      <c r="H2141" t="s">
        <v>12</v>
      </c>
      <c r="I2141" t="s">
        <v>10400</v>
      </c>
      <c r="J2141" t="s">
        <v>147</v>
      </c>
      <c r="K2141" t="s">
        <v>9416</v>
      </c>
      <c r="L2141" t="s">
        <v>9417</v>
      </c>
      <c r="M2141" t="s">
        <v>12805</v>
      </c>
      <c r="N2141" t="s">
        <v>12719</v>
      </c>
      <c r="O2141" t="s">
        <v>4664</v>
      </c>
      <c r="P2141" t="s">
        <v>9647</v>
      </c>
      <c r="Q2141" t="s">
        <v>9421</v>
      </c>
      <c r="R2141" t="s">
        <v>84</v>
      </c>
      <c r="S2141" t="s">
        <v>248</v>
      </c>
      <c r="T2141" t="s">
        <v>250</v>
      </c>
    </row>
    <row r="2142" spans="1:20">
      <c r="A2142" t="s">
        <v>385</v>
      </c>
      <c r="B2142" t="s">
        <v>20</v>
      </c>
      <c r="C2142" t="s">
        <v>4816</v>
      </c>
      <c r="D2142" t="s">
        <v>9666</v>
      </c>
      <c r="E2142" t="s">
        <v>13333</v>
      </c>
      <c r="F2142" t="s">
        <v>9412</v>
      </c>
      <c r="G2142" t="s">
        <v>9413</v>
      </c>
      <c r="H2142" t="s">
        <v>12665</v>
      </c>
      <c r="I2142" t="s">
        <v>9905</v>
      </c>
      <c r="J2142" t="s">
        <v>287</v>
      </c>
      <c r="K2142" t="s">
        <v>9416</v>
      </c>
      <c r="L2142" t="s">
        <v>9417</v>
      </c>
      <c r="M2142" t="s">
        <v>12673</v>
      </c>
      <c r="N2142" t="s">
        <v>9446</v>
      </c>
      <c r="O2142" t="s">
        <v>4820</v>
      </c>
      <c r="P2142" t="s">
        <v>9655</v>
      </c>
      <c r="Q2142" t="s">
        <v>9421</v>
      </c>
      <c r="R2142" t="s">
        <v>56</v>
      </c>
      <c r="S2142" t="s">
        <v>396</v>
      </c>
      <c r="T2142" t="s">
        <v>398</v>
      </c>
    </row>
    <row r="2143" spans="1:20">
      <c r="A2143" t="s">
        <v>385</v>
      </c>
      <c r="B2143" t="s">
        <v>20</v>
      </c>
      <c r="C2143" t="s">
        <v>4816</v>
      </c>
      <c r="D2143" t="s">
        <v>9666</v>
      </c>
      <c r="E2143" t="s">
        <v>13333</v>
      </c>
      <c r="F2143" t="s">
        <v>9412</v>
      </c>
      <c r="G2143" t="s">
        <v>9413</v>
      </c>
      <c r="H2143" t="s">
        <v>12665</v>
      </c>
      <c r="I2143" t="s">
        <v>9905</v>
      </c>
      <c r="J2143" t="s">
        <v>287</v>
      </c>
      <c r="K2143" t="s">
        <v>9416</v>
      </c>
      <c r="L2143" t="s">
        <v>9417</v>
      </c>
      <c r="M2143" t="s">
        <v>12673</v>
      </c>
      <c r="N2143" t="s">
        <v>9446</v>
      </c>
      <c r="O2143" t="s">
        <v>4818</v>
      </c>
      <c r="P2143" t="s">
        <v>9651</v>
      </c>
      <c r="Q2143" t="s">
        <v>9421</v>
      </c>
      <c r="R2143" t="s">
        <v>56</v>
      </c>
      <c r="S2143" t="s">
        <v>390</v>
      </c>
      <c r="T2143" t="s">
        <v>392</v>
      </c>
    </row>
    <row r="2144" spans="1:20">
      <c r="A2144" t="s">
        <v>385</v>
      </c>
      <c r="B2144" t="s">
        <v>20</v>
      </c>
      <c r="C2144" t="s">
        <v>4816</v>
      </c>
      <c r="D2144" t="s">
        <v>9666</v>
      </c>
      <c r="E2144" t="s">
        <v>13333</v>
      </c>
      <c r="F2144" t="s">
        <v>9412</v>
      </c>
      <c r="G2144" t="s">
        <v>9413</v>
      </c>
      <c r="H2144" t="s">
        <v>12665</v>
      </c>
      <c r="I2144" t="s">
        <v>9905</v>
      </c>
      <c r="J2144" t="s">
        <v>287</v>
      </c>
      <c r="K2144" t="s">
        <v>9416</v>
      </c>
      <c r="L2144" t="s">
        <v>9417</v>
      </c>
      <c r="M2144" t="s">
        <v>12673</v>
      </c>
      <c r="N2144" t="s">
        <v>9446</v>
      </c>
      <c r="O2144" t="s">
        <v>4814</v>
      </c>
      <c r="P2144" t="s">
        <v>9655</v>
      </c>
      <c r="Q2144" t="s">
        <v>9421</v>
      </c>
      <c r="R2144" t="s">
        <v>56</v>
      </c>
      <c r="S2144" t="s">
        <v>386</v>
      </c>
      <c r="T2144" t="s">
        <v>388</v>
      </c>
    </row>
    <row r="2145" spans="1:20">
      <c r="A2145" t="s">
        <v>385</v>
      </c>
      <c r="B2145" t="s">
        <v>20</v>
      </c>
      <c r="C2145" t="s">
        <v>4816</v>
      </c>
      <c r="D2145" t="s">
        <v>9666</v>
      </c>
      <c r="E2145" t="s">
        <v>13333</v>
      </c>
      <c r="F2145" t="s">
        <v>9412</v>
      </c>
      <c r="G2145" t="s">
        <v>9413</v>
      </c>
      <c r="H2145" t="s">
        <v>12665</v>
      </c>
      <c r="I2145" t="s">
        <v>9905</v>
      </c>
      <c r="J2145" t="s">
        <v>287</v>
      </c>
      <c r="K2145" t="s">
        <v>9416</v>
      </c>
      <c r="L2145" t="s">
        <v>9417</v>
      </c>
      <c r="M2145" t="s">
        <v>12673</v>
      </c>
      <c r="N2145" t="s">
        <v>9446</v>
      </c>
      <c r="O2145" t="s">
        <v>13334</v>
      </c>
      <c r="P2145" t="s">
        <v>9655</v>
      </c>
      <c r="Q2145" t="s">
        <v>9421</v>
      </c>
      <c r="R2145" t="s">
        <v>56</v>
      </c>
      <c r="S2145" t="s">
        <v>393</v>
      </c>
      <c r="T2145" t="s">
        <v>395</v>
      </c>
    </row>
    <row r="2146" spans="1:20">
      <c r="A2146" t="s">
        <v>13335</v>
      </c>
      <c r="B2146" t="s">
        <v>9409</v>
      </c>
      <c r="C2146" t="s">
        <v>13336</v>
      </c>
      <c r="D2146" t="s">
        <v>9410</v>
      </c>
      <c r="E2146" t="s">
        <v>13337</v>
      </c>
      <c r="F2146" t="s">
        <v>9412</v>
      </c>
      <c r="G2146" t="s">
        <v>9413</v>
      </c>
      <c r="H2146" t="s">
        <v>12665</v>
      </c>
      <c r="I2146" t="s">
        <v>10302</v>
      </c>
      <c r="J2146" t="s">
        <v>914</v>
      </c>
      <c r="K2146" t="s">
        <v>9416</v>
      </c>
      <c r="L2146" t="s">
        <v>9417</v>
      </c>
      <c r="M2146" t="s">
        <v>12805</v>
      </c>
      <c r="N2146" t="s">
        <v>9446</v>
      </c>
      <c r="O2146" t="s">
        <v>13338</v>
      </c>
      <c r="P2146" t="s">
        <v>10548</v>
      </c>
      <c r="Q2146" t="s">
        <v>9421</v>
      </c>
      <c r="R2146" t="s">
        <v>56</v>
      </c>
      <c r="S2146" t="s">
        <v>13339</v>
      </c>
      <c r="T2146" t="s">
        <v>13340</v>
      </c>
    </row>
    <row r="2147" spans="1:20">
      <c r="A2147" t="s">
        <v>13335</v>
      </c>
      <c r="B2147" t="s">
        <v>9409</v>
      </c>
      <c r="C2147" t="s">
        <v>13336</v>
      </c>
      <c r="D2147" t="s">
        <v>9410</v>
      </c>
      <c r="E2147" t="s">
        <v>13337</v>
      </c>
      <c r="F2147" t="s">
        <v>9412</v>
      </c>
      <c r="G2147" t="s">
        <v>9413</v>
      </c>
      <c r="H2147" t="s">
        <v>12665</v>
      </c>
      <c r="I2147" t="s">
        <v>10302</v>
      </c>
      <c r="J2147" t="s">
        <v>914</v>
      </c>
      <c r="K2147" t="s">
        <v>9416</v>
      </c>
      <c r="L2147" t="s">
        <v>9417</v>
      </c>
      <c r="M2147" t="s">
        <v>12805</v>
      </c>
      <c r="N2147" t="s">
        <v>9446</v>
      </c>
      <c r="O2147" t="s">
        <v>13341</v>
      </c>
      <c r="P2147" t="s">
        <v>13342</v>
      </c>
      <c r="Q2147" t="s">
        <v>9421</v>
      </c>
      <c r="R2147" t="s">
        <v>56</v>
      </c>
      <c r="S2147" t="s">
        <v>13343</v>
      </c>
      <c r="T2147" t="s">
        <v>13344</v>
      </c>
    </row>
    <row r="2148" spans="1:20">
      <c r="A2148" t="s">
        <v>13335</v>
      </c>
      <c r="B2148" t="s">
        <v>9409</v>
      </c>
      <c r="C2148" t="s">
        <v>13336</v>
      </c>
      <c r="D2148" t="s">
        <v>9410</v>
      </c>
      <c r="E2148" t="s">
        <v>13337</v>
      </c>
      <c r="F2148" t="s">
        <v>9412</v>
      </c>
      <c r="G2148" t="s">
        <v>9413</v>
      </c>
      <c r="H2148" t="s">
        <v>12665</v>
      </c>
      <c r="I2148" t="s">
        <v>10302</v>
      </c>
      <c r="J2148" t="s">
        <v>914</v>
      </c>
      <c r="K2148" t="s">
        <v>9416</v>
      </c>
      <c r="L2148" t="s">
        <v>9417</v>
      </c>
      <c r="M2148" t="s">
        <v>12805</v>
      </c>
      <c r="N2148" t="s">
        <v>9430</v>
      </c>
      <c r="O2148" t="s">
        <v>13345</v>
      </c>
      <c r="P2148" t="s">
        <v>9651</v>
      </c>
      <c r="Q2148" t="s">
        <v>9421</v>
      </c>
      <c r="R2148" t="s">
        <v>56</v>
      </c>
      <c r="S2148" t="s">
        <v>13346</v>
      </c>
      <c r="T2148" t="s">
        <v>13347</v>
      </c>
    </row>
    <row r="2149" spans="1:20">
      <c r="A2149" t="s">
        <v>13335</v>
      </c>
      <c r="B2149" t="s">
        <v>9409</v>
      </c>
      <c r="C2149" t="s">
        <v>13336</v>
      </c>
      <c r="D2149" t="s">
        <v>9410</v>
      </c>
      <c r="E2149" t="s">
        <v>13337</v>
      </c>
      <c r="F2149" t="s">
        <v>9412</v>
      </c>
      <c r="G2149" t="s">
        <v>9413</v>
      </c>
      <c r="H2149" t="s">
        <v>12665</v>
      </c>
      <c r="I2149" t="s">
        <v>10302</v>
      </c>
      <c r="J2149" t="s">
        <v>914</v>
      </c>
      <c r="K2149" t="s">
        <v>9445</v>
      </c>
      <c r="L2149" t="s">
        <v>9417</v>
      </c>
      <c r="M2149" t="s">
        <v>12805</v>
      </c>
      <c r="N2149" t="s">
        <v>9426</v>
      </c>
      <c r="O2149" t="s">
        <v>9446</v>
      </c>
      <c r="P2149" t="s">
        <v>9647</v>
      </c>
      <c r="Q2149" t="s">
        <v>9421</v>
      </c>
      <c r="R2149" t="s">
        <v>84</v>
      </c>
      <c r="S2149" t="s">
        <v>193</v>
      </c>
      <c r="T2149" t="s">
        <v>195</v>
      </c>
    </row>
    <row r="2150" spans="1:20">
      <c r="A2150" t="s">
        <v>834</v>
      </c>
      <c r="B2150" t="s">
        <v>20</v>
      </c>
      <c r="C2150" t="s">
        <v>5259</v>
      </c>
      <c r="D2150" t="s">
        <v>9666</v>
      </c>
      <c r="E2150" t="s">
        <v>13348</v>
      </c>
      <c r="F2150" t="s">
        <v>9412</v>
      </c>
      <c r="G2150" t="s">
        <v>9413</v>
      </c>
      <c r="H2150" t="s">
        <v>12665</v>
      </c>
      <c r="I2150" t="s">
        <v>9771</v>
      </c>
      <c r="J2150" t="s">
        <v>710</v>
      </c>
      <c r="K2150" t="s">
        <v>9445</v>
      </c>
      <c r="L2150" t="s">
        <v>9417</v>
      </c>
      <c r="M2150" t="s">
        <v>12717</v>
      </c>
      <c r="N2150" t="s">
        <v>9426</v>
      </c>
      <c r="O2150" t="s">
        <v>9446</v>
      </c>
      <c r="P2150" t="s">
        <v>9655</v>
      </c>
      <c r="Q2150" t="s">
        <v>9421</v>
      </c>
      <c r="R2150" t="s">
        <v>56</v>
      </c>
      <c r="S2150" t="s">
        <v>592</v>
      </c>
      <c r="T2150" t="s">
        <v>594</v>
      </c>
    </row>
    <row r="2151" spans="1:20">
      <c r="A2151" t="s">
        <v>834</v>
      </c>
      <c r="B2151" t="s">
        <v>20</v>
      </c>
      <c r="C2151" t="s">
        <v>5259</v>
      </c>
      <c r="D2151" t="s">
        <v>9666</v>
      </c>
      <c r="E2151" t="s">
        <v>13348</v>
      </c>
      <c r="F2151" t="s">
        <v>9412</v>
      </c>
      <c r="G2151" t="s">
        <v>9413</v>
      </c>
      <c r="H2151" t="s">
        <v>12665</v>
      </c>
      <c r="I2151" t="s">
        <v>9771</v>
      </c>
      <c r="J2151" t="s">
        <v>710</v>
      </c>
      <c r="K2151" t="s">
        <v>9416</v>
      </c>
      <c r="L2151" t="s">
        <v>9417</v>
      </c>
      <c r="M2151" t="s">
        <v>12717</v>
      </c>
      <c r="N2151" t="s">
        <v>9446</v>
      </c>
      <c r="O2151" t="s">
        <v>5257</v>
      </c>
      <c r="P2151" t="s">
        <v>9655</v>
      </c>
      <c r="Q2151" t="s">
        <v>9421</v>
      </c>
      <c r="R2151" t="s">
        <v>56</v>
      </c>
      <c r="S2151" t="s">
        <v>835</v>
      </c>
      <c r="T2151" t="s">
        <v>837</v>
      </c>
    </row>
    <row r="2152" spans="1:20">
      <c r="A2152" t="s">
        <v>834</v>
      </c>
      <c r="B2152" t="s">
        <v>20</v>
      </c>
      <c r="C2152" t="s">
        <v>5259</v>
      </c>
      <c r="D2152" t="s">
        <v>9666</v>
      </c>
      <c r="E2152" t="s">
        <v>13348</v>
      </c>
      <c r="F2152" t="s">
        <v>9412</v>
      </c>
      <c r="G2152" t="s">
        <v>9413</v>
      </c>
      <c r="H2152" t="s">
        <v>12665</v>
      </c>
      <c r="I2152" t="s">
        <v>9771</v>
      </c>
      <c r="J2152" t="s">
        <v>710</v>
      </c>
      <c r="K2152" t="s">
        <v>9416</v>
      </c>
      <c r="L2152" t="s">
        <v>9417</v>
      </c>
      <c r="M2152" t="s">
        <v>12717</v>
      </c>
      <c r="N2152" t="s">
        <v>9446</v>
      </c>
      <c r="O2152" t="s">
        <v>5261</v>
      </c>
      <c r="P2152" t="s">
        <v>9655</v>
      </c>
      <c r="Q2152" t="s">
        <v>9421</v>
      </c>
      <c r="R2152" t="s">
        <v>56</v>
      </c>
      <c r="S2152" t="s">
        <v>839</v>
      </c>
      <c r="T2152" t="s">
        <v>841</v>
      </c>
    </row>
    <row r="2153" spans="1:20">
      <c r="A2153" t="s">
        <v>834</v>
      </c>
      <c r="B2153" t="s">
        <v>20</v>
      </c>
      <c r="C2153" t="s">
        <v>5259</v>
      </c>
      <c r="D2153" t="s">
        <v>9666</v>
      </c>
      <c r="E2153" t="s">
        <v>13348</v>
      </c>
      <c r="F2153" t="s">
        <v>9412</v>
      </c>
      <c r="G2153" t="s">
        <v>9413</v>
      </c>
      <c r="H2153" t="s">
        <v>12665</v>
      </c>
      <c r="I2153" t="s">
        <v>9771</v>
      </c>
      <c r="J2153" t="s">
        <v>710</v>
      </c>
      <c r="K2153" t="s">
        <v>9416</v>
      </c>
      <c r="L2153" t="s">
        <v>9417</v>
      </c>
      <c r="M2153" t="s">
        <v>12717</v>
      </c>
      <c r="N2153" t="s">
        <v>9446</v>
      </c>
      <c r="O2153" t="s">
        <v>5265</v>
      </c>
      <c r="P2153" t="s">
        <v>9655</v>
      </c>
      <c r="Q2153" t="s">
        <v>9421</v>
      </c>
      <c r="R2153" t="s">
        <v>56</v>
      </c>
      <c r="S2153" t="s">
        <v>845</v>
      </c>
      <c r="T2153" t="s">
        <v>847</v>
      </c>
    </row>
    <row r="2154" spans="1:20">
      <c r="A2154" t="s">
        <v>834</v>
      </c>
      <c r="B2154" t="s">
        <v>20</v>
      </c>
      <c r="C2154" t="s">
        <v>5259</v>
      </c>
      <c r="D2154" t="s">
        <v>9666</v>
      </c>
      <c r="E2154" t="s">
        <v>13348</v>
      </c>
      <c r="F2154" t="s">
        <v>9412</v>
      </c>
      <c r="G2154" t="s">
        <v>9413</v>
      </c>
      <c r="H2154" t="s">
        <v>12665</v>
      </c>
      <c r="I2154" t="s">
        <v>9771</v>
      </c>
      <c r="J2154" t="s">
        <v>710</v>
      </c>
      <c r="K2154" t="s">
        <v>9416</v>
      </c>
      <c r="L2154" t="s">
        <v>9417</v>
      </c>
      <c r="M2154" t="s">
        <v>12717</v>
      </c>
      <c r="N2154" t="s">
        <v>9446</v>
      </c>
      <c r="O2154" t="s">
        <v>5263</v>
      </c>
      <c r="P2154" t="s">
        <v>9655</v>
      </c>
      <c r="Q2154" t="s">
        <v>9421</v>
      </c>
      <c r="R2154" t="s">
        <v>56</v>
      </c>
      <c r="S2154" t="s">
        <v>842</v>
      </c>
      <c r="T2154" t="s">
        <v>844</v>
      </c>
    </row>
    <row r="2155" spans="1:20">
      <c r="A2155" t="s">
        <v>834</v>
      </c>
      <c r="B2155" t="s">
        <v>20</v>
      </c>
      <c r="C2155" t="s">
        <v>5259</v>
      </c>
      <c r="D2155" t="s">
        <v>9666</v>
      </c>
      <c r="E2155" t="s">
        <v>13348</v>
      </c>
      <c r="F2155" t="s">
        <v>9412</v>
      </c>
      <c r="G2155" t="s">
        <v>9413</v>
      </c>
      <c r="H2155" t="s">
        <v>12665</v>
      </c>
      <c r="I2155" t="s">
        <v>9771</v>
      </c>
      <c r="J2155" t="s">
        <v>710</v>
      </c>
      <c r="K2155" t="s">
        <v>9416</v>
      </c>
      <c r="L2155" t="s">
        <v>9417</v>
      </c>
      <c r="M2155" t="s">
        <v>12717</v>
      </c>
      <c r="N2155" t="s">
        <v>9446</v>
      </c>
      <c r="O2155" t="s">
        <v>5267</v>
      </c>
      <c r="P2155" t="s">
        <v>9655</v>
      </c>
      <c r="Q2155" t="s">
        <v>9421</v>
      </c>
      <c r="R2155" t="s">
        <v>56</v>
      </c>
      <c r="S2155" t="s">
        <v>834</v>
      </c>
      <c r="T2155" t="s">
        <v>849</v>
      </c>
    </row>
    <row r="2156" spans="1:20">
      <c r="A2156" t="s">
        <v>834</v>
      </c>
      <c r="B2156" t="s">
        <v>20</v>
      </c>
      <c r="C2156" t="s">
        <v>5259</v>
      </c>
      <c r="D2156" t="s">
        <v>9666</v>
      </c>
      <c r="E2156" t="s">
        <v>13348</v>
      </c>
      <c r="F2156" t="s">
        <v>9412</v>
      </c>
      <c r="G2156" t="s">
        <v>9413</v>
      </c>
      <c r="H2156" t="s">
        <v>12665</v>
      </c>
      <c r="I2156" t="s">
        <v>9771</v>
      </c>
      <c r="J2156" t="s">
        <v>710</v>
      </c>
      <c r="K2156" t="s">
        <v>9416</v>
      </c>
      <c r="L2156" t="s">
        <v>9417</v>
      </c>
      <c r="M2156" t="s">
        <v>12717</v>
      </c>
      <c r="N2156" t="s">
        <v>9446</v>
      </c>
      <c r="O2156" t="s">
        <v>5269</v>
      </c>
      <c r="P2156" t="s">
        <v>9655</v>
      </c>
      <c r="Q2156" t="s">
        <v>9421</v>
      </c>
      <c r="R2156" t="s">
        <v>56</v>
      </c>
      <c r="S2156" t="s">
        <v>850</v>
      </c>
      <c r="T2156" t="s">
        <v>852</v>
      </c>
    </row>
    <row r="2157" spans="1:20">
      <c r="A2157" t="s">
        <v>399</v>
      </c>
      <c r="B2157" t="s">
        <v>20</v>
      </c>
      <c r="C2157" t="s">
        <v>4824</v>
      </c>
      <c r="D2157" t="s">
        <v>9666</v>
      </c>
      <c r="E2157" t="s">
        <v>13349</v>
      </c>
      <c r="F2157" t="s">
        <v>9412</v>
      </c>
      <c r="G2157" t="s">
        <v>9413</v>
      </c>
      <c r="H2157" t="s">
        <v>12665</v>
      </c>
      <c r="I2157" t="s">
        <v>10540</v>
      </c>
      <c r="J2157" t="s">
        <v>287</v>
      </c>
      <c r="K2157" t="s">
        <v>9416</v>
      </c>
      <c r="L2157" t="s">
        <v>9417</v>
      </c>
      <c r="M2157" t="s">
        <v>12681</v>
      </c>
      <c r="N2157" t="s">
        <v>9446</v>
      </c>
      <c r="O2157" t="s">
        <v>4826</v>
      </c>
      <c r="P2157" t="s">
        <v>9655</v>
      </c>
      <c r="Q2157" t="s">
        <v>9421</v>
      </c>
      <c r="R2157" t="s">
        <v>56</v>
      </c>
      <c r="S2157" t="s">
        <v>404</v>
      </c>
      <c r="T2157" t="s">
        <v>406</v>
      </c>
    </row>
    <row r="2158" spans="1:20">
      <c r="A2158" t="s">
        <v>399</v>
      </c>
      <c r="B2158" t="s">
        <v>20</v>
      </c>
      <c r="C2158" t="s">
        <v>4824</v>
      </c>
      <c r="D2158" t="s">
        <v>9666</v>
      </c>
      <c r="E2158" t="s">
        <v>13349</v>
      </c>
      <c r="F2158" t="s">
        <v>9412</v>
      </c>
      <c r="G2158" t="s">
        <v>9413</v>
      </c>
      <c r="H2158" t="s">
        <v>12665</v>
      </c>
      <c r="I2158" t="s">
        <v>10540</v>
      </c>
      <c r="J2158" t="s">
        <v>287</v>
      </c>
      <c r="K2158" t="s">
        <v>9416</v>
      </c>
      <c r="L2158" t="s">
        <v>9417</v>
      </c>
      <c r="M2158" t="s">
        <v>12681</v>
      </c>
      <c r="N2158" t="s">
        <v>9446</v>
      </c>
      <c r="O2158" t="s">
        <v>4834</v>
      </c>
      <c r="P2158" t="s">
        <v>9655</v>
      </c>
      <c r="Q2158" t="s">
        <v>9421</v>
      </c>
      <c r="R2158" t="s">
        <v>56</v>
      </c>
      <c r="S2158" t="s">
        <v>416</v>
      </c>
      <c r="T2158" t="s">
        <v>418</v>
      </c>
    </row>
    <row r="2159" spans="1:20">
      <c r="A2159" t="s">
        <v>399</v>
      </c>
      <c r="B2159" t="s">
        <v>20</v>
      </c>
      <c r="C2159" t="s">
        <v>4824</v>
      </c>
      <c r="D2159" t="s">
        <v>9666</v>
      </c>
      <c r="E2159" t="s">
        <v>13349</v>
      </c>
      <c r="F2159" t="s">
        <v>9412</v>
      </c>
      <c r="G2159" t="s">
        <v>9413</v>
      </c>
      <c r="H2159" t="s">
        <v>12665</v>
      </c>
      <c r="I2159" t="s">
        <v>10540</v>
      </c>
      <c r="J2159" t="s">
        <v>287</v>
      </c>
      <c r="K2159" t="s">
        <v>9416</v>
      </c>
      <c r="L2159" t="s">
        <v>9417</v>
      </c>
      <c r="M2159" t="s">
        <v>12681</v>
      </c>
      <c r="N2159" t="s">
        <v>9446</v>
      </c>
      <c r="O2159" t="s">
        <v>4828</v>
      </c>
      <c r="P2159" t="s">
        <v>9655</v>
      </c>
      <c r="Q2159" t="s">
        <v>9421</v>
      </c>
      <c r="R2159" t="s">
        <v>56</v>
      </c>
      <c r="S2159" t="s">
        <v>407</v>
      </c>
      <c r="T2159" t="s">
        <v>409</v>
      </c>
    </row>
    <row r="2160" spans="1:20">
      <c r="A2160" t="s">
        <v>399</v>
      </c>
      <c r="B2160" t="s">
        <v>20</v>
      </c>
      <c r="C2160" t="s">
        <v>4824</v>
      </c>
      <c r="D2160" t="s">
        <v>9666</v>
      </c>
      <c r="E2160" t="s">
        <v>13349</v>
      </c>
      <c r="F2160" t="s">
        <v>9412</v>
      </c>
      <c r="G2160" t="s">
        <v>9413</v>
      </c>
      <c r="H2160" t="s">
        <v>12665</v>
      </c>
      <c r="I2160" t="s">
        <v>10540</v>
      </c>
      <c r="J2160" t="s">
        <v>287</v>
      </c>
      <c r="K2160" t="s">
        <v>9416</v>
      </c>
      <c r="L2160" t="s">
        <v>9417</v>
      </c>
      <c r="M2160" t="s">
        <v>12681</v>
      </c>
      <c r="N2160" t="s">
        <v>9446</v>
      </c>
      <c r="O2160" t="s">
        <v>4822</v>
      </c>
      <c r="P2160" t="s">
        <v>9655</v>
      </c>
      <c r="Q2160" t="s">
        <v>9421</v>
      </c>
      <c r="R2160" t="s">
        <v>56</v>
      </c>
      <c r="S2160" t="s">
        <v>400</v>
      </c>
      <c r="T2160" t="s">
        <v>402</v>
      </c>
    </row>
    <row r="2161" spans="1:20">
      <c r="A2161" t="s">
        <v>399</v>
      </c>
      <c r="B2161" t="s">
        <v>20</v>
      </c>
      <c r="C2161" t="s">
        <v>4824</v>
      </c>
      <c r="D2161" t="s">
        <v>9666</v>
      </c>
      <c r="E2161" t="s">
        <v>13349</v>
      </c>
      <c r="F2161" t="s">
        <v>9412</v>
      </c>
      <c r="G2161" t="s">
        <v>9413</v>
      </c>
      <c r="H2161" t="s">
        <v>12665</v>
      </c>
      <c r="I2161" t="s">
        <v>10540</v>
      </c>
      <c r="J2161" t="s">
        <v>287</v>
      </c>
      <c r="K2161" t="s">
        <v>9416</v>
      </c>
      <c r="L2161" t="s">
        <v>9417</v>
      </c>
      <c r="M2161" t="s">
        <v>12681</v>
      </c>
      <c r="N2161" t="s">
        <v>9446</v>
      </c>
      <c r="O2161" t="s">
        <v>4830</v>
      </c>
      <c r="P2161" t="s">
        <v>9655</v>
      </c>
      <c r="Q2161" t="s">
        <v>9421</v>
      </c>
      <c r="R2161" t="s">
        <v>56</v>
      </c>
      <c r="S2161" t="s">
        <v>410</v>
      </c>
      <c r="T2161" t="s">
        <v>412</v>
      </c>
    </row>
    <row r="2162" spans="1:20">
      <c r="A2162" t="s">
        <v>399</v>
      </c>
      <c r="B2162" t="s">
        <v>20</v>
      </c>
      <c r="C2162" t="s">
        <v>4824</v>
      </c>
      <c r="D2162" t="s">
        <v>9666</v>
      </c>
      <c r="E2162" t="s">
        <v>13349</v>
      </c>
      <c r="F2162" t="s">
        <v>9412</v>
      </c>
      <c r="G2162" t="s">
        <v>9413</v>
      </c>
      <c r="H2162" t="s">
        <v>12665</v>
      </c>
      <c r="I2162" t="s">
        <v>10540</v>
      </c>
      <c r="J2162" t="s">
        <v>287</v>
      </c>
      <c r="K2162" t="s">
        <v>9416</v>
      </c>
      <c r="L2162" t="s">
        <v>9417</v>
      </c>
      <c r="M2162" t="s">
        <v>12681</v>
      </c>
      <c r="N2162" t="s">
        <v>9426</v>
      </c>
      <c r="O2162" t="s">
        <v>4754</v>
      </c>
      <c r="P2162" t="s">
        <v>9479</v>
      </c>
      <c r="Q2162" t="s">
        <v>9421</v>
      </c>
      <c r="R2162" t="s">
        <v>43</v>
      </c>
      <c r="S2162" t="s">
        <v>333</v>
      </c>
      <c r="T2162" t="s">
        <v>335</v>
      </c>
    </row>
    <row r="2163" spans="1:20">
      <c r="A2163" t="s">
        <v>399</v>
      </c>
      <c r="B2163" t="s">
        <v>20</v>
      </c>
      <c r="C2163" t="s">
        <v>4824</v>
      </c>
      <c r="D2163" t="s">
        <v>9666</v>
      </c>
      <c r="E2163" t="s">
        <v>13349</v>
      </c>
      <c r="F2163" t="s">
        <v>9412</v>
      </c>
      <c r="G2163" t="s">
        <v>9413</v>
      </c>
      <c r="H2163" t="s">
        <v>12665</v>
      </c>
      <c r="I2163" t="s">
        <v>10540</v>
      </c>
      <c r="J2163" t="s">
        <v>287</v>
      </c>
      <c r="K2163" t="s">
        <v>9416</v>
      </c>
      <c r="L2163" t="s">
        <v>9417</v>
      </c>
      <c r="M2163" t="s">
        <v>12681</v>
      </c>
      <c r="N2163" t="s">
        <v>9446</v>
      </c>
      <c r="O2163" t="s">
        <v>4832</v>
      </c>
      <c r="P2163" t="s">
        <v>9647</v>
      </c>
      <c r="Q2163" t="s">
        <v>9421</v>
      </c>
      <c r="R2163" t="s">
        <v>84</v>
      </c>
      <c r="S2163" t="s">
        <v>413</v>
      </c>
      <c r="T2163" t="s">
        <v>415</v>
      </c>
    </row>
    <row r="2164" spans="1:20">
      <c r="A2164" t="s">
        <v>853</v>
      </c>
      <c r="B2164" t="s">
        <v>20</v>
      </c>
      <c r="C2164" t="s">
        <v>5271</v>
      </c>
      <c r="D2164" t="s">
        <v>9475</v>
      </c>
      <c r="E2164" t="s">
        <v>13350</v>
      </c>
      <c r="F2164" t="s">
        <v>9412</v>
      </c>
      <c r="G2164" t="s">
        <v>9413</v>
      </c>
      <c r="H2164" t="s">
        <v>12665</v>
      </c>
      <c r="I2164" t="s">
        <v>10150</v>
      </c>
      <c r="J2164" t="s">
        <v>710</v>
      </c>
      <c r="K2164" t="s">
        <v>9416</v>
      </c>
      <c r="L2164" t="s">
        <v>9417</v>
      </c>
      <c r="M2164" t="s">
        <v>12951</v>
      </c>
      <c r="N2164" t="s">
        <v>9446</v>
      </c>
      <c r="O2164" t="s">
        <v>5279</v>
      </c>
      <c r="P2164" t="s">
        <v>9651</v>
      </c>
      <c r="Q2164" t="s">
        <v>9421</v>
      </c>
      <c r="R2164" t="s">
        <v>56</v>
      </c>
      <c r="S2164" t="s">
        <v>864</v>
      </c>
      <c r="T2164" t="s">
        <v>866</v>
      </c>
    </row>
    <row r="2165" spans="1:20">
      <c r="A2165" t="s">
        <v>853</v>
      </c>
      <c r="B2165" t="s">
        <v>20</v>
      </c>
      <c r="C2165" t="s">
        <v>5271</v>
      </c>
      <c r="D2165" t="s">
        <v>9475</v>
      </c>
      <c r="E2165" t="s">
        <v>13350</v>
      </c>
      <c r="F2165" t="s">
        <v>9412</v>
      </c>
      <c r="G2165" t="s">
        <v>9413</v>
      </c>
      <c r="H2165" t="s">
        <v>12665</v>
      </c>
      <c r="I2165" t="s">
        <v>10150</v>
      </c>
      <c r="J2165" t="s">
        <v>710</v>
      </c>
      <c r="K2165" t="s">
        <v>9445</v>
      </c>
      <c r="L2165" t="s">
        <v>9417</v>
      </c>
      <c r="M2165" t="s">
        <v>12951</v>
      </c>
      <c r="N2165" t="s">
        <v>9426</v>
      </c>
      <c r="O2165" t="s">
        <v>9446</v>
      </c>
      <c r="P2165" t="s">
        <v>9567</v>
      </c>
      <c r="Q2165" t="s">
        <v>9421</v>
      </c>
      <c r="R2165" t="s">
        <v>43</v>
      </c>
      <c r="S2165" t="s">
        <v>74</v>
      </c>
      <c r="T2165" t="s">
        <v>76</v>
      </c>
    </row>
    <row r="2166" spans="1:20">
      <c r="A2166" t="s">
        <v>853</v>
      </c>
      <c r="B2166" t="s">
        <v>20</v>
      </c>
      <c r="C2166" t="s">
        <v>5271</v>
      </c>
      <c r="D2166" t="s">
        <v>9475</v>
      </c>
      <c r="E2166" t="s">
        <v>13350</v>
      </c>
      <c r="F2166" t="s">
        <v>9412</v>
      </c>
      <c r="G2166" t="s">
        <v>9413</v>
      </c>
      <c r="H2166" t="s">
        <v>12665</v>
      </c>
      <c r="I2166" t="s">
        <v>10150</v>
      </c>
      <c r="J2166" t="s">
        <v>710</v>
      </c>
      <c r="K2166" t="s">
        <v>9416</v>
      </c>
      <c r="L2166" t="s">
        <v>9417</v>
      </c>
      <c r="M2166" t="s">
        <v>12951</v>
      </c>
      <c r="N2166" t="s">
        <v>9446</v>
      </c>
      <c r="O2166" t="s">
        <v>5277</v>
      </c>
      <c r="P2166" t="s">
        <v>9655</v>
      </c>
      <c r="Q2166" t="s">
        <v>9421</v>
      </c>
      <c r="R2166" t="s">
        <v>56</v>
      </c>
      <c r="S2166" t="s">
        <v>861</v>
      </c>
      <c r="T2166" t="s">
        <v>863</v>
      </c>
    </row>
    <row r="2167" spans="1:20">
      <c r="A2167" t="s">
        <v>853</v>
      </c>
      <c r="B2167" t="s">
        <v>20</v>
      </c>
      <c r="C2167" t="s">
        <v>5271</v>
      </c>
      <c r="D2167" t="s">
        <v>9475</v>
      </c>
      <c r="E2167" t="s">
        <v>13350</v>
      </c>
      <c r="F2167" t="s">
        <v>9412</v>
      </c>
      <c r="G2167" t="s">
        <v>9413</v>
      </c>
      <c r="H2167" t="s">
        <v>12665</v>
      </c>
      <c r="I2167" t="s">
        <v>10150</v>
      </c>
      <c r="J2167" t="s">
        <v>710</v>
      </c>
      <c r="K2167" t="s">
        <v>9416</v>
      </c>
      <c r="L2167" t="s">
        <v>9417</v>
      </c>
      <c r="M2167" t="s">
        <v>12951</v>
      </c>
      <c r="N2167" t="s">
        <v>9446</v>
      </c>
      <c r="O2167" t="s">
        <v>5273</v>
      </c>
      <c r="P2167" t="s">
        <v>9655</v>
      </c>
      <c r="Q2167" t="s">
        <v>9421</v>
      </c>
      <c r="R2167" t="s">
        <v>56</v>
      </c>
      <c r="S2167" t="s">
        <v>855</v>
      </c>
      <c r="T2167" t="s">
        <v>857</v>
      </c>
    </row>
    <row r="2168" spans="1:20">
      <c r="A2168" t="s">
        <v>853</v>
      </c>
      <c r="B2168" t="s">
        <v>20</v>
      </c>
      <c r="C2168" t="s">
        <v>5271</v>
      </c>
      <c r="D2168" t="s">
        <v>9475</v>
      </c>
      <c r="E2168" t="s">
        <v>13350</v>
      </c>
      <c r="F2168" t="s">
        <v>9412</v>
      </c>
      <c r="G2168" t="s">
        <v>9413</v>
      </c>
      <c r="H2168" t="s">
        <v>12665</v>
      </c>
      <c r="I2168" t="s">
        <v>10150</v>
      </c>
      <c r="J2168" t="s">
        <v>710</v>
      </c>
      <c r="K2168" t="s">
        <v>9416</v>
      </c>
      <c r="L2168" t="s">
        <v>9417</v>
      </c>
      <c r="M2168" t="s">
        <v>12951</v>
      </c>
      <c r="N2168" t="s">
        <v>9446</v>
      </c>
      <c r="O2168" t="s">
        <v>5275</v>
      </c>
      <c r="P2168" t="s">
        <v>9655</v>
      </c>
      <c r="Q2168" t="s">
        <v>9421</v>
      </c>
      <c r="R2168" t="s">
        <v>56</v>
      </c>
      <c r="S2168" t="s">
        <v>858</v>
      </c>
      <c r="T2168" t="s">
        <v>860</v>
      </c>
    </row>
    <row r="2169" spans="1:20">
      <c r="A2169" t="s">
        <v>853</v>
      </c>
      <c r="B2169" t="s">
        <v>20</v>
      </c>
      <c r="C2169" t="s">
        <v>5271</v>
      </c>
      <c r="D2169" t="s">
        <v>9475</v>
      </c>
      <c r="E2169" t="s">
        <v>13350</v>
      </c>
      <c r="F2169" t="s">
        <v>9412</v>
      </c>
      <c r="G2169" t="s">
        <v>9413</v>
      </c>
      <c r="H2169" t="s">
        <v>12665</v>
      </c>
      <c r="I2169" t="s">
        <v>10150</v>
      </c>
      <c r="J2169" t="s">
        <v>710</v>
      </c>
      <c r="K2169" t="s">
        <v>9416</v>
      </c>
      <c r="L2169" t="s">
        <v>9417</v>
      </c>
      <c r="M2169" t="s">
        <v>12951</v>
      </c>
      <c r="N2169" t="s">
        <v>9446</v>
      </c>
      <c r="O2169" t="s">
        <v>5281</v>
      </c>
      <c r="P2169" t="s">
        <v>9655</v>
      </c>
      <c r="Q2169" t="s">
        <v>9421</v>
      </c>
      <c r="R2169" t="s">
        <v>56</v>
      </c>
      <c r="S2169" t="s">
        <v>867</v>
      </c>
      <c r="T2169" t="s">
        <v>869</v>
      </c>
    </row>
    <row r="2170" spans="1:20">
      <c r="A2170" t="s">
        <v>1001</v>
      </c>
      <c r="B2170" t="s">
        <v>20</v>
      </c>
      <c r="C2170" t="s">
        <v>5401</v>
      </c>
      <c r="D2170" t="s">
        <v>10052</v>
      </c>
      <c r="E2170" t="s">
        <v>13351</v>
      </c>
      <c r="F2170" t="s">
        <v>9412</v>
      </c>
      <c r="G2170" t="s">
        <v>9413</v>
      </c>
      <c r="H2170" t="s">
        <v>12665</v>
      </c>
      <c r="I2170" t="s">
        <v>10066</v>
      </c>
      <c r="J2170" t="s">
        <v>914</v>
      </c>
      <c r="K2170" t="s">
        <v>9416</v>
      </c>
      <c r="L2170" t="s">
        <v>9417</v>
      </c>
      <c r="M2170" t="s">
        <v>12800</v>
      </c>
      <c r="N2170" t="s">
        <v>9430</v>
      </c>
      <c r="O2170" t="s">
        <v>13352</v>
      </c>
      <c r="P2170" t="s">
        <v>9651</v>
      </c>
      <c r="Q2170" t="s">
        <v>9421</v>
      </c>
      <c r="R2170" t="s">
        <v>56</v>
      </c>
      <c r="S2170" t="s">
        <v>1012</v>
      </c>
      <c r="T2170" t="s">
        <v>1014</v>
      </c>
    </row>
    <row r="2171" spans="1:20">
      <c r="A2171" t="s">
        <v>1001</v>
      </c>
      <c r="B2171" t="s">
        <v>20</v>
      </c>
      <c r="C2171" t="s">
        <v>5401</v>
      </c>
      <c r="D2171" t="s">
        <v>10052</v>
      </c>
      <c r="E2171" t="s">
        <v>13351</v>
      </c>
      <c r="F2171" t="s">
        <v>9412</v>
      </c>
      <c r="G2171" t="s">
        <v>9413</v>
      </c>
      <c r="H2171" t="s">
        <v>12665</v>
      </c>
      <c r="I2171" t="s">
        <v>10066</v>
      </c>
      <c r="J2171" t="s">
        <v>914</v>
      </c>
      <c r="K2171" t="s">
        <v>9416</v>
      </c>
      <c r="L2171" t="s">
        <v>9417</v>
      </c>
      <c r="M2171" t="s">
        <v>12800</v>
      </c>
      <c r="N2171" t="s">
        <v>9446</v>
      </c>
      <c r="O2171" t="s">
        <v>5399</v>
      </c>
      <c r="P2171" t="s">
        <v>9651</v>
      </c>
      <c r="Q2171" t="s">
        <v>9421</v>
      </c>
      <c r="R2171" t="s">
        <v>56</v>
      </c>
      <c r="S2171" t="s">
        <v>1002</v>
      </c>
      <c r="T2171" t="s">
        <v>1004</v>
      </c>
    </row>
    <row r="2172" spans="1:20">
      <c r="A2172" t="s">
        <v>1001</v>
      </c>
      <c r="B2172" t="s">
        <v>20</v>
      </c>
      <c r="C2172" t="s">
        <v>5401</v>
      </c>
      <c r="D2172" t="s">
        <v>10052</v>
      </c>
      <c r="E2172" t="s">
        <v>13351</v>
      </c>
      <c r="F2172" t="s">
        <v>9412</v>
      </c>
      <c r="G2172" t="s">
        <v>9413</v>
      </c>
      <c r="H2172" t="s">
        <v>12665</v>
      </c>
      <c r="I2172" t="s">
        <v>10066</v>
      </c>
      <c r="J2172" t="s">
        <v>914</v>
      </c>
      <c r="K2172" t="s">
        <v>9416</v>
      </c>
      <c r="L2172" t="s">
        <v>9417</v>
      </c>
      <c r="M2172" t="s">
        <v>12800</v>
      </c>
      <c r="N2172" t="s">
        <v>9446</v>
      </c>
      <c r="O2172" t="s">
        <v>5403</v>
      </c>
      <c r="P2172" t="s">
        <v>9655</v>
      </c>
      <c r="Q2172" t="s">
        <v>9421</v>
      </c>
      <c r="R2172" t="s">
        <v>56</v>
      </c>
      <c r="S2172" t="s">
        <v>1006</v>
      </c>
      <c r="T2172" t="s">
        <v>1008</v>
      </c>
    </row>
    <row r="2173" spans="1:20">
      <c r="A2173" t="s">
        <v>1001</v>
      </c>
      <c r="B2173" t="s">
        <v>20</v>
      </c>
      <c r="C2173" t="s">
        <v>5401</v>
      </c>
      <c r="D2173" t="s">
        <v>10052</v>
      </c>
      <c r="E2173" t="s">
        <v>13351</v>
      </c>
      <c r="F2173" t="s">
        <v>9412</v>
      </c>
      <c r="G2173" t="s">
        <v>9413</v>
      </c>
      <c r="H2173" t="s">
        <v>12665</v>
      </c>
      <c r="I2173" t="s">
        <v>10066</v>
      </c>
      <c r="J2173" t="s">
        <v>914</v>
      </c>
      <c r="K2173" t="s">
        <v>9416</v>
      </c>
      <c r="L2173" t="s">
        <v>9417</v>
      </c>
      <c r="M2173" t="s">
        <v>12800</v>
      </c>
      <c r="N2173" t="s">
        <v>9446</v>
      </c>
      <c r="O2173" t="s">
        <v>5405</v>
      </c>
      <c r="P2173" t="s">
        <v>9651</v>
      </c>
      <c r="Q2173" t="s">
        <v>9421</v>
      </c>
      <c r="R2173" t="s">
        <v>56</v>
      </c>
      <c r="S2173" t="s">
        <v>1009</v>
      </c>
      <c r="T2173" t="s">
        <v>1011</v>
      </c>
    </row>
    <row r="2174" spans="1:20">
      <c r="A2174" t="s">
        <v>1015</v>
      </c>
      <c r="B2174" t="s">
        <v>62</v>
      </c>
      <c r="C2174" t="s">
        <v>1019</v>
      </c>
      <c r="D2174" t="s">
        <v>445</v>
      </c>
      <c r="E2174" t="s">
        <v>13353</v>
      </c>
      <c r="F2174" t="s">
        <v>9412</v>
      </c>
      <c r="G2174" t="s">
        <v>9413</v>
      </c>
      <c r="H2174" t="s">
        <v>12</v>
      </c>
      <c r="I2174" t="s">
        <v>10205</v>
      </c>
      <c r="J2174" t="s">
        <v>914</v>
      </c>
      <c r="K2174" t="s">
        <v>9416</v>
      </c>
      <c r="L2174" t="s">
        <v>9417</v>
      </c>
      <c r="M2174" t="s">
        <v>12800</v>
      </c>
      <c r="N2174" t="s">
        <v>12700</v>
      </c>
      <c r="O2174" t="s">
        <v>5407</v>
      </c>
      <c r="P2174" t="s">
        <v>9647</v>
      </c>
      <c r="Q2174" t="s">
        <v>9421</v>
      </c>
      <c r="R2174" t="s">
        <v>84</v>
      </c>
      <c r="S2174" t="s">
        <v>1016</v>
      </c>
      <c r="T2174" t="s">
        <v>1018</v>
      </c>
    </row>
    <row r="2175" spans="1:20">
      <c r="A2175" t="s">
        <v>1015</v>
      </c>
      <c r="B2175" t="s">
        <v>62</v>
      </c>
      <c r="C2175" t="s">
        <v>1019</v>
      </c>
      <c r="D2175" t="s">
        <v>445</v>
      </c>
      <c r="E2175" t="s">
        <v>13353</v>
      </c>
      <c r="F2175" t="s">
        <v>9412</v>
      </c>
      <c r="G2175" t="s">
        <v>9413</v>
      </c>
      <c r="H2175" t="s">
        <v>12</v>
      </c>
      <c r="I2175" t="s">
        <v>10205</v>
      </c>
      <c r="J2175" t="s">
        <v>914</v>
      </c>
      <c r="K2175" t="s">
        <v>9445</v>
      </c>
      <c r="L2175" t="s">
        <v>9417</v>
      </c>
      <c r="M2175" t="s">
        <v>12800</v>
      </c>
      <c r="N2175" t="s">
        <v>9426</v>
      </c>
      <c r="O2175" t="s">
        <v>9446</v>
      </c>
      <c r="P2175" t="s">
        <v>9655</v>
      </c>
      <c r="Q2175" t="s">
        <v>9421</v>
      </c>
      <c r="R2175" t="s">
        <v>56</v>
      </c>
      <c r="S2175" t="s">
        <v>592</v>
      </c>
      <c r="T2175" t="s">
        <v>594</v>
      </c>
    </row>
    <row r="2176" spans="1:20">
      <c r="A2176" t="s">
        <v>1015</v>
      </c>
      <c r="B2176" t="s">
        <v>62</v>
      </c>
      <c r="C2176" t="s">
        <v>1019</v>
      </c>
      <c r="D2176" t="s">
        <v>445</v>
      </c>
      <c r="E2176" t="s">
        <v>13353</v>
      </c>
      <c r="F2176" t="s">
        <v>9412</v>
      </c>
      <c r="G2176" t="s">
        <v>9413</v>
      </c>
      <c r="H2176" t="s">
        <v>12</v>
      </c>
      <c r="I2176" t="s">
        <v>10205</v>
      </c>
      <c r="J2176" t="s">
        <v>914</v>
      </c>
      <c r="K2176" t="s">
        <v>9416</v>
      </c>
      <c r="L2176" t="s">
        <v>9417</v>
      </c>
      <c r="M2176" t="s">
        <v>12800</v>
      </c>
      <c r="N2176" t="s">
        <v>9446</v>
      </c>
      <c r="O2176" t="s">
        <v>5411</v>
      </c>
      <c r="P2176" t="s">
        <v>9655</v>
      </c>
      <c r="Q2176" t="s">
        <v>9421</v>
      </c>
      <c r="R2176" t="s">
        <v>56</v>
      </c>
      <c r="S2176" t="s">
        <v>1020</v>
      </c>
      <c r="T2176" t="s">
        <v>1022</v>
      </c>
    </row>
    <row r="2177" spans="1:20">
      <c r="A2177" t="s">
        <v>870</v>
      </c>
      <c r="B2177" t="s">
        <v>62</v>
      </c>
      <c r="C2177" t="s">
        <v>5283</v>
      </c>
      <c r="D2177" t="s">
        <v>9448</v>
      </c>
      <c r="E2177" t="s">
        <v>13354</v>
      </c>
      <c r="F2177" t="s">
        <v>9412</v>
      </c>
      <c r="G2177" t="s">
        <v>9413</v>
      </c>
      <c r="H2177" t="s">
        <v>12665</v>
      </c>
      <c r="I2177" t="s">
        <v>9466</v>
      </c>
      <c r="J2177" t="s">
        <v>710</v>
      </c>
      <c r="K2177" t="s">
        <v>9416</v>
      </c>
      <c r="L2177" t="s">
        <v>9417</v>
      </c>
      <c r="M2177" t="s">
        <v>12734</v>
      </c>
      <c r="N2177" t="s">
        <v>9446</v>
      </c>
      <c r="O2177" t="s">
        <v>13355</v>
      </c>
      <c r="P2177" t="s">
        <v>9655</v>
      </c>
      <c r="Q2177" t="s">
        <v>9421</v>
      </c>
      <c r="R2177" t="s">
        <v>56</v>
      </c>
      <c r="S2177" t="s">
        <v>872</v>
      </c>
      <c r="T2177" t="s">
        <v>874</v>
      </c>
    </row>
    <row r="2178" spans="1:20">
      <c r="A2178" t="s">
        <v>870</v>
      </c>
      <c r="B2178" t="s">
        <v>62</v>
      </c>
      <c r="C2178" t="s">
        <v>5283</v>
      </c>
      <c r="D2178" t="s">
        <v>9448</v>
      </c>
      <c r="E2178" t="s">
        <v>13354</v>
      </c>
      <c r="F2178" t="s">
        <v>9412</v>
      </c>
      <c r="G2178" t="s">
        <v>9413</v>
      </c>
      <c r="H2178" t="s">
        <v>12665</v>
      </c>
      <c r="I2178" t="s">
        <v>9466</v>
      </c>
      <c r="J2178" t="s">
        <v>710</v>
      </c>
      <c r="K2178" t="s">
        <v>9416</v>
      </c>
      <c r="L2178" t="s">
        <v>9417</v>
      </c>
      <c r="M2178" t="s">
        <v>12734</v>
      </c>
      <c r="N2178" t="s">
        <v>9446</v>
      </c>
      <c r="O2178" t="s">
        <v>5291</v>
      </c>
      <c r="P2178" t="s">
        <v>9655</v>
      </c>
      <c r="Q2178" t="s">
        <v>9421</v>
      </c>
      <c r="R2178" t="s">
        <v>56</v>
      </c>
      <c r="S2178" t="s">
        <v>884</v>
      </c>
      <c r="T2178" t="s">
        <v>886</v>
      </c>
    </row>
    <row r="2179" spans="1:20">
      <c r="A2179" t="s">
        <v>870</v>
      </c>
      <c r="B2179" t="s">
        <v>62</v>
      </c>
      <c r="C2179" t="s">
        <v>5283</v>
      </c>
      <c r="D2179" t="s">
        <v>9448</v>
      </c>
      <c r="E2179" t="s">
        <v>13354</v>
      </c>
      <c r="F2179" t="s">
        <v>9412</v>
      </c>
      <c r="G2179" t="s">
        <v>9413</v>
      </c>
      <c r="H2179" t="s">
        <v>12665</v>
      </c>
      <c r="I2179" t="s">
        <v>9466</v>
      </c>
      <c r="J2179" t="s">
        <v>710</v>
      </c>
      <c r="K2179" t="s">
        <v>9416</v>
      </c>
      <c r="L2179" t="s">
        <v>9417</v>
      </c>
      <c r="M2179" t="s">
        <v>12734</v>
      </c>
      <c r="N2179" t="s">
        <v>9446</v>
      </c>
      <c r="O2179" t="s">
        <v>5293</v>
      </c>
      <c r="P2179" t="s">
        <v>9655</v>
      </c>
      <c r="Q2179" t="s">
        <v>9421</v>
      </c>
      <c r="R2179" t="s">
        <v>56</v>
      </c>
      <c r="S2179" t="s">
        <v>887</v>
      </c>
      <c r="T2179" t="s">
        <v>889</v>
      </c>
    </row>
    <row r="2180" spans="1:20">
      <c r="A2180" t="s">
        <v>870</v>
      </c>
      <c r="B2180" t="s">
        <v>62</v>
      </c>
      <c r="C2180" t="s">
        <v>5283</v>
      </c>
      <c r="D2180" t="s">
        <v>9448</v>
      </c>
      <c r="E2180" t="s">
        <v>13354</v>
      </c>
      <c r="F2180" t="s">
        <v>9412</v>
      </c>
      <c r="G2180" t="s">
        <v>9413</v>
      </c>
      <c r="H2180" t="s">
        <v>12665</v>
      </c>
      <c r="I2180" t="s">
        <v>9466</v>
      </c>
      <c r="J2180" t="s">
        <v>710</v>
      </c>
      <c r="K2180" t="s">
        <v>9416</v>
      </c>
      <c r="L2180" t="s">
        <v>9417</v>
      </c>
      <c r="M2180" t="s">
        <v>12734</v>
      </c>
      <c r="N2180" t="s">
        <v>9446</v>
      </c>
      <c r="O2180" t="s">
        <v>5285</v>
      </c>
      <c r="P2180" t="s">
        <v>9655</v>
      </c>
      <c r="Q2180" t="s">
        <v>9421</v>
      </c>
      <c r="R2180" t="s">
        <v>56</v>
      </c>
      <c r="S2180" t="s">
        <v>875</v>
      </c>
      <c r="T2180" t="s">
        <v>877</v>
      </c>
    </row>
    <row r="2181" spans="1:20">
      <c r="A2181" t="s">
        <v>870</v>
      </c>
      <c r="B2181" t="s">
        <v>62</v>
      </c>
      <c r="C2181" t="s">
        <v>5283</v>
      </c>
      <c r="D2181" t="s">
        <v>9448</v>
      </c>
      <c r="E2181" t="s">
        <v>13354</v>
      </c>
      <c r="F2181" t="s">
        <v>9412</v>
      </c>
      <c r="G2181" t="s">
        <v>9413</v>
      </c>
      <c r="H2181" t="s">
        <v>12665</v>
      </c>
      <c r="I2181" t="s">
        <v>9466</v>
      </c>
      <c r="J2181" t="s">
        <v>710</v>
      </c>
      <c r="K2181" t="s">
        <v>9416</v>
      </c>
      <c r="L2181" t="s">
        <v>9417</v>
      </c>
      <c r="M2181" t="s">
        <v>12734</v>
      </c>
      <c r="N2181" t="s">
        <v>9446</v>
      </c>
      <c r="O2181" t="s">
        <v>5289</v>
      </c>
      <c r="P2181" t="s">
        <v>9655</v>
      </c>
      <c r="Q2181" t="s">
        <v>9421</v>
      </c>
      <c r="R2181" t="s">
        <v>56</v>
      </c>
      <c r="S2181" t="s">
        <v>881</v>
      </c>
      <c r="T2181" t="s">
        <v>883</v>
      </c>
    </row>
    <row r="2182" spans="1:20">
      <c r="A2182" t="s">
        <v>870</v>
      </c>
      <c r="B2182" t="s">
        <v>62</v>
      </c>
      <c r="C2182" t="s">
        <v>5283</v>
      </c>
      <c r="D2182" t="s">
        <v>9448</v>
      </c>
      <c r="E2182" t="s">
        <v>13354</v>
      </c>
      <c r="F2182" t="s">
        <v>9412</v>
      </c>
      <c r="G2182" t="s">
        <v>9413</v>
      </c>
      <c r="H2182" t="s">
        <v>12665</v>
      </c>
      <c r="I2182" t="s">
        <v>9466</v>
      </c>
      <c r="J2182" t="s">
        <v>710</v>
      </c>
      <c r="K2182" t="s">
        <v>9445</v>
      </c>
      <c r="L2182" t="s">
        <v>9417</v>
      </c>
      <c r="M2182" t="s">
        <v>12734</v>
      </c>
      <c r="N2182" t="s">
        <v>9426</v>
      </c>
      <c r="O2182" t="s">
        <v>9446</v>
      </c>
      <c r="P2182" t="s">
        <v>9647</v>
      </c>
      <c r="Q2182" t="s">
        <v>9421</v>
      </c>
      <c r="R2182" t="s">
        <v>84</v>
      </c>
      <c r="S2182" t="s">
        <v>801</v>
      </c>
      <c r="T2182" t="s">
        <v>803</v>
      </c>
    </row>
    <row r="2183" spans="1:20">
      <c r="A2183" t="s">
        <v>870</v>
      </c>
      <c r="B2183" t="s">
        <v>62</v>
      </c>
      <c r="C2183" t="s">
        <v>5283</v>
      </c>
      <c r="D2183" t="s">
        <v>9448</v>
      </c>
      <c r="E2183" t="s">
        <v>13354</v>
      </c>
      <c r="F2183" t="s">
        <v>9412</v>
      </c>
      <c r="G2183" t="s">
        <v>9413</v>
      </c>
      <c r="H2183" t="s">
        <v>12665</v>
      </c>
      <c r="I2183" t="s">
        <v>9466</v>
      </c>
      <c r="J2183" t="s">
        <v>710</v>
      </c>
      <c r="K2183" t="s">
        <v>9416</v>
      </c>
      <c r="L2183" t="s">
        <v>9417</v>
      </c>
      <c r="M2183" t="s">
        <v>12734</v>
      </c>
      <c r="N2183" t="s">
        <v>9446</v>
      </c>
      <c r="O2183" t="s">
        <v>5287</v>
      </c>
      <c r="P2183" t="s">
        <v>9655</v>
      </c>
      <c r="Q2183" t="s">
        <v>9421</v>
      </c>
      <c r="R2183" t="s">
        <v>56</v>
      </c>
      <c r="S2183" t="s">
        <v>878</v>
      </c>
      <c r="T2183" t="s">
        <v>880</v>
      </c>
    </row>
    <row r="2184" spans="1:20">
      <c r="A2184" t="s">
        <v>595</v>
      </c>
      <c r="B2184" t="s">
        <v>62</v>
      </c>
      <c r="C2184" t="s">
        <v>5042</v>
      </c>
      <c r="D2184" t="s">
        <v>9448</v>
      </c>
      <c r="E2184" t="s">
        <v>13356</v>
      </c>
      <c r="F2184" t="s">
        <v>9412</v>
      </c>
      <c r="G2184" t="s">
        <v>9413</v>
      </c>
      <c r="H2184" t="s">
        <v>12665</v>
      </c>
      <c r="I2184" t="s">
        <v>10191</v>
      </c>
      <c r="J2184" t="s">
        <v>445</v>
      </c>
      <c r="K2184" t="s">
        <v>9416</v>
      </c>
      <c r="L2184" t="s">
        <v>9417</v>
      </c>
      <c r="M2184" t="s">
        <v>12791</v>
      </c>
      <c r="N2184" t="s">
        <v>9446</v>
      </c>
      <c r="O2184" t="s">
        <v>5044</v>
      </c>
      <c r="P2184" t="s">
        <v>9647</v>
      </c>
      <c r="Q2184" t="s">
        <v>9421</v>
      </c>
      <c r="R2184" t="s">
        <v>84</v>
      </c>
      <c r="S2184" t="s">
        <v>600</v>
      </c>
      <c r="T2184" t="s">
        <v>602</v>
      </c>
    </row>
    <row r="2185" spans="1:20">
      <c r="A2185" t="s">
        <v>595</v>
      </c>
      <c r="B2185" t="s">
        <v>62</v>
      </c>
      <c r="C2185" t="s">
        <v>5042</v>
      </c>
      <c r="D2185" t="s">
        <v>9448</v>
      </c>
      <c r="E2185" t="s">
        <v>13356</v>
      </c>
      <c r="F2185" t="s">
        <v>9412</v>
      </c>
      <c r="G2185" t="s">
        <v>9413</v>
      </c>
      <c r="H2185" t="s">
        <v>12665</v>
      </c>
      <c r="I2185" t="s">
        <v>10191</v>
      </c>
      <c r="J2185" t="s">
        <v>445</v>
      </c>
      <c r="K2185" t="s">
        <v>9416</v>
      </c>
      <c r="L2185" t="s">
        <v>9417</v>
      </c>
      <c r="M2185" t="s">
        <v>12791</v>
      </c>
      <c r="N2185" t="s">
        <v>9446</v>
      </c>
      <c r="O2185" t="s">
        <v>5040</v>
      </c>
      <c r="P2185" t="s">
        <v>9651</v>
      </c>
      <c r="Q2185" t="s">
        <v>9421</v>
      </c>
      <c r="R2185" t="s">
        <v>56</v>
      </c>
      <c r="S2185" t="s">
        <v>596</v>
      </c>
      <c r="T2185" t="s">
        <v>598</v>
      </c>
    </row>
    <row r="2186" spans="1:20">
      <c r="A2186" t="s">
        <v>595</v>
      </c>
      <c r="B2186" t="s">
        <v>62</v>
      </c>
      <c r="C2186" t="s">
        <v>5042</v>
      </c>
      <c r="D2186" t="s">
        <v>9448</v>
      </c>
      <c r="E2186" t="s">
        <v>13356</v>
      </c>
      <c r="F2186" t="s">
        <v>9412</v>
      </c>
      <c r="G2186" t="s">
        <v>9413</v>
      </c>
      <c r="H2186" t="s">
        <v>12665</v>
      </c>
      <c r="I2186" t="s">
        <v>10191</v>
      </c>
      <c r="J2186" t="s">
        <v>445</v>
      </c>
      <c r="K2186" t="s">
        <v>9416</v>
      </c>
      <c r="L2186" t="s">
        <v>9417</v>
      </c>
      <c r="M2186" t="s">
        <v>12791</v>
      </c>
      <c r="N2186" t="s">
        <v>9446</v>
      </c>
      <c r="O2186" t="s">
        <v>5048</v>
      </c>
      <c r="P2186" t="s">
        <v>9655</v>
      </c>
      <c r="Q2186" t="s">
        <v>9421</v>
      </c>
      <c r="R2186" t="s">
        <v>56</v>
      </c>
      <c r="S2186" t="s">
        <v>606</v>
      </c>
      <c r="T2186" t="s">
        <v>608</v>
      </c>
    </row>
    <row r="2187" spans="1:20">
      <c r="A2187" t="s">
        <v>595</v>
      </c>
      <c r="B2187" t="s">
        <v>62</v>
      </c>
      <c r="C2187" t="s">
        <v>5042</v>
      </c>
      <c r="D2187" t="s">
        <v>9448</v>
      </c>
      <c r="E2187" t="s">
        <v>13356</v>
      </c>
      <c r="F2187" t="s">
        <v>9412</v>
      </c>
      <c r="G2187" t="s">
        <v>9413</v>
      </c>
      <c r="H2187" t="s">
        <v>12665</v>
      </c>
      <c r="I2187" t="s">
        <v>10191</v>
      </c>
      <c r="J2187" t="s">
        <v>445</v>
      </c>
      <c r="K2187" t="s">
        <v>9416</v>
      </c>
      <c r="L2187" t="s">
        <v>9417</v>
      </c>
      <c r="M2187" t="s">
        <v>12791</v>
      </c>
      <c r="N2187" t="s">
        <v>9446</v>
      </c>
      <c r="O2187" t="s">
        <v>5050</v>
      </c>
      <c r="P2187" t="s">
        <v>9655</v>
      </c>
      <c r="Q2187" t="s">
        <v>9421</v>
      </c>
      <c r="R2187" t="s">
        <v>56</v>
      </c>
      <c r="S2187" t="s">
        <v>609</v>
      </c>
      <c r="T2187" t="s">
        <v>611</v>
      </c>
    </row>
    <row r="2188" spans="1:20">
      <c r="A2188" t="s">
        <v>595</v>
      </c>
      <c r="B2188" t="s">
        <v>62</v>
      </c>
      <c r="C2188" t="s">
        <v>5042</v>
      </c>
      <c r="D2188" t="s">
        <v>9448</v>
      </c>
      <c r="E2188" t="s">
        <v>13356</v>
      </c>
      <c r="F2188" t="s">
        <v>9412</v>
      </c>
      <c r="G2188" t="s">
        <v>9413</v>
      </c>
      <c r="H2188" t="s">
        <v>12665</v>
      </c>
      <c r="I2188" t="s">
        <v>10191</v>
      </c>
      <c r="J2188" t="s">
        <v>445</v>
      </c>
      <c r="K2188" t="s">
        <v>9416</v>
      </c>
      <c r="L2188" t="s">
        <v>9417</v>
      </c>
      <c r="M2188" t="s">
        <v>12791</v>
      </c>
      <c r="N2188" t="s">
        <v>9446</v>
      </c>
      <c r="O2188" t="s">
        <v>5046</v>
      </c>
      <c r="P2188" t="s">
        <v>9655</v>
      </c>
      <c r="Q2188" t="s">
        <v>9421</v>
      </c>
      <c r="R2188" t="s">
        <v>56</v>
      </c>
      <c r="S2188" t="s">
        <v>603</v>
      </c>
      <c r="T2188" t="s">
        <v>605</v>
      </c>
    </row>
    <row r="2189" spans="1:20">
      <c r="A2189" t="s">
        <v>262</v>
      </c>
      <c r="B2189" t="s">
        <v>9409</v>
      </c>
      <c r="C2189" t="s">
        <v>13357</v>
      </c>
      <c r="D2189" t="s">
        <v>9410</v>
      </c>
      <c r="E2189" t="s">
        <v>13358</v>
      </c>
      <c r="F2189" t="s">
        <v>9601</v>
      </c>
      <c r="G2189" t="s">
        <v>9413</v>
      </c>
      <c r="H2189" t="s">
        <v>12665</v>
      </c>
      <c r="I2189" t="s">
        <v>9674</v>
      </c>
      <c r="J2189" t="s">
        <v>445</v>
      </c>
      <c r="K2189" t="s">
        <v>9445</v>
      </c>
      <c r="L2189" t="s">
        <v>9417</v>
      </c>
      <c r="M2189" t="s">
        <v>12706</v>
      </c>
      <c r="N2189" t="s">
        <v>12682</v>
      </c>
      <c r="O2189" t="s">
        <v>9446</v>
      </c>
      <c r="P2189" t="s">
        <v>9603</v>
      </c>
      <c r="Q2189" t="s">
        <v>9421</v>
      </c>
      <c r="R2189" t="s">
        <v>9604</v>
      </c>
      <c r="S2189" t="s">
        <v>13327</v>
      </c>
      <c r="T2189" t="s">
        <v>13328</v>
      </c>
    </row>
    <row r="2190" spans="1:20">
      <c r="A2190" t="s">
        <v>612</v>
      </c>
      <c r="B2190" t="s">
        <v>20</v>
      </c>
      <c r="C2190" t="s">
        <v>5054</v>
      </c>
      <c r="D2190" t="s">
        <v>9455</v>
      </c>
      <c r="E2190" t="s">
        <v>13359</v>
      </c>
      <c r="F2190" t="s">
        <v>9412</v>
      </c>
      <c r="G2190" t="s">
        <v>9413</v>
      </c>
      <c r="H2190" t="s">
        <v>12665</v>
      </c>
      <c r="I2190" t="s">
        <v>10186</v>
      </c>
      <c r="J2190" t="s">
        <v>445</v>
      </c>
      <c r="K2190" t="s">
        <v>9416</v>
      </c>
      <c r="L2190" t="s">
        <v>9417</v>
      </c>
      <c r="M2190" t="s">
        <v>12710</v>
      </c>
      <c r="N2190" t="s">
        <v>9446</v>
      </c>
      <c r="O2190" t="s">
        <v>5064</v>
      </c>
      <c r="P2190" t="s">
        <v>9655</v>
      </c>
      <c r="Q2190" t="s">
        <v>9421</v>
      </c>
      <c r="R2190" t="s">
        <v>56</v>
      </c>
      <c r="S2190" t="s">
        <v>629</v>
      </c>
      <c r="T2190" t="s">
        <v>631</v>
      </c>
    </row>
    <row r="2191" spans="1:20">
      <c r="A2191" t="s">
        <v>612</v>
      </c>
      <c r="B2191" t="s">
        <v>20</v>
      </c>
      <c r="C2191" t="s">
        <v>5054</v>
      </c>
      <c r="D2191" t="s">
        <v>9455</v>
      </c>
      <c r="E2191" t="s">
        <v>13359</v>
      </c>
      <c r="F2191" t="s">
        <v>9412</v>
      </c>
      <c r="G2191" t="s">
        <v>9413</v>
      </c>
      <c r="H2191" t="s">
        <v>12665</v>
      </c>
      <c r="I2191" t="s">
        <v>10186</v>
      </c>
      <c r="J2191" t="s">
        <v>445</v>
      </c>
      <c r="K2191" t="s">
        <v>9416</v>
      </c>
      <c r="L2191" t="s">
        <v>9417</v>
      </c>
      <c r="M2191" t="s">
        <v>12710</v>
      </c>
      <c r="N2191" t="s">
        <v>9446</v>
      </c>
      <c r="O2191" t="s">
        <v>5060</v>
      </c>
      <c r="P2191" t="s">
        <v>9655</v>
      </c>
      <c r="Q2191" t="s">
        <v>9421</v>
      </c>
      <c r="R2191" t="s">
        <v>56</v>
      </c>
      <c r="S2191" t="s">
        <v>623</v>
      </c>
      <c r="T2191" t="s">
        <v>625</v>
      </c>
    </row>
    <row r="2192" spans="1:20">
      <c r="A2192" t="s">
        <v>612</v>
      </c>
      <c r="B2192" t="s">
        <v>20</v>
      </c>
      <c r="C2192" t="s">
        <v>5054</v>
      </c>
      <c r="D2192" t="s">
        <v>9455</v>
      </c>
      <c r="E2192" t="s">
        <v>13359</v>
      </c>
      <c r="F2192" t="s">
        <v>9412</v>
      </c>
      <c r="G2192" t="s">
        <v>9413</v>
      </c>
      <c r="H2192" t="s">
        <v>12665</v>
      </c>
      <c r="I2192" t="s">
        <v>10186</v>
      </c>
      <c r="J2192" t="s">
        <v>445</v>
      </c>
      <c r="K2192" t="s">
        <v>9416</v>
      </c>
      <c r="L2192" t="s">
        <v>9417</v>
      </c>
      <c r="M2192" t="s">
        <v>12710</v>
      </c>
      <c r="N2192" t="s">
        <v>9446</v>
      </c>
      <c r="O2192" t="s">
        <v>5062</v>
      </c>
      <c r="P2192" t="s">
        <v>9655</v>
      </c>
      <c r="Q2192" t="s">
        <v>9421</v>
      </c>
      <c r="R2192" t="s">
        <v>56</v>
      </c>
      <c r="S2192" t="s">
        <v>626</v>
      </c>
      <c r="T2192" t="s">
        <v>628</v>
      </c>
    </row>
    <row r="2193" spans="1:20">
      <c r="A2193" t="s">
        <v>612</v>
      </c>
      <c r="B2193" t="s">
        <v>20</v>
      </c>
      <c r="C2193" t="s">
        <v>5054</v>
      </c>
      <c r="D2193" t="s">
        <v>9455</v>
      </c>
      <c r="E2193" t="s">
        <v>13359</v>
      </c>
      <c r="F2193" t="s">
        <v>9412</v>
      </c>
      <c r="G2193" t="s">
        <v>9413</v>
      </c>
      <c r="H2193" t="s">
        <v>12665</v>
      </c>
      <c r="I2193" t="s">
        <v>10186</v>
      </c>
      <c r="J2193" t="s">
        <v>445</v>
      </c>
      <c r="K2193" t="s">
        <v>9416</v>
      </c>
      <c r="L2193" t="s">
        <v>9417</v>
      </c>
      <c r="M2193" t="s">
        <v>12710</v>
      </c>
      <c r="N2193" t="s">
        <v>9446</v>
      </c>
      <c r="O2193" t="s">
        <v>5056</v>
      </c>
      <c r="P2193" t="s">
        <v>9655</v>
      </c>
      <c r="Q2193" t="s">
        <v>9421</v>
      </c>
      <c r="R2193" t="s">
        <v>56</v>
      </c>
      <c r="S2193" t="s">
        <v>617</v>
      </c>
      <c r="T2193" t="s">
        <v>619</v>
      </c>
    </row>
    <row r="2194" spans="1:20">
      <c r="A2194" t="s">
        <v>612</v>
      </c>
      <c r="B2194" t="s">
        <v>20</v>
      </c>
      <c r="C2194" t="s">
        <v>5054</v>
      </c>
      <c r="D2194" t="s">
        <v>9455</v>
      </c>
      <c r="E2194" t="s">
        <v>13359</v>
      </c>
      <c r="F2194" t="s">
        <v>9412</v>
      </c>
      <c r="G2194" t="s">
        <v>9413</v>
      </c>
      <c r="H2194" t="s">
        <v>12665</v>
      </c>
      <c r="I2194" t="s">
        <v>10186</v>
      </c>
      <c r="J2194" t="s">
        <v>445</v>
      </c>
      <c r="K2194" t="s">
        <v>9416</v>
      </c>
      <c r="L2194" t="s">
        <v>9417</v>
      </c>
      <c r="M2194" t="s">
        <v>12710</v>
      </c>
      <c r="N2194" t="s">
        <v>9446</v>
      </c>
      <c r="O2194" t="s">
        <v>5052</v>
      </c>
      <c r="P2194" t="s">
        <v>9647</v>
      </c>
      <c r="Q2194" t="s">
        <v>9421</v>
      </c>
      <c r="R2194" t="s">
        <v>84</v>
      </c>
      <c r="S2194" t="s">
        <v>613</v>
      </c>
      <c r="T2194" t="s">
        <v>615</v>
      </c>
    </row>
    <row r="2195" spans="1:20">
      <c r="A2195" t="s">
        <v>612</v>
      </c>
      <c r="B2195" t="s">
        <v>20</v>
      </c>
      <c r="C2195" t="s">
        <v>5054</v>
      </c>
      <c r="D2195" t="s">
        <v>9455</v>
      </c>
      <c r="E2195" t="s">
        <v>13359</v>
      </c>
      <c r="F2195" t="s">
        <v>9412</v>
      </c>
      <c r="G2195" t="s">
        <v>9413</v>
      </c>
      <c r="H2195" t="s">
        <v>12665</v>
      </c>
      <c r="I2195" t="s">
        <v>10186</v>
      </c>
      <c r="J2195" t="s">
        <v>445</v>
      </c>
      <c r="K2195" t="s">
        <v>9416</v>
      </c>
      <c r="L2195" t="s">
        <v>9417</v>
      </c>
      <c r="M2195" t="s">
        <v>12710</v>
      </c>
      <c r="N2195" t="s">
        <v>9446</v>
      </c>
      <c r="O2195" t="s">
        <v>5058</v>
      </c>
      <c r="P2195" t="s">
        <v>9655</v>
      </c>
      <c r="Q2195" t="s">
        <v>9421</v>
      </c>
      <c r="R2195" t="s">
        <v>56</v>
      </c>
      <c r="S2195" t="s">
        <v>620</v>
      </c>
      <c r="T2195" t="s">
        <v>622</v>
      </c>
    </row>
    <row r="2196" spans="1:20">
      <c r="A2196" t="s">
        <v>632</v>
      </c>
      <c r="B2196" t="s">
        <v>20</v>
      </c>
      <c r="C2196" t="s">
        <v>5066</v>
      </c>
      <c r="D2196" t="s">
        <v>9666</v>
      </c>
      <c r="E2196" t="s">
        <v>13360</v>
      </c>
      <c r="F2196" t="s">
        <v>9412</v>
      </c>
      <c r="G2196" t="s">
        <v>9413</v>
      </c>
      <c r="H2196" t="s">
        <v>12665</v>
      </c>
      <c r="I2196" t="s">
        <v>9813</v>
      </c>
      <c r="J2196" t="s">
        <v>445</v>
      </c>
      <c r="K2196" t="s">
        <v>9445</v>
      </c>
      <c r="L2196" t="s">
        <v>9417</v>
      </c>
      <c r="M2196" t="s">
        <v>12791</v>
      </c>
      <c r="N2196" t="s">
        <v>9426</v>
      </c>
      <c r="O2196" t="s">
        <v>9446</v>
      </c>
      <c r="P2196" t="s">
        <v>9567</v>
      </c>
      <c r="Q2196" t="s">
        <v>9421</v>
      </c>
      <c r="R2196" t="s">
        <v>43</v>
      </c>
      <c r="S2196" t="s">
        <v>40</v>
      </c>
      <c r="T2196" t="s">
        <v>42</v>
      </c>
    </row>
    <row r="2197" spans="1:20">
      <c r="A2197" t="s">
        <v>632</v>
      </c>
      <c r="B2197" t="s">
        <v>20</v>
      </c>
      <c r="C2197" t="s">
        <v>5066</v>
      </c>
      <c r="D2197" t="s">
        <v>9666</v>
      </c>
      <c r="E2197" t="s">
        <v>13360</v>
      </c>
      <c r="F2197" t="s">
        <v>9412</v>
      </c>
      <c r="G2197" t="s">
        <v>9413</v>
      </c>
      <c r="H2197" t="s">
        <v>12665</v>
      </c>
      <c r="I2197" t="s">
        <v>9813</v>
      </c>
      <c r="J2197" t="s">
        <v>445</v>
      </c>
      <c r="K2197" t="s">
        <v>9416</v>
      </c>
      <c r="L2197" t="s">
        <v>9417</v>
      </c>
      <c r="M2197" t="s">
        <v>12791</v>
      </c>
      <c r="N2197" t="s">
        <v>9446</v>
      </c>
      <c r="O2197" t="s">
        <v>5068</v>
      </c>
      <c r="P2197" t="s">
        <v>9655</v>
      </c>
      <c r="Q2197" t="s">
        <v>9421</v>
      </c>
      <c r="R2197" t="s">
        <v>56</v>
      </c>
      <c r="S2197" t="s">
        <v>634</v>
      </c>
      <c r="T2197" t="s">
        <v>636</v>
      </c>
    </row>
    <row r="2198" spans="1:20">
      <c r="A2198" t="s">
        <v>632</v>
      </c>
      <c r="B2198" t="s">
        <v>20</v>
      </c>
      <c r="C2198" t="s">
        <v>5066</v>
      </c>
      <c r="D2198" t="s">
        <v>9666</v>
      </c>
      <c r="E2198" t="s">
        <v>13360</v>
      </c>
      <c r="F2198" t="s">
        <v>9412</v>
      </c>
      <c r="G2198" t="s">
        <v>9413</v>
      </c>
      <c r="H2198" t="s">
        <v>12665</v>
      </c>
      <c r="I2198" t="s">
        <v>9813</v>
      </c>
      <c r="J2198" t="s">
        <v>445</v>
      </c>
      <c r="K2198" t="s">
        <v>9445</v>
      </c>
      <c r="L2198" t="s">
        <v>9417</v>
      </c>
      <c r="M2198" t="s">
        <v>12791</v>
      </c>
      <c r="N2198" t="s">
        <v>9426</v>
      </c>
      <c r="O2198" t="s">
        <v>9446</v>
      </c>
      <c r="P2198" t="s">
        <v>9655</v>
      </c>
      <c r="Q2198" t="s">
        <v>9421</v>
      </c>
      <c r="R2198" t="s">
        <v>56</v>
      </c>
      <c r="S2198" t="s">
        <v>592</v>
      </c>
      <c r="T2198" t="s">
        <v>594</v>
      </c>
    </row>
    <row r="2199" spans="1:20">
      <c r="A2199" t="s">
        <v>632</v>
      </c>
      <c r="B2199" t="s">
        <v>20</v>
      </c>
      <c r="C2199" t="s">
        <v>5066</v>
      </c>
      <c r="D2199" t="s">
        <v>9666</v>
      </c>
      <c r="E2199" t="s">
        <v>13360</v>
      </c>
      <c r="F2199" t="s">
        <v>9412</v>
      </c>
      <c r="G2199" t="s">
        <v>9413</v>
      </c>
      <c r="H2199" t="s">
        <v>12665</v>
      </c>
      <c r="I2199" t="s">
        <v>9813</v>
      </c>
      <c r="J2199" t="s">
        <v>445</v>
      </c>
      <c r="K2199" t="s">
        <v>9416</v>
      </c>
      <c r="L2199" t="s">
        <v>9417</v>
      </c>
      <c r="M2199" t="s">
        <v>12791</v>
      </c>
      <c r="N2199" t="s">
        <v>9446</v>
      </c>
      <c r="O2199" t="s">
        <v>5072</v>
      </c>
      <c r="P2199" t="s">
        <v>9655</v>
      </c>
      <c r="Q2199" t="s">
        <v>9421</v>
      </c>
      <c r="R2199" t="s">
        <v>56</v>
      </c>
      <c r="S2199" t="s">
        <v>632</v>
      </c>
      <c r="T2199" t="s">
        <v>641</v>
      </c>
    </row>
    <row r="2200" spans="1:20">
      <c r="A2200" t="s">
        <v>632</v>
      </c>
      <c r="B2200" t="s">
        <v>20</v>
      </c>
      <c r="C2200" t="s">
        <v>5066</v>
      </c>
      <c r="D2200" t="s">
        <v>9666</v>
      </c>
      <c r="E2200" t="s">
        <v>13360</v>
      </c>
      <c r="F2200" t="s">
        <v>9412</v>
      </c>
      <c r="G2200" t="s">
        <v>9413</v>
      </c>
      <c r="H2200" t="s">
        <v>12665</v>
      </c>
      <c r="I2200" t="s">
        <v>9813</v>
      </c>
      <c r="J2200" t="s">
        <v>445</v>
      </c>
      <c r="K2200" t="s">
        <v>9416</v>
      </c>
      <c r="L2200" t="s">
        <v>9417</v>
      </c>
      <c r="M2200" t="s">
        <v>12791</v>
      </c>
      <c r="N2200" t="s">
        <v>9446</v>
      </c>
      <c r="O2200" t="s">
        <v>5070</v>
      </c>
      <c r="P2200" t="s">
        <v>9655</v>
      </c>
      <c r="Q2200" t="s">
        <v>9421</v>
      </c>
      <c r="R2200" t="s">
        <v>56</v>
      </c>
      <c r="S2200" t="s">
        <v>637</v>
      </c>
      <c r="T2200" t="s">
        <v>639</v>
      </c>
    </row>
    <row r="2201" spans="1:20">
      <c r="A2201" t="s">
        <v>314</v>
      </c>
      <c r="B2201" t="s">
        <v>62</v>
      </c>
      <c r="C2201" t="s">
        <v>13361</v>
      </c>
      <c r="D2201" t="s">
        <v>9410</v>
      </c>
      <c r="E2201" t="s">
        <v>13362</v>
      </c>
      <c r="F2201" t="s">
        <v>9601</v>
      </c>
      <c r="G2201" t="s">
        <v>9413</v>
      </c>
      <c r="H2201" t="s">
        <v>12665</v>
      </c>
      <c r="I2201" t="s">
        <v>9830</v>
      </c>
      <c r="J2201" t="s">
        <v>445</v>
      </c>
      <c r="K2201" t="s">
        <v>9445</v>
      </c>
      <c r="L2201" t="s">
        <v>9417</v>
      </c>
      <c r="M2201" t="s">
        <v>12710</v>
      </c>
      <c r="N2201" t="s">
        <v>12682</v>
      </c>
      <c r="O2201" t="s">
        <v>9446</v>
      </c>
      <c r="P2201" t="s">
        <v>9603</v>
      </c>
      <c r="Q2201" t="s">
        <v>9421</v>
      </c>
      <c r="R2201" t="s">
        <v>9604</v>
      </c>
      <c r="S2201" t="s">
        <v>13327</v>
      </c>
      <c r="T2201" t="s">
        <v>13328</v>
      </c>
    </row>
    <row r="2202" spans="1:20">
      <c r="A2202" t="s">
        <v>13363</v>
      </c>
      <c r="B2202" t="s">
        <v>9409</v>
      </c>
      <c r="C2202" t="s">
        <v>13364</v>
      </c>
      <c r="D2202" t="s">
        <v>9410</v>
      </c>
      <c r="E2202" t="s">
        <v>13365</v>
      </c>
      <c r="F2202" t="s">
        <v>9601</v>
      </c>
      <c r="G2202" t="s">
        <v>9413</v>
      </c>
      <c r="H2202" t="s">
        <v>12</v>
      </c>
      <c r="I2202" t="s">
        <v>9637</v>
      </c>
      <c r="J2202" t="s">
        <v>445</v>
      </c>
      <c r="K2202" t="s">
        <v>9416</v>
      </c>
      <c r="L2202" t="s">
        <v>9417</v>
      </c>
      <c r="M2202" t="s">
        <v>12710</v>
      </c>
      <c r="N2202" t="s">
        <v>12682</v>
      </c>
      <c r="O2202" t="s">
        <v>13366</v>
      </c>
      <c r="P2202" t="s">
        <v>9603</v>
      </c>
      <c r="Q2202" t="s">
        <v>9421</v>
      </c>
      <c r="R2202" t="s">
        <v>9604</v>
      </c>
      <c r="S2202" t="s">
        <v>13327</v>
      </c>
      <c r="T2202" t="s">
        <v>13328</v>
      </c>
    </row>
    <row r="2203" spans="1:20">
      <c r="A2203" t="s">
        <v>642</v>
      </c>
      <c r="B2203" t="s">
        <v>20</v>
      </c>
      <c r="C2203" t="s">
        <v>5076</v>
      </c>
      <c r="D2203" t="s">
        <v>9475</v>
      </c>
      <c r="E2203" t="s">
        <v>13367</v>
      </c>
      <c r="F2203" t="s">
        <v>9412</v>
      </c>
      <c r="G2203" t="s">
        <v>9413</v>
      </c>
      <c r="H2203" t="s">
        <v>12665</v>
      </c>
      <c r="I2203" t="s">
        <v>10265</v>
      </c>
      <c r="J2203" t="s">
        <v>445</v>
      </c>
      <c r="K2203" t="s">
        <v>9416</v>
      </c>
      <c r="L2203" t="s">
        <v>9417</v>
      </c>
      <c r="M2203" t="s">
        <v>12791</v>
      </c>
      <c r="N2203" t="s">
        <v>9446</v>
      </c>
      <c r="O2203" t="s">
        <v>5074</v>
      </c>
      <c r="P2203" t="s">
        <v>9651</v>
      </c>
      <c r="Q2203" t="s">
        <v>9421</v>
      </c>
      <c r="R2203" t="s">
        <v>56</v>
      </c>
      <c r="S2203" t="s">
        <v>642</v>
      </c>
      <c r="T2203" t="s">
        <v>644</v>
      </c>
    </row>
    <row r="2204" spans="1:20">
      <c r="A2204" t="s">
        <v>207</v>
      </c>
      <c r="B2204" t="s">
        <v>62</v>
      </c>
      <c r="C2204" t="s">
        <v>13368</v>
      </c>
      <c r="D2204" t="s">
        <v>445</v>
      </c>
      <c r="E2204" t="s">
        <v>13369</v>
      </c>
      <c r="F2204" t="s">
        <v>9412</v>
      </c>
      <c r="G2204" t="s">
        <v>9413</v>
      </c>
      <c r="H2204" t="s">
        <v>12</v>
      </c>
      <c r="I2204" t="s">
        <v>10597</v>
      </c>
      <c r="J2204" t="s">
        <v>445</v>
      </c>
      <c r="K2204" t="s">
        <v>9445</v>
      </c>
      <c r="L2204" t="s">
        <v>9417</v>
      </c>
      <c r="M2204" t="s">
        <v>12791</v>
      </c>
      <c r="N2204" t="s">
        <v>12682</v>
      </c>
      <c r="O2204" t="s">
        <v>9446</v>
      </c>
      <c r="P2204" t="s">
        <v>9420</v>
      </c>
      <c r="Q2204" t="s">
        <v>9421</v>
      </c>
      <c r="R2204" t="s">
        <v>17</v>
      </c>
      <c r="S2204" t="s">
        <v>580</v>
      </c>
      <c r="T2204" t="s">
        <v>582</v>
      </c>
    </row>
    <row r="2205" spans="1:20">
      <c r="A2205" t="s">
        <v>251</v>
      </c>
      <c r="B2205" t="s">
        <v>20</v>
      </c>
      <c r="C2205" t="s">
        <v>4666</v>
      </c>
      <c r="D2205" t="s">
        <v>9666</v>
      </c>
      <c r="E2205" t="s">
        <v>13370</v>
      </c>
      <c r="F2205" t="s">
        <v>9412</v>
      </c>
      <c r="G2205" t="s">
        <v>9413</v>
      </c>
      <c r="H2205" t="s">
        <v>12665</v>
      </c>
      <c r="I2205" t="s">
        <v>9736</v>
      </c>
      <c r="J2205" t="s">
        <v>147</v>
      </c>
      <c r="K2205" t="s">
        <v>9416</v>
      </c>
      <c r="L2205" t="s">
        <v>9417</v>
      </c>
      <c r="M2205" t="s">
        <v>12924</v>
      </c>
      <c r="N2205" t="s">
        <v>9446</v>
      </c>
      <c r="O2205" t="s">
        <v>4670</v>
      </c>
      <c r="P2205" t="s">
        <v>9647</v>
      </c>
      <c r="Q2205" t="s">
        <v>9421</v>
      </c>
      <c r="R2205" t="s">
        <v>84</v>
      </c>
      <c r="S2205" t="s">
        <v>256</v>
      </c>
      <c r="T2205" t="s">
        <v>258</v>
      </c>
    </row>
    <row r="2206" spans="1:20">
      <c r="A2206" t="s">
        <v>251</v>
      </c>
      <c r="B2206" t="s">
        <v>20</v>
      </c>
      <c r="C2206" t="s">
        <v>4666</v>
      </c>
      <c r="D2206" t="s">
        <v>9666</v>
      </c>
      <c r="E2206" t="s">
        <v>13370</v>
      </c>
      <c r="F2206" t="s">
        <v>9412</v>
      </c>
      <c r="G2206" t="s">
        <v>9413</v>
      </c>
      <c r="H2206" t="s">
        <v>12665</v>
      </c>
      <c r="I2206" t="s">
        <v>9736</v>
      </c>
      <c r="J2206" t="s">
        <v>147</v>
      </c>
      <c r="K2206" t="s">
        <v>9416</v>
      </c>
      <c r="L2206" t="s">
        <v>9417</v>
      </c>
      <c r="M2206" t="s">
        <v>12924</v>
      </c>
      <c r="N2206" t="s">
        <v>9446</v>
      </c>
      <c r="O2206" t="s">
        <v>4674</v>
      </c>
      <c r="P2206" t="s">
        <v>9655</v>
      </c>
      <c r="Q2206" t="s">
        <v>9421</v>
      </c>
      <c r="R2206" t="s">
        <v>56</v>
      </c>
      <c r="S2206" t="s">
        <v>262</v>
      </c>
      <c r="T2206" t="s">
        <v>264</v>
      </c>
    </row>
    <row r="2207" spans="1:20">
      <c r="A2207" t="s">
        <v>251</v>
      </c>
      <c r="B2207" t="s">
        <v>20</v>
      </c>
      <c r="C2207" t="s">
        <v>4666</v>
      </c>
      <c r="D2207" t="s">
        <v>9666</v>
      </c>
      <c r="E2207" t="s">
        <v>13370</v>
      </c>
      <c r="F2207" t="s">
        <v>9412</v>
      </c>
      <c r="G2207" t="s">
        <v>9413</v>
      </c>
      <c r="H2207" t="s">
        <v>12665</v>
      </c>
      <c r="I2207" t="s">
        <v>9736</v>
      </c>
      <c r="J2207" t="s">
        <v>147</v>
      </c>
      <c r="K2207" t="s">
        <v>9416</v>
      </c>
      <c r="L2207" t="s">
        <v>9417</v>
      </c>
      <c r="M2207" t="s">
        <v>12924</v>
      </c>
      <c r="N2207" t="s">
        <v>9446</v>
      </c>
      <c r="O2207" t="s">
        <v>4676</v>
      </c>
      <c r="P2207" t="s">
        <v>9655</v>
      </c>
      <c r="Q2207" t="s">
        <v>9421</v>
      </c>
      <c r="R2207" t="s">
        <v>56</v>
      </c>
      <c r="S2207" t="s">
        <v>265</v>
      </c>
      <c r="T2207" t="s">
        <v>267</v>
      </c>
    </row>
    <row r="2208" spans="1:20">
      <c r="A2208" t="s">
        <v>251</v>
      </c>
      <c r="B2208" t="s">
        <v>20</v>
      </c>
      <c r="C2208" t="s">
        <v>4666</v>
      </c>
      <c r="D2208" t="s">
        <v>9666</v>
      </c>
      <c r="E2208" t="s">
        <v>13370</v>
      </c>
      <c r="F2208" t="s">
        <v>9412</v>
      </c>
      <c r="G2208" t="s">
        <v>9413</v>
      </c>
      <c r="H2208" t="s">
        <v>12665</v>
      </c>
      <c r="I2208" t="s">
        <v>9736</v>
      </c>
      <c r="J2208" t="s">
        <v>147</v>
      </c>
      <c r="K2208" t="s">
        <v>9416</v>
      </c>
      <c r="L2208" t="s">
        <v>9417</v>
      </c>
      <c r="M2208" t="s">
        <v>12924</v>
      </c>
      <c r="N2208" t="s">
        <v>9446</v>
      </c>
      <c r="O2208" t="s">
        <v>4678</v>
      </c>
      <c r="P2208" t="s">
        <v>9655</v>
      </c>
      <c r="Q2208" t="s">
        <v>9421</v>
      </c>
      <c r="R2208" t="s">
        <v>56</v>
      </c>
      <c r="S2208" t="s">
        <v>268</v>
      </c>
      <c r="T2208" t="s">
        <v>270</v>
      </c>
    </row>
    <row r="2209" spans="1:20">
      <c r="A2209" t="s">
        <v>251</v>
      </c>
      <c r="B2209" t="s">
        <v>20</v>
      </c>
      <c r="C2209" t="s">
        <v>4666</v>
      </c>
      <c r="D2209" t="s">
        <v>9666</v>
      </c>
      <c r="E2209" t="s">
        <v>13370</v>
      </c>
      <c r="F2209" t="s">
        <v>9412</v>
      </c>
      <c r="G2209" t="s">
        <v>9413</v>
      </c>
      <c r="H2209" t="s">
        <v>12665</v>
      </c>
      <c r="I2209" t="s">
        <v>9736</v>
      </c>
      <c r="J2209" t="s">
        <v>147</v>
      </c>
      <c r="K2209" t="s">
        <v>9445</v>
      </c>
      <c r="L2209" t="s">
        <v>9417</v>
      </c>
      <c r="M2209" t="s">
        <v>12924</v>
      </c>
      <c r="N2209" t="s">
        <v>9426</v>
      </c>
      <c r="O2209" t="s">
        <v>9446</v>
      </c>
      <c r="P2209" t="s">
        <v>9479</v>
      </c>
      <c r="Q2209" t="s">
        <v>9421</v>
      </c>
      <c r="R2209" t="s">
        <v>43</v>
      </c>
      <c r="S2209" t="s">
        <v>58</v>
      </c>
      <c r="T2209" t="s">
        <v>60</v>
      </c>
    </row>
    <row r="2210" spans="1:20">
      <c r="A2210" t="s">
        <v>251</v>
      </c>
      <c r="B2210" t="s">
        <v>20</v>
      </c>
      <c r="C2210" t="s">
        <v>4666</v>
      </c>
      <c r="D2210" t="s">
        <v>9666</v>
      </c>
      <c r="E2210" t="s">
        <v>13370</v>
      </c>
      <c r="F2210" t="s">
        <v>9412</v>
      </c>
      <c r="G2210" t="s">
        <v>9413</v>
      </c>
      <c r="H2210" t="s">
        <v>12665</v>
      </c>
      <c r="I2210" t="s">
        <v>9736</v>
      </c>
      <c r="J2210" t="s">
        <v>147</v>
      </c>
      <c r="K2210" t="s">
        <v>9416</v>
      </c>
      <c r="L2210" t="s">
        <v>9417</v>
      </c>
      <c r="M2210" t="s">
        <v>12924</v>
      </c>
      <c r="N2210" t="s">
        <v>9446</v>
      </c>
      <c r="O2210" t="s">
        <v>4668</v>
      </c>
      <c r="P2210" t="s">
        <v>9655</v>
      </c>
      <c r="Q2210" t="s">
        <v>9421</v>
      </c>
      <c r="R2210" t="s">
        <v>56</v>
      </c>
      <c r="S2210" t="s">
        <v>253</v>
      </c>
      <c r="T2210" t="s">
        <v>255</v>
      </c>
    </row>
    <row r="2211" spans="1:20">
      <c r="A2211" t="s">
        <v>251</v>
      </c>
      <c r="B2211" t="s">
        <v>20</v>
      </c>
      <c r="C2211" t="s">
        <v>4666</v>
      </c>
      <c r="D2211" t="s">
        <v>9666</v>
      </c>
      <c r="E2211" t="s">
        <v>13370</v>
      </c>
      <c r="F2211" t="s">
        <v>9412</v>
      </c>
      <c r="G2211" t="s">
        <v>9413</v>
      </c>
      <c r="H2211" t="s">
        <v>12665</v>
      </c>
      <c r="I2211" t="s">
        <v>9736</v>
      </c>
      <c r="J2211" t="s">
        <v>147</v>
      </c>
      <c r="K2211" t="s">
        <v>9416</v>
      </c>
      <c r="L2211" t="s">
        <v>9417</v>
      </c>
      <c r="M2211" t="s">
        <v>12924</v>
      </c>
      <c r="N2211" t="s">
        <v>9446</v>
      </c>
      <c r="O2211" t="s">
        <v>4672</v>
      </c>
      <c r="P2211" t="s">
        <v>9651</v>
      </c>
      <c r="Q2211" t="s">
        <v>9421</v>
      </c>
      <c r="R2211" t="s">
        <v>56</v>
      </c>
      <c r="S2211" t="s">
        <v>259</v>
      </c>
      <c r="T2211" t="s">
        <v>261</v>
      </c>
    </row>
    <row r="2212" spans="1:20">
      <c r="A2212" t="s">
        <v>890</v>
      </c>
      <c r="B2212" t="s">
        <v>20</v>
      </c>
      <c r="C2212" t="s">
        <v>5295</v>
      </c>
      <c r="D2212" t="s">
        <v>9677</v>
      </c>
      <c r="E2212" t="s">
        <v>13371</v>
      </c>
      <c r="F2212" t="s">
        <v>9412</v>
      </c>
      <c r="G2212" t="s">
        <v>9413</v>
      </c>
      <c r="H2212" t="s">
        <v>12665</v>
      </c>
      <c r="I2212" t="s">
        <v>10452</v>
      </c>
      <c r="J2212" t="s">
        <v>710</v>
      </c>
      <c r="K2212" t="s">
        <v>9416</v>
      </c>
      <c r="L2212" t="s">
        <v>9417</v>
      </c>
      <c r="M2212" t="s">
        <v>13210</v>
      </c>
      <c r="N2212" t="s">
        <v>9426</v>
      </c>
      <c r="O2212" t="s">
        <v>4876</v>
      </c>
      <c r="P2212" t="s">
        <v>9647</v>
      </c>
      <c r="Q2212" t="s">
        <v>9421</v>
      </c>
      <c r="R2212" t="s">
        <v>84</v>
      </c>
      <c r="S2212" t="s">
        <v>801</v>
      </c>
      <c r="T2212" t="s">
        <v>803</v>
      </c>
    </row>
    <row r="2213" spans="1:20">
      <c r="A2213" t="s">
        <v>890</v>
      </c>
      <c r="B2213" t="s">
        <v>20</v>
      </c>
      <c r="C2213" t="s">
        <v>5295</v>
      </c>
      <c r="D2213" t="s">
        <v>9677</v>
      </c>
      <c r="E2213" t="s">
        <v>13371</v>
      </c>
      <c r="F2213" t="s">
        <v>9412</v>
      </c>
      <c r="G2213" t="s">
        <v>9413</v>
      </c>
      <c r="H2213" t="s">
        <v>12665</v>
      </c>
      <c r="I2213" t="s">
        <v>10452</v>
      </c>
      <c r="J2213" t="s">
        <v>710</v>
      </c>
      <c r="K2213" t="s">
        <v>9416</v>
      </c>
      <c r="L2213" t="s">
        <v>9417</v>
      </c>
      <c r="M2213" t="s">
        <v>13210</v>
      </c>
      <c r="N2213" t="s">
        <v>9446</v>
      </c>
      <c r="O2213" t="s">
        <v>5297</v>
      </c>
      <c r="P2213" t="s">
        <v>9655</v>
      </c>
      <c r="Q2213" t="s">
        <v>9421</v>
      </c>
      <c r="R2213" t="s">
        <v>56</v>
      </c>
      <c r="S2213" t="s">
        <v>892</v>
      </c>
      <c r="T2213" t="s">
        <v>894</v>
      </c>
    </row>
    <row r="2214" spans="1:20">
      <c r="A2214" t="s">
        <v>890</v>
      </c>
      <c r="B2214" t="s">
        <v>20</v>
      </c>
      <c r="C2214" t="s">
        <v>5295</v>
      </c>
      <c r="D2214" t="s">
        <v>9677</v>
      </c>
      <c r="E2214" t="s">
        <v>13371</v>
      </c>
      <c r="F2214" t="s">
        <v>9412</v>
      </c>
      <c r="G2214" t="s">
        <v>9413</v>
      </c>
      <c r="H2214" t="s">
        <v>12665</v>
      </c>
      <c r="I2214" t="s">
        <v>10452</v>
      </c>
      <c r="J2214" t="s">
        <v>710</v>
      </c>
      <c r="K2214" t="s">
        <v>9416</v>
      </c>
      <c r="L2214" t="s">
        <v>9417</v>
      </c>
      <c r="M2214" t="s">
        <v>13210</v>
      </c>
      <c r="N2214" t="s">
        <v>9446</v>
      </c>
      <c r="O2214" t="s">
        <v>5299</v>
      </c>
      <c r="P2214" t="s">
        <v>9655</v>
      </c>
      <c r="Q2214" t="s">
        <v>9421</v>
      </c>
      <c r="R2214" t="s">
        <v>56</v>
      </c>
      <c r="S2214" t="s">
        <v>890</v>
      </c>
      <c r="T2214" t="s">
        <v>896</v>
      </c>
    </row>
    <row r="2215" spans="1:20">
      <c r="A2215" t="s">
        <v>419</v>
      </c>
      <c r="B2215" t="s">
        <v>62</v>
      </c>
      <c r="C2215" t="s">
        <v>4838</v>
      </c>
      <c r="D2215" t="s">
        <v>445</v>
      </c>
      <c r="E2215" t="s">
        <v>13372</v>
      </c>
      <c r="F2215" t="s">
        <v>9412</v>
      </c>
      <c r="G2215" t="s">
        <v>9413</v>
      </c>
      <c r="H2215" t="s">
        <v>12665</v>
      </c>
      <c r="I2215" t="s">
        <v>9714</v>
      </c>
      <c r="J2215" t="s">
        <v>287</v>
      </c>
      <c r="K2215" t="s">
        <v>9416</v>
      </c>
      <c r="L2215" t="s">
        <v>9417</v>
      </c>
      <c r="M2215" t="s">
        <v>12666</v>
      </c>
      <c r="N2215" t="s">
        <v>9446</v>
      </c>
      <c r="O2215" t="s">
        <v>4836</v>
      </c>
      <c r="P2215" t="s">
        <v>9647</v>
      </c>
      <c r="Q2215" t="s">
        <v>9421</v>
      </c>
      <c r="R2215" t="s">
        <v>84</v>
      </c>
      <c r="S2215" t="s">
        <v>420</v>
      </c>
      <c r="T2215" t="s">
        <v>422</v>
      </c>
    </row>
    <row r="2216" spans="1:20">
      <c r="A2216" t="s">
        <v>424</v>
      </c>
      <c r="B2216" t="s">
        <v>62</v>
      </c>
      <c r="C2216" t="s">
        <v>428</v>
      </c>
      <c r="D2216" t="s">
        <v>445</v>
      </c>
      <c r="E2216" t="s">
        <v>13373</v>
      </c>
      <c r="F2216" t="s">
        <v>9412</v>
      </c>
      <c r="G2216" t="s">
        <v>9413</v>
      </c>
      <c r="H2216" t="s">
        <v>12</v>
      </c>
      <c r="I2216" t="s">
        <v>10492</v>
      </c>
      <c r="J2216" t="s">
        <v>287</v>
      </c>
      <c r="K2216" t="s">
        <v>9416</v>
      </c>
      <c r="L2216" t="s">
        <v>9417</v>
      </c>
      <c r="M2216" t="s">
        <v>12681</v>
      </c>
      <c r="N2216" t="s">
        <v>9446</v>
      </c>
      <c r="O2216" t="s">
        <v>4840</v>
      </c>
      <c r="P2216" t="s">
        <v>9647</v>
      </c>
      <c r="Q2216" t="s">
        <v>9421</v>
      </c>
      <c r="R2216" t="s">
        <v>84</v>
      </c>
      <c r="S2216" t="s">
        <v>425</v>
      </c>
      <c r="T2216" t="s">
        <v>427</v>
      </c>
    </row>
    <row r="2217" spans="1:20">
      <c r="A2217" t="s">
        <v>4541</v>
      </c>
      <c r="B2217" t="s">
        <v>9409</v>
      </c>
      <c r="C2217" t="s">
        <v>4545</v>
      </c>
      <c r="D2217" t="s">
        <v>9410</v>
      </c>
      <c r="E2217" t="s">
        <v>13374</v>
      </c>
      <c r="F2217" t="s">
        <v>9412</v>
      </c>
      <c r="G2217" t="s">
        <v>9413</v>
      </c>
      <c r="H2217" t="s">
        <v>12665</v>
      </c>
      <c r="I2217" t="s">
        <v>9495</v>
      </c>
      <c r="J2217" t="s">
        <v>11</v>
      </c>
      <c r="K2217" t="s">
        <v>9416</v>
      </c>
      <c r="L2217" t="s">
        <v>9417</v>
      </c>
      <c r="M2217" t="s">
        <v>12693</v>
      </c>
      <c r="N2217" t="s">
        <v>9446</v>
      </c>
      <c r="O2217" t="s">
        <v>4548</v>
      </c>
      <c r="P2217" t="s">
        <v>9655</v>
      </c>
      <c r="Q2217" t="s">
        <v>9421</v>
      </c>
      <c r="R2217" t="s">
        <v>56</v>
      </c>
      <c r="S2217" t="s">
        <v>4547</v>
      </c>
      <c r="T2217" t="s">
        <v>13375</v>
      </c>
    </row>
    <row r="2218" spans="1:20">
      <c r="A2218" t="s">
        <v>4541</v>
      </c>
      <c r="B2218" t="s">
        <v>9409</v>
      </c>
      <c r="C2218" t="s">
        <v>4545</v>
      </c>
      <c r="D2218" t="s">
        <v>9410</v>
      </c>
      <c r="E2218" t="s">
        <v>13374</v>
      </c>
      <c r="F2218" t="s">
        <v>9412</v>
      </c>
      <c r="G2218" t="s">
        <v>9413</v>
      </c>
      <c r="H2218" t="s">
        <v>12665</v>
      </c>
      <c r="I2218" t="s">
        <v>9495</v>
      </c>
      <c r="J2218" t="s">
        <v>11</v>
      </c>
      <c r="K2218" t="s">
        <v>9416</v>
      </c>
      <c r="L2218" t="s">
        <v>9417</v>
      </c>
      <c r="M2218" t="s">
        <v>12693</v>
      </c>
      <c r="N2218" t="s">
        <v>9446</v>
      </c>
      <c r="O2218" t="s">
        <v>4543</v>
      </c>
      <c r="P2218" t="s">
        <v>9655</v>
      </c>
      <c r="Q2218" t="s">
        <v>9421</v>
      </c>
      <c r="R2218" t="s">
        <v>56</v>
      </c>
      <c r="S2218" t="s">
        <v>4542</v>
      </c>
      <c r="T2218" t="s">
        <v>13376</v>
      </c>
    </row>
    <row r="2219" spans="1:20">
      <c r="A2219" t="s">
        <v>13377</v>
      </c>
      <c r="B2219" t="s">
        <v>62</v>
      </c>
      <c r="C2219" t="s">
        <v>694</v>
      </c>
      <c r="D2219" t="s">
        <v>9410</v>
      </c>
      <c r="E2219" t="s">
        <v>13378</v>
      </c>
      <c r="F2219" t="s">
        <v>9412</v>
      </c>
      <c r="G2219" t="s">
        <v>9413</v>
      </c>
      <c r="H2219" t="s">
        <v>12</v>
      </c>
      <c r="I2219" t="s">
        <v>10874</v>
      </c>
      <c r="J2219" t="s">
        <v>445</v>
      </c>
      <c r="K2219" t="s">
        <v>9445</v>
      </c>
      <c r="L2219" t="s">
        <v>9417</v>
      </c>
      <c r="M2219" t="s">
        <v>12791</v>
      </c>
      <c r="N2219" t="s">
        <v>12682</v>
      </c>
      <c r="O2219" t="s">
        <v>9446</v>
      </c>
      <c r="P2219" t="s">
        <v>9459</v>
      </c>
      <c r="Q2219" t="s">
        <v>9421</v>
      </c>
      <c r="R2219" t="s">
        <v>17</v>
      </c>
      <c r="S2219" t="s">
        <v>691</v>
      </c>
      <c r="T2219" t="s">
        <v>693</v>
      </c>
    </row>
    <row r="2220" spans="1:20">
      <c r="A2220" t="s">
        <v>646</v>
      </c>
      <c r="B2220" t="s">
        <v>20</v>
      </c>
      <c r="C2220" t="s">
        <v>5082</v>
      </c>
      <c r="D2220" t="s">
        <v>9666</v>
      </c>
      <c r="E2220" t="s">
        <v>13379</v>
      </c>
      <c r="F2220" t="s">
        <v>9412</v>
      </c>
      <c r="G2220" t="s">
        <v>9413</v>
      </c>
      <c r="H2220" t="s">
        <v>12665</v>
      </c>
      <c r="I2220" t="s">
        <v>9771</v>
      </c>
      <c r="J2220" t="s">
        <v>445</v>
      </c>
      <c r="K2220" t="s">
        <v>9416</v>
      </c>
      <c r="L2220" t="s">
        <v>9417</v>
      </c>
      <c r="M2220" t="s">
        <v>12706</v>
      </c>
      <c r="N2220" t="s">
        <v>9446</v>
      </c>
      <c r="O2220" t="s">
        <v>5080</v>
      </c>
      <c r="P2220" t="s">
        <v>9655</v>
      </c>
      <c r="Q2220" t="s">
        <v>9421</v>
      </c>
      <c r="R2220" t="s">
        <v>56</v>
      </c>
      <c r="S2220" t="s">
        <v>647</v>
      </c>
      <c r="T2220" t="s">
        <v>649</v>
      </c>
    </row>
    <row r="2221" spans="1:20">
      <c r="A2221" t="s">
        <v>646</v>
      </c>
      <c r="B2221" t="s">
        <v>20</v>
      </c>
      <c r="C2221" t="s">
        <v>5082</v>
      </c>
      <c r="D2221" t="s">
        <v>9666</v>
      </c>
      <c r="E2221" t="s">
        <v>13379</v>
      </c>
      <c r="F2221" t="s">
        <v>9412</v>
      </c>
      <c r="G2221" t="s">
        <v>9413</v>
      </c>
      <c r="H2221" t="s">
        <v>12665</v>
      </c>
      <c r="I2221" t="s">
        <v>9771</v>
      </c>
      <c r="J2221" t="s">
        <v>445</v>
      </c>
      <c r="K2221" t="s">
        <v>9416</v>
      </c>
      <c r="L2221" t="s">
        <v>9417</v>
      </c>
      <c r="M2221" t="s">
        <v>12706</v>
      </c>
      <c r="N2221" t="s">
        <v>9446</v>
      </c>
      <c r="O2221" t="s">
        <v>5092</v>
      </c>
      <c r="P2221" t="s">
        <v>9655</v>
      </c>
      <c r="Q2221" t="s">
        <v>9421</v>
      </c>
      <c r="R2221" t="s">
        <v>56</v>
      </c>
      <c r="S2221" t="s">
        <v>663</v>
      </c>
      <c r="T2221" t="s">
        <v>665</v>
      </c>
    </row>
    <row r="2222" spans="1:20">
      <c r="A2222" t="s">
        <v>646</v>
      </c>
      <c r="B2222" t="s">
        <v>20</v>
      </c>
      <c r="C2222" t="s">
        <v>5082</v>
      </c>
      <c r="D2222" t="s">
        <v>9666</v>
      </c>
      <c r="E2222" t="s">
        <v>13379</v>
      </c>
      <c r="F2222" t="s">
        <v>9412</v>
      </c>
      <c r="G2222" t="s">
        <v>9413</v>
      </c>
      <c r="H2222" t="s">
        <v>12665</v>
      </c>
      <c r="I2222" t="s">
        <v>9771</v>
      </c>
      <c r="J2222" t="s">
        <v>445</v>
      </c>
      <c r="K2222" t="s">
        <v>9416</v>
      </c>
      <c r="L2222" t="s">
        <v>9417</v>
      </c>
      <c r="M2222" t="s">
        <v>12706</v>
      </c>
      <c r="N2222" t="s">
        <v>9446</v>
      </c>
      <c r="O2222" t="s">
        <v>5084</v>
      </c>
      <c r="P2222" t="s">
        <v>9655</v>
      </c>
      <c r="Q2222" t="s">
        <v>9421</v>
      </c>
      <c r="R2222" t="s">
        <v>56</v>
      </c>
      <c r="S2222" t="s">
        <v>651</v>
      </c>
      <c r="T2222" t="s">
        <v>653</v>
      </c>
    </row>
    <row r="2223" spans="1:20">
      <c r="A2223" t="s">
        <v>646</v>
      </c>
      <c r="B2223" t="s">
        <v>20</v>
      </c>
      <c r="C2223" t="s">
        <v>5082</v>
      </c>
      <c r="D2223" t="s">
        <v>9666</v>
      </c>
      <c r="E2223" t="s">
        <v>13379</v>
      </c>
      <c r="F2223" t="s">
        <v>9412</v>
      </c>
      <c r="G2223" t="s">
        <v>9413</v>
      </c>
      <c r="H2223" t="s">
        <v>12665</v>
      </c>
      <c r="I2223" t="s">
        <v>9771</v>
      </c>
      <c r="J2223" t="s">
        <v>445</v>
      </c>
      <c r="K2223" t="s">
        <v>9416</v>
      </c>
      <c r="L2223" t="s">
        <v>9417</v>
      </c>
      <c r="M2223" t="s">
        <v>12706</v>
      </c>
      <c r="N2223" t="s">
        <v>9446</v>
      </c>
      <c r="O2223" t="s">
        <v>5086</v>
      </c>
      <c r="P2223" t="s">
        <v>9651</v>
      </c>
      <c r="Q2223" t="s">
        <v>9421</v>
      </c>
      <c r="R2223" t="s">
        <v>56</v>
      </c>
      <c r="S2223" t="s">
        <v>654</v>
      </c>
      <c r="T2223" t="s">
        <v>656</v>
      </c>
    </row>
    <row r="2224" spans="1:20">
      <c r="A2224" t="s">
        <v>646</v>
      </c>
      <c r="B2224" t="s">
        <v>20</v>
      </c>
      <c r="C2224" t="s">
        <v>5082</v>
      </c>
      <c r="D2224" t="s">
        <v>9666</v>
      </c>
      <c r="E2224" t="s">
        <v>13379</v>
      </c>
      <c r="F2224" t="s">
        <v>9412</v>
      </c>
      <c r="G2224" t="s">
        <v>9413</v>
      </c>
      <c r="H2224" t="s">
        <v>12665</v>
      </c>
      <c r="I2224" t="s">
        <v>9771</v>
      </c>
      <c r="J2224" t="s">
        <v>445</v>
      </c>
      <c r="K2224" t="s">
        <v>9416</v>
      </c>
      <c r="L2224" t="s">
        <v>9417</v>
      </c>
      <c r="M2224" t="s">
        <v>12706</v>
      </c>
      <c r="N2224" t="s">
        <v>9446</v>
      </c>
      <c r="O2224" t="s">
        <v>5088</v>
      </c>
      <c r="P2224" t="s">
        <v>9655</v>
      </c>
      <c r="Q2224" t="s">
        <v>9421</v>
      </c>
      <c r="R2224" t="s">
        <v>56</v>
      </c>
      <c r="S2224" t="s">
        <v>657</v>
      </c>
      <c r="T2224" t="s">
        <v>659</v>
      </c>
    </row>
    <row r="2225" spans="1:20">
      <c r="A2225" t="s">
        <v>646</v>
      </c>
      <c r="B2225" t="s">
        <v>20</v>
      </c>
      <c r="C2225" t="s">
        <v>5082</v>
      </c>
      <c r="D2225" t="s">
        <v>9666</v>
      </c>
      <c r="E2225" t="s">
        <v>13379</v>
      </c>
      <c r="F2225" t="s">
        <v>9412</v>
      </c>
      <c r="G2225" t="s">
        <v>9413</v>
      </c>
      <c r="H2225" t="s">
        <v>12665</v>
      </c>
      <c r="I2225" t="s">
        <v>9771</v>
      </c>
      <c r="J2225" t="s">
        <v>445</v>
      </c>
      <c r="K2225" t="s">
        <v>9416</v>
      </c>
      <c r="L2225" t="s">
        <v>9417</v>
      </c>
      <c r="M2225" t="s">
        <v>12706</v>
      </c>
      <c r="N2225" t="s">
        <v>9430</v>
      </c>
      <c r="O2225" t="s">
        <v>5090</v>
      </c>
      <c r="P2225" t="s">
        <v>9655</v>
      </c>
      <c r="Q2225" t="s">
        <v>9421</v>
      </c>
      <c r="R2225" t="s">
        <v>56</v>
      </c>
      <c r="S2225" t="s">
        <v>660</v>
      </c>
      <c r="T2225" t="s">
        <v>662</v>
      </c>
    </row>
    <row r="2226" spans="1:20">
      <c r="A2226" t="s">
        <v>646</v>
      </c>
      <c r="B2226" t="s">
        <v>20</v>
      </c>
      <c r="C2226" t="s">
        <v>5082</v>
      </c>
      <c r="D2226" t="s">
        <v>9666</v>
      </c>
      <c r="E2226" t="s">
        <v>13379</v>
      </c>
      <c r="F2226" t="s">
        <v>9412</v>
      </c>
      <c r="G2226" t="s">
        <v>9413</v>
      </c>
      <c r="H2226" t="s">
        <v>12665</v>
      </c>
      <c r="I2226" t="s">
        <v>9771</v>
      </c>
      <c r="J2226" t="s">
        <v>445</v>
      </c>
      <c r="K2226" t="s">
        <v>9416</v>
      </c>
      <c r="L2226" t="s">
        <v>9417</v>
      </c>
      <c r="M2226" t="s">
        <v>12706</v>
      </c>
      <c r="N2226" t="s">
        <v>9430</v>
      </c>
      <c r="O2226" t="s">
        <v>5094</v>
      </c>
      <c r="P2226" t="s">
        <v>9655</v>
      </c>
      <c r="Q2226" t="s">
        <v>9421</v>
      </c>
      <c r="R2226" t="s">
        <v>56</v>
      </c>
      <c r="S2226" t="s">
        <v>666</v>
      </c>
      <c r="T2226" t="s">
        <v>668</v>
      </c>
    </row>
    <row r="2227" spans="1:20">
      <c r="A2227" t="s">
        <v>768</v>
      </c>
      <c r="B2227" t="s">
        <v>62</v>
      </c>
      <c r="C2227" t="s">
        <v>13380</v>
      </c>
      <c r="D2227" t="s">
        <v>9410</v>
      </c>
      <c r="E2227" t="s">
        <v>13381</v>
      </c>
      <c r="F2227" t="s">
        <v>9601</v>
      </c>
      <c r="G2227" t="s">
        <v>9413</v>
      </c>
      <c r="H2227" t="s">
        <v>12</v>
      </c>
      <c r="I2227" t="s">
        <v>10628</v>
      </c>
      <c r="J2227" t="s">
        <v>914</v>
      </c>
      <c r="K2227" t="s">
        <v>9416</v>
      </c>
      <c r="L2227" t="s">
        <v>9417</v>
      </c>
      <c r="M2227" t="s">
        <v>12699</v>
      </c>
      <c r="N2227" t="s">
        <v>12700</v>
      </c>
      <c r="O2227" t="s">
        <v>13382</v>
      </c>
      <c r="P2227" t="s">
        <v>9603</v>
      </c>
      <c r="Q2227" t="s">
        <v>9421</v>
      </c>
      <c r="R2227" t="s">
        <v>9604</v>
      </c>
      <c r="S2227" t="s">
        <v>13383</v>
      </c>
      <c r="T2227" t="s">
        <v>13384</v>
      </c>
    </row>
    <row r="2228" spans="1:20">
      <c r="A2228" t="s">
        <v>90</v>
      </c>
      <c r="B2228" t="s">
        <v>10645</v>
      </c>
      <c r="C2228" t="s">
        <v>13385</v>
      </c>
      <c r="D2228" t="s">
        <v>9410</v>
      </c>
      <c r="E2228" t="s">
        <v>13386</v>
      </c>
      <c r="F2228" t="s">
        <v>9412</v>
      </c>
      <c r="G2228" t="s">
        <v>9413</v>
      </c>
      <c r="H2228" t="s">
        <v>12</v>
      </c>
      <c r="I2228" t="s">
        <v>10597</v>
      </c>
      <c r="J2228" t="s">
        <v>914</v>
      </c>
      <c r="K2228" t="s">
        <v>9445</v>
      </c>
      <c r="L2228" t="s">
        <v>9417</v>
      </c>
      <c r="M2228" t="s">
        <v>12805</v>
      </c>
      <c r="N2228" t="s">
        <v>12700</v>
      </c>
      <c r="O2228" t="s">
        <v>9446</v>
      </c>
      <c r="P2228" t="s">
        <v>9603</v>
      </c>
      <c r="Q2228" t="s">
        <v>9421</v>
      </c>
      <c r="R2228" t="s">
        <v>9604</v>
      </c>
      <c r="S2228" t="s">
        <v>13383</v>
      </c>
      <c r="T2228" t="s">
        <v>13384</v>
      </c>
    </row>
    <row r="2229" spans="1:20">
      <c r="A2229" t="s">
        <v>299</v>
      </c>
      <c r="B2229" t="s">
        <v>62</v>
      </c>
      <c r="C2229" t="s">
        <v>13387</v>
      </c>
      <c r="D2229" t="s">
        <v>9410</v>
      </c>
      <c r="E2229" t="s">
        <v>13388</v>
      </c>
      <c r="F2229" t="s">
        <v>9412</v>
      </c>
      <c r="G2229" t="s">
        <v>9413</v>
      </c>
      <c r="H2229" t="s">
        <v>12</v>
      </c>
      <c r="I2229" t="s">
        <v>10628</v>
      </c>
      <c r="J2229" t="s">
        <v>11</v>
      </c>
      <c r="K2229" t="s">
        <v>9445</v>
      </c>
      <c r="L2229" t="s">
        <v>9417</v>
      </c>
      <c r="M2229" t="s">
        <v>12666</v>
      </c>
      <c r="N2229" t="s">
        <v>12667</v>
      </c>
      <c r="O2229" t="s">
        <v>9446</v>
      </c>
      <c r="P2229" t="s">
        <v>9603</v>
      </c>
      <c r="Q2229" t="s">
        <v>9421</v>
      </c>
      <c r="R2229" t="s">
        <v>9604</v>
      </c>
      <c r="S2229" t="s">
        <v>13311</v>
      </c>
      <c r="T2229" t="s">
        <v>13312</v>
      </c>
    </row>
    <row r="2230" spans="1:20">
      <c r="A2230" t="s">
        <v>13389</v>
      </c>
      <c r="B2230" t="s">
        <v>10645</v>
      </c>
      <c r="C2230" t="s">
        <v>13390</v>
      </c>
      <c r="D2230" t="s">
        <v>9410</v>
      </c>
      <c r="E2230" t="s">
        <v>13391</v>
      </c>
      <c r="F2230" t="s">
        <v>9601</v>
      </c>
      <c r="G2230" t="s">
        <v>9413</v>
      </c>
      <c r="H2230" t="s">
        <v>12</v>
      </c>
      <c r="I2230" t="s">
        <v>10632</v>
      </c>
      <c r="J2230" t="s">
        <v>287</v>
      </c>
      <c r="K2230" t="s">
        <v>9445</v>
      </c>
      <c r="L2230" t="s">
        <v>9417</v>
      </c>
      <c r="M2230" t="s">
        <v>12681</v>
      </c>
      <c r="N2230" t="s">
        <v>12688</v>
      </c>
      <c r="O2230" t="s">
        <v>9446</v>
      </c>
      <c r="P2230" t="s">
        <v>9603</v>
      </c>
      <c r="Q2230" t="s">
        <v>9421</v>
      </c>
      <c r="R2230" t="s">
        <v>9604</v>
      </c>
      <c r="S2230" t="s">
        <v>13392</v>
      </c>
      <c r="T2230" t="s">
        <v>13393</v>
      </c>
    </row>
    <row r="2231" spans="1:20">
      <c r="A2231" t="s">
        <v>897</v>
      </c>
      <c r="B2231" t="s">
        <v>62</v>
      </c>
      <c r="C2231" t="s">
        <v>5303</v>
      </c>
      <c r="D2231" t="s">
        <v>445</v>
      </c>
      <c r="E2231" t="s">
        <v>13394</v>
      </c>
      <c r="F2231" t="s">
        <v>9412</v>
      </c>
      <c r="G2231" t="s">
        <v>9413</v>
      </c>
      <c r="H2231" t="s">
        <v>12665</v>
      </c>
      <c r="I2231" t="s">
        <v>10492</v>
      </c>
      <c r="J2231" t="s">
        <v>710</v>
      </c>
      <c r="K2231" t="s">
        <v>9445</v>
      </c>
      <c r="L2231" t="s">
        <v>9417</v>
      </c>
      <c r="M2231" t="s">
        <v>12974</v>
      </c>
      <c r="N2231" t="s">
        <v>9426</v>
      </c>
      <c r="O2231" t="s">
        <v>9446</v>
      </c>
      <c r="P2231" t="s">
        <v>13211</v>
      </c>
      <c r="Q2231" t="s">
        <v>9421</v>
      </c>
      <c r="R2231" t="s">
        <v>17</v>
      </c>
      <c r="S2231" t="s">
        <v>778</v>
      </c>
      <c r="T2231" t="s">
        <v>780</v>
      </c>
    </row>
    <row r="2232" spans="1:20">
      <c r="A2232" t="s">
        <v>897</v>
      </c>
      <c r="B2232" t="s">
        <v>62</v>
      </c>
      <c r="C2232" t="s">
        <v>5303</v>
      </c>
      <c r="D2232" t="s">
        <v>445</v>
      </c>
      <c r="E2232" t="s">
        <v>13394</v>
      </c>
      <c r="F2232" t="s">
        <v>9412</v>
      </c>
      <c r="G2232" t="s">
        <v>9413</v>
      </c>
      <c r="H2232" t="s">
        <v>12665</v>
      </c>
      <c r="I2232" t="s">
        <v>10492</v>
      </c>
      <c r="J2232" t="s">
        <v>710</v>
      </c>
      <c r="K2232" t="s">
        <v>9416</v>
      </c>
      <c r="L2232" t="s">
        <v>9417</v>
      </c>
      <c r="M2232" t="s">
        <v>12974</v>
      </c>
      <c r="N2232" t="s">
        <v>12725</v>
      </c>
      <c r="O2232" t="s">
        <v>5305</v>
      </c>
      <c r="P2232" t="s">
        <v>9524</v>
      </c>
      <c r="Q2232" t="s">
        <v>9421</v>
      </c>
      <c r="R2232" t="s">
        <v>24</v>
      </c>
      <c r="S2232" t="s">
        <v>897</v>
      </c>
      <c r="T2232" t="s">
        <v>903</v>
      </c>
    </row>
    <row r="2233" spans="1:20">
      <c r="A2233" t="s">
        <v>897</v>
      </c>
      <c r="B2233" t="s">
        <v>62</v>
      </c>
      <c r="C2233" t="s">
        <v>5303</v>
      </c>
      <c r="D2233" t="s">
        <v>445</v>
      </c>
      <c r="E2233" t="s">
        <v>13394</v>
      </c>
      <c r="F2233" t="s">
        <v>9412</v>
      </c>
      <c r="G2233" t="s">
        <v>9413</v>
      </c>
      <c r="H2233" t="s">
        <v>12665</v>
      </c>
      <c r="I2233" t="s">
        <v>10492</v>
      </c>
      <c r="J2233" t="s">
        <v>710</v>
      </c>
      <c r="K2233" t="s">
        <v>9416</v>
      </c>
      <c r="L2233" t="s">
        <v>9417</v>
      </c>
      <c r="M2233" t="s">
        <v>12974</v>
      </c>
      <c r="N2233" t="s">
        <v>9430</v>
      </c>
      <c r="O2233" t="s">
        <v>5301</v>
      </c>
      <c r="P2233" t="s">
        <v>9431</v>
      </c>
      <c r="Q2233" t="s">
        <v>9421</v>
      </c>
      <c r="R2233" t="s">
        <v>24</v>
      </c>
      <c r="S2233" t="s">
        <v>898</v>
      </c>
      <c r="T2233" t="s">
        <v>900</v>
      </c>
    </row>
    <row r="2234" spans="1:20">
      <c r="A2234" t="s">
        <v>13392</v>
      </c>
      <c r="B2234" t="s">
        <v>62</v>
      </c>
      <c r="C2234" t="s">
        <v>13395</v>
      </c>
      <c r="D2234" t="s">
        <v>445</v>
      </c>
      <c r="E2234" t="s">
        <v>13396</v>
      </c>
      <c r="F2234" t="s">
        <v>9601</v>
      </c>
      <c r="G2234" t="s">
        <v>9413</v>
      </c>
      <c r="H2234" t="s">
        <v>12665</v>
      </c>
      <c r="I2234" t="s">
        <v>11327</v>
      </c>
      <c r="J2234" t="s">
        <v>287</v>
      </c>
      <c r="K2234" t="s">
        <v>9416</v>
      </c>
      <c r="L2234" t="s">
        <v>9417</v>
      </c>
      <c r="M2234" t="s">
        <v>12714</v>
      </c>
      <c r="N2234" t="s">
        <v>12688</v>
      </c>
      <c r="O2234" t="s">
        <v>13397</v>
      </c>
      <c r="P2234" t="s">
        <v>9603</v>
      </c>
      <c r="Q2234" t="s">
        <v>9421</v>
      </c>
      <c r="R2234" t="s">
        <v>9604</v>
      </c>
      <c r="S2234" t="s">
        <v>13392</v>
      </c>
      <c r="T2234" t="s">
        <v>13393</v>
      </c>
    </row>
    <row r="2235" spans="1:20">
      <c r="A2235" t="s">
        <v>107</v>
      </c>
      <c r="B2235" t="s">
        <v>20</v>
      </c>
      <c r="C2235" t="s">
        <v>4552</v>
      </c>
      <c r="D2235" t="s">
        <v>9464</v>
      </c>
      <c r="E2235" t="s">
        <v>13398</v>
      </c>
      <c r="F2235" t="s">
        <v>9412</v>
      </c>
      <c r="G2235" t="s">
        <v>9413</v>
      </c>
      <c r="H2235" t="s">
        <v>12665</v>
      </c>
      <c r="I2235" t="s">
        <v>10191</v>
      </c>
      <c r="J2235" t="s">
        <v>11</v>
      </c>
      <c r="K2235" t="s">
        <v>9416</v>
      </c>
      <c r="L2235" t="s">
        <v>9417</v>
      </c>
      <c r="M2235" t="s">
        <v>12666</v>
      </c>
      <c r="N2235" t="s">
        <v>9446</v>
      </c>
      <c r="O2235" t="s">
        <v>4554</v>
      </c>
      <c r="P2235" t="s">
        <v>9655</v>
      </c>
      <c r="Q2235" t="s">
        <v>9421</v>
      </c>
      <c r="R2235" t="s">
        <v>56</v>
      </c>
      <c r="S2235" t="s">
        <v>112</v>
      </c>
      <c r="T2235" t="s">
        <v>114</v>
      </c>
    </row>
    <row r="2236" spans="1:20">
      <c r="A2236" t="s">
        <v>107</v>
      </c>
      <c r="B2236" t="s">
        <v>20</v>
      </c>
      <c r="C2236" t="s">
        <v>4552</v>
      </c>
      <c r="D2236" t="s">
        <v>9464</v>
      </c>
      <c r="E2236" t="s">
        <v>13398</v>
      </c>
      <c r="F2236" t="s">
        <v>9412</v>
      </c>
      <c r="G2236" t="s">
        <v>9413</v>
      </c>
      <c r="H2236" t="s">
        <v>12665</v>
      </c>
      <c r="I2236" t="s">
        <v>10191</v>
      </c>
      <c r="J2236" t="s">
        <v>11</v>
      </c>
      <c r="K2236" t="s">
        <v>9416</v>
      </c>
      <c r="L2236" t="s">
        <v>9417</v>
      </c>
      <c r="M2236" t="s">
        <v>12666</v>
      </c>
      <c r="N2236" t="s">
        <v>9446</v>
      </c>
      <c r="O2236" t="s">
        <v>4556</v>
      </c>
      <c r="P2236" t="s">
        <v>9655</v>
      </c>
      <c r="Q2236" t="s">
        <v>9421</v>
      </c>
      <c r="R2236" t="s">
        <v>56</v>
      </c>
      <c r="S2236" t="s">
        <v>107</v>
      </c>
      <c r="T2236" t="s">
        <v>116</v>
      </c>
    </row>
    <row r="2237" spans="1:20">
      <c r="A2237" t="s">
        <v>107</v>
      </c>
      <c r="B2237" t="s">
        <v>20</v>
      </c>
      <c r="C2237" t="s">
        <v>4552</v>
      </c>
      <c r="D2237" t="s">
        <v>9464</v>
      </c>
      <c r="E2237" t="s">
        <v>13398</v>
      </c>
      <c r="F2237" t="s">
        <v>9412</v>
      </c>
      <c r="G2237" t="s">
        <v>9413</v>
      </c>
      <c r="H2237" t="s">
        <v>12665</v>
      </c>
      <c r="I2237" t="s">
        <v>10191</v>
      </c>
      <c r="J2237" t="s">
        <v>11</v>
      </c>
      <c r="K2237" t="s">
        <v>9416</v>
      </c>
      <c r="L2237" t="s">
        <v>9417</v>
      </c>
      <c r="M2237" t="s">
        <v>12666</v>
      </c>
      <c r="N2237" t="s">
        <v>9446</v>
      </c>
      <c r="O2237" t="s">
        <v>4550</v>
      </c>
      <c r="P2237" t="s">
        <v>9655</v>
      </c>
      <c r="Q2237" t="s">
        <v>9421</v>
      </c>
      <c r="R2237" t="s">
        <v>56</v>
      </c>
      <c r="S2237" t="s">
        <v>108</v>
      </c>
      <c r="T2237" t="s">
        <v>110</v>
      </c>
    </row>
    <row r="2238" spans="1:20">
      <c r="A2238" t="s">
        <v>271</v>
      </c>
      <c r="B2238" t="s">
        <v>62</v>
      </c>
      <c r="C2238" t="s">
        <v>4682</v>
      </c>
      <c r="D2238" t="s">
        <v>9448</v>
      </c>
      <c r="E2238" t="s">
        <v>13399</v>
      </c>
      <c r="F2238" t="s">
        <v>9412</v>
      </c>
      <c r="G2238" t="s">
        <v>9413</v>
      </c>
      <c r="H2238" t="s">
        <v>12665</v>
      </c>
      <c r="I2238" t="s">
        <v>9645</v>
      </c>
      <c r="J2238" t="s">
        <v>147</v>
      </c>
      <c r="K2238" t="s">
        <v>9416</v>
      </c>
      <c r="L2238" t="s">
        <v>9417</v>
      </c>
      <c r="M2238" t="s">
        <v>12673</v>
      </c>
      <c r="N2238" t="s">
        <v>9430</v>
      </c>
      <c r="O2238" t="s">
        <v>4680</v>
      </c>
      <c r="P2238" t="s">
        <v>9655</v>
      </c>
      <c r="Q2238" t="s">
        <v>9421</v>
      </c>
      <c r="R2238" t="s">
        <v>56</v>
      </c>
      <c r="S2238" t="s">
        <v>272</v>
      </c>
      <c r="T2238" t="s">
        <v>274</v>
      </c>
    </row>
    <row r="2239" spans="1:20">
      <c r="A2239" t="s">
        <v>271</v>
      </c>
      <c r="B2239" t="s">
        <v>62</v>
      </c>
      <c r="C2239" t="s">
        <v>4682</v>
      </c>
      <c r="D2239" t="s">
        <v>9448</v>
      </c>
      <c r="E2239" t="s">
        <v>13399</v>
      </c>
      <c r="F2239" t="s">
        <v>9412</v>
      </c>
      <c r="G2239" t="s">
        <v>9413</v>
      </c>
      <c r="H2239" t="s">
        <v>12665</v>
      </c>
      <c r="I2239" t="s">
        <v>9645</v>
      </c>
      <c r="J2239" t="s">
        <v>147</v>
      </c>
      <c r="K2239" t="s">
        <v>9416</v>
      </c>
      <c r="L2239" t="s">
        <v>9417</v>
      </c>
      <c r="M2239" t="s">
        <v>12673</v>
      </c>
      <c r="N2239" t="s">
        <v>9430</v>
      </c>
      <c r="O2239" t="s">
        <v>4684</v>
      </c>
      <c r="P2239" t="s">
        <v>9655</v>
      </c>
      <c r="Q2239" t="s">
        <v>9421</v>
      </c>
      <c r="R2239" t="s">
        <v>56</v>
      </c>
      <c r="S2239" t="s">
        <v>276</v>
      </c>
      <c r="T2239" t="s">
        <v>278</v>
      </c>
    </row>
    <row r="2240" spans="1:20">
      <c r="A2240" t="s">
        <v>117</v>
      </c>
      <c r="B2240" t="s">
        <v>20</v>
      </c>
      <c r="C2240" t="s">
        <v>4560</v>
      </c>
      <c r="D2240" t="s">
        <v>9460</v>
      </c>
      <c r="E2240" t="s">
        <v>13400</v>
      </c>
      <c r="F2240" t="s">
        <v>9412</v>
      </c>
      <c r="G2240" t="s">
        <v>9413</v>
      </c>
      <c r="H2240" t="s">
        <v>12665</v>
      </c>
      <c r="I2240" t="s">
        <v>10228</v>
      </c>
      <c r="J2240" t="s">
        <v>11</v>
      </c>
      <c r="K2240" t="s">
        <v>9416</v>
      </c>
      <c r="L2240" t="s">
        <v>9417</v>
      </c>
      <c r="M2240" t="s">
        <v>12693</v>
      </c>
      <c r="N2240" t="s">
        <v>9446</v>
      </c>
      <c r="O2240" t="s">
        <v>4562</v>
      </c>
      <c r="P2240" t="s">
        <v>10522</v>
      </c>
      <c r="Q2240" t="s">
        <v>9421</v>
      </c>
      <c r="R2240" t="s">
        <v>56</v>
      </c>
      <c r="S2240" t="s">
        <v>122</v>
      </c>
      <c r="T2240" t="s">
        <v>124</v>
      </c>
    </row>
    <row r="2241" spans="1:20">
      <c r="A2241" t="s">
        <v>117</v>
      </c>
      <c r="B2241" t="s">
        <v>20</v>
      </c>
      <c r="C2241" t="s">
        <v>4560</v>
      </c>
      <c r="D2241" t="s">
        <v>9460</v>
      </c>
      <c r="E2241" t="s">
        <v>13400</v>
      </c>
      <c r="F2241" t="s">
        <v>9412</v>
      </c>
      <c r="G2241" t="s">
        <v>9413</v>
      </c>
      <c r="H2241" t="s">
        <v>12665</v>
      </c>
      <c r="I2241" t="s">
        <v>10228</v>
      </c>
      <c r="J2241" t="s">
        <v>11</v>
      </c>
      <c r="K2241" t="s">
        <v>9416</v>
      </c>
      <c r="L2241" t="s">
        <v>9417</v>
      </c>
      <c r="M2241" t="s">
        <v>12693</v>
      </c>
      <c r="N2241" t="s">
        <v>9446</v>
      </c>
      <c r="O2241" t="s">
        <v>4558</v>
      </c>
      <c r="P2241" t="s">
        <v>9655</v>
      </c>
      <c r="Q2241" t="s">
        <v>9421</v>
      </c>
      <c r="R2241" t="s">
        <v>56</v>
      </c>
      <c r="S2241" t="s">
        <v>118</v>
      </c>
      <c r="T2241" t="s">
        <v>120</v>
      </c>
    </row>
    <row r="2242" spans="1:20">
      <c r="A2242" t="s">
        <v>669</v>
      </c>
      <c r="B2242" t="s">
        <v>20</v>
      </c>
      <c r="C2242" t="s">
        <v>5098</v>
      </c>
      <c r="D2242" t="s">
        <v>9677</v>
      </c>
      <c r="E2242" t="s">
        <v>13401</v>
      </c>
      <c r="F2242" t="s">
        <v>9412</v>
      </c>
      <c r="G2242" t="s">
        <v>9413</v>
      </c>
      <c r="H2242" t="s">
        <v>12665</v>
      </c>
      <c r="I2242" t="s">
        <v>10066</v>
      </c>
      <c r="J2242" t="s">
        <v>445</v>
      </c>
      <c r="K2242" t="s">
        <v>9416</v>
      </c>
      <c r="L2242" t="s">
        <v>9417</v>
      </c>
      <c r="M2242" t="s">
        <v>12710</v>
      </c>
      <c r="N2242" t="s">
        <v>9446</v>
      </c>
      <c r="O2242" t="s">
        <v>5102</v>
      </c>
      <c r="P2242" t="s">
        <v>9655</v>
      </c>
      <c r="Q2242" t="s">
        <v>9421</v>
      </c>
      <c r="R2242" t="s">
        <v>56</v>
      </c>
      <c r="S2242" t="s">
        <v>677</v>
      </c>
      <c r="T2242" t="s">
        <v>679</v>
      </c>
    </row>
    <row r="2243" spans="1:20">
      <c r="A2243" t="s">
        <v>669</v>
      </c>
      <c r="B2243" t="s">
        <v>20</v>
      </c>
      <c r="C2243" t="s">
        <v>5098</v>
      </c>
      <c r="D2243" t="s">
        <v>9677</v>
      </c>
      <c r="E2243" t="s">
        <v>13401</v>
      </c>
      <c r="F2243" t="s">
        <v>9412</v>
      </c>
      <c r="G2243" t="s">
        <v>9413</v>
      </c>
      <c r="H2243" t="s">
        <v>12665</v>
      </c>
      <c r="I2243" t="s">
        <v>10066</v>
      </c>
      <c r="J2243" t="s">
        <v>445</v>
      </c>
      <c r="K2243" t="s">
        <v>9416</v>
      </c>
      <c r="L2243" t="s">
        <v>9417</v>
      </c>
      <c r="M2243" t="s">
        <v>12710</v>
      </c>
      <c r="N2243" t="s">
        <v>9446</v>
      </c>
      <c r="O2243" t="s">
        <v>5100</v>
      </c>
      <c r="P2243" t="s">
        <v>9651</v>
      </c>
      <c r="Q2243" t="s">
        <v>9421</v>
      </c>
      <c r="R2243" t="s">
        <v>56</v>
      </c>
      <c r="S2243" t="s">
        <v>674</v>
      </c>
      <c r="T2243" t="s">
        <v>676</v>
      </c>
    </row>
    <row r="2244" spans="1:20">
      <c r="A2244" t="s">
        <v>669</v>
      </c>
      <c r="B2244" t="s">
        <v>20</v>
      </c>
      <c r="C2244" t="s">
        <v>5098</v>
      </c>
      <c r="D2244" t="s">
        <v>9677</v>
      </c>
      <c r="E2244" t="s">
        <v>13401</v>
      </c>
      <c r="F2244" t="s">
        <v>9412</v>
      </c>
      <c r="G2244" t="s">
        <v>9413</v>
      </c>
      <c r="H2244" t="s">
        <v>12665</v>
      </c>
      <c r="I2244" t="s">
        <v>10066</v>
      </c>
      <c r="J2244" t="s">
        <v>445</v>
      </c>
      <c r="K2244" t="s">
        <v>9416</v>
      </c>
      <c r="L2244" t="s">
        <v>9417</v>
      </c>
      <c r="M2244" t="s">
        <v>12710</v>
      </c>
      <c r="N2244" t="s">
        <v>9446</v>
      </c>
      <c r="O2244" t="s">
        <v>5096</v>
      </c>
      <c r="P2244" t="s">
        <v>9655</v>
      </c>
      <c r="Q2244" t="s">
        <v>9421</v>
      </c>
      <c r="R2244" t="s">
        <v>56</v>
      </c>
      <c r="S2244" t="s">
        <v>670</v>
      </c>
      <c r="T2244" t="s">
        <v>672</v>
      </c>
    </row>
    <row r="2245" spans="1:20">
      <c r="A2245" t="s">
        <v>13402</v>
      </c>
      <c r="B2245" t="s">
        <v>9409</v>
      </c>
      <c r="C2245" t="s">
        <v>13403</v>
      </c>
      <c r="D2245" t="s">
        <v>9410</v>
      </c>
      <c r="E2245" t="s">
        <v>13404</v>
      </c>
      <c r="F2245" t="s">
        <v>11278</v>
      </c>
      <c r="G2245" t="s">
        <v>9413</v>
      </c>
      <c r="H2245" t="s">
        <v>12</v>
      </c>
      <c r="I2245" t="s">
        <v>9766</v>
      </c>
      <c r="J2245" t="s">
        <v>710</v>
      </c>
      <c r="K2245" t="s">
        <v>9416</v>
      </c>
      <c r="L2245" t="s">
        <v>9417</v>
      </c>
      <c r="M2245" t="s">
        <v>13210</v>
      </c>
      <c r="N2245" t="s">
        <v>9426</v>
      </c>
      <c r="O2245" t="s">
        <v>4813</v>
      </c>
      <c r="P2245" t="s">
        <v>9479</v>
      </c>
      <c r="Q2245" t="s">
        <v>9421</v>
      </c>
      <c r="R2245" t="s">
        <v>43</v>
      </c>
      <c r="S2245" t="s">
        <v>364</v>
      </c>
      <c r="T2245" t="s">
        <v>366</v>
      </c>
    </row>
    <row r="2246" spans="1:20">
      <c r="A2246" t="s">
        <v>1023</v>
      </c>
      <c r="B2246" t="s">
        <v>62</v>
      </c>
      <c r="C2246" t="s">
        <v>1027</v>
      </c>
      <c r="D2246" t="s">
        <v>9448</v>
      </c>
      <c r="E2246" t="s">
        <v>13405</v>
      </c>
      <c r="F2246" t="s">
        <v>9412</v>
      </c>
      <c r="G2246" t="s">
        <v>9413</v>
      </c>
      <c r="H2246" t="s">
        <v>12</v>
      </c>
      <c r="I2246" t="s">
        <v>12004</v>
      </c>
      <c r="J2246" t="s">
        <v>914</v>
      </c>
      <c r="K2246" t="s">
        <v>9416</v>
      </c>
      <c r="L2246" t="s">
        <v>9417</v>
      </c>
      <c r="M2246" t="s">
        <v>12805</v>
      </c>
      <c r="N2246" t="s">
        <v>9430</v>
      </c>
      <c r="O2246" t="s">
        <v>5413</v>
      </c>
      <c r="P2246" t="s">
        <v>9474</v>
      </c>
      <c r="Q2246" t="s">
        <v>9421</v>
      </c>
      <c r="R2246" t="s">
        <v>43</v>
      </c>
      <c r="S2246" t="s">
        <v>1024</v>
      </c>
      <c r="T2246" t="s">
        <v>1026</v>
      </c>
    </row>
    <row r="2247" spans="1:20">
      <c r="A2247" t="s">
        <v>4850</v>
      </c>
      <c r="B2247" t="s">
        <v>9409</v>
      </c>
      <c r="C2247" t="s">
        <v>13406</v>
      </c>
      <c r="D2247" t="s">
        <v>9410</v>
      </c>
      <c r="E2247" t="s">
        <v>13407</v>
      </c>
      <c r="F2247" t="s">
        <v>9601</v>
      </c>
      <c r="G2247" t="s">
        <v>9413</v>
      </c>
      <c r="H2247" t="s">
        <v>12</v>
      </c>
      <c r="I2247" t="s">
        <v>10400</v>
      </c>
      <c r="J2247" t="s">
        <v>287</v>
      </c>
      <c r="K2247" t="s">
        <v>9416</v>
      </c>
      <c r="L2247" t="s">
        <v>9417</v>
      </c>
      <c r="M2247" t="s">
        <v>12681</v>
      </c>
      <c r="N2247" t="s">
        <v>9430</v>
      </c>
      <c r="O2247" t="s">
        <v>4851</v>
      </c>
      <c r="P2247" t="s">
        <v>9431</v>
      </c>
      <c r="Q2247" t="s">
        <v>9421</v>
      </c>
      <c r="R2247" t="s">
        <v>24</v>
      </c>
      <c r="S2247" t="s">
        <v>4850</v>
      </c>
      <c r="T2247" t="s">
        <v>13408</v>
      </c>
    </row>
    <row r="2248" spans="1:20">
      <c r="A2248" t="s">
        <v>904</v>
      </c>
      <c r="B2248" t="s">
        <v>20</v>
      </c>
      <c r="C2248" t="s">
        <v>5307</v>
      </c>
      <c r="D2248" t="s">
        <v>9460</v>
      </c>
      <c r="E2248" t="s">
        <v>13409</v>
      </c>
      <c r="F2248" t="s">
        <v>9412</v>
      </c>
      <c r="G2248" t="s">
        <v>9413</v>
      </c>
      <c r="H2248" t="s">
        <v>12665</v>
      </c>
      <c r="I2248" t="s">
        <v>10349</v>
      </c>
      <c r="J2248" t="s">
        <v>710</v>
      </c>
      <c r="K2248" t="s">
        <v>9416</v>
      </c>
      <c r="L2248" t="s">
        <v>9417</v>
      </c>
      <c r="M2248" t="s">
        <v>12717</v>
      </c>
      <c r="N2248" t="s">
        <v>9426</v>
      </c>
      <c r="O2248" t="s">
        <v>5038</v>
      </c>
      <c r="P2248" t="s">
        <v>9655</v>
      </c>
      <c r="Q2248" t="s">
        <v>9421</v>
      </c>
      <c r="R2248" t="s">
        <v>56</v>
      </c>
      <c r="S2248" t="s">
        <v>592</v>
      </c>
      <c r="T2248" t="s">
        <v>594</v>
      </c>
    </row>
    <row r="2249" spans="1:20">
      <c r="A2249" t="s">
        <v>13410</v>
      </c>
      <c r="B2249" t="s">
        <v>9409</v>
      </c>
      <c r="C2249" t="s">
        <v>13411</v>
      </c>
      <c r="D2249" t="s">
        <v>9410</v>
      </c>
      <c r="E2249" t="s">
        <v>13412</v>
      </c>
      <c r="F2249" t="s">
        <v>9601</v>
      </c>
      <c r="G2249" t="s">
        <v>9413</v>
      </c>
      <c r="H2249" t="s">
        <v>12665</v>
      </c>
      <c r="I2249" t="s">
        <v>10186</v>
      </c>
      <c r="J2249" t="s">
        <v>445</v>
      </c>
      <c r="K2249" t="s">
        <v>9416</v>
      </c>
      <c r="L2249" t="s">
        <v>9417</v>
      </c>
      <c r="M2249" t="s">
        <v>12791</v>
      </c>
      <c r="N2249" t="s">
        <v>12682</v>
      </c>
      <c r="O2249" t="s">
        <v>13413</v>
      </c>
      <c r="P2249" t="s">
        <v>9431</v>
      </c>
      <c r="Q2249" t="s">
        <v>9421</v>
      </c>
      <c r="R2249" t="s">
        <v>24</v>
      </c>
      <c r="S2249" t="s">
        <v>13414</v>
      </c>
      <c r="T2249" t="s">
        <v>13415</v>
      </c>
    </row>
    <row r="2250" spans="1:20">
      <c r="A2250" t="s">
        <v>13416</v>
      </c>
      <c r="B2250" t="s">
        <v>9409</v>
      </c>
      <c r="C2250" t="s">
        <v>13417</v>
      </c>
      <c r="D2250" t="s">
        <v>9410</v>
      </c>
      <c r="E2250" t="s">
        <v>13418</v>
      </c>
      <c r="F2250" t="s">
        <v>9601</v>
      </c>
      <c r="G2250" t="s">
        <v>9413</v>
      </c>
      <c r="H2250" t="s">
        <v>12665</v>
      </c>
      <c r="I2250" t="s">
        <v>10874</v>
      </c>
      <c r="J2250" t="s">
        <v>445</v>
      </c>
      <c r="K2250" t="s">
        <v>9445</v>
      </c>
      <c r="L2250" t="s">
        <v>9417</v>
      </c>
      <c r="M2250" t="s">
        <v>12734</v>
      </c>
      <c r="N2250" t="s">
        <v>9430</v>
      </c>
      <c r="O2250" t="s">
        <v>9446</v>
      </c>
      <c r="P2250" t="s">
        <v>11322</v>
      </c>
      <c r="Q2250" t="s">
        <v>9421</v>
      </c>
      <c r="R2250" t="s">
        <v>17</v>
      </c>
      <c r="S2250" t="s">
        <v>11323</v>
      </c>
      <c r="T2250" t="s">
        <v>11324</v>
      </c>
    </row>
    <row r="2251" spans="1:20">
      <c r="A2251" t="s">
        <v>680</v>
      </c>
      <c r="B2251" t="s">
        <v>20</v>
      </c>
      <c r="C2251" t="s">
        <v>684</v>
      </c>
      <c r="D2251" t="s">
        <v>9460</v>
      </c>
      <c r="E2251" t="s">
        <v>13419</v>
      </c>
      <c r="F2251" t="s">
        <v>9601</v>
      </c>
      <c r="G2251" t="s">
        <v>9413</v>
      </c>
      <c r="H2251" t="s">
        <v>12</v>
      </c>
      <c r="I2251" t="s">
        <v>9674</v>
      </c>
      <c r="J2251" t="s">
        <v>445</v>
      </c>
      <c r="K2251" t="s">
        <v>9416</v>
      </c>
      <c r="L2251" t="s">
        <v>9417</v>
      </c>
      <c r="M2251" t="s">
        <v>12681</v>
      </c>
      <c r="N2251" t="s">
        <v>12682</v>
      </c>
      <c r="O2251" t="s">
        <v>5104</v>
      </c>
      <c r="P2251" t="s">
        <v>9420</v>
      </c>
      <c r="Q2251" t="s">
        <v>9421</v>
      </c>
      <c r="R2251" t="s">
        <v>17</v>
      </c>
      <c r="S2251" t="s">
        <v>681</v>
      </c>
      <c r="T2251" t="s">
        <v>683</v>
      </c>
    </row>
    <row r="2252" spans="1:20">
      <c r="A2252" t="s">
        <v>125</v>
      </c>
      <c r="B2252" t="s">
        <v>62</v>
      </c>
      <c r="C2252" t="s">
        <v>4567</v>
      </c>
      <c r="D2252" t="s">
        <v>445</v>
      </c>
      <c r="E2252" t="s">
        <v>13420</v>
      </c>
      <c r="F2252" t="s">
        <v>9412</v>
      </c>
      <c r="G2252" t="s">
        <v>9413</v>
      </c>
      <c r="H2252" t="s">
        <v>12665</v>
      </c>
      <c r="I2252" t="s">
        <v>10492</v>
      </c>
      <c r="J2252" t="s">
        <v>11</v>
      </c>
      <c r="K2252" t="s">
        <v>9416</v>
      </c>
      <c r="L2252" t="s">
        <v>9417</v>
      </c>
      <c r="M2252" t="s">
        <v>12666</v>
      </c>
      <c r="N2252" t="s">
        <v>9446</v>
      </c>
      <c r="O2252" t="s">
        <v>4572</v>
      </c>
      <c r="P2252" t="s">
        <v>9655</v>
      </c>
      <c r="Q2252" t="s">
        <v>9421</v>
      </c>
      <c r="R2252" t="s">
        <v>56</v>
      </c>
      <c r="S2252" t="s">
        <v>133</v>
      </c>
      <c r="T2252" t="s">
        <v>135</v>
      </c>
    </row>
    <row r="2253" spans="1:20">
      <c r="A2253" t="s">
        <v>125</v>
      </c>
      <c r="B2253" t="s">
        <v>62</v>
      </c>
      <c r="C2253" t="s">
        <v>4567</v>
      </c>
      <c r="D2253" t="s">
        <v>445</v>
      </c>
      <c r="E2253" t="s">
        <v>13420</v>
      </c>
      <c r="F2253" t="s">
        <v>9412</v>
      </c>
      <c r="G2253" t="s">
        <v>9413</v>
      </c>
      <c r="H2253" t="s">
        <v>12665</v>
      </c>
      <c r="I2253" t="s">
        <v>10492</v>
      </c>
      <c r="J2253" t="s">
        <v>11</v>
      </c>
      <c r="K2253" t="s">
        <v>9445</v>
      </c>
      <c r="L2253" t="s">
        <v>9417</v>
      </c>
      <c r="M2253" t="s">
        <v>12666</v>
      </c>
      <c r="N2253" t="s">
        <v>9426</v>
      </c>
      <c r="O2253" t="s">
        <v>9446</v>
      </c>
      <c r="P2253" t="s">
        <v>9567</v>
      </c>
      <c r="Q2253" t="s">
        <v>9421</v>
      </c>
      <c r="R2253" t="s">
        <v>43</v>
      </c>
      <c r="S2253" t="s">
        <v>126</v>
      </c>
      <c r="T2253" t="s">
        <v>128</v>
      </c>
    </row>
    <row r="2254" spans="1:20">
      <c r="A2254" t="s">
        <v>125</v>
      </c>
      <c r="B2254" t="s">
        <v>62</v>
      </c>
      <c r="C2254" t="s">
        <v>4567</v>
      </c>
      <c r="D2254" t="s">
        <v>445</v>
      </c>
      <c r="E2254" t="s">
        <v>13420</v>
      </c>
      <c r="F2254" t="s">
        <v>9412</v>
      </c>
      <c r="G2254" t="s">
        <v>9413</v>
      </c>
      <c r="H2254" t="s">
        <v>12665</v>
      </c>
      <c r="I2254" t="s">
        <v>10492</v>
      </c>
      <c r="J2254" t="s">
        <v>11</v>
      </c>
      <c r="K2254" t="s">
        <v>9416</v>
      </c>
      <c r="L2254" t="s">
        <v>9417</v>
      </c>
      <c r="M2254" t="s">
        <v>12666</v>
      </c>
      <c r="N2254" t="s">
        <v>9446</v>
      </c>
      <c r="O2254" t="s">
        <v>4570</v>
      </c>
      <c r="P2254" t="s">
        <v>9655</v>
      </c>
      <c r="Q2254" t="s">
        <v>9421</v>
      </c>
      <c r="R2254" t="s">
        <v>56</v>
      </c>
      <c r="S2254" t="s">
        <v>130</v>
      </c>
      <c r="T2254" t="s">
        <v>132</v>
      </c>
    </row>
    <row r="2255" spans="1:20">
      <c r="A2255" t="s">
        <v>125</v>
      </c>
      <c r="B2255" t="s">
        <v>62</v>
      </c>
      <c r="C2255" t="s">
        <v>4567</v>
      </c>
      <c r="D2255" t="s">
        <v>445</v>
      </c>
      <c r="E2255" t="s">
        <v>13420</v>
      </c>
      <c r="F2255" t="s">
        <v>9412</v>
      </c>
      <c r="G2255" t="s">
        <v>9413</v>
      </c>
      <c r="H2255" t="s">
        <v>12665</v>
      </c>
      <c r="I2255" t="s">
        <v>10492</v>
      </c>
      <c r="J2255" t="s">
        <v>11</v>
      </c>
      <c r="K2255" t="s">
        <v>9416</v>
      </c>
      <c r="L2255" t="s">
        <v>9417</v>
      </c>
      <c r="M2255" t="s">
        <v>12666</v>
      </c>
      <c r="N2255" t="s">
        <v>9446</v>
      </c>
      <c r="O2255" t="s">
        <v>4574</v>
      </c>
      <c r="P2255" t="s">
        <v>9655</v>
      </c>
      <c r="Q2255" t="s">
        <v>9421</v>
      </c>
      <c r="R2255" t="s">
        <v>56</v>
      </c>
      <c r="S2255" t="s">
        <v>136</v>
      </c>
      <c r="T2255" t="s">
        <v>138</v>
      </c>
    </row>
    <row r="2256" spans="1:20">
      <c r="A2256" t="s">
        <v>125</v>
      </c>
      <c r="B2256" t="s">
        <v>62</v>
      </c>
      <c r="C2256" t="s">
        <v>4567</v>
      </c>
      <c r="D2256" t="s">
        <v>445</v>
      </c>
      <c r="E2256" t="s">
        <v>13420</v>
      </c>
      <c r="F2256" t="s">
        <v>9412</v>
      </c>
      <c r="G2256" t="s">
        <v>9413</v>
      </c>
      <c r="H2256" t="s">
        <v>12665</v>
      </c>
      <c r="I2256" t="s">
        <v>10492</v>
      </c>
      <c r="J2256" t="s">
        <v>11</v>
      </c>
      <c r="K2256" t="s">
        <v>9445</v>
      </c>
      <c r="L2256" t="s">
        <v>9417</v>
      </c>
      <c r="M2256" t="s">
        <v>12666</v>
      </c>
      <c r="N2256" t="s">
        <v>9430</v>
      </c>
      <c r="O2256" t="s">
        <v>9446</v>
      </c>
      <c r="P2256" t="s">
        <v>9474</v>
      </c>
      <c r="Q2256" t="s">
        <v>9421</v>
      </c>
      <c r="R2256" t="s">
        <v>43</v>
      </c>
      <c r="S2256" t="s">
        <v>44</v>
      </c>
      <c r="T2256" t="s">
        <v>46</v>
      </c>
    </row>
    <row r="2257" spans="1:20">
      <c r="A2257" t="s">
        <v>5108</v>
      </c>
      <c r="B2257" t="s">
        <v>9409</v>
      </c>
      <c r="C2257" t="s">
        <v>5112</v>
      </c>
      <c r="D2257" t="s">
        <v>9410</v>
      </c>
      <c r="E2257" t="s">
        <v>13421</v>
      </c>
      <c r="F2257" t="s">
        <v>9412</v>
      </c>
      <c r="G2257" t="s">
        <v>10760</v>
      </c>
      <c r="H2257" t="s">
        <v>12665</v>
      </c>
      <c r="I2257" t="s">
        <v>11444</v>
      </c>
      <c r="J2257" t="s">
        <v>445</v>
      </c>
      <c r="K2257" t="s">
        <v>9445</v>
      </c>
      <c r="L2257" t="s">
        <v>9417</v>
      </c>
      <c r="M2257" t="s">
        <v>12710</v>
      </c>
      <c r="N2257" t="s">
        <v>12682</v>
      </c>
      <c r="O2257" t="s">
        <v>9446</v>
      </c>
      <c r="P2257" t="s">
        <v>9420</v>
      </c>
      <c r="Q2257" t="s">
        <v>9421</v>
      </c>
      <c r="R2257" t="s">
        <v>17</v>
      </c>
      <c r="S2257" t="s">
        <v>5109</v>
      </c>
      <c r="T2257" t="s">
        <v>12711</v>
      </c>
    </row>
    <row r="2258" spans="1:20">
      <c r="A2258" t="s">
        <v>5417</v>
      </c>
      <c r="B2258" t="s">
        <v>62</v>
      </c>
      <c r="C2258" t="s">
        <v>13422</v>
      </c>
      <c r="D2258" t="s">
        <v>9448</v>
      </c>
      <c r="E2258" t="s">
        <v>13423</v>
      </c>
      <c r="F2258" t="s">
        <v>9412</v>
      </c>
      <c r="G2258" t="s">
        <v>9413</v>
      </c>
      <c r="H2258" t="s">
        <v>12</v>
      </c>
      <c r="I2258" t="s">
        <v>9736</v>
      </c>
      <c r="J2258" t="s">
        <v>914</v>
      </c>
      <c r="K2258" t="s">
        <v>9445</v>
      </c>
      <c r="L2258" t="s">
        <v>9417</v>
      </c>
      <c r="M2258" t="s">
        <v>12699</v>
      </c>
      <c r="N2258" t="s">
        <v>9426</v>
      </c>
      <c r="O2258" t="s">
        <v>9446</v>
      </c>
      <c r="P2258" t="s">
        <v>9567</v>
      </c>
      <c r="Q2258" t="s">
        <v>9421</v>
      </c>
      <c r="R2258" t="s">
        <v>43</v>
      </c>
      <c r="S2258" t="s">
        <v>74</v>
      </c>
      <c r="T2258" t="s">
        <v>76</v>
      </c>
    </row>
    <row r="2259" spans="1:20">
      <c r="A2259" t="s">
        <v>13424</v>
      </c>
      <c r="B2259" t="s">
        <v>9409</v>
      </c>
      <c r="C2259" t="s">
        <v>13425</v>
      </c>
      <c r="D2259" t="s">
        <v>9410</v>
      </c>
      <c r="E2259" t="s">
        <v>13426</v>
      </c>
      <c r="F2259" t="s">
        <v>9601</v>
      </c>
      <c r="G2259" t="s">
        <v>9413</v>
      </c>
      <c r="H2259" t="s">
        <v>12665</v>
      </c>
      <c r="I2259" t="s">
        <v>10066</v>
      </c>
      <c r="J2259" t="s">
        <v>445</v>
      </c>
      <c r="K2259" t="s">
        <v>9416</v>
      </c>
      <c r="L2259" t="s">
        <v>9417</v>
      </c>
      <c r="M2259" t="s">
        <v>12706</v>
      </c>
      <c r="N2259" t="s">
        <v>12682</v>
      </c>
      <c r="O2259" t="s">
        <v>13427</v>
      </c>
      <c r="P2259" t="s">
        <v>9420</v>
      </c>
      <c r="Q2259" t="s">
        <v>9421</v>
      </c>
      <c r="R2259" t="s">
        <v>17</v>
      </c>
      <c r="S2259" t="s">
        <v>13428</v>
      </c>
      <c r="T2259" t="s">
        <v>13429</v>
      </c>
    </row>
    <row r="2260" spans="1:20">
      <c r="A2260" t="s">
        <v>13430</v>
      </c>
      <c r="B2260" t="s">
        <v>9409</v>
      </c>
      <c r="C2260" t="s">
        <v>13096</v>
      </c>
      <c r="D2260" t="s">
        <v>9410</v>
      </c>
      <c r="E2260" t="s">
        <v>13431</v>
      </c>
      <c r="F2260" t="s">
        <v>9412</v>
      </c>
      <c r="G2260" t="s">
        <v>10760</v>
      </c>
      <c r="H2260" t="s">
        <v>12665</v>
      </c>
      <c r="I2260" t="s">
        <v>11444</v>
      </c>
      <c r="J2260" t="s">
        <v>445</v>
      </c>
      <c r="K2260" t="s">
        <v>9445</v>
      </c>
      <c r="L2260" t="s">
        <v>9417</v>
      </c>
      <c r="M2260" t="s">
        <v>12706</v>
      </c>
      <c r="N2260" t="s">
        <v>12682</v>
      </c>
      <c r="O2260" t="s">
        <v>9446</v>
      </c>
      <c r="P2260" t="s">
        <v>9420</v>
      </c>
      <c r="Q2260" t="s">
        <v>9421</v>
      </c>
      <c r="R2260" t="s">
        <v>17</v>
      </c>
      <c r="S2260" t="s">
        <v>13099</v>
      </c>
      <c r="T2260" t="s">
        <v>13100</v>
      </c>
    </row>
    <row r="2261" spans="1:20">
      <c r="A2261" t="s">
        <v>4686</v>
      </c>
      <c r="B2261" t="s">
        <v>20</v>
      </c>
      <c r="C2261" t="s">
        <v>13432</v>
      </c>
      <c r="D2261" t="s">
        <v>9460</v>
      </c>
      <c r="E2261" t="s">
        <v>13433</v>
      </c>
      <c r="F2261" t="s">
        <v>9412</v>
      </c>
      <c r="G2261" t="s">
        <v>10760</v>
      </c>
      <c r="H2261" t="s">
        <v>12</v>
      </c>
      <c r="I2261" t="s">
        <v>9771</v>
      </c>
      <c r="J2261" t="s">
        <v>147</v>
      </c>
      <c r="K2261" t="s">
        <v>9445</v>
      </c>
      <c r="L2261" t="s">
        <v>9417</v>
      </c>
      <c r="M2261" t="s">
        <v>12800</v>
      </c>
      <c r="N2261" t="s">
        <v>12700</v>
      </c>
      <c r="O2261" t="s">
        <v>9446</v>
      </c>
      <c r="P2261" t="s">
        <v>9420</v>
      </c>
      <c r="Q2261" t="s">
        <v>9421</v>
      </c>
      <c r="R2261" t="s">
        <v>17</v>
      </c>
      <c r="S2261" t="s">
        <v>4687</v>
      </c>
      <c r="T2261" t="s">
        <v>4689</v>
      </c>
    </row>
    <row r="2262" spans="1:20">
      <c r="A2262" t="s">
        <v>685</v>
      </c>
      <c r="B2262" t="s">
        <v>62</v>
      </c>
      <c r="C2262" t="s">
        <v>5115</v>
      </c>
      <c r="D2262" t="s">
        <v>9448</v>
      </c>
      <c r="E2262" t="s">
        <v>13434</v>
      </c>
      <c r="F2262" t="s">
        <v>9412</v>
      </c>
      <c r="G2262" t="s">
        <v>10760</v>
      </c>
      <c r="H2262" t="s">
        <v>12665</v>
      </c>
      <c r="I2262" t="s">
        <v>13435</v>
      </c>
      <c r="J2262" t="s">
        <v>445</v>
      </c>
      <c r="K2262" t="s">
        <v>9416</v>
      </c>
      <c r="L2262" t="s">
        <v>9417</v>
      </c>
      <c r="M2262" t="s">
        <v>12721</v>
      </c>
      <c r="N2262" t="s">
        <v>12682</v>
      </c>
      <c r="O2262" t="s">
        <v>5114</v>
      </c>
      <c r="P2262" t="s">
        <v>9420</v>
      </c>
      <c r="Q2262" t="s">
        <v>9421</v>
      </c>
      <c r="R2262" t="s">
        <v>17</v>
      </c>
      <c r="S2262" t="s">
        <v>686</v>
      </c>
      <c r="T2262" t="s">
        <v>688</v>
      </c>
    </row>
    <row r="2263" spans="1:20">
      <c r="A2263" t="s">
        <v>5117</v>
      </c>
      <c r="B2263" t="s">
        <v>62</v>
      </c>
      <c r="C2263" t="s">
        <v>13436</v>
      </c>
      <c r="D2263" t="s">
        <v>9448</v>
      </c>
      <c r="E2263" t="s">
        <v>13437</v>
      </c>
      <c r="F2263" t="s">
        <v>9412</v>
      </c>
      <c r="G2263" t="s">
        <v>9413</v>
      </c>
      <c r="H2263" t="s">
        <v>12</v>
      </c>
      <c r="I2263" t="s">
        <v>9522</v>
      </c>
      <c r="J2263" t="s">
        <v>445</v>
      </c>
      <c r="K2263" t="s">
        <v>9445</v>
      </c>
      <c r="L2263" t="s">
        <v>9417</v>
      </c>
      <c r="M2263" t="s">
        <v>12721</v>
      </c>
      <c r="N2263" t="s">
        <v>12682</v>
      </c>
      <c r="O2263" t="s">
        <v>9446</v>
      </c>
      <c r="P2263" t="s">
        <v>9420</v>
      </c>
      <c r="Q2263" t="s">
        <v>9421</v>
      </c>
      <c r="R2263" t="s">
        <v>17</v>
      </c>
      <c r="S2263" t="s">
        <v>686</v>
      </c>
      <c r="T2263" t="s">
        <v>688</v>
      </c>
    </row>
    <row r="2264" spans="1:20">
      <c r="A2264" t="s">
        <v>5120</v>
      </c>
      <c r="B2264" t="s">
        <v>9409</v>
      </c>
      <c r="C2264" t="s">
        <v>4901</v>
      </c>
      <c r="D2264" t="s">
        <v>9410</v>
      </c>
      <c r="E2264" t="s">
        <v>13438</v>
      </c>
      <c r="F2264" t="s">
        <v>9412</v>
      </c>
      <c r="G2264" t="s">
        <v>10760</v>
      </c>
      <c r="H2264" t="s">
        <v>12665</v>
      </c>
      <c r="I2264" t="s">
        <v>9766</v>
      </c>
      <c r="J2264" t="s">
        <v>445</v>
      </c>
      <c r="K2264" t="s">
        <v>9445</v>
      </c>
      <c r="L2264" t="s">
        <v>9417</v>
      </c>
      <c r="M2264" t="s">
        <v>12710</v>
      </c>
      <c r="N2264" t="s">
        <v>12682</v>
      </c>
      <c r="O2264" t="s">
        <v>9446</v>
      </c>
      <c r="P2264" t="s">
        <v>9420</v>
      </c>
      <c r="Q2264" t="s">
        <v>9421</v>
      </c>
      <c r="R2264" t="s">
        <v>17</v>
      </c>
      <c r="S2264" t="s">
        <v>4898</v>
      </c>
      <c r="T2264" t="s">
        <v>12788</v>
      </c>
    </row>
    <row r="2265" spans="1:20">
      <c r="A2265" t="s">
        <v>906</v>
      </c>
      <c r="B2265" t="s">
        <v>62</v>
      </c>
      <c r="C2265" t="s">
        <v>5311</v>
      </c>
      <c r="D2265" t="s">
        <v>9448</v>
      </c>
      <c r="E2265" t="s">
        <v>5310</v>
      </c>
      <c r="F2265" t="s">
        <v>9412</v>
      </c>
      <c r="G2265" t="s">
        <v>9413</v>
      </c>
      <c r="H2265" t="s">
        <v>12665</v>
      </c>
      <c r="I2265" t="s">
        <v>10562</v>
      </c>
      <c r="J2265" t="s">
        <v>710</v>
      </c>
      <c r="K2265" t="s">
        <v>9416</v>
      </c>
      <c r="L2265" t="s">
        <v>9417</v>
      </c>
      <c r="M2265" t="s">
        <v>12974</v>
      </c>
      <c r="N2265" t="s">
        <v>9446</v>
      </c>
      <c r="O2265" t="s">
        <v>5309</v>
      </c>
      <c r="P2265" t="s">
        <v>9655</v>
      </c>
      <c r="Q2265" t="s">
        <v>9421</v>
      </c>
      <c r="R2265" t="s">
        <v>56</v>
      </c>
      <c r="S2265" t="s">
        <v>907</v>
      </c>
      <c r="T2265" t="s">
        <v>909</v>
      </c>
    </row>
    <row r="2266" spans="1:20">
      <c r="A2266" t="s">
        <v>906</v>
      </c>
      <c r="B2266" t="s">
        <v>62</v>
      </c>
      <c r="C2266" t="s">
        <v>5311</v>
      </c>
      <c r="D2266" t="s">
        <v>9448</v>
      </c>
      <c r="E2266" t="s">
        <v>5310</v>
      </c>
      <c r="F2266" t="s">
        <v>9412</v>
      </c>
      <c r="G2266" t="s">
        <v>9413</v>
      </c>
      <c r="H2266" t="s">
        <v>12665</v>
      </c>
      <c r="I2266" t="s">
        <v>10562</v>
      </c>
      <c r="J2266" t="s">
        <v>710</v>
      </c>
      <c r="K2266" t="s">
        <v>9445</v>
      </c>
      <c r="L2266" t="s">
        <v>9417</v>
      </c>
      <c r="M2266" t="s">
        <v>12974</v>
      </c>
      <c r="N2266" t="s">
        <v>9426</v>
      </c>
      <c r="O2266" t="s">
        <v>9446</v>
      </c>
      <c r="P2266" t="s">
        <v>9655</v>
      </c>
      <c r="Q2266" t="s">
        <v>9421</v>
      </c>
      <c r="R2266" t="s">
        <v>84</v>
      </c>
      <c r="S2266" t="s">
        <v>911</v>
      </c>
      <c r="T2266" t="s">
        <v>913</v>
      </c>
    </row>
    <row r="2267" spans="1:20">
      <c r="A2267" t="s">
        <v>4692</v>
      </c>
      <c r="B2267" t="s">
        <v>20</v>
      </c>
      <c r="C2267" t="s">
        <v>13439</v>
      </c>
      <c r="D2267" t="s">
        <v>9460</v>
      </c>
      <c r="E2267" t="s">
        <v>13440</v>
      </c>
      <c r="F2267" t="s">
        <v>9412</v>
      </c>
      <c r="G2267" t="s">
        <v>10760</v>
      </c>
      <c r="H2267" t="s">
        <v>12</v>
      </c>
      <c r="I2267" t="s">
        <v>9771</v>
      </c>
      <c r="J2267" t="s">
        <v>147</v>
      </c>
      <c r="K2267" t="s">
        <v>9445</v>
      </c>
      <c r="L2267" t="s">
        <v>9417</v>
      </c>
      <c r="M2267" t="s">
        <v>12673</v>
      </c>
      <c r="N2267" t="s">
        <v>9426</v>
      </c>
      <c r="O2267" t="s">
        <v>9446</v>
      </c>
      <c r="P2267" t="s">
        <v>9524</v>
      </c>
      <c r="Q2267" t="s">
        <v>9421</v>
      </c>
      <c r="R2267" t="s">
        <v>24</v>
      </c>
      <c r="S2267" t="s">
        <v>244</v>
      </c>
      <c r="T2267" t="s">
        <v>246</v>
      </c>
    </row>
    <row r="2268" spans="1:20">
      <c r="A2268" t="s">
        <v>13441</v>
      </c>
      <c r="B2268" t="s">
        <v>9409</v>
      </c>
      <c r="C2268" t="s">
        <v>13442</v>
      </c>
      <c r="D2268" t="s">
        <v>9410</v>
      </c>
      <c r="E2268" t="s">
        <v>13443</v>
      </c>
      <c r="F2268" t="s">
        <v>9601</v>
      </c>
      <c r="G2268" t="s">
        <v>9413</v>
      </c>
      <c r="H2268" t="s">
        <v>12665</v>
      </c>
      <c r="I2268" t="s">
        <v>9628</v>
      </c>
      <c r="J2268" t="s">
        <v>445</v>
      </c>
      <c r="K2268" t="s">
        <v>9445</v>
      </c>
      <c r="L2268" t="s">
        <v>9417</v>
      </c>
      <c r="M2268" t="s">
        <v>12706</v>
      </c>
      <c r="N2268" t="s">
        <v>9426</v>
      </c>
      <c r="O2268" t="s">
        <v>9446</v>
      </c>
      <c r="P2268" t="s">
        <v>9567</v>
      </c>
      <c r="Q2268" t="s">
        <v>9421</v>
      </c>
      <c r="R2268" t="s">
        <v>43</v>
      </c>
      <c r="S2268" t="s">
        <v>40</v>
      </c>
      <c r="T2268" t="s">
        <v>42</v>
      </c>
    </row>
    <row r="2269" spans="1:20">
      <c r="A2269" t="s">
        <v>690</v>
      </c>
      <c r="B2269" t="s">
        <v>20</v>
      </c>
      <c r="C2269" t="s">
        <v>694</v>
      </c>
      <c r="D2269" t="s">
        <v>9460</v>
      </c>
      <c r="E2269" t="s">
        <v>13444</v>
      </c>
      <c r="F2269" t="s">
        <v>9412</v>
      </c>
      <c r="G2269" t="s">
        <v>9413</v>
      </c>
      <c r="H2269" t="s">
        <v>12</v>
      </c>
      <c r="I2269" t="s">
        <v>9502</v>
      </c>
      <c r="J2269" t="s">
        <v>445</v>
      </c>
      <c r="K2269" t="s">
        <v>9416</v>
      </c>
      <c r="L2269" t="s">
        <v>9417</v>
      </c>
      <c r="M2269" t="s">
        <v>12791</v>
      </c>
      <c r="N2269" t="s">
        <v>12682</v>
      </c>
      <c r="O2269" t="s">
        <v>5122</v>
      </c>
      <c r="P2269" t="s">
        <v>9459</v>
      </c>
      <c r="Q2269" t="s">
        <v>9421</v>
      </c>
      <c r="R2269" t="s">
        <v>17</v>
      </c>
      <c r="S2269" t="s">
        <v>691</v>
      </c>
      <c r="T2269" t="s">
        <v>693</v>
      </c>
    </row>
    <row r="2270" spans="1:20">
      <c r="A2270" t="s">
        <v>13445</v>
      </c>
      <c r="B2270" t="s">
        <v>9409</v>
      </c>
      <c r="C2270" t="s">
        <v>13446</v>
      </c>
      <c r="D2270" t="s">
        <v>9410</v>
      </c>
      <c r="E2270" t="s">
        <v>13447</v>
      </c>
      <c r="F2270" t="s">
        <v>9412</v>
      </c>
      <c r="G2270" t="s">
        <v>9413</v>
      </c>
      <c r="H2270" t="s">
        <v>12665</v>
      </c>
      <c r="I2270" t="s">
        <v>9736</v>
      </c>
      <c r="J2270" t="s">
        <v>147</v>
      </c>
      <c r="K2270" t="s">
        <v>9445</v>
      </c>
      <c r="L2270" t="s">
        <v>9417</v>
      </c>
      <c r="M2270" t="s">
        <v>12840</v>
      </c>
      <c r="N2270" t="s">
        <v>12719</v>
      </c>
      <c r="O2270" t="s">
        <v>9446</v>
      </c>
      <c r="P2270" t="s">
        <v>9420</v>
      </c>
      <c r="Q2270" t="s">
        <v>9421</v>
      </c>
      <c r="R2270" t="s">
        <v>17</v>
      </c>
      <c r="S2270" t="s">
        <v>156</v>
      </c>
      <c r="T2270" t="s">
        <v>158</v>
      </c>
    </row>
    <row r="2271" spans="1:20">
      <c r="A2271" t="s">
        <v>13448</v>
      </c>
      <c r="B2271" t="s">
        <v>9409</v>
      </c>
      <c r="C2271" t="s">
        <v>12854</v>
      </c>
      <c r="D2271" t="s">
        <v>9410</v>
      </c>
      <c r="E2271" t="s">
        <v>13449</v>
      </c>
      <c r="F2271" t="s">
        <v>9412</v>
      </c>
      <c r="G2271" t="s">
        <v>10760</v>
      </c>
      <c r="H2271" t="s">
        <v>12665</v>
      </c>
      <c r="I2271" t="s">
        <v>9736</v>
      </c>
      <c r="J2271" t="s">
        <v>287</v>
      </c>
      <c r="K2271" t="s">
        <v>9445</v>
      </c>
      <c r="L2271" t="s">
        <v>9417</v>
      </c>
      <c r="M2271" t="s">
        <v>12673</v>
      </c>
      <c r="N2271" t="s">
        <v>12688</v>
      </c>
      <c r="O2271" t="s">
        <v>9446</v>
      </c>
      <c r="P2271" t="s">
        <v>9420</v>
      </c>
      <c r="Q2271" t="s">
        <v>9421</v>
      </c>
      <c r="R2271" t="s">
        <v>17</v>
      </c>
      <c r="S2271" t="s">
        <v>12853</v>
      </c>
      <c r="T2271" t="s">
        <v>12857</v>
      </c>
    </row>
    <row r="2272" spans="1:20">
      <c r="A2272" t="s">
        <v>695</v>
      </c>
      <c r="B2272" t="s">
        <v>62</v>
      </c>
      <c r="C2272" t="s">
        <v>5128</v>
      </c>
      <c r="D2272" t="s">
        <v>9448</v>
      </c>
      <c r="E2272" t="s">
        <v>13450</v>
      </c>
      <c r="F2272" t="s">
        <v>9601</v>
      </c>
      <c r="G2272" t="s">
        <v>9413</v>
      </c>
      <c r="H2272" t="s">
        <v>12665</v>
      </c>
      <c r="I2272" t="s">
        <v>9576</v>
      </c>
      <c r="J2272" t="s">
        <v>445</v>
      </c>
      <c r="K2272" t="s">
        <v>9416</v>
      </c>
      <c r="L2272" t="s">
        <v>9417</v>
      </c>
      <c r="M2272" t="s">
        <v>12734</v>
      </c>
      <c r="N2272" t="s">
        <v>12682</v>
      </c>
      <c r="O2272" t="s">
        <v>5126</v>
      </c>
      <c r="P2272" t="s">
        <v>9429</v>
      </c>
      <c r="Q2272" t="s">
        <v>9421</v>
      </c>
      <c r="R2272" t="s">
        <v>52</v>
      </c>
      <c r="S2272" t="s">
        <v>696</v>
      </c>
      <c r="T2272" t="s">
        <v>698</v>
      </c>
    </row>
    <row r="2273" spans="1:20">
      <c r="A2273" t="s">
        <v>13451</v>
      </c>
      <c r="B2273" t="s">
        <v>9409</v>
      </c>
      <c r="C2273" t="s">
        <v>13452</v>
      </c>
      <c r="D2273" t="s">
        <v>9410</v>
      </c>
      <c r="E2273" t="s">
        <v>13453</v>
      </c>
      <c r="F2273" t="s">
        <v>11278</v>
      </c>
      <c r="G2273" t="s">
        <v>9413</v>
      </c>
      <c r="H2273" t="s">
        <v>12665</v>
      </c>
      <c r="I2273" t="s">
        <v>10452</v>
      </c>
      <c r="J2273" t="s">
        <v>445</v>
      </c>
      <c r="K2273" t="s">
        <v>9445</v>
      </c>
      <c r="L2273" t="s">
        <v>9417</v>
      </c>
      <c r="M2273" t="s">
        <v>12681</v>
      </c>
      <c r="N2273" t="s">
        <v>12682</v>
      </c>
      <c r="O2273" t="s">
        <v>9446</v>
      </c>
      <c r="P2273" t="s">
        <v>9420</v>
      </c>
      <c r="Q2273" t="s">
        <v>9421</v>
      </c>
      <c r="R2273" t="s">
        <v>17</v>
      </c>
      <c r="S2273" t="s">
        <v>4926</v>
      </c>
      <c r="T2273" t="s">
        <v>12879</v>
      </c>
    </row>
    <row r="2274" spans="1:20">
      <c r="A2274" t="s">
        <v>13454</v>
      </c>
      <c r="B2274" t="s">
        <v>9409</v>
      </c>
      <c r="C2274" t="s">
        <v>13455</v>
      </c>
      <c r="D2274" t="s">
        <v>9410</v>
      </c>
      <c r="E2274" t="s">
        <v>13456</v>
      </c>
      <c r="F2274" t="s">
        <v>9412</v>
      </c>
      <c r="G2274" t="s">
        <v>9413</v>
      </c>
      <c r="H2274" t="s">
        <v>12665</v>
      </c>
      <c r="I2274" t="s">
        <v>10434</v>
      </c>
      <c r="J2274" t="s">
        <v>11</v>
      </c>
      <c r="K2274" t="s">
        <v>9445</v>
      </c>
      <c r="L2274" t="s">
        <v>9417</v>
      </c>
      <c r="M2274" t="s">
        <v>12781</v>
      </c>
      <c r="N2274" t="s">
        <v>9426</v>
      </c>
      <c r="O2274" t="s">
        <v>9446</v>
      </c>
      <c r="P2274" t="s">
        <v>9479</v>
      </c>
      <c r="Q2274" t="s">
        <v>9421</v>
      </c>
      <c r="R2274" t="s">
        <v>43</v>
      </c>
      <c r="S2274" t="s">
        <v>333</v>
      </c>
      <c r="T2274" t="s">
        <v>335</v>
      </c>
    </row>
    <row r="2275" spans="1:20">
      <c r="A2275" t="s">
        <v>13457</v>
      </c>
      <c r="B2275" t="s">
        <v>9409</v>
      </c>
      <c r="C2275" t="s">
        <v>13458</v>
      </c>
      <c r="D2275" t="s">
        <v>9410</v>
      </c>
      <c r="E2275" t="s">
        <v>13459</v>
      </c>
      <c r="F2275" t="s">
        <v>9601</v>
      </c>
      <c r="G2275" t="s">
        <v>9413</v>
      </c>
      <c r="H2275" t="s">
        <v>12665</v>
      </c>
      <c r="I2275" t="s">
        <v>9830</v>
      </c>
      <c r="J2275" t="s">
        <v>445</v>
      </c>
      <c r="K2275" t="s">
        <v>9445</v>
      </c>
      <c r="L2275" t="s">
        <v>9417</v>
      </c>
      <c r="M2275" t="s">
        <v>12721</v>
      </c>
      <c r="N2275" t="s">
        <v>9430</v>
      </c>
      <c r="O2275" t="s">
        <v>9446</v>
      </c>
      <c r="P2275" t="s">
        <v>12826</v>
      </c>
      <c r="Q2275" t="s">
        <v>9421</v>
      </c>
      <c r="R2275" t="s">
        <v>17</v>
      </c>
      <c r="S2275" t="s">
        <v>12827</v>
      </c>
      <c r="T2275" t="s">
        <v>12828</v>
      </c>
    </row>
    <row r="2276" spans="1:20">
      <c r="A2276" t="s">
        <v>13460</v>
      </c>
      <c r="B2276" t="s">
        <v>9409</v>
      </c>
      <c r="C2276" t="s">
        <v>12895</v>
      </c>
      <c r="D2276" t="s">
        <v>9410</v>
      </c>
      <c r="E2276" t="s">
        <v>13461</v>
      </c>
      <c r="F2276" t="s">
        <v>9412</v>
      </c>
      <c r="G2276" t="s">
        <v>10760</v>
      </c>
      <c r="H2276" t="s">
        <v>12665</v>
      </c>
      <c r="I2276" t="s">
        <v>9771</v>
      </c>
      <c r="J2276" t="s">
        <v>287</v>
      </c>
      <c r="K2276" t="s">
        <v>9416</v>
      </c>
      <c r="L2276" t="s">
        <v>9417</v>
      </c>
      <c r="M2276" t="s">
        <v>12673</v>
      </c>
      <c r="N2276" t="s">
        <v>9430</v>
      </c>
      <c r="O2276" t="s">
        <v>13462</v>
      </c>
      <c r="P2276" t="s">
        <v>9794</v>
      </c>
      <c r="Q2276" t="s">
        <v>9421</v>
      </c>
      <c r="R2276" t="s">
        <v>52</v>
      </c>
      <c r="S2276" t="s">
        <v>541</v>
      </c>
      <c r="T2276" t="s">
        <v>12897</v>
      </c>
    </row>
    <row r="2277" spans="1:20">
      <c r="A2277" t="s">
        <v>13463</v>
      </c>
      <c r="B2277" t="s">
        <v>9409</v>
      </c>
      <c r="C2277" t="s">
        <v>13464</v>
      </c>
      <c r="D2277" t="s">
        <v>9410</v>
      </c>
      <c r="E2277" t="s">
        <v>13465</v>
      </c>
      <c r="F2277" t="s">
        <v>9412</v>
      </c>
      <c r="G2277" t="s">
        <v>9413</v>
      </c>
      <c r="H2277" t="s">
        <v>12665</v>
      </c>
      <c r="I2277" t="s">
        <v>10474</v>
      </c>
      <c r="J2277" t="s">
        <v>445</v>
      </c>
      <c r="K2277" t="s">
        <v>9445</v>
      </c>
      <c r="L2277" t="s">
        <v>9417</v>
      </c>
      <c r="M2277" t="s">
        <v>12699</v>
      </c>
      <c r="N2277" t="s">
        <v>12682</v>
      </c>
      <c r="O2277" t="s">
        <v>9446</v>
      </c>
      <c r="P2277" t="s">
        <v>9459</v>
      </c>
      <c r="Q2277" t="s">
        <v>9421</v>
      </c>
      <c r="R2277" t="s">
        <v>17</v>
      </c>
      <c r="S2277" t="s">
        <v>546</v>
      </c>
      <c r="T2277" t="s">
        <v>548</v>
      </c>
    </row>
    <row r="2278" spans="1:20">
      <c r="A2278" t="s">
        <v>13466</v>
      </c>
      <c r="B2278" t="s">
        <v>9409</v>
      </c>
      <c r="C2278" t="s">
        <v>4950</v>
      </c>
      <c r="D2278" t="s">
        <v>9410</v>
      </c>
      <c r="E2278" t="s">
        <v>13467</v>
      </c>
      <c r="F2278" t="s">
        <v>9412</v>
      </c>
      <c r="G2278" t="s">
        <v>10760</v>
      </c>
      <c r="H2278" t="s">
        <v>12665</v>
      </c>
      <c r="I2278" t="s">
        <v>11280</v>
      </c>
      <c r="J2278" t="s">
        <v>445</v>
      </c>
      <c r="K2278" t="s">
        <v>9445</v>
      </c>
      <c r="L2278" t="s">
        <v>9417</v>
      </c>
      <c r="M2278" t="s">
        <v>12791</v>
      </c>
      <c r="N2278" t="s">
        <v>12682</v>
      </c>
      <c r="O2278" t="s">
        <v>9446</v>
      </c>
      <c r="P2278" t="s">
        <v>11529</v>
      </c>
      <c r="Q2278" t="s">
        <v>9421</v>
      </c>
      <c r="R2278" t="s">
        <v>17</v>
      </c>
      <c r="S2278" t="s">
        <v>509</v>
      </c>
      <c r="T2278" t="s">
        <v>511</v>
      </c>
    </row>
    <row r="2279" spans="1:20">
      <c r="A2279" t="s">
        <v>13468</v>
      </c>
      <c r="B2279" t="s">
        <v>9409</v>
      </c>
      <c r="C2279" t="s">
        <v>13469</v>
      </c>
      <c r="D2279" t="s">
        <v>9410</v>
      </c>
      <c r="E2279" t="s">
        <v>13470</v>
      </c>
      <c r="F2279" t="s">
        <v>9412</v>
      </c>
      <c r="G2279" t="s">
        <v>10760</v>
      </c>
      <c r="H2279" t="s">
        <v>12</v>
      </c>
      <c r="I2279" t="s">
        <v>9736</v>
      </c>
      <c r="J2279" t="s">
        <v>147</v>
      </c>
      <c r="K2279" t="s">
        <v>9445</v>
      </c>
      <c r="L2279" t="s">
        <v>9417</v>
      </c>
      <c r="M2279" t="s">
        <v>12924</v>
      </c>
      <c r="N2279" t="s">
        <v>12719</v>
      </c>
      <c r="O2279" t="s">
        <v>9446</v>
      </c>
      <c r="P2279" t="s">
        <v>9420</v>
      </c>
      <c r="Q2279" t="s">
        <v>9421</v>
      </c>
      <c r="R2279" t="s">
        <v>17</v>
      </c>
      <c r="S2279" t="s">
        <v>12921</v>
      </c>
      <c r="T2279" t="s">
        <v>12926</v>
      </c>
    </row>
    <row r="2280" spans="1:20">
      <c r="A2280" t="s">
        <v>13471</v>
      </c>
      <c r="B2280" t="s">
        <v>9409</v>
      </c>
      <c r="C2280" t="s">
        <v>12928</v>
      </c>
      <c r="D2280" t="s">
        <v>9410</v>
      </c>
      <c r="E2280" t="s">
        <v>13472</v>
      </c>
      <c r="F2280" t="s">
        <v>9412</v>
      </c>
      <c r="G2280" t="s">
        <v>10760</v>
      </c>
      <c r="H2280" t="s">
        <v>12665</v>
      </c>
      <c r="I2280" t="s">
        <v>9736</v>
      </c>
      <c r="J2280" t="s">
        <v>287</v>
      </c>
      <c r="K2280" t="s">
        <v>9445</v>
      </c>
      <c r="L2280" t="s">
        <v>9417</v>
      </c>
      <c r="M2280" t="s">
        <v>12681</v>
      </c>
      <c r="N2280" t="s">
        <v>12688</v>
      </c>
      <c r="O2280" t="s">
        <v>9446</v>
      </c>
      <c r="P2280" t="s">
        <v>9420</v>
      </c>
      <c r="Q2280" t="s">
        <v>9421</v>
      </c>
      <c r="R2280" t="s">
        <v>17</v>
      </c>
      <c r="S2280" t="s">
        <v>12927</v>
      </c>
      <c r="T2280" t="s">
        <v>12931</v>
      </c>
    </row>
    <row r="2281" spans="1:20">
      <c r="A2281" t="s">
        <v>13473</v>
      </c>
      <c r="B2281" t="s">
        <v>9409</v>
      </c>
      <c r="C2281" t="s">
        <v>12940</v>
      </c>
      <c r="D2281" t="s">
        <v>9410</v>
      </c>
      <c r="E2281" t="s">
        <v>13474</v>
      </c>
      <c r="F2281" t="s">
        <v>9412</v>
      </c>
      <c r="G2281" t="s">
        <v>10760</v>
      </c>
      <c r="H2281" t="s">
        <v>12665</v>
      </c>
      <c r="I2281" t="s">
        <v>9766</v>
      </c>
      <c r="J2281" t="s">
        <v>287</v>
      </c>
      <c r="K2281" t="s">
        <v>9445</v>
      </c>
      <c r="L2281" t="s">
        <v>9417</v>
      </c>
      <c r="M2281" t="s">
        <v>12714</v>
      </c>
      <c r="N2281" t="s">
        <v>12688</v>
      </c>
      <c r="O2281" t="s">
        <v>9446</v>
      </c>
      <c r="P2281" t="s">
        <v>9420</v>
      </c>
      <c r="Q2281" t="s">
        <v>9421</v>
      </c>
      <c r="R2281" t="s">
        <v>17</v>
      </c>
      <c r="S2281" t="s">
        <v>12939</v>
      </c>
      <c r="T2281" t="s">
        <v>12943</v>
      </c>
    </row>
    <row r="2282" spans="1:20">
      <c r="A2282" t="s">
        <v>13475</v>
      </c>
      <c r="B2282" t="s">
        <v>9409</v>
      </c>
      <c r="C2282" t="s">
        <v>12854</v>
      </c>
      <c r="D2282" t="s">
        <v>9410</v>
      </c>
      <c r="E2282" t="s">
        <v>13476</v>
      </c>
      <c r="F2282" t="s">
        <v>9412</v>
      </c>
      <c r="G2282" t="s">
        <v>10760</v>
      </c>
      <c r="H2282" t="s">
        <v>12665</v>
      </c>
      <c r="I2282" t="s">
        <v>9736</v>
      </c>
      <c r="J2282" t="s">
        <v>287</v>
      </c>
      <c r="K2282" t="s">
        <v>9416</v>
      </c>
      <c r="L2282" t="s">
        <v>9417</v>
      </c>
      <c r="M2282" t="s">
        <v>12673</v>
      </c>
      <c r="N2282" t="s">
        <v>9430</v>
      </c>
      <c r="O2282" t="s">
        <v>13477</v>
      </c>
      <c r="P2282" t="s">
        <v>9526</v>
      </c>
      <c r="Q2282" t="s">
        <v>9421</v>
      </c>
      <c r="R2282" t="s">
        <v>17</v>
      </c>
      <c r="S2282" t="s">
        <v>13478</v>
      </c>
      <c r="T2282" t="s">
        <v>13479</v>
      </c>
    </row>
    <row r="2283" spans="1:20">
      <c r="A2283" t="s">
        <v>429</v>
      </c>
      <c r="B2283" t="s">
        <v>62</v>
      </c>
      <c r="C2283" t="s">
        <v>433</v>
      </c>
      <c r="D2283" t="s">
        <v>9448</v>
      </c>
      <c r="E2283" t="s">
        <v>13480</v>
      </c>
      <c r="F2283" t="s">
        <v>9601</v>
      </c>
      <c r="G2283" t="s">
        <v>9413</v>
      </c>
      <c r="H2283" t="s">
        <v>12</v>
      </c>
      <c r="I2283" t="s">
        <v>9466</v>
      </c>
      <c r="J2283" t="s">
        <v>287</v>
      </c>
      <c r="K2283" t="s">
        <v>9416</v>
      </c>
      <c r="L2283" t="s">
        <v>9417</v>
      </c>
      <c r="M2283" t="s">
        <v>12681</v>
      </c>
      <c r="N2283" t="s">
        <v>9446</v>
      </c>
      <c r="O2283" t="s">
        <v>4855</v>
      </c>
      <c r="P2283" t="s">
        <v>9655</v>
      </c>
      <c r="Q2283" t="s">
        <v>9421</v>
      </c>
      <c r="R2283" t="s">
        <v>56</v>
      </c>
      <c r="S2283" t="s">
        <v>430</v>
      </c>
      <c r="T2283" t="s">
        <v>432</v>
      </c>
    </row>
    <row r="2284" spans="1:20">
      <c r="A2284" t="s">
        <v>1028</v>
      </c>
      <c r="B2284" t="s">
        <v>62</v>
      </c>
      <c r="C2284" t="s">
        <v>1032</v>
      </c>
      <c r="D2284" t="s">
        <v>9448</v>
      </c>
      <c r="E2284" t="s">
        <v>13481</v>
      </c>
      <c r="F2284" t="s">
        <v>9601</v>
      </c>
      <c r="G2284" t="s">
        <v>9413</v>
      </c>
      <c r="H2284" t="s">
        <v>12</v>
      </c>
      <c r="I2284" t="s">
        <v>10177</v>
      </c>
      <c r="J2284" t="s">
        <v>914</v>
      </c>
      <c r="K2284" t="s">
        <v>9416</v>
      </c>
      <c r="L2284" t="s">
        <v>9417</v>
      </c>
      <c r="M2284" t="s">
        <v>12699</v>
      </c>
      <c r="N2284" t="s">
        <v>9446</v>
      </c>
      <c r="O2284" t="s">
        <v>5420</v>
      </c>
      <c r="P2284" t="s">
        <v>9655</v>
      </c>
      <c r="Q2284" t="s">
        <v>9421</v>
      </c>
      <c r="R2284" t="s">
        <v>56</v>
      </c>
      <c r="S2284" t="s">
        <v>1029</v>
      </c>
      <c r="T2284" t="s">
        <v>1031</v>
      </c>
    </row>
    <row r="2285" spans="1:20">
      <c r="A2285" t="s">
        <v>1033</v>
      </c>
      <c r="B2285" t="s">
        <v>62</v>
      </c>
      <c r="C2285" t="s">
        <v>1037</v>
      </c>
      <c r="D2285" t="s">
        <v>445</v>
      </c>
      <c r="E2285" t="s">
        <v>13482</v>
      </c>
      <c r="F2285" t="s">
        <v>9601</v>
      </c>
      <c r="G2285" t="s">
        <v>9413</v>
      </c>
      <c r="H2285" t="s">
        <v>12</v>
      </c>
      <c r="I2285" t="s">
        <v>9637</v>
      </c>
      <c r="J2285" t="s">
        <v>914</v>
      </c>
      <c r="K2285" t="s">
        <v>9416</v>
      </c>
      <c r="L2285" t="s">
        <v>9417</v>
      </c>
      <c r="M2285" t="s">
        <v>12699</v>
      </c>
      <c r="N2285" t="s">
        <v>9446</v>
      </c>
      <c r="O2285" t="s">
        <v>5424</v>
      </c>
      <c r="P2285" t="s">
        <v>9655</v>
      </c>
      <c r="Q2285" t="s">
        <v>9421</v>
      </c>
      <c r="R2285" t="s">
        <v>56</v>
      </c>
      <c r="S2285" t="s">
        <v>1034</v>
      </c>
      <c r="T2285" t="s">
        <v>1036</v>
      </c>
    </row>
    <row r="2286" spans="1:20">
      <c r="A2286" t="s">
        <v>13483</v>
      </c>
      <c r="B2286" t="s">
        <v>9409</v>
      </c>
      <c r="C2286" t="s">
        <v>13484</v>
      </c>
      <c r="D2286" t="s">
        <v>9410</v>
      </c>
      <c r="E2286" t="s">
        <v>13485</v>
      </c>
      <c r="F2286" t="s">
        <v>9601</v>
      </c>
      <c r="G2286" t="s">
        <v>9413</v>
      </c>
      <c r="H2286" t="s">
        <v>12</v>
      </c>
      <c r="I2286" t="s">
        <v>9441</v>
      </c>
      <c r="J2286" t="s">
        <v>287</v>
      </c>
      <c r="K2286" t="s">
        <v>9445</v>
      </c>
      <c r="L2286" t="s">
        <v>9417</v>
      </c>
      <c r="M2286" t="s">
        <v>12924</v>
      </c>
      <c r="N2286" t="s">
        <v>12719</v>
      </c>
      <c r="O2286" t="s">
        <v>9446</v>
      </c>
      <c r="P2286" t="s">
        <v>9420</v>
      </c>
      <c r="Q2286" t="s">
        <v>9421</v>
      </c>
      <c r="R2286" t="s">
        <v>17</v>
      </c>
      <c r="S2286" t="s">
        <v>12921</v>
      </c>
      <c r="T2286" t="s">
        <v>12926</v>
      </c>
    </row>
    <row r="2287" spans="1:20">
      <c r="A2287" t="s">
        <v>139</v>
      </c>
      <c r="B2287" t="s">
        <v>62</v>
      </c>
      <c r="C2287" t="s">
        <v>143</v>
      </c>
      <c r="D2287" t="s">
        <v>445</v>
      </c>
      <c r="E2287" t="s">
        <v>13486</v>
      </c>
      <c r="F2287" t="s">
        <v>9601</v>
      </c>
      <c r="G2287" t="s">
        <v>9413</v>
      </c>
      <c r="H2287" t="s">
        <v>12</v>
      </c>
      <c r="I2287" t="s">
        <v>9886</v>
      </c>
      <c r="J2287" t="s">
        <v>11</v>
      </c>
      <c r="K2287" t="s">
        <v>9416</v>
      </c>
      <c r="L2287" t="s">
        <v>9417</v>
      </c>
      <c r="M2287" t="s">
        <v>12666</v>
      </c>
      <c r="N2287" t="s">
        <v>9446</v>
      </c>
      <c r="O2287" t="s">
        <v>4576</v>
      </c>
      <c r="P2287" t="s">
        <v>9655</v>
      </c>
      <c r="Q2287" t="s">
        <v>9421</v>
      </c>
      <c r="R2287" t="s">
        <v>56</v>
      </c>
      <c r="S2287" t="s">
        <v>140</v>
      </c>
      <c r="T2287" t="s">
        <v>142</v>
      </c>
    </row>
    <row r="2288" spans="1:20">
      <c r="A2288" t="s">
        <v>139</v>
      </c>
      <c r="B2288" t="s">
        <v>62</v>
      </c>
      <c r="C2288" t="s">
        <v>143</v>
      </c>
      <c r="D2288" t="s">
        <v>445</v>
      </c>
      <c r="E2288" t="s">
        <v>13486</v>
      </c>
      <c r="F2288" t="s">
        <v>9601</v>
      </c>
      <c r="G2288" t="s">
        <v>9413</v>
      </c>
      <c r="H2288" t="s">
        <v>12</v>
      </c>
      <c r="I2288" t="s">
        <v>9886</v>
      </c>
      <c r="J2288" t="s">
        <v>11</v>
      </c>
      <c r="K2288" t="s">
        <v>9416</v>
      </c>
      <c r="L2288" t="s">
        <v>9417</v>
      </c>
      <c r="M2288" t="s">
        <v>12666</v>
      </c>
      <c r="N2288" t="s">
        <v>9446</v>
      </c>
      <c r="O2288" t="s">
        <v>4580</v>
      </c>
      <c r="P2288" t="s">
        <v>9655</v>
      </c>
      <c r="Q2288" t="s">
        <v>9421</v>
      </c>
      <c r="R2288" t="s">
        <v>56</v>
      </c>
      <c r="S2288" t="s">
        <v>144</v>
      </c>
      <c r="T2288" t="s">
        <v>146</v>
      </c>
    </row>
    <row r="2289" spans="1:20">
      <c r="A2289" t="s">
        <v>13487</v>
      </c>
      <c r="B2289" t="s">
        <v>9409</v>
      </c>
      <c r="C2289" t="s">
        <v>4946</v>
      </c>
      <c r="D2289" t="s">
        <v>9410</v>
      </c>
      <c r="E2289" t="s">
        <v>13488</v>
      </c>
      <c r="F2289" t="s">
        <v>9412</v>
      </c>
      <c r="G2289" t="s">
        <v>10760</v>
      </c>
      <c r="H2289" t="s">
        <v>12665</v>
      </c>
      <c r="I2289" t="s">
        <v>9771</v>
      </c>
      <c r="J2289" t="s">
        <v>445</v>
      </c>
      <c r="K2289" t="s">
        <v>9445</v>
      </c>
      <c r="L2289" t="s">
        <v>9417</v>
      </c>
      <c r="M2289" t="s">
        <v>12710</v>
      </c>
      <c r="N2289" t="s">
        <v>12682</v>
      </c>
      <c r="O2289" t="s">
        <v>9446</v>
      </c>
      <c r="P2289" t="s">
        <v>9420</v>
      </c>
      <c r="Q2289" t="s">
        <v>9421</v>
      </c>
      <c r="R2289" t="s">
        <v>17</v>
      </c>
      <c r="S2289" t="s">
        <v>505</v>
      </c>
      <c r="T2289" t="s">
        <v>507</v>
      </c>
    </row>
    <row r="2290" spans="1:20">
      <c r="A2290" t="s">
        <v>700</v>
      </c>
      <c r="B2290" t="s">
        <v>20</v>
      </c>
      <c r="C2290" t="s">
        <v>5132</v>
      </c>
      <c r="D2290" t="s">
        <v>9677</v>
      </c>
      <c r="E2290" t="s">
        <v>13489</v>
      </c>
      <c r="F2290" t="s">
        <v>9601</v>
      </c>
      <c r="G2290" t="s">
        <v>9413</v>
      </c>
      <c r="H2290" t="s">
        <v>12665</v>
      </c>
      <c r="I2290" t="s">
        <v>10265</v>
      </c>
      <c r="J2290" t="s">
        <v>445</v>
      </c>
      <c r="K2290" t="s">
        <v>9416</v>
      </c>
      <c r="L2290" t="s">
        <v>9417</v>
      </c>
      <c r="M2290" t="s">
        <v>12791</v>
      </c>
      <c r="N2290" t="s">
        <v>9430</v>
      </c>
      <c r="O2290" t="s">
        <v>13490</v>
      </c>
      <c r="P2290" t="s">
        <v>13491</v>
      </c>
      <c r="Q2290" t="s">
        <v>9421</v>
      </c>
      <c r="R2290" t="s">
        <v>17</v>
      </c>
      <c r="S2290" t="s">
        <v>13492</v>
      </c>
      <c r="T2290" t="s">
        <v>13493</v>
      </c>
    </row>
    <row r="2291" spans="1:20">
      <c r="A2291" t="s">
        <v>13494</v>
      </c>
      <c r="B2291" t="s">
        <v>9409</v>
      </c>
      <c r="C2291" t="s">
        <v>4722</v>
      </c>
      <c r="D2291" t="s">
        <v>9410</v>
      </c>
      <c r="E2291" t="s">
        <v>13495</v>
      </c>
      <c r="F2291" t="s">
        <v>9412</v>
      </c>
      <c r="G2291" t="s">
        <v>10760</v>
      </c>
      <c r="H2291" t="s">
        <v>12665</v>
      </c>
      <c r="I2291" t="s">
        <v>9766</v>
      </c>
      <c r="J2291" t="s">
        <v>287</v>
      </c>
      <c r="K2291" t="s">
        <v>9445</v>
      </c>
      <c r="L2291" t="s">
        <v>9417</v>
      </c>
      <c r="M2291" t="s">
        <v>12673</v>
      </c>
      <c r="N2291" t="s">
        <v>12688</v>
      </c>
      <c r="O2291" t="s">
        <v>9446</v>
      </c>
      <c r="P2291" t="s">
        <v>9420</v>
      </c>
      <c r="Q2291" t="s">
        <v>9421</v>
      </c>
      <c r="R2291" t="s">
        <v>17</v>
      </c>
      <c r="S2291" t="s">
        <v>314</v>
      </c>
      <c r="T2291" t="s">
        <v>316</v>
      </c>
    </row>
    <row r="2292" spans="1:20">
      <c r="A2292" t="s">
        <v>13496</v>
      </c>
      <c r="B2292" t="s">
        <v>9409</v>
      </c>
      <c r="C2292" t="s">
        <v>12995</v>
      </c>
      <c r="D2292" t="s">
        <v>9410</v>
      </c>
      <c r="E2292" t="s">
        <v>13497</v>
      </c>
      <c r="F2292" t="s">
        <v>9412</v>
      </c>
      <c r="G2292" t="s">
        <v>10760</v>
      </c>
      <c r="H2292" t="s">
        <v>12665</v>
      </c>
      <c r="I2292" t="s">
        <v>10822</v>
      </c>
      <c r="J2292" t="s">
        <v>445</v>
      </c>
      <c r="K2292" t="s">
        <v>9445</v>
      </c>
      <c r="L2292" t="s">
        <v>9417</v>
      </c>
      <c r="M2292" t="s">
        <v>12721</v>
      </c>
      <c r="N2292" t="s">
        <v>12682</v>
      </c>
      <c r="O2292" t="s">
        <v>9446</v>
      </c>
      <c r="P2292" t="s">
        <v>9459</v>
      </c>
      <c r="Q2292" t="s">
        <v>9421</v>
      </c>
      <c r="R2292" t="s">
        <v>17</v>
      </c>
      <c r="S2292" t="s">
        <v>12994</v>
      </c>
      <c r="T2292" t="s">
        <v>12998</v>
      </c>
    </row>
    <row r="2293" spans="1:20">
      <c r="A2293" t="s">
        <v>13498</v>
      </c>
      <c r="B2293" t="s">
        <v>9409</v>
      </c>
      <c r="C2293" t="s">
        <v>13001</v>
      </c>
      <c r="D2293" t="s">
        <v>9410</v>
      </c>
      <c r="E2293" t="s">
        <v>13499</v>
      </c>
      <c r="F2293" t="s">
        <v>9412</v>
      </c>
      <c r="G2293" t="s">
        <v>10760</v>
      </c>
      <c r="H2293" t="s">
        <v>12665</v>
      </c>
      <c r="I2293" t="s">
        <v>9771</v>
      </c>
      <c r="J2293" t="s">
        <v>147</v>
      </c>
      <c r="K2293" t="s">
        <v>9445</v>
      </c>
      <c r="L2293" t="s">
        <v>9417</v>
      </c>
      <c r="M2293" t="s">
        <v>12924</v>
      </c>
      <c r="N2293" t="s">
        <v>12719</v>
      </c>
      <c r="O2293" t="s">
        <v>9446</v>
      </c>
      <c r="P2293" t="s">
        <v>9420</v>
      </c>
      <c r="Q2293" t="s">
        <v>9421</v>
      </c>
      <c r="R2293" t="s">
        <v>17</v>
      </c>
      <c r="S2293" t="s">
        <v>13000</v>
      </c>
      <c r="T2293" t="s">
        <v>13004</v>
      </c>
    </row>
    <row r="2294" spans="1:20">
      <c r="A2294" t="s">
        <v>13500</v>
      </c>
      <c r="B2294" t="s">
        <v>62</v>
      </c>
      <c r="C2294" t="s">
        <v>13501</v>
      </c>
      <c r="D2294" t="s">
        <v>445</v>
      </c>
      <c r="E2294" t="s">
        <v>13502</v>
      </c>
      <c r="F2294" t="s">
        <v>9601</v>
      </c>
      <c r="G2294" t="s">
        <v>9413</v>
      </c>
      <c r="H2294" t="s">
        <v>12</v>
      </c>
      <c r="I2294" t="s">
        <v>9450</v>
      </c>
      <c r="J2294" t="s">
        <v>445</v>
      </c>
      <c r="K2294" t="s">
        <v>9445</v>
      </c>
      <c r="L2294" t="s">
        <v>9417</v>
      </c>
      <c r="M2294" t="s">
        <v>12721</v>
      </c>
      <c r="N2294" t="s">
        <v>12682</v>
      </c>
      <c r="O2294" t="s">
        <v>9446</v>
      </c>
      <c r="P2294" t="s">
        <v>9524</v>
      </c>
      <c r="Q2294" t="s">
        <v>9421</v>
      </c>
      <c r="R2294" t="s">
        <v>24</v>
      </c>
      <c r="S2294" t="s">
        <v>564</v>
      </c>
      <c r="T2294" t="s">
        <v>566</v>
      </c>
    </row>
    <row r="2295" spans="1:20">
      <c r="A2295" t="s">
        <v>13500</v>
      </c>
      <c r="B2295" t="s">
        <v>62</v>
      </c>
      <c r="C2295" t="s">
        <v>13501</v>
      </c>
      <c r="D2295" t="s">
        <v>445</v>
      </c>
      <c r="E2295" t="s">
        <v>13502</v>
      </c>
      <c r="F2295" t="s">
        <v>9601</v>
      </c>
      <c r="G2295" t="s">
        <v>9413</v>
      </c>
      <c r="H2295" t="s">
        <v>12</v>
      </c>
      <c r="I2295" t="s">
        <v>9450</v>
      </c>
      <c r="J2295" t="s">
        <v>445</v>
      </c>
      <c r="K2295" t="s">
        <v>9445</v>
      </c>
      <c r="L2295" t="s">
        <v>9417</v>
      </c>
      <c r="M2295" t="s">
        <v>12721</v>
      </c>
      <c r="N2295" t="s">
        <v>9426</v>
      </c>
      <c r="O2295" t="s">
        <v>9446</v>
      </c>
      <c r="P2295" t="s">
        <v>10713</v>
      </c>
      <c r="Q2295" t="s">
        <v>9421</v>
      </c>
      <c r="R2295" t="s">
        <v>43</v>
      </c>
      <c r="S2295" t="s">
        <v>2606</v>
      </c>
      <c r="T2295" t="s">
        <v>2608</v>
      </c>
    </row>
    <row r="2296" spans="1:20">
      <c r="A2296" t="s">
        <v>13503</v>
      </c>
      <c r="B2296" t="s">
        <v>9409</v>
      </c>
      <c r="C2296" t="s">
        <v>4735</v>
      </c>
      <c r="D2296" t="s">
        <v>9410</v>
      </c>
      <c r="E2296" t="s">
        <v>13504</v>
      </c>
      <c r="F2296" t="s">
        <v>9412</v>
      </c>
      <c r="G2296" t="s">
        <v>10760</v>
      </c>
      <c r="H2296" t="s">
        <v>12665</v>
      </c>
      <c r="I2296" t="s">
        <v>10822</v>
      </c>
      <c r="J2296" t="s">
        <v>287</v>
      </c>
      <c r="K2296" t="s">
        <v>9445</v>
      </c>
      <c r="L2296" t="s">
        <v>9417</v>
      </c>
      <c r="M2296" t="s">
        <v>12721</v>
      </c>
      <c r="N2296" t="s">
        <v>12688</v>
      </c>
      <c r="O2296" t="s">
        <v>9446</v>
      </c>
      <c r="P2296" t="s">
        <v>9420</v>
      </c>
      <c r="Q2296" t="s">
        <v>9421</v>
      </c>
      <c r="R2296" t="s">
        <v>17</v>
      </c>
      <c r="S2296" t="s">
        <v>4732</v>
      </c>
      <c r="T2296" t="s">
        <v>13057</v>
      </c>
    </row>
    <row r="2297" spans="1:20">
      <c r="A2297" t="s">
        <v>705</v>
      </c>
      <c r="B2297" t="s">
        <v>62</v>
      </c>
      <c r="C2297" t="s">
        <v>709</v>
      </c>
      <c r="D2297" t="s">
        <v>445</v>
      </c>
      <c r="E2297" t="s">
        <v>13505</v>
      </c>
      <c r="F2297" t="s">
        <v>9601</v>
      </c>
      <c r="G2297" t="s">
        <v>9413</v>
      </c>
      <c r="H2297" t="s">
        <v>12</v>
      </c>
      <c r="I2297" t="s">
        <v>9736</v>
      </c>
      <c r="J2297" t="s">
        <v>445</v>
      </c>
      <c r="K2297" t="s">
        <v>9416</v>
      </c>
      <c r="L2297" t="s">
        <v>9417</v>
      </c>
      <c r="M2297" t="s">
        <v>12791</v>
      </c>
      <c r="N2297" t="s">
        <v>9446</v>
      </c>
      <c r="O2297" t="s">
        <v>5134</v>
      </c>
      <c r="P2297" t="s">
        <v>9651</v>
      </c>
      <c r="Q2297" t="s">
        <v>9421</v>
      </c>
      <c r="R2297" t="s">
        <v>56</v>
      </c>
      <c r="S2297" t="s">
        <v>706</v>
      </c>
      <c r="T2297" t="s">
        <v>708</v>
      </c>
    </row>
    <row r="2298" spans="1:20">
      <c r="A2298" t="s">
        <v>4859</v>
      </c>
      <c r="B2298" t="s">
        <v>62</v>
      </c>
      <c r="C2298" t="s">
        <v>4860</v>
      </c>
      <c r="D2298" t="s">
        <v>445</v>
      </c>
      <c r="E2298" t="s">
        <v>13506</v>
      </c>
      <c r="F2298" t="s">
        <v>9601</v>
      </c>
      <c r="G2298" t="s">
        <v>9413</v>
      </c>
      <c r="H2298" t="s">
        <v>12665</v>
      </c>
      <c r="I2298" t="s">
        <v>10476</v>
      </c>
      <c r="J2298" t="s">
        <v>287</v>
      </c>
      <c r="K2298" t="s">
        <v>9445</v>
      </c>
      <c r="L2298" t="s">
        <v>9417</v>
      </c>
      <c r="M2298" t="s">
        <v>12681</v>
      </c>
      <c r="N2298" t="s">
        <v>9426</v>
      </c>
      <c r="O2298" t="s">
        <v>9446</v>
      </c>
      <c r="P2298" t="s">
        <v>9479</v>
      </c>
      <c r="Q2298" t="s">
        <v>9421</v>
      </c>
      <c r="R2298" t="s">
        <v>43</v>
      </c>
      <c r="S2298" t="s">
        <v>364</v>
      </c>
      <c r="T2298" t="s">
        <v>366</v>
      </c>
    </row>
    <row r="2299" spans="1:20">
      <c r="A2299" t="s">
        <v>13507</v>
      </c>
      <c r="B2299" t="s">
        <v>9409</v>
      </c>
      <c r="C2299" t="s">
        <v>5151</v>
      </c>
      <c r="D2299" t="s">
        <v>9410</v>
      </c>
      <c r="E2299" t="s">
        <v>13508</v>
      </c>
      <c r="F2299" t="s">
        <v>9412</v>
      </c>
      <c r="G2299" t="s">
        <v>12450</v>
      </c>
      <c r="H2299" t="s">
        <v>12665</v>
      </c>
      <c r="I2299" t="s">
        <v>9528</v>
      </c>
      <c r="J2299" t="s">
        <v>710</v>
      </c>
      <c r="K2299" t="s">
        <v>9445</v>
      </c>
      <c r="L2299" t="s">
        <v>9417</v>
      </c>
      <c r="M2299" t="s">
        <v>12738</v>
      </c>
      <c r="N2299" t="s">
        <v>12725</v>
      </c>
      <c r="O2299" t="s">
        <v>9446</v>
      </c>
      <c r="P2299" t="s">
        <v>9420</v>
      </c>
      <c r="Q2299" t="s">
        <v>9421</v>
      </c>
      <c r="R2299" t="s">
        <v>17</v>
      </c>
      <c r="S2299" t="s">
        <v>715</v>
      </c>
      <c r="T2299" t="s">
        <v>717</v>
      </c>
    </row>
    <row r="2300" spans="1:20">
      <c r="A2300" t="s">
        <v>13509</v>
      </c>
      <c r="B2300" t="s">
        <v>9409</v>
      </c>
      <c r="C2300" t="s">
        <v>12989</v>
      </c>
      <c r="D2300" t="s">
        <v>9410</v>
      </c>
      <c r="E2300" t="s">
        <v>13510</v>
      </c>
      <c r="F2300" t="s">
        <v>9412</v>
      </c>
      <c r="G2300" t="s">
        <v>12450</v>
      </c>
      <c r="H2300" t="s">
        <v>12665</v>
      </c>
      <c r="I2300" t="s">
        <v>9528</v>
      </c>
      <c r="J2300" t="s">
        <v>710</v>
      </c>
      <c r="K2300" t="s">
        <v>9445</v>
      </c>
      <c r="L2300" t="s">
        <v>9417</v>
      </c>
      <c r="M2300" t="s">
        <v>12951</v>
      </c>
      <c r="N2300" t="s">
        <v>12725</v>
      </c>
      <c r="O2300" t="s">
        <v>9446</v>
      </c>
      <c r="P2300" t="s">
        <v>9623</v>
      </c>
      <c r="Q2300" t="s">
        <v>9421</v>
      </c>
      <c r="R2300" t="s">
        <v>24</v>
      </c>
      <c r="S2300" t="s">
        <v>12988</v>
      </c>
      <c r="T2300" t="s">
        <v>12992</v>
      </c>
    </row>
    <row r="2301" spans="1:20">
      <c r="A2301" t="s">
        <v>5313</v>
      </c>
      <c r="B2301" t="s">
        <v>9409</v>
      </c>
      <c r="C2301" t="s">
        <v>5317</v>
      </c>
      <c r="D2301" t="s">
        <v>9410</v>
      </c>
      <c r="E2301" t="s">
        <v>13511</v>
      </c>
      <c r="F2301" t="s">
        <v>9412</v>
      </c>
      <c r="G2301" t="s">
        <v>12450</v>
      </c>
      <c r="H2301" t="s">
        <v>12665</v>
      </c>
      <c r="I2301" t="s">
        <v>9528</v>
      </c>
      <c r="J2301" t="s">
        <v>710</v>
      </c>
      <c r="K2301" t="s">
        <v>9445</v>
      </c>
      <c r="L2301" t="s">
        <v>9417</v>
      </c>
      <c r="M2301" t="s">
        <v>12951</v>
      </c>
      <c r="N2301" t="s">
        <v>12725</v>
      </c>
      <c r="O2301" t="s">
        <v>9446</v>
      </c>
      <c r="P2301" t="s">
        <v>9420</v>
      </c>
      <c r="Q2301" t="s">
        <v>9421</v>
      </c>
      <c r="R2301" t="s">
        <v>17</v>
      </c>
      <c r="S2301" t="s">
        <v>5314</v>
      </c>
      <c r="T2301" t="s">
        <v>13094</v>
      </c>
    </row>
    <row r="2302" spans="1:20">
      <c r="A2302" t="s">
        <v>13512</v>
      </c>
      <c r="B2302" t="s">
        <v>9409</v>
      </c>
      <c r="C2302" t="s">
        <v>13038</v>
      </c>
      <c r="D2302" t="s">
        <v>9410</v>
      </c>
      <c r="E2302" t="s">
        <v>13513</v>
      </c>
      <c r="F2302" t="s">
        <v>9412</v>
      </c>
      <c r="G2302" t="s">
        <v>12450</v>
      </c>
      <c r="H2302" t="s">
        <v>12665</v>
      </c>
      <c r="I2302" t="s">
        <v>9528</v>
      </c>
      <c r="J2302" t="s">
        <v>710</v>
      </c>
      <c r="K2302" t="s">
        <v>9445</v>
      </c>
      <c r="L2302" t="s">
        <v>9417</v>
      </c>
      <c r="M2302" t="s">
        <v>12738</v>
      </c>
      <c r="N2302" t="s">
        <v>12725</v>
      </c>
      <c r="O2302" t="s">
        <v>9446</v>
      </c>
      <c r="P2302" t="s">
        <v>9420</v>
      </c>
      <c r="Q2302" t="s">
        <v>9421</v>
      </c>
      <c r="R2302" t="s">
        <v>17</v>
      </c>
      <c r="S2302" t="s">
        <v>13037</v>
      </c>
      <c r="T2302" t="s">
        <v>13041</v>
      </c>
    </row>
    <row r="2303" spans="1:20">
      <c r="A2303" t="s">
        <v>5319</v>
      </c>
      <c r="B2303" t="s">
        <v>9409</v>
      </c>
      <c r="C2303" t="s">
        <v>5156</v>
      </c>
      <c r="D2303" t="s">
        <v>9410</v>
      </c>
      <c r="E2303" t="s">
        <v>13514</v>
      </c>
      <c r="F2303" t="s">
        <v>9412</v>
      </c>
      <c r="G2303" t="s">
        <v>12450</v>
      </c>
      <c r="H2303" t="s">
        <v>12665</v>
      </c>
      <c r="I2303" t="s">
        <v>9528</v>
      </c>
      <c r="J2303" t="s">
        <v>710</v>
      </c>
      <c r="K2303" t="s">
        <v>9445</v>
      </c>
      <c r="L2303" t="s">
        <v>9417</v>
      </c>
      <c r="M2303" t="s">
        <v>12951</v>
      </c>
      <c r="N2303" t="s">
        <v>12725</v>
      </c>
      <c r="O2303" t="s">
        <v>9446</v>
      </c>
      <c r="P2303" t="s">
        <v>9459</v>
      </c>
      <c r="Q2303" t="s">
        <v>9421</v>
      </c>
      <c r="R2303" t="s">
        <v>17</v>
      </c>
      <c r="S2303" t="s">
        <v>5153</v>
      </c>
      <c r="T2303" t="s">
        <v>12952</v>
      </c>
    </row>
    <row r="2304" spans="1:20">
      <c r="A2304" t="s">
        <v>4862</v>
      </c>
      <c r="B2304" t="s">
        <v>9409</v>
      </c>
      <c r="C2304" t="s">
        <v>13515</v>
      </c>
      <c r="D2304" t="s">
        <v>9410</v>
      </c>
      <c r="E2304" t="s">
        <v>13516</v>
      </c>
      <c r="F2304" t="s">
        <v>9601</v>
      </c>
      <c r="G2304" t="s">
        <v>9413</v>
      </c>
      <c r="H2304" t="s">
        <v>12</v>
      </c>
      <c r="I2304" t="s">
        <v>11327</v>
      </c>
      <c r="J2304" t="s">
        <v>287</v>
      </c>
      <c r="K2304" t="s">
        <v>9445</v>
      </c>
      <c r="L2304" t="s">
        <v>9417</v>
      </c>
      <c r="M2304" t="s">
        <v>12673</v>
      </c>
      <c r="N2304" t="s">
        <v>9426</v>
      </c>
      <c r="O2304" t="s">
        <v>9446</v>
      </c>
      <c r="P2304" t="s">
        <v>9479</v>
      </c>
      <c r="Q2304" t="s">
        <v>9421</v>
      </c>
      <c r="R2304" t="s">
        <v>43</v>
      </c>
      <c r="S2304" t="s">
        <v>364</v>
      </c>
      <c r="T2304" t="s">
        <v>366</v>
      </c>
    </row>
    <row r="2305" spans="1:20">
      <c r="A2305" t="s">
        <v>13517</v>
      </c>
      <c r="B2305" t="s">
        <v>9409</v>
      </c>
      <c r="C2305" t="s">
        <v>4881</v>
      </c>
      <c r="D2305" t="s">
        <v>9410</v>
      </c>
      <c r="E2305" t="s">
        <v>13518</v>
      </c>
      <c r="F2305" t="s">
        <v>9412</v>
      </c>
      <c r="G2305" t="s">
        <v>12450</v>
      </c>
      <c r="H2305" t="s">
        <v>12665</v>
      </c>
      <c r="I2305" t="s">
        <v>11072</v>
      </c>
      <c r="J2305" t="s">
        <v>445</v>
      </c>
      <c r="K2305" t="s">
        <v>9445</v>
      </c>
      <c r="L2305" t="s">
        <v>9417</v>
      </c>
      <c r="M2305" t="s">
        <v>12710</v>
      </c>
      <c r="N2305" t="s">
        <v>12682</v>
      </c>
      <c r="O2305" t="s">
        <v>9446</v>
      </c>
      <c r="P2305" t="s">
        <v>9420</v>
      </c>
      <c r="Q2305" t="s">
        <v>9421</v>
      </c>
      <c r="R2305" t="s">
        <v>17</v>
      </c>
      <c r="S2305" t="s">
        <v>450</v>
      </c>
      <c r="T2305" t="s">
        <v>452</v>
      </c>
    </row>
    <row r="2306" spans="1:20">
      <c r="A2306" t="s">
        <v>13519</v>
      </c>
      <c r="B2306" t="s">
        <v>9409</v>
      </c>
      <c r="C2306" t="s">
        <v>13520</v>
      </c>
      <c r="D2306" t="s">
        <v>9410</v>
      </c>
      <c r="E2306" t="s">
        <v>13521</v>
      </c>
      <c r="F2306" t="s">
        <v>9412</v>
      </c>
      <c r="G2306" t="s">
        <v>12450</v>
      </c>
      <c r="H2306" t="s">
        <v>12665</v>
      </c>
      <c r="I2306" t="s">
        <v>11072</v>
      </c>
      <c r="J2306" t="s">
        <v>445</v>
      </c>
      <c r="K2306" t="s">
        <v>9445</v>
      </c>
      <c r="L2306" t="s">
        <v>9417</v>
      </c>
      <c r="M2306" t="s">
        <v>12734</v>
      </c>
      <c r="N2306" t="s">
        <v>12682</v>
      </c>
      <c r="O2306" t="s">
        <v>9446</v>
      </c>
      <c r="P2306" t="s">
        <v>9623</v>
      </c>
      <c r="Q2306" t="s">
        <v>9421</v>
      </c>
      <c r="R2306" t="s">
        <v>24</v>
      </c>
      <c r="S2306" t="s">
        <v>461</v>
      </c>
      <c r="T2306" t="s">
        <v>463</v>
      </c>
    </row>
    <row r="2307" spans="1:20">
      <c r="A2307" t="s">
        <v>5138</v>
      </c>
      <c r="B2307" t="s">
        <v>62</v>
      </c>
      <c r="C2307" t="s">
        <v>528</v>
      </c>
      <c r="D2307" t="s">
        <v>445</v>
      </c>
      <c r="E2307" t="s">
        <v>13522</v>
      </c>
      <c r="F2307" t="s">
        <v>9412</v>
      </c>
      <c r="G2307" t="s">
        <v>12450</v>
      </c>
      <c r="H2307" t="s">
        <v>12</v>
      </c>
      <c r="I2307" t="s">
        <v>11072</v>
      </c>
      <c r="J2307" t="s">
        <v>445</v>
      </c>
      <c r="K2307" t="s">
        <v>9445</v>
      </c>
      <c r="L2307" t="s">
        <v>9417</v>
      </c>
      <c r="M2307" t="s">
        <v>12681</v>
      </c>
      <c r="N2307" t="s">
        <v>12682</v>
      </c>
      <c r="O2307" t="s">
        <v>9446</v>
      </c>
      <c r="P2307" t="s">
        <v>9429</v>
      </c>
      <c r="Q2307" t="s">
        <v>9421</v>
      </c>
      <c r="R2307" t="s">
        <v>52</v>
      </c>
      <c r="S2307" t="s">
        <v>525</v>
      </c>
      <c r="T2307" t="s">
        <v>527</v>
      </c>
    </row>
    <row r="2308" spans="1:20">
      <c r="A2308" t="s">
        <v>13523</v>
      </c>
      <c r="B2308" t="s">
        <v>9409</v>
      </c>
      <c r="C2308" t="s">
        <v>5172</v>
      </c>
      <c r="D2308" t="s">
        <v>9410</v>
      </c>
      <c r="E2308" t="s">
        <v>13524</v>
      </c>
      <c r="F2308" t="s">
        <v>9412</v>
      </c>
      <c r="G2308" t="s">
        <v>12450</v>
      </c>
      <c r="H2308" t="s">
        <v>12665</v>
      </c>
      <c r="I2308" t="s">
        <v>9528</v>
      </c>
      <c r="J2308" t="s">
        <v>710</v>
      </c>
      <c r="K2308" t="s">
        <v>9445</v>
      </c>
      <c r="L2308" t="s">
        <v>9417</v>
      </c>
      <c r="M2308" t="s">
        <v>12974</v>
      </c>
      <c r="N2308" t="s">
        <v>12725</v>
      </c>
      <c r="O2308" t="s">
        <v>9446</v>
      </c>
      <c r="P2308" t="s">
        <v>9420</v>
      </c>
      <c r="Q2308" t="s">
        <v>9421</v>
      </c>
      <c r="R2308" t="s">
        <v>17</v>
      </c>
      <c r="S2308" t="s">
        <v>731</v>
      </c>
      <c r="T2308" t="s">
        <v>733</v>
      </c>
    </row>
    <row r="2309" spans="1:20">
      <c r="A2309" t="s">
        <v>13525</v>
      </c>
      <c r="B2309" t="s">
        <v>9409</v>
      </c>
      <c r="C2309" t="s">
        <v>5181</v>
      </c>
      <c r="D2309" t="s">
        <v>9410</v>
      </c>
      <c r="E2309" t="s">
        <v>13526</v>
      </c>
      <c r="F2309" t="s">
        <v>9412</v>
      </c>
      <c r="G2309" t="s">
        <v>12450</v>
      </c>
      <c r="H2309" t="s">
        <v>12665</v>
      </c>
      <c r="I2309" t="s">
        <v>9452</v>
      </c>
      <c r="J2309" t="s">
        <v>710</v>
      </c>
      <c r="K2309" t="s">
        <v>9416</v>
      </c>
      <c r="L2309" t="s">
        <v>9417</v>
      </c>
      <c r="M2309" t="s">
        <v>12738</v>
      </c>
      <c r="N2309" t="s">
        <v>9430</v>
      </c>
      <c r="O2309" t="s">
        <v>5183</v>
      </c>
      <c r="P2309" t="s">
        <v>10928</v>
      </c>
      <c r="Q2309" t="s">
        <v>9421</v>
      </c>
      <c r="R2309" t="s">
        <v>17</v>
      </c>
      <c r="S2309" t="s">
        <v>746</v>
      </c>
      <c r="T2309" t="s">
        <v>748</v>
      </c>
    </row>
    <row r="2310" spans="1:20">
      <c r="A2310" t="s">
        <v>13527</v>
      </c>
      <c r="B2310" t="s">
        <v>9409</v>
      </c>
      <c r="C2310" t="s">
        <v>13528</v>
      </c>
      <c r="D2310" t="s">
        <v>9410</v>
      </c>
      <c r="E2310" t="s">
        <v>13529</v>
      </c>
      <c r="F2310" t="s">
        <v>9601</v>
      </c>
      <c r="G2310" t="s">
        <v>9413</v>
      </c>
      <c r="H2310" t="s">
        <v>12665</v>
      </c>
      <c r="I2310" t="s">
        <v>10066</v>
      </c>
      <c r="J2310" t="s">
        <v>147</v>
      </c>
      <c r="K2310" t="s">
        <v>9416</v>
      </c>
      <c r="L2310" t="s">
        <v>9417</v>
      </c>
      <c r="M2310" t="s">
        <v>12938</v>
      </c>
      <c r="N2310" t="s">
        <v>9426</v>
      </c>
      <c r="O2310" t="s">
        <v>13530</v>
      </c>
      <c r="P2310" t="s">
        <v>11495</v>
      </c>
      <c r="Q2310" t="s">
        <v>9421</v>
      </c>
      <c r="R2310" t="s">
        <v>43</v>
      </c>
      <c r="S2310" t="s">
        <v>11496</v>
      </c>
      <c r="T2310" t="s">
        <v>11497</v>
      </c>
    </row>
    <row r="2311" spans="1:20">
      <c r="A2311" t="s">
        <v>13527</v>
      </c>
      <c r="B2311" t="s">
        <v>9409</v>
      </c>
      <c r="C2311" t="s">
        <v>13528</v>
      </c>
      <c r="D2311" t="s">
        <v>9410</v>
      </c>
      <c r="E2311" t="s">
        <v>13529</v>
      </c>
      <c r="F2311" t="s">
        <v>9601</v>
      </c>
      <c r="G2311" t="s">
        <v>9413</v>
      </c>
      <c r="H2311" t="s">
        <v>12665</v>
      </c>
      <c r="I2311" t="s">
        <v>10066</v>
      </c>
      <c r="J2311" t="s">
        <v>147</v>
      </c>
      <c r="K2311" t="s">
        <v>9416</v>
      </c>
      <c r="L2311" t="s">
        <v>9417</v>
      </c>
      <c r="M2311" t="s">
        <v>12938</v>
      </c>
      <c r="N2311" t="s">
        <v>9426</v>
      </c>
      <c r="O2311" t="s">
        <v>13531</v>
      </c>
      <c r="P2311" t="s">
        <v>10713</v>
      </c>
      <c r="Q2311" t="s">
        <v>9421</v>
      </c>
      <c r="R2311" t="s">
        <v>43</v>
      </c>
      <c r="S2311" t="s">
        <v>2606</v>
      </c>
      <c r="T2311" t="s">
        <v>2608</v>
      </c>
    </row>
    <row r="2312" spans="1:20">
      <c r="A2312" t="s">
        <v>434</v>
      </c>
      <c r="B2312" t="s">
        <v>62</v>
      </c>
      <c r="C2312" t="s">
        <v>4867</v>
      </c>
      <c r="D2312" t="s">
        <v>445</v>
      </c>
      <c r="E2312" t="s">
        <v>13532</v>
      </c>
      <c r="F2312" t="s">
        <v>9601</v>
      </c>
      <c r="G2312" t="s">
        <v>9413</v>
      </c>
      <c r="H2312" t="s">
        <v>12665</v>
      </c>
      <c r="I2312" t="s">
        <v>13435</v>
      </c>
      <c r="J2312" t="s">
        <v>287</v>
      </c>
      <c r="K2312" t="s">
        <v>9416</v>
      </c>
      <c r="L2312" t="s">
        <v>9417</v>
      </c>
      <c r="M2312" t="s">
        <v>12681</v>
      </c>
      <c r="N2312" t="s">
        <v>9446</v>
      </c>
      <c r="O2312" t="s">
        <v>4869</v>
      </c>
      <c r="P2312" t="s">
        <v>9655</v>
      </c>
      <c r="Q2312" t="s">
        <v>9421</v>
      </c>
      <c r="R2312" t="s">
        <v>56</v>
      </c>
      <c r="S2312" t="s">
        <v>439</v>
      </c>
      <c r="T2312" t="s">
        <v>441</v>
      </c>
    </row>
    <row r="2313" spans="1:20">
      <c r="A2313" t="s">
        <v>434</v>
      </c>
      <c r="B2313" t="s">
        <v>62</v>
      </c>
      <c r="C2313" t="s">
        <v>4867</v>
      </c>
      <c r="D2313" t="s">
        <v>445</v>
      </c>
      <c r="E2313" t="s">
        <v>13532</v>
      </c>
      <c r="F2313" t="s">
        <v>9601</v>
      </c>
      <c r="G2313" t="s">
        <v>9413</v>
      </c>
      <c r="H2313" t="s">
        <v>12665</v>
      </c>
      <c r="I2313" t="s">
        <v>13435</v>
      </c>
      <c r="J2313" t="s">
        <v>287</v>
      </c>
      <c r="K2313" t="s">
        <v>9416</v>
      </c>
      <c r="L2313" t="s">
        <v>9417</v>
      </c>
      <c r="M2313" t="s">
        <v>12681</v>
      </c>
      <c r="N2313" t="s">
        <v>9446</v>
      </c>
      <c r="O2313" t="s">
        <v>4871</v>
      </c>
      <c r="P2313" t="s">
        <v>9655</v>
      </c>
      <c r="Q2313" t="s">
        <v>9421</v>
      </c>
      <c r="R2313" t="s">
        <v>56</v>
      </c>
      <c r="S2313" t="s">
        <v>442</v>
      </c>
      <c r="T2313" t="s">
        <v>444</v>
      </c>
    </row>
    <row r="2314" spans="1:20">
      <c r="A2314" t="s">
        <v>434</v>
      </c>
      <c r="B2314" t="s">
        <v>62</v>
      </c>
      <c r="C2314" t="s">
        <v>4867</v>
      </c>
      <c r="D2314" t="s">
        <v>445</v>
      </c>
      <c r="E2314" t="s">
        <v>13532</v>
      </c>
      <c r="F2314" t="s">
        <v>9601</v>
      </c>
      <c r="G2314" t="s">
        <v>9413</v>
      </c>
      <c r="H2314" t="s">
        <v>12665</v>
      </c>
      <c r="I2314" t="s">
        <v>13435</v>
      </c>
      <c r="J2314" t="s">
        <v>287</v>
      </c>
      <c r="K2314" t="s">
        <v>9416</v>
      </c>
      <c r="L2314" t="s">
        <v>9417</v>
      </c>
      <c r="M2314" t="s">
        <v>12681</v>
      </c>
      <c r="N2314" t="s">
        <v>9446</v>
      </c>
      <c r="O2314" t="s">
        <v>4865</v>
      </c>
      <c r="P2314" t="s">
        <v>9647</v>
      </c>
      <c r="Q2314" t="s">
        <v>9421</v>
      </c>
      <c r="R2314" t="s">
        <v>84</v>
      </c>
      <c r="S2314" t="s">
        <v>435</v>
      </c>
      <c r="T2314" t="s">
        <v>437</v>
      </c>
    </row>
    <row r="2315" spans="1:20">
      <c r="A2315" t="s">
        <v>279</v>
      </c>
      <c r="B2315" t="s">
        <v>62</v>
      </c>
      <c r="C2315" t="s">
        <v>283</v>
      </c>
      <c r="D2315" t="s">
        <v>445</v>
      </c>
      <c r="E2315" t="s">
        <v>13533</v>
      </c>
      <c r="F2315" t="s">
        <v>9601</v>
      </c>
      <c r="G2315" t="s">
        <v>9413</v>
      </c>
      <c r="H2315" t="s">
        <v>12</v>
      </c>
      <c r="I2315" t="s">
        <v>10476</v>
      </c>
      <c r="J2315" t="s">
        <v>147</v>
      </c>
      <c r="K2315" t="s">
        <v>9445</v>
      </c>
      <c r="L2315" t="s">
        <v>9417</v>
      </c>
      <c r="M2315" t="s">
        <v>12924</v>
      </c>
      <c r="N2315" t="s">
        <v>9430</v>
      </c>
      <c r="O2315" t="s">
        <v>9446</v>
      </c>
      <c r="P2315" t="s">
        <v>9431</v>
      </c>
      <c r="Q2315" t="s">
        <v>9421</v>
      </c>
      <c r="R2315" t="s">
        <v>24</v>
      </c>
      <c r="S2315" t="s">
        <v>284</v>
      </c>
      <c r="T2315" t="s">
        <v>286</v>
      </c>
    </row>
    <row r="2316" spans="1:20">
      <c r="A2316" t="s">
        <v>279</v>
      </c>
      <c r="B2316" t="s">
        <v>62</v>
      </c>
      <c r="C2316" t="s">
        <v>283</v>
      </c>
      <c r="D2316" t="s">
        <v>445</v>
      </c>
      <c r="E2316" t="s">
        <v>13533</v>
      </c>
      <c r="F2316" t="s">
        <v>9601</v>
      </c>
      <c r="G2316" t="s">
        <v>9413</v>
      </c>
      <c r="H2316" t="s">
        <v>12</v>
      </c>
      <c r="I2316" t="s">
        <v>10476</v>
      </c>
      <c r="J2316" t="s">
        <v>147</v>
      </c>
      <c r="K2316" t="s">
        <v>9416</v>
      </c>
      <c r="L2316" t="s">
        <v>9417</v>
      </c>
      <c r="M2316" t="s">
        <v>12924</v>
      </c>
      <c r="N2316" t="s">
        <v>9446</v>
      </c>
      <c r="O2316" t="s">
        <v>4695</v>
      </c>
      <c r="P2316" t="s">
        <v>9651</v>
      </c>
      <c r="Q2316" t="s">
        <v>9421</v>
      </c>
      <c r="R2316" t="s">
        <v>56</v>
      </c>
      <c r="S2316" t="s">
        <v>280</v>
      </c>
      <c r="T2316" t="s">
        <v>282</v>
      </c>
    </row>
    <row r="2317" spans="1:20">
      <c r="A2317" t="s">
        <v>1038</v>
      </c>
      <c r="B2317" t="s">
        <v>62</v>
      </c>
      <c r="C2317" t="s">
        <v>5428</v>
      </c>
      <c r="D2317" t="s">
        <v>445</v>
      </c>
      <c r="E2317" t="s">
        <v>13534</v>
      </c>
      <c r="F2317" t="s">
        <v>9601</v>
      </c>
      <c r="G2317" t="s">
        <v>9413</v>
      </c>
      <c r="H2317" t="s">
        <v>12665</v>
      </c>
      <c r="I2317" t="s">
        <v>9736</v>
      </c>
      <c r="J2317" t="s">
        <v>914</v>
      </c>
      <c r="K2317" t="s">
        <v>9416</v>
      </c>
      <c r="L2317" t="s">
        <v>9417</v>
      </c>
      <c r="M2317" t="s">
        <v>12699</v>
      </c>
      <c r="N2317" t="s">
        <v>9446</v>
      </c>
      <c r="O2317" t="s">
        <v>5430</v>
      </c>
      <c r="P2317" t="s">
        <v>9647</v>
      </c>
      <c r="Q2317" t="s">
        <v>9421</v>
      </c>
      <c r="R2317" t="s">
        <v>84</v>
      </c>
      <c r="S2317" t="s">
        <v>1040</v>
      </c>
      <c r="T2317" t="s">
        <v>1042</v>
      </c>
    </row>
    <row r="2318" spans="1:20">
      <c r="A2318" t="s">
        <v>1038</v>
      </c>
      <c r="B2318" t="s">
        <v>62</v>
      </c>
      <c r="C2318" t="s">
        <v>5428</v>
      </c>
      <c r="D2318" t="s">
        <v>445</v>
      </c>
      <c r="E2318" t="s">
        <v>13534</v>
      </c>
      <c r="F2318" t="s">
        <v>9601</v>
      </c>
      <c r="G2318" t="s">
        <v>9413</v>
      </c>
      <c r="H2318" t="s">
        <v>12665</v>
      </c>
      <c r="I2318" t="s">
        <v>9736</v>
      </c>
      <c r="J2318" t="s">
        <v>914</v>
      </c>
      <c r="K2318" t="s">
        <v>9445</v>
      </c>
      <c r="L2318" t="s">
        <v>9417</v>
      </c>
      <c r="M2318" t="s">
        <v>12699</v>
      </c>
      <c r="N2318" t="s">
        <v>9426</v>
      </c>
      <c r="O2318" t="s">
        <v>9446</v>
      </c>
      <c r="P2318" t="s">
        <v>9524</v>
      </c>
      <c r="Q2318" t="s">
        <v>9421</v>
      </c>
      <c r="R2318" t="s">
        <v>24</v>
      </c>
      <c r="S2318" t="s">
        <v>244</v>
      </c>
      <c r="T2318" t="s">
        <v>246</v>
      </c>
    </row>
    <row r="2319" spans="1:20">
      <c r="A2319" t="s">
        <v>4873</v>
      </c>
      <c r="B2319" t="s">
        <v>62</v>
      </c>
      <c r="C2319" t="s">
        <v>13535</v>
      </c>
      <c r="D2319" t="s">
        <v>445</v>
      </c>
      <c r="E2319" t="s">
        <v>13536</v>
      </c>
      <c r="F2319" t="s">
        <v>9601</v>
      </c>
      <c r="G2319" t="s">
        <v>9413</v>
      </c>
      <c r="H2319" t="s">
        <v>12</v>
      </c>
      <c r="I2319" t="s">
        <v>9771</v>
      </c>
      <c r="J2319" t="s">
        <v>287</v>
      </c>
      <c r="K2319" t="s">
        <v>9445</v>
      </c>
      <c r="L2319" t="s">
        <v>9417</v>
      </c>
      <c r="M2319" t="s">
        <v>12721</v>
      </c>
      <c r="N2319" t="s">
        <v>9426</v>
      </c>
      <c r="O2319" t="s">
        <v>9446</v>
      </c>
      <c r="P2319" t="s">
        <v>9647</v>
      </c>
      <c r="Q2319" t="s">
        <v>9421</v>
      </c>
      <c r="R2319" t="s">
        <v>84</v>
      </c>
      <c r="S2319" t="s">
        <v>801</v>
      </c>
      <c r="T2319" t="s">
        <v>803</v>
      </c>
    </row>
    <row r="2320" spans="1:20">
      <c r="A2320" t="s">
        <v>5321</v>
      </c>
      <c r="B2320" t="s">
        <v>9409</v>
      </c>
      <c r="C2320" t="s">
        <v>5322</v>
      </c>
      <c r="D2320" t="s">
        <v>9410</v>
      </c>
      <c r="E2320" t="s">
        <v>13537</v>
      </c>
      <c r="F2320" t="s">
        <v>9412</v>
      </c>
      <c r="G2320" t="s">
        <v>10660</v>
      </c>
      <c r="H2320" t="s">
        <v>12665</v>
      </c>
      <c r="I2320" t="s">
        <v>9452</v>
      </c>
      <c r="J2320" t="s">
        <v>710</v>
      </c>
      <c r="K2320" t="s">
        <v>9445</v>
      </c>
      <c r="L2320" t="s">
        <v>9417</v>
      </c>
      <c r="M2320" t="s">
        <v>12974</v>
      </c>
      <c r="N2320" t="s">
        <v>12725</v>
      </c>
      <c r="O2320" t="s">
        <v>9446</v>
      </c>
      <c r="P2320" t="s">
        <v>9524</v>
      </c>
      <c r="Q2320" t="s">
        <v>9421</v>
      </c>
      <c r="R2320" t="s">
        <v>24</v>
      </c>
      <c r="S2320" t="s">
        <v>719</v>
      </c>
      <c r="T2320" t="s">
        <v>721</v>
      </c>
    </row>
    <row r="2321" spans="1:20">
      <c r="A2321" t="s">
        <v>13538</v>
      </c>
      <c r="B2321" t="s">
        <v>9409</v>
      </c>
      <c r="C2321" t="s">
        <v>13539</v>
      </c>
      <c r="D2321" t="s">
        <v>9410</v>
      </c>
      <c r="E2321" t="s">
        <v>13540</v>
      </c>
      <c r="F2321" t="s">
        <v>9412</v>
      </c>
      <c r="G2321" t="s">
        <v>12450</v>
      </c>
      <c r="H2321" t="s">
        <v>12</v>
      </c>
      <c r="I2321" t="s">
        <v>9452</v>
      </c>
      <c r="J2321" t="s">
        <v>914</v>
      </c>
      <c r="K2321" t="s">
        <v>9445</v>
      </c>
      <c r="L2321" t="s">
        <v>9417</v>
      </c>
      <c r="M2321" t="s">
        <v>12800</v>
      </c>
      <c r="N2321" t="s">
        <v>12700</v>
      </c>
      <c r="O2321" t="s">
        <v>9446</v>
      </c>
      <c r="P2321" t="s">
        <v>9420</v>
      </c>
      <c r="Q2321" t="s">
        <v>9421</v>
      </c>
      <c r="R2321" t="s">
        <v>17</v>
      </c>
      <c r="S2321" t="s">
        <v>12956</v>
      </c>
      <c r="T2321" t="s">
        <v>12957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33EA-AE0B-4101-AB5A-DF029ECA535F}">
  <sheetPr codeName="Sheet5" filterMode="1"/>
  <dimension ref="A1:U922"/>
  <sheetViews>
    <sheetView zoomScale="85" zoomScaleNormal="85" workbookViewId="0">
      <selection activeCell="H163" sqref="H163"/>
    </sheetView>
  </sheetViews>
  <sheetFormatPr defaultColWidth="8.85546875" defaultRowHeight="15"/>
  <cols>
    <col min="1" max="3" width="13.42578125" customWidth="1"/>
    <col min="5" max="5" width="19.85546875" bestFit="1" customWidth="1"/>
    <col min="6" max="6" width="15.7109375" bestFit="1" customWidth="1"/>
    <col min="7" max="7" width="20.42578125" bestFit="1" customWidth="1"/>
    <col min="8" max="8" width="99.7109375" bestFit="1" customWidth="1"/>
    <col min="9" max="9" width="15.85546875" customWidth="1"/>
    <col min="10" max="10" width="25.7109375" customWidth="1"/>
    <col min="11" max="12" width="21.42578125" customWidth="1"/>
    <col min="13" max="14" width="20.28515625" customWidth="1"/>
    <col min="15" max="15" width="7.140625" customWidth="1"/>
    <col min="16" max="16" width="13.28515625" customWidth="1"/>
    <col min="17" max="17" width="20.85546875" customWidth="1"/>
    <col min="18" max="18" width="14" bestFit="1" customWidth="1"/>
    <col min="19" max="19" width="18.42578125" customWidth="1"/>
  </cols>
  <sheetData>
    <row r="1" spans="1:21" s="7" customFormat="1" ht="30">
      <c r="A1" s="4" t="s">
        <v>2</v>
      </c>
      <c r="B1" s="5" t="s">
        <v>13541</v>
      </c>
      <c r="C1" s="6" t="s">
        <v>4447</v>
      </c>
      <c r="E1" s="21">
        <v>45200</v>
      </c>
      <c r="F1" s="25" t="s">
        <v>2</v>
      </c>
      <c r="G1" s="25" t="s">
        <v>13541</v>
      </c>
      <c r="H1" s="25" t="s">
        <v>4447</v>
      </c>
      <c r="I1" s="25" t="s">
        <v>13542</v>
      </c>
      <c r="J1" s="34" t="s">
        <v>13543</v>
      </c>
      <c r="K1" s="35" t="s">
        <v>13544</v>
      </c>
      <c r="L1" s="35" t="s">
        <v>13545</v>
      </c>
      <c r="M1" s="22" t="s">
        <v>13546</v>
      </c>
      <c r="N1" s="22" t="s">
        <v>13547</v>
      </c>
      <c r="O1" s="22"/>
      <c r="P1" s="36">
        <v>44986</v>
      </c>
      <c r="Q1" s="22" t="s">
        <v>13548</v>
      </c>
      <c r="R1" s="22" t="s">
        <v>13547</v>
      </c>
      <c r="S1" s="35" t="s">
        <v>13549</v>
      </c>
    </row>
    <row r="2" spans="1:21" s="10" customFormat="1" ht="120" hidden="1">
      <c r="A2" s="8" t="s">
        <v>5822</v>
      </c>
      <c r="B2" s="11" t="s">
        <v>13550</v>
      </c>
      <c r="C2" s="8" t="s">
        <v>13551</v>
      </c>
      <c r="E2" s="26" t="str">
        <f>COUNTIF(S2:S922,"Change")&amp;" new"</f>
        <v>19 new</v>
      </c>
      <c r="F2" s="23" t="str" cm="1">
        <f t="array" ref="F2:F922">_xlfn._xlws.SORT(_xlfn.UNIQUE(BAPMaster[Building Code]))</f>
        <v>K001</v>
      </c>
      <c r="G2" s="23" t="str" cm="1">
        <f t="array" ref="G2:G922">TRIM(_xlfn.XLOOKUP(_xlfn.ANCHORARRAY(F2),BAPMaster[Building Code],BAPMaster[Accessibility Rating],"Not Found",0))</f>
        <v>0+ out of 10</v>
      </c>
      <c r="H2" s="23" t="str" cm="1">
        <f t="array" ref="H2:H922">_xlfn.XLOOKUP(_xlfn.ANCHORARRAY(F2),BAPMaster[Building Code],BAPMaster[BAP URL],"Not Found",0)</f>
        <v>https://nycdoe.sharepoint.com/:w:/s/BAP/Ed8C8_5SZnJFmbA1g3TETosBYSOTSrMlhq82MpI0ojOu5w</v>
      </c>
      <c r="I2" s="23" cm="1">
        <f t="array" ref="I2:I922">_xlfn.IFNA(MATCH(_xlfn.ANCHORARRAY(F2),BAP_Data[Building Code],0),"Was New")</f>
        <v>1</v>
      </c>
      <c r="J2" s="23" t="str" cm="1">
        <f t="array" ref="J2:J922">IF(_xlfn.ANCHORARRAY(G2)=IF(ISNUMBER(_xlfn.ANCHORARRAY(I2)),_xlfn.XLOOKUP(_xlfn.ANCHORARRAY(F2),BAP_Data[Building Code],BAP_Data[Accessibility Rating],"New",0),"New")=TRUE(),"-",_xlfn.ANCHORARRAY(G2))</f>
        <v>-</v>
      </c>
      <c r="K2" s="23" cm="1">
        <f t="array" ref="K2:K922">_xlfn.IFNA(MATCH(_xlfn.ANCHORARRAY(F2),RAWData[Building Code],0),"Possible Change")</f>
        <v>1</v>
      </c>
      <c r="L2" s="23" t="str" cm="1">
        <f t="array" ref="L2:L922">TRIM(_xlfn.XLOOKUP(_xlfn.ANCHORARRAY(F2),RAWData[Building Code],RAWData[BAP Rating],"-",0)&amp;" out of 10")</f>
        <v>N/A out of 10</v>
      </c>
      <c r="M2" s="42" t="b">
        <f>G2=L2</f>
        <v>0</v>
      </c>
      <c r="N2" s="42" t="str" cm="1">
        <f t="array" ref="N2:N922">_xlfn.XLOOKUP(_xlfn.ANCHORARRAY(F2),BAPMaster[Building Code],BAPMaster[Accessibility Rating],"-",0)</f>
        <v>0+ out of 10</v>
      </c>
      <c r="O2" s="42"/>
      <c r="P2" s="42" t="str" cm="1">
        <f t="array" ref="P2:P922">TRIM(LEFT(_xlfn.ANCHORARRAY(G2),FIND(" ",G2)-1))</f>
        <v>0+</v>
      </c>
      <c r="Q2" s="42" t="str" cm="1">
        <f t="array" ref="Q2:Q922">TRIM(_xlfn.XLOOKUP(_xlfn.ANCHORARRAY(F2),RAWData[Building Code],RAWData[BAP Rating],"Not Found",0))</f>
        <v>N/A</v>
      </c>
      <c r="R2" s="42" t="str" cm="1">
        <f t="array" ref="R2:R922">TRIM(LEFT(_xlfn.ANCHORARRAY(N2),FIND(" ",_xlfn.ANCHORARRAY(N2))-1))</f>
        <v>0+</v>
      </c>
      <c r="S2" s="10" t="str">
        <f>IFERROR(IF(OR(R2="0+",R2=0,AND(Q2="N/A")),"No Change",IF(R2&lt;&gt;Q2,"Change",IF(R2=Q2,"No Change",))),"Check BAP")</f>
        <v>No Change</v>
      </c>
      <c r="U2" s="45" t="s">
        <v>13552</v>
      </c>
    </row>
    <row r="3" spans="1:21" ht="135" hidden="1">
      <c r="A3" s="8" t="s">
        <v>1443</v>
      </c>
      <c r="B3" s="9" t="s">
        <v>13553</v>
      </c>
      <c r="C3" s="12" t="s">
        <v>5905</v>
      </c>
      <c r="E3" t="s">
        <v>13554</v>
      </c>
      <c r="F3" s="30" t="str">
        <v>K002</v>
      </c>
      <c r="G3" s="30" t="str">
        <v>10 out of 10</v>
      </c>
      <c r="H3" s="30" t="str">
        <v>https://nycdoe.sharepoint.com/:w:/s/BAP/ERQlDwTKeYZNu495TGdQELUBVtk0i-g3-zNCTHkYxx3fBA</v>
      </c>
      <c r="I3" s="31">
        <v>2</v>
      </c>
      <c r="J3" s="32" t="str">
        <v>-</v>
      </c>
      <c r="K3" s="33">
        <v>2</v>
      </c>
      <c r="L3" s="32" t="str">
        <v>10 out of 10</v>
      </c>
      <c r="M3" s="23" t="b">
        <f t="shared" ref="M3:M66" si="0">G3=L3</f>
        <v>1</v>
      </c>
      <c r="N3" s="23" t="str">
        <v>10 out of 10</v>
      </c>
      <c r="O3" s="23"/>
      <c r="P3" s="42" t="str">
        <v>10</v>
      </c>
      <c r="Q3" s="42" t="str">
        <v>10</v>
      </c>
      <c r="R3" s="42" t="str">
        <v>10</v>
      </c>
      <c r="S3" s="10" t="str">
        <f t="shared" ref="S3:S66" si="1">IFERROR(IF(OR(R3="0+",R3=0,AND(Q3="N/A")),"No Change",IF(R3&lt;&gt;Q3,"Change",IF(R3=Q3,"No Change",))),"Check BAP")</f>
        <v>No Change</v>
      </c>
      <c r="U3" s="10"/>
    </row>
    <row r="4" spans="1:21" ht="120" hidden="1">
      <c r="A4" s="8" t="s">
        <v>1450</v>
      </c>
      <c r="B4" s="9" t="s">
        <v>13555</v>
      </c>
      <c r="C4" s="12" t="s">
        <v>5911</v>
      </c>
      <c r="E4" s="46" t="s">
        <v>13556</v>
      </c>
      <c r="F4" s="24" t="str">
        <v>K006</v>
      </c>
      <c r="G4" s="24" t="str">
        <v>9 out of 10</v>
      </c>
      <c r="H4" s="24" t="str">
        <v>https://nycdoe.sharepoint.com/:w:/s/BAP/Ea3P_PBBuxJKiRoHzGXUv6UBDhQApSTiWdYLEEvqjn02uw</v>
      </c>
      <c r="I4" s="23">
        <v>3</v>
      </c>
      <c r="J4" s="27" t="str">
        <v>-</v>
      </c>
      <c r="K4" s="28">
        <v>8</v>
      </c>
      <c r="L4" s="27" t="str">
        <v>9 out of 10</v>
      </c>
      <c r="M4" s="23" t="b">
        <f t="shared" si="0"/>
        <v>1</v>
      </c>
      <c r="N4" s="23" t="str">
        <v>9 out of 10</v>
      </c>
      <c r="O4" s="23"/>
      <c r="P4" s="42" t="str">
        <v>9</v>
      </c>
      <c r="Q4" s="42" t="str">
        <v>9</v>
      </c>
      <c r="R4" s="42" t="str">
        <v>9</v>
      </c>
      <c r="S4" s="10" t="str">
        <f t="shared" si="1"/>
        <v>No Change</v>
      </c>
      <c r="U4" s="10"/>
    </row>
    <row r="5" spans="1:21" ht="120" hidden="1">
      <c r="A5" s="8" t="s">
        <v>1684</v>
      </c>
      <c r="B5" s="9" t="s">
        <v>13553</v>
      </c>
      <c r="C5" s="12" t="s">
        <v>6199</v>
      </c>
      <c r="F5" s="24" t="str">
        <v>K007</v>
      </c>
      <c r="G5" s="24" t="str">
        <v>10 out of 10</v>
      </c>
      <c r="H5" s="24" t="str">
        <v>https://nycdoe.sharepoint.com/:w:/s/BAP/ES2EbSMoiZVCj67TLmX8_wcBynLlDpVlninta8q6e4hF9g</v>
      </c>
      <c r="I5" s="23">
        <v>4</v>
      </c>
      <c r="J5" s="27" t="str">
        <v>-</v>
      </c>
      <c r="K5" s="28">
        <v>9</v>
      </c>
      <c r="L5" s="27" t="str">
        <v>10 out of 10</v>
      </c>
      <c r="M5" s="23" t="b">
        <f t="shared" si="0"/>
        <v>1</v>
      </c>
      <c r="N5" s="23" t="str">
        <v>10 out of 10</v>
      </c>
      <c r="O5" s="23"/>
      <c r="P5" s="42" t="str">
        <v>10</v>
      </c>
      <c r="Q5" s="42" t="str">
        <v>10</v>
      </c>
      <c r="R5" s="42" t="str">
        <v>10</v>
      </c>
      <c r="S5" s="10" t="str">
        <f t="shared" si="1"/>
        <v>No Change</v>
      </c>
      <c r="U5" s="10"/>
    </row>
    <row r="6" spans="1:21" ht="120" hidden="1">
      <c r="A6" s="8" t="s">
        <v>1045</v>
      </c>
      <c r="B6" s="9" t="s">
        <v>13557</v>
      </c>
      <c r="C6" s="12" t="s">
        <v>5435</v>
      </c>
      <c r="F6" s="24" t="str">
        <v>K008</v>
      </c>
      <c r="G6" s="24" t="str">
        <v>8 out of 10</v>
      </c>
      <c r="H6" s="24" t="str">
        <v>https://nycdoe.sharepoint.com/:w:/s/BAP/EcND188ZkchEshtucoTZg3sB7czYG_t6oQPsivH0QBpU5g</v>
      </c>
      <c r="I6" s="23">
        <v>5</v>
      </c>
      <c r="J6" s="27" t="str">
        <v>-</v>
      </c>
      <c r="K6" s="28">
        <v>11</v>
      </c>
      <c r="L6" s="27" t="str">
        <v>8 out of 10</v>
      </c>
      <c r="M6" s="23" t="b">
        <f t="shared" si="0"/>
        <v>1</v>
      </c>
      <c r="N6" s="23" t="str">
        <v>8 out of 10</v>
      </c>
      <c r="O6" s="23"/>
      <c r="P6" s="42" t="str">
        <v>8</v>
      </c>
      <c r="Q6" s="42" t="str">
        <v>8</v>
      </c>
      <c r="R6" s="42" t="str">
        <v>8</v>
      </c>
      <c r="S6" s="10" t="str">
        <f t="shared" si="1"/>
        <v>No Change</v>
      </c>
      <c r="U6" s="10"/>
    </row>
    <row r="7" spans="1:21" ht="120" hidden="1">
      <c r="A7" s="8" t="s">
        <v>1049</v>
      </c>
      <c r="B7" s="9" t="s">
        <v>13558</v>
      </c>
      <c r="C7" s="12" t="s">
        <v>5439</v>
      </c>
      <c r="F7" s="24" t="str">
        <v>K009</v>
      </c>
      <c r="G7" s="24" t="str">
        <v>1 out of 10</v>
      </c>
      <c r="H7" s="24" t="str">
        <v>https://nycdoe.sharepoint.com/:w:/s/BAP/ES-enaRMyoZFga_Kh44JFj4Bs28QhcLCIrngVNoYr_UXAg</v>
      </c>
      <c r="I7" s="23">
        <v>6</v>
      </c>
      <c r="J7" s="27" t="str">
        <v>-</v>
      </c>
      <c r="K7" s="28">
        <v>12</v>
      </c>
      <c r="L7" s="27" t="str">
        <v>1 out of 10</v>
      </c>
      <c r="M7" s="23" t="b">
        <f t="shared" si="0"/>
        <v>1</v>
      </c>
      <c r="N7" s="23" t="str">
        <v>1 out of 10</v>
      </c>
      <c r="O7" s="23"/>
      <c r="P7" s="42" t="str">
        <v>1</v>
      </c>
      <c r="Q7" s="42" t="str">
        <v>1</v>
      </c>
      <c r="R7" s="42" t="str">
        <v>1</v>
      </c>
      <c r="S7" s="10" t="str">
        <f t="shared" si="1"/>
        <v>No Change</v>
      </c>
      <c r="U7" s="10"/>
    </row>
    <row r="8" spans="1:21" ht="120" hidden="1">
      <c r="A8" s="8" t="s">
        <v>1247</v>
      </c>
      <c r="B8" s="9" t="s">
        <v>13559</v>
      </c>
      <c r="C8" s="12" t="s">
        <v>5675</v>
      </c>
      <c r="F8" s="24" t="str">
        <v>K010</v>
      </c>
      <c r="G8" s="24" t="str">
        <v>3 out of 10</v>
      </c>
      <c r="H8" s="24" t="str">
        <v>https://nycdoe.sharepoint.com/:w:/s/BAP/Ebs-bh8RaCJOmSxBGdowP8oBjsLaa3CpyDVRZs5j_AAC6w</v>
      </c>
      <c r="I8" s="23">
        <v>7</v>
      </c>
      <c r="J8" s="27" t="str">
        <v>-</v>
      </c>
      <c r="K8" s="28">
        <v>13</v>
      </c>
      <c r="L8" s="27" t="str">
        <v>3 out of 10</v>
      </c>
      <c r="M8" s="23" t="b">
        <f t="shared" si="0"/>
        <v>1</v>
      </c>
      <c r="N8" s="23" t="str">
        <v>3 out of 10</v>
      </c>
      <c r="O8" s="23"/>
      <c r="P8" s="42" t="str">
        <v>3</v>
      </c>
      <c r="Q8" s="42" t="str">
        <v>3</v>
      </c>
      <c r="R8" s="42" t="str">
        <v>3</v>
      </c>
      <c r="S8" s="10" t="str">
        <f t="shared" si="1"/>
        <v>No Change</v>
      </c>
      <c r="U8" s="10"/>
    </row>
    <row r="9" spans="1:21" ht="120" hidden="1">
      <c r="A9" s="8" t="s">
        <v>1053</v>
      </c>
      <c r="B9" s="9" t="s">
        <v>13558</v>
      </c>
      <c r="C9" s="8" t="s">
        <v>5443</v>
      </c>
      <c r="F9" s="24" t="str">
        <v>K011</v>
      </c>
      <c r="G9" s="24" t="str">
        <v>1 out of 10</v>
      </c>
      <c r="H9" s="24" t="str">
        <v>https://nycdoe.sharepoint.com/:w:/s/BAP/Ecl4SMQNxD9JmTS6_GVxwXQB4D6Sst67yfRoatGCkcZ8PA</v>
      </c>
      <c r="I9" s="23">
        <v>8</v>
      </c>
      <c r="J9" s="27" t="str">
        <v>-</v>
      </c>
      <c r="K9" s="28">
        <v>14</v>
      </c>
      <c r="L9" s="27" t="str">
        <v>1 out of 10</v>
      </c>
      <c r="M9" s="23" t="b">
        <f t="shared" si="0"/>
        <v>1</v>
      </c>
      <c r="N9" s="23" t="str">
        <v>1 out of 10</v>
      </c>
      <c r="O9" s="23"/>
      <c r="P9" s="42" t="str">
        <v>1</v>
      </c>
      <c r="Q9" s="42" t="str">
        <v>1</v>
      </c>
      <c r="R9" s="42" t="str">
        <v>1</v>
      </c>
      <c r="S9" s="10" t="str">
        <f t="shared" si="1"/>
        <v>No Change</v>
      </c>
      <c r="U9" s="10"/>
    </row>
    <row r="10" spans="1:21" ht="120" hidden="1">
      <c r="A10" s="8" t="s">
        <v>2099</v>
      </c>
      <c r="B10" s="9" t="s">
        <v>13553</v>
      </c>
      <c r="C10" s="8" t="s">
        <v>6739</v>
      </c>
      <c r="F10" s="24" t="str">
        <v>K012</v>
      </c>
      <c r="G10" s="24" t="str">
        <v>10 out of 10</v>
      </c>
      <c r="H10" s="24" t="str">
        <v>https://nycdoe.sharepoint.com/:w:/s/BAP/ETeee4zF7JlAkkqHerqs5WQBt1tHxRo2eR7yJRAan3mxzQ</v>
      </c>
      <c r="I10" s="23">
        <v>9</v>
      </c>
      <c r="J10" s="27" t="str">
        <v>-</v>
      </c>
      <c r="K10" s="28">
        <v>15</v>
      </c>
      <c r="L10" s="27" t="str">
        <v>10 out of 10</v>
      </c>
      <c r="M10" s="23" t="b">
        <f t="shared" si="0"/>
        <v>1</v>
      </c>
      <c r="N10" s="23" t="str">
        <v>10 out of 10</v>
      </c>
      <c r="O10" s="23"/>
      <c r="P10" s="42" t="str">
        <v>10</v>
      </c>
      <c r="Q10" s="42" t="str">
        <v>10</v>
      </c>
      <c r="R10" s="42" t="str">
        <v>10</v>
      </c>
      <c r="S10" s="10" t="str">
        <f t="shared" si="1"/>
        <v>No Change</v>
      </c>
      <c r="U10" s="10"/>
    </row>
    <row r="11" spans="1:21" ht="120" hidden="1">
      <c r="A11" s="8" t="s">
        <v>1688</v>
      </c>
      <c r="B11" s="9" t="s">
        <v>13558</v>
      </c>
      <c r="C11" s="12" t="s">
        <v>6203</v>
      </c>
      <c r="F11" s="24" t="str">
        <v>K013</v>
      </c>
      <c r="G11" s="24" t="str">
        <v>1 out of 10</v>
      </c>
      <c r="H11" s="24" t="str">
        <v>https://nycdoe.sharepoint.com/:w:/s/BAP/EW5YpGQ8Sh5KusRa2Pj0CS4BsdIjCg8xMLnvFAiHa5B0kg</v>
      </c>
      <c r="I11" s="23">
        <v>10</v>
      </c>
      <c r="J11" s="27" t="str">
        <v>-</v>
      </c>
      <c r="K11" s="28">
        <v>17</v>
      </c>
      <c r="L11" s="27" t="str">
        <v>1 out of 10</v>
      </c>
      <c r="M11" s="23" t="b">
        <f t="shared" si="0"/>
        <v>1</v>
      </c>
      <c r="N11" s="23" t="str">
        <v>1 out of 10</v>
      </c>
      <c r="O11" s="23"/>
      <c r="P11" s="42" t="str">
        <v>1</v>
      </c>
      <c r="Q11" s="42" t="str">
        <v>1</v>
      </c>
      <c r="R11" s="42" t="str">
        <v>1</v>
      </c>
      <c r="S11" s="10" t="str">
        <f t="shared" si="1"/>
        <v>No Change</v>
      </c>
    </row>
    <row r="12" spans="1:21" ht="120" hidden="1">
      <c r="A12" s="8" t="s">
        <v>2027</v>
      </c>
      <c r="B12" s="9" t="s">
        <v>13560</v>
      </c>
      <c r="C12" s="8" t="s">
        <v>6631</v>
      </c>
      <c r="F12" s="24" t="str">
        <v>K014</v>
      </c>
      <c r="G12" s="24" t="str">
        <v>4 out of 10</v>
      </c>
      <c r="H12" s="24" t="str">
        <v>https://nycdoe.sharepoint.com/:w:/s/BAP/EZbVo6QRBndBm4x4n2btWL0BiCaIkqmbBTGq_nzIURxmKw</v>
      </c>
      <c r="I12" s="23">
        <v>11</v>
      </c>
      <c r="J12" s="27" t="str">
        <v>-</v>
      </c>
      <c r="K12" s="28">
        <v>19</v>
      </c>
      <c r="L12" s="27" t="str">
        <v>4 out of 10</v>
      </c>
      <c r="M12" s="23" t="b">
        <f t="shared" si="0"/>
        <v>1</v>
      </c>
      <c r="N12" s="23" t="str">
        <v>4 out of 10</v>
      </c>
      <c r="O12" s="23"/>
      <c r="P12" s="42" t="str">
        <v>4</v>
      </c>
      <c r="Q12" s="42" t="str">
        <v>4</v>
      </c>
      <c r="R12" s="42" t="str">
        <v>4</v>
      </c>
      <c r="S12" s="10" t="str">
        <f t="shared" si="1"/>
        <v>No Change</v>
      </c>
    </row>
    <row r="13" spans="1:21" ht="120" hidden="1">
      <c r="A13" s="8" t="s">
        <v>1454</v>
      </c>
      <c r="B13" s="9" t="s">
        <v>13553</v>
      </c>
      <c r="C13" s="8" t="s">
        <v>5916</v>
      </c>
      <c r="F13" s="24" t="str">
        <v>K016</v>
      </c>
      <c r="G13" s="24" t="str">
        <v>3 out of 10</v>
      </c>
      <c r="H13" s="24" t="str">
        <v>https://nycdoe.sharepoint.com/:w:/s/BAP/EdDP3H7_InRKtTFPPsZqqKYBzgrSzlHaRbSXmgUdHcURYA</v>
      </c>
      <c r="I13" s="23" t="str">
        <v>Was New</v>
      </c>
      <c r="J13" s="27" t="str">
        <v>3 out of 10</v>
      </c>
      <c r="K13" s="28">
        <v>22</v>
      </c>
      <c r="L13" s="27" t="str">
        <v>3 out of 10</v>
      </c>
      <c r="M13" s="23" t="b">
        <f t="shared" si="0"/>
        <v>1</v>
      </c>
      <c r="N13" s="23" t="str">
        <v>3 out of 10</v>
      </c>
      <c r="O13" s="23"/>
      <c r="P13" s="42" t="str">
        <v>3</v>
      </c>
      <c r="Q13" s="42" t="str">
        <v>3</v>
      </c>
      <c r="R13" s="42" t="str">
        <v>3</v>
      </c>
      <c r="S13" s="10" t="str">
        <f t="shared" si="1"/>
        <v>No Change</v>
      </c>
    </row>
    <row r="14" spans="1:21" ht="120" hidden="1">
      <c r="A14" s="8" t="s">
        <v>1156</v>
      </c>
      <c r="B14" s="9" t="s">
        <v>13559</v>
      </c>
      <c r="C14" s="8" t="s">
        <v>5579</v>
      </c>
      <c r="F14" s="24" t="str">
        <v>K019</v>
      </c>
      <c r="G14" s="24" t="str">
        <v>3 out of 10</v>
      </c>
      <c r="H14" s="24" t="str">
        <v>https://nycdoe.sharepoint.com/:w:/s/BAP/EViU3UzljMBIt52sKS1S6XcB_f9ZtQj13aXgGSX_ars5DQ</v>
      </c>
      <c r="I14" s="23" t="str">
        <v>Was New</v>
      </c>
      <c r="J14" s="27" t="str">
        <v>3 out of 10</v>
      </c>
      <c r="K14" s="28">
        <v>27</v>
      </c>
      <c r="L14" s="27" t="str">
        <v>3 out of 10</v>
      </c>
      <c r="M14" s="23" t="b">
        <f t="shared" si="0"/>
        <v>1</v>
      </c>
      <c r="N14" s="23" t="str">
        <v>3 out of 10</v>
      </c>
      <c r="O14" s="23"/>
      <c r="P14" s="42" t="str">
        <v>3</v>
      </c>
      <c r="Q14" s="42" t="str">
        <v>3</v>
      </c>
      <c r="R14" s="42" t="str">
        <v>3</v>
      </c>
      <c r="S14" s="10" t="str">
        <f t="shared" si="1"/>
        <v>No Change</v>
      </c>
    </row>
    <row r="15" spans="1:21" ht="120" hidden="1">
      <c r="A15" s="8" t="s">
        <v>1251</v>
      </c>
      <c r="B15" s="9" t="s">
        <v>13553</v>
      </c>
      <c r="C15" s="8" t="s">
        <v>5683</v>
      </c>
      <c r="F15" s="24" t="str">
        <v>K022</v>
      </c>
      <c r="G15" s="24" t="str">
        <v>10 out of 10</v>
      </c>
      <c r="H15" s="24" t="str">
        <v>https://nycdoe.sharepoint.com/:w:/s/BAP/ETKWDnLNaKBImU5CAoVasL0BXKl7TKMpe--jk4z57_84Hg</v>
      </c>
      <c r="I15" s="23">
        <v>12</v>
      </c>
      <c r="J15" s="27" t="str">
        <v>-</v>
      </c>
      <c r="K15" s="28">
        <v>31</v>
      </c>
      <c r="L15" s="27" t="str">
        <v>10 out of 10</v>
      </c>
      <c r="M15" s="23" t="b">
        <f t="shared" si="0"/>
        <v>1</v>
      </c>
      <c r="N15" s="23" t="str">
        <v>10 out of 10</v>
      </c>
      <c r="O15" s="23"/>
      <c r="P15" s="42" t="str">
        <v>10</v>
      </c>
      <c r="Q15" s="42" t="str">
        <v>10</v>
      </c>
      <c r="R15" s="42" t="str">
        <v>10</v>
      </c>
      <c r="S15" s="10" t="str">
        <f t="shared" si="1"/>
        <v>No Change</v>
      </c>
    </row>
    <row r="16" spans="1:21" ht="120" hidden="1">
      <c r="A16" s="8" t="s">
        <v>1376</v>
      </c>
      <c r="B16" s="9" t="s">
        <v>13555</v>
      </c>
      <c r="C16" s="8" t="s">
        <v>5847</v>
      </c>
      <c r="F16" s="24" t="str">
        <v>K023</v>
      </c>
      <c r="G16" s="24" t="str">
        <v>3 out of 10</v>
      </c>
      <c r="H16" s="24" t="str">
        <v>https://nycdoe.sharepoint.com/:w:/s/BAP/EfoHm3YOr8NJuQyAPQMrTqUBRXIaEct1NGAu4TehibwnIg</v>
      </c>
      <c r="I16" s="23">
        <v>13</v>
      </c>
      <c r="J16" s="27" t="str">
        <v>-</v>
      </c>
      <c r="K16" s="28">
        <v>33</v>
      </c>
      <c r="L16" s="27" t="str">
        <v>3 out of 10</v>
      </c>
      <c r="M16" s="23" t="b">
        <f t="shared" si="0"/>
        <v>1</v>
      </c>
      <c r="N16" s="23" t="str">
        <v>3 out of 10</v>
      </c>
      <c r="O16" s="23"/>
      <c r="P16" s="42" t="str">
        <v>3</v>
      </c>
      <c r="Q16" s="42" t="str">
        <v>3</v>
      </c>
      <c r="R16" s="42" t="str">
        <v>3</v>
      </c>
      <c r="S16" s="10" t="str">
        <f t="shared" si="1"/>
        <v>No Change</v>
      </c>
    </row>
    <row r="17" spans="1:19" ht="120" hidden="1">
      <c r="A17" s="8" t="s">
        <v>9552</v>
      </c>
      <c r="B17" s="11" t="s">
        <v>13561</v>
      </c>
      <c r="C17" s="8" t="s">
        <v>13562</v>
      </c>
      <c r="F17" s="41" t="str">
        <v>K024</v>
      </c>
      <c r="G17" s="41" t="str">
        <v>10 out of 10</v>
      </c>
      <c r="H17" s="41" t="str">
        <v>https://nycdoe.sharepoint.com/:w:/s/BAP/EU7b-p9QMjNJn4tR3Pg9XEEBGescFqNb_lr0ElPgnT3sjQ</v>
      </c>
      <c r="I17" s="42">
        <v>14</v>
      </c>
      <c r="J17" s="43" t="str">
        <v>-</v>
      </c>
      <c r="K17" s="44">
        <v>35</v>
      </c>
      <c r="L17" s="43" t="str">
        <v>10 out of 10</v>
      </c>
      <c r="M17" s="23" t="b">
        <f t="shared" si="0"/>
        <v>1</v>
      </c>
      <c r="N17" s="23" t="str">
        <v>10 out of 10</v>
      </c>
      <c r="O17" s="23"/>
      <c r="P17" s="42" t="str">
        <v>10</v>
      </c>
      <c r="Q17" s="42" t="str">
        <v>10</v>
      </c>
      <c r="R17" s="42" t="str">
        <v>10</v>
      </c>
      <c r="S17" s="10" t="str">
        <f t="shared" si="1"/>
        <v>No Change</v>
      </c>
    </row>
    <row r="18" spans="1:19" ht="120" hidden="1">
      <c r="A18" s="8" t="s">
        <v>1255</v>
      </c>
      <c r="B18" s="9" t="s">
        <v>13555</v>
      </c>
      <c r="C18" s="37" t="s">
        <v>5687</v>
      </c>
      <c r="D18" s="24"/>
      <c r="E18" s="24"/>
      <c r="F18" s="24" t="str">
        <v>K026</v>
      </c>
      <c r="G18" s="24" t="str">
        <v>9 out of 10</v>
      </c>
      <c r="H18" s="24" t="str">
        <v>https://nycdoe.sharepoint.com/:w:/s/BAP/EXEMQOf2MX1KpBOwwBWi2z8BpQD3aZDUU2u72uNPXaIz3A</v>
      </c>
      <c r="I18" s="23">
        <v>15</v>
      </c>
      <c r="J18" s="24" t="str">
        <v>-</v>
      </c>
      <c r="K18" s="24">
        <v>38</v>
      </c>
      <c r="L18" s="24" t="str">
        <v>9 out of 10</v>
      </c>
      <c r="M18" s="23" t="b">
        <f t="shared" si="0"/>
        <v>1</v>
      </c>
      <c r="N18" s="23" t="str">
        <v>9 out of 10</v>
      </c>
      <c r="O18" s="23"/>
      <c r="P18" s="42" t="str">
        <v>9</v>
      </c>
      <c r="Q18" s="42" t="str">
        <v>9</v>
      </c>
      <c r="R18" s="42" t="str">
        <v>9</v>
      </c>
      <c r="S18" s="10" t="str">
        <f t="shared" si="1"/>
        <v>No Change</v>
      </c>
    </row>
    <row r="19" spans="1:19" ht="120" hidden="1">
      <c r="A19" s="8" t="s">
        <v>1163</v>
      </c>
      <c r="B19" s="9" t="s">
        <v>13558</v>
      </c>
      <c r="C19" s="37" t="s">
        <v>5585</v>
      </c>
      <c r="D19" s="24"/>
      <c r="E19" s="24"/>
      <c r="F19" s="24" t="str">
        <v>K029</v>
      </c>
      <c r="G19" s="24" t="str">
        <v>0 out of 10</v>
      </c>
      <c r="H19" s="24" t="str">
        <v>https://nycdoe.sharepoint.com/:w:/s/BAP/EQWrZLx8Ao9IvfWH53hJaHUBo2nkxlbPk3FAD2OCyXkIUg</v>
      </c>
      <c r="I19" s="23">
        <v>16</v>
      </c>
      <c r="J19" s="24" t="str">
        <v>-</v>
      </c>
      <c r="K19" s="24">
        <v>43</v>
      </c>
      <c r="L19" s="24" t="str">
        <v>N/A out of 10</v>
      </c>
      <c r="M19" s="23" t="b">
        <f t="shared" si="0"/>
        <v>0</v>
      </c>
      <c r="N19" s="23" t="str">
        <v>0 out of 10</v>
      </c>
      <c r="O19" s="23"/>
      <c r="P19" s="42" t="str">
        <v>0</v>
      </c>
      <c r="Q19" s="42" t="str">
        <v>N/A</v>
      </c>
      <c r="R19" s="42" t="str">
        <v>0</v>
      </c>
      <c r="S19" s="10" t="str">
        <f t="shared" si="1"/>
        <v>No Change</v>
      </c>
    </row>
    <row r="20" spans="1:19" ht="120" hidden="1">
      <c r="A20" s="8" t="s">
        <v>1383</v>
      </c>
      <c r="B20" s="9" t="s">
        <v>13555</v>
      </c>
      <c r="C20" s="37" t="s">
        <v>5853</v>
      </c>
      <c r="D20" s="24"/>
      <c r="E20" s="24"/>
      <c r="F20" s="24" t="str">
        <v>K032</v>
      </c>
      <c r="G20" s="24" t="str">
        <v>9 out of 10</v>
      </c>
      <c r="H20" s="24" t="str">
        <v>https://nycdoe.sharepoint.com/:w:/s/BAP/EWklPzO42sNEloQEb4UHZ10BL_yKJARNPyz2Qr-u5XwmGQ</v>
      </c>
      <c r="I20" s="23">
        <v>17</v>
      </c>
      <c r="J20" s="24" t="str">
        <v>-</v>
      </c>
      <c r="K20" s="24">
        <v>45</v>
      </c>
      <c r="L20" s="24" t="str">
        <v>9 out of 10</v>
      </c>
      <c r="M20" s="23" t="b">
        <f t="shared" si="0"/>
        <v>1</v>
      </c>
      <c r="N20" s="23" t="str">
        <v>9 out of 10</v>
      </c>
      <c r="O20" s="23"/>
      <c r="P20" s="42" t="str">
        <v>9</v>
      </c>
      <c r="Q20" s="42" t="str">
        <v>9</v>
      </c>
      <c r="R20" s="42" t="str">
        <v>9</v>
      </c>
      <c r="S20" s="10" t="str">
        <f t="shared" si="1"/>
        <v>No Change</v>
      </c>
    </row>
    <row r="21" spans="1:19" ht="120" hidden="1">
      <c r="A21" s="8" t="s">
        <v>2106</v>
      </c>
      <c r="B21" s="11" t="s">
        <v>13563</v>
      </c>
      <c r="C21" s="37" t="s">
        <v>6745</v>
      </c>
      <c r="D21" s="24"/>
      <c r="E21" s="24"/>
      <c r="F21" s="24" t="str">
        <v>K033</v>
      </c>
      <c r="G21" s="24" t="str">
        <v>1 out of 10</v>
      </c>
      <c r="H21" s="24" t="str">
        <v>https://nycdoe.sharepoint.com/:w:/s/BAP/EU3LBxNy1n9AlgE2D46rIeIBp1MKz9nusk7kiV3eXns9Lw</v>
      </c>
      <c r="I21" s="23">
        <v>18</v>
      </c>
      <c r="J21" s="24" t="str">
        <v>-</v>
      </c>
      <c r="K21" s="24">
        <v>46</v>
      </c>
      <c r="L21" s="24" t="str">
        <v>1 out of 10</v>
      </c>
      <c r="M21" s="23" t="b">
        <f t="shared" si="0"/>
        <v>1</v>
      </c>
      <c r="N21" s="23" t="str">
        <v>1 out of 10</v>
      </c>
      <c r="O21" s="23"/>
      <c r="P21" s="42" t="str">
        <v>1</v>
      </c>
      <c r="Q21" s="42" t="str">
        <v>1</v>
      </c>
      <c r="R21" s="42" t="str">
        <v>1</v>
      </c>
      <c r="S21" s="10" t="str">
        <f t="shared" si="1"/>
        <v>No Change</v>
      </c>
    </row>
    <row r="22" spans="1:19" ht="120" hidden="1">
      <c r="A22" s="8" t="s">
        <v>1259</v>
      </c>
      <c r="B22" s="9" t="s">
        <v>13564</v>
      </c>
      <c r="C22" s="38" t="s">
        <v>5691</v>
      </c>
      <c r="D22" s="24"/>
      <c r="E22" s="24"/>
      <c r="F22" s="24" t="str">
        <v>K035</v>
      </c>
      <c r="G22" s="24" t="str">
        <v>9 out of 10</v>
      </c>
      <c r="H22" s="24" t="str">
        <v>https://nycdoe.sharepoint.com/:w:/s/BAP/EVHZzDJHQvpNtz0qX1yZp74BI7SDqAaWaGpFLK46PnAo_g</v>
      </c>
      <c r="I22" s="23">
        <v>19</v>
      </c>
      <c r="J22" s="24" t="str">
        <v>-</v>
      </c>
      <c r="K22" s="24">
        <v>49</v>
      </c>
      <c r="L22" s="24" t="str">
        <v>9 out of 10</v>
      </c>
      <c r="M22" s="23" t="b">
        <f t="shared" si="0"/>
        <v>1</v>
      </c>
      <c r="N22" s="23" t="str">
        <v>9 out of 10</v>
      </c>
      <c r="O22" s="23"/>
      <c r="P22" s="42" t="str">
        <v>9</v>
      </c>
      <c r="Q22" s="42" t="str">
        <v>9</v>
      </c>
      <c r="R22" s="42" t="str">
        <v>9</v>
      </c>
      <c r="S22" s="10" t="str">
        <f t="shared" si="1"/>
        <v>No Change</v>
      </c>
    </row>
    <row r="23" spans="1:19" ht="135" hidden="1">
      <c r="A23" s="8" t="s">
        <v>2113</v>
      </c>
      <c r="B23" s="9" t="s">
        <v>13557</v>
      </c>
      <c r="C23" s="37" t="s">
        <v>6751</v>
      </c>
      <c r="D23" s="24"/>
      <c r="E23" s="24"/>
      <c r="F23" s="24" t="str">
        <v>K041</v>
      </c>
      <c r="G23" s="24" t="str">
        <v>2 out of 10</v>
      </c>
      <c r="H23" s="24" t="str">
        <v>https://nycdoe.sharepoint.com/:w:/s/BAP/EVdCwVxyK_NMjzKDLdoHbYcBeWFO6NWEw4SrhXBb6w_r_A</v>
      </c>
      <c r="I23" s="23">
        <v>20</v>
      </c>
      <c r="J23" s="24" t="str">
        <v>-</v>
      </c>
      <c r="K23" s="24">
        <v>55</v>
      </c>
      <c r="L23" s="24" t="str">
        <v>2 out of 10</v>
      </c>
      <c r="M23" s="23" t="b">
        <f t="shared" si="0"/>
        <v>1</v>
      </c>
      <c r="N23" s="23" t="str">
        <v>2 out of 10</v>
      </c>
      <c r="O23" s="23"/>
      <c r="P23" s="42" t="str">
        <v>2</v>
      </c>
      <c r="Q23" s="42" t="str">
        <v>2</v>
      </c>
      <c r="R23" s="42" t="str">
        <v>2</v>
      </c>
      <c r="S23" s="10" t="str">
        <f t="shared" si="1"/>
        <v>No Change</v>
      </c>
    </row>
    <row r="24" spans="1:19" ht="120" hidden="1">
      <c r="A24" s="8" t="s">
        <v>1057</v>
      </c>
      <c r="B24" s="9" t="s">
        <v>13565</v>
      </c>
      <c r="C24" s="37" t="s">
        <v>5452</v>
      </c>
      <c r="D24" s="24"/>
      <c r="E24" s="24"/>
      <c r="F24" s="24" t="str">
        <v>K051</v>
      </c>
      <c r="G24" s="24" t="str">
        <v>6 out of 10</v>
      </c>
      <c r="H24" s="24" t="str">
        <v>https://nycdoe.sharepoint.com/:w:/s/BAP/Eb6V_haPNWNHpYC_0Dui564B-YIjpCOw4SZLNeRV5fcIyA</v>
      </c>
      <c r="I24" s="23">
        <v>21</v>
      </c>
      <c r="J24" s="24" t="str">
        <v>-</v>
      </c>
      <c r="K24" s="24">
        <v>70</v>
      </c>
      <c r="L24" s="24" t="str">
        <v>6 out of 10</v>
      </c>
      <c r="M24" s="23" t="b">
        <f t="shared" si="0"/>
        <v>1</v>
      </c>
      <c r="N24" s="23" t="str">
        <v>6 out of 10</v>
      </c>
      <c r="O24" s="23"/>
      <c r="P24" s="42" t="str">
        <v>6</v>
      </c>
      <c r="Q24" s="42" t="str">
        <v>6</v>
      </c>
      <c r="R24" s="42" t="str">
        <v>6</v>
      </c>
      <c r="S24" s="10" t="str">
        <f t="shared" si="1"/>
        <v>No Change</v>
      </c>
    </row>
    <row r="25" spans="1:19" ht="120" hidden="1">
      <c r="A25" s="8" t="s">
        <v>1809</v>
      </c>
      <c r="B25" s="9" t="s">
        <v>13560</v>
      </c>
      <c r="C25" s="37" t="s">
        <v>6330</v>
      </c>
      <c r="D25" s="24"/>
      <c r="E25" s="24"/>
      <c r="F25" s="24" t="str">
        <v>K055</v>
      </c>
      <c r="G25" s="24" t="str">
        <v>8 out of 10</v>
      </c>
      <c r="H25" s="24" t="str">
        <v>https://nycdoe.sharepoint.com/:w:/s/BAP/ET8kNDIVdhVKtkOuxS5kvrEBpZFnW8_pw-hX_6QbqZ0AsA</v>
      </c>
      <c r="I25" s="23">
        <v>22</v>
      </c>
      <c r="J25" s="24" t="str">
        <v>-</v>
      </c>
      <c r="K25" s="24">
        <v>74</v>
      </c>
      <c r="L25" s="24" t="str">
        <v>8 out of 10</v>
      </c>
      <c r="M25" s="23" t="b">
        <f t="shared" si="0"/>
        <v>1</v>
      </c>
      <c r="N25" s="23" t="str">
        <v>8 out of 10</v>
      </c>
      <c r="O25" s="23"/>
      <c r="P25" s="42" t="str">
        <v>8</v>
      </c>
      <c r="Q25" s="42" t="str">
        <v>8</v>
      </c>
      <c r="R25" s="42" t="str">
        <v>8</v>
      </c>
      <c r="S25" s="10" t="str">
        <f t="shared" si="1"/>
        <v>No Change</v>
      </c>
    </row>
    <row r="26" spans="1:19" ht="120" hidden="1">
      <c r="A26" s="8" t="s">
        <v>1590</v>
      </c>
      <c r="B26" s="9" t="s">
        <v>13553</v>
      </c>
      <c r="C26" s="37" t="s">
        <v>6078</v>
      </c>
      <c r="D26" s="24"/>
      <c r="E26" s="24"/>
      <c r="F26" s="24" t="str">
        <v>K056</v>
      </c>
      <c r="G26" s="24" t="str">
        <v>5 out of 10</v>
      </c>
      <c r="H26" s="24" t="str">
        <v>https://nycdoe.sharepoint.com/:w:/s/BAP/EZGObMatBHxJsEGHqNSf96UBYEIqf2ZhNMA5X5g8dP6Zmg</v>
      </c>
      <c r="I26" s="23">
        <v>23</v>
      </c>
      <c r="J26" s="24" t="str">
        <v>-</v>
      </c>
      <c r="K26" s="24">
        <v>76</v>
      </c>
      <c r="L26" s="24" t="str">
        <v>5 out of 10</v>
      </c>
      <c r="M26" s="23" t="b">
        <f t="shared" si="0"/>
        <v>1</v>
      </c>
      <c r="N26" s="23" t="str">
        <v>5 out of 10</v>
      </c>
      <c r="O26" s="23"/>
      <c r="P26" s="42" t="str">
        <v>5</v>
      </c>
      <c r="Q26" s="42" t="str">
        <v>5</v>
      </c>
      <c r="R26" s="42" t="str">
        <v>5</v>
      </c>
      <c r="S26" s="10" t="str">
        <f t="shared" si="1"/>
        <v>No Change</v>
      </c>
    </row>
    <row r="27" spans="1:19" ht="120" hidden="1">
      <c r="A27" s="8" t="s">
        <v>9717</v>
      </c>
      <c r="B27" s="9" t="s">
        <v>13561</v>
      </c>
      <c r="C27" s="37" t="s">
        <v>13566</v>
      </c>
      <c r="D27" s="24"/>
      <c r="E27" s="24"/>
      <c r="F27" s="24" t="str">
        <v>K059</v>
      </c>
      <c r="G27" s="24" t="str">
        <v>0 out of 10</v>
      </c>
      <c r="H27" s="24" t="str">
        <v>https://nycdoe.sharepoint.com/:w:/s/BAP/EXl3SqBRaYFMlkgRYDNeTLkBwS2kl7-4azyS9M7vTLK32w</v>
      </c>
      <c r="I27" s="23" t="str">
        <v>Was New</v>
      </c>
      <c r="J27" s="24" t="str">
        <v>0 out of 10</v>
      </c>
      <c r="K27" s="24">
        <v>83</v>
      </c>
      <c r="L27" s="24" t="str">
        <v>N/A out of 10</v>
      </c>
      <c r="M27" s="23" t="b">
        <f t="shared" si="0"/>
        <v>0</v>
      </c>
      <c r="N27" s="23" t="str">
        <v>0 out of 10</v>
      </c>
      <c r="O27" s="23"/>
      <c r="P27" s="42" t="str">
        <v>0</v>
      </c>
      <c r="Q27" s="42" t="str">
        <v>N/A</v>
      </c>
      <c r="R27" s="42" t="str">
        <v>0</v>
      </c>
      <c r="S27" s="10" t="str">
        <f t="shared" si="1"/>
        <v>No Change</v>
      </c>
    </row>
    <row r="28" spans="1:19" ht="120" hidden="1">
      <c r="A28" s="8" t="s">
        <v>9726</v>
      </c>
      <c r="B28" s="11" t="s">
        <v>13550</v>
      </c>
      <c r="C28" s="37" t="s">
        <v>13567</v>
      </c>
      <c r="D28" s="24"/>
      <c r="E28" s="24"/>
      <c r="F28" s="24" t="str">
        <v>K062</v>
      </c>
      <c r="G28" s="24" t="str">
        <v>4 out of 10</v>
      </c>
      <c r="H28" s="24" t="str">
        <v>https://nycdoe.sharepoint.com/:w:/s/BAP/Eb-wZ4wgn19PkNVgrzxOvBYBaV_sF3r_X8kpeZkZB8C4fw</v>
      </c>
      <c r="I28" s="23">
        <v>24</v>
      </c>
      <c r="J28" s="24" t="str">
        <v>-</v>
      </c>
      <c r="K28" s="24">
        <v>87</v>
      </c>
      <c r="L28" s="24" t="str">
        <v>4 out of 10</v>
      </c>
      <c r="M28" s="23" t="b">
        <f t="shared" si="0"/>
        <v>1</v>
      </c>
      <c r="N28" s="23" t="str">
        <v>4 out of 10</v>
      </c>
      <c r="O28" s="23"/>
      <c r="P28" s="42" t="str">
        <v>4</v>
      </c>
      <c r="Q28" s="42" t="str">
        <v>4</v>
      </c>
      <c r="R28" s="42" t="str">
        <v>4</v>
      </c>
      <c r="S28" s="10" t="str">
        <f t="shared" si="1"/>
        <v>No Change</v>
      </c>
    </row>
    <row r="29" spans="1:19" ht="120" hidden="1">
      <c r="A29" s="8" t="s">
        <v>1813</v>
      </c>
      <c r="B29" s="9" t="s">
        <v>13553</v>
      </c>
      <c r="C29" s="37" t="s">
        <v>6335</v>
      </c>
      <c r="D29" s="24"/>
      <c r="E29" s="24"/>
      <c r="F29" s="24" t="str">
        <v>K066</v>
      </c>
      <c r="G29" s="24" t="str">
        <v>10 out of 10</v>
      </c>
      <c r="H29" s="24" t="str">
        <v>https://nycdoe.sharepoint.com/:w:/s/BAP/EUe1Ki0WRf1MgLdSNF4cKZ8BPL8MLN1K45m0rPOze5haAA</v>
      </c>
      <c r="I29" s="23">
        <v>25</v>
      </c>
      <c r="J29" s="24" t="str">
        <v>-</v>
      </c>
      <c r="K29" s="24">
        <v>91</v>
      </c>
      <c r="L29" s="24" t="str">
        <v>10 out of 10</v>
      </c>
      <c r="M29" s="23" t="b">
        <f t="shared" si="0"/>
        <v>1</v>
      </c>
      <c r="N29" s="23" t="str">
        <v>10 out of 10</v>
      </c>
      <c r="O29" s="23"/>
      <c r="P29" s="42" t="str">
        <v>10</v>
      </c>
      <c r="Q29" s="42" t="str">
        <v>10</v>
      </c>
      <c r="R29" s="42" t="str">
        <v>10</v>
      </c>
      <c r="S29" s="10" t="str">
        <f t="shared" si="1"/>
        <v>No Change</v>
      </c>
    </row>
    <row r="30" spans="1:19" ht="135" hidden="1">
      <c r="A30" s="8" t="s">
        <v>1171</v>
      </c>
      <c r="B30" s="9" t="s">
        <v>13557</v>
      </c>
      <c r="C30" s="37" t="s">
        <v>5590</v>
      </c>
      <c r="D30" s="24"/>
      <c r="E30" s="24"/>
      <c r="F30" s="24" t="str">
        <v>K067</v>
      </c>
      <c r="G30" s="24" t="str">
        <v>0 out of 10</v>
      </c>
      <c r="H30" s="24" t="str">
        <v>https://nycdoe.sharepoint.com/:w:/s/BAP/EbjhlUiJ_Y9JjuxBTrJi47cBttFdAVwd-s4jgeh3EGmScQ</v>
      </c>
      <c r="I30" s="23">
        <v>26</v>
      </c>
      <c r="J30" s="24" t="str">
        <v>-</v>
      </c>
      <c r="K30" s="24">
        <v>93</v>
      </c>
      <c r="L30" s="24" t="str">
        <v>N/A out of 10</v>
      </c>
      <c r="M30" s="23" t="b">
        <f t="shared" si="0"/>
        <v>0</v>
      </c>
      <c r="N30" s="23" t="str">
        <v>0 out of 10</v>
      </c>
      <c r="O30" s="23"/>
      <c r="P30" s="42" t="str">
        <v>0</v>
      </c>
      <c r="Q30" s="42" t="str">
        <v>N/A</v>
      </c>
      <c r="R30" s="42" t="str">
        <v>0</v>
      </c>
      <c r="S30" s="10" t="str">
        <f t="shared" si="1"/>
        <v>No Change</v>
      </c>
    </row>
    <row r="31" spans="1:19" ht="120" hidden="1">
      <c r="A31" s="8" t="s">
        <v>1695</v>
      </c>
      <c r="B31" s="9" t="s">
        <v>13565</v>
      </c>
      <c r="C31" s="37" t="s">
        <v>6208</v>
      </c>
      <c r="D31" s="24"/>
      <c r="E31" s="24"/>
      <c r="F31" s="24" t="str">
        <v>K068</v>
      </c>
      <c r="G31" s="24" t="str">
        <v>0+ out of 10</v>
      </c>
      <c r="H31" s="24" t="str">
        <v>https://nycdoe.sharepoint.com/:w:/s/BAP/EUmKYx_t7ABFgw1qf5tLJ-4B0w-lF_dGjQ_BhqmsJRXKSg</v>
      </c>
      <c r="I31" s="23">
        <v>27</v>
      </c>
      <c r="J31" s="24" t="str">
        <v>-</v>
      </c>
      <c r="K31" s="24">
        <v>96</v>
      </c>
      <c r="L31" s="24" t="str">
        <v>N/A out of 10</v>
      </c>
      <c r="M31" s="23" t="b">
        <f t="shared" si="0"/>
        <v>0</v>
      </c>
      <c r="N31" s="23" t="str">
        <v>0+ out of 10</v>
      </c>
      <c r="O31" s="23"/>
      <c r="P31" s="42" t="str">
        <v>0+</v>
      </c>
      <c r="Q31" s="42" t="str">
        <v>N/A</v>
      </c>
      <c r="R31" s="42" t="str">
        <v>0+</v>
      </c>
      <c r="S31" s="10" t="str">
        <f t="shared" si="1"/>
        <v>No Change</v>
      </c>
    </row>
    <row r="32" spans="1:19" ht="120" hidden="1">
      <c r="A32" s="8" t="s">
        <v>9748</v>
      </c>
      <c r="B32" s="9" t="s">
        <v>13550</v>
      </c>
      <c r="C32" s="37" t="s">
        <v>13568</v>
      </c>
      <c r="D32" s="24"/>
      <c r="E32" s="24"/>
      <c r="F32" s="24" t="str">
        <v>K069</v>
      </c>
      <c r="G32" s="24" t="str">
        <v>10 out of 10</v>
      </c>
      <c r="H32" s="24" t="str">
        <v>https://nycdoe.sharepoint.com/:w:/s/BAP/ESL-8dbpFllDgVpG88XGJoEBwPxdODSoVx03hlaq7zvfDg</v>
      </c>
      <c r="I32" s="23">
        <v>28</v>
      </c>
      <c r="J32" s="24" t="str">
        <v>-</v>
      </c>
      <c r="K32" s="24">
        <v>98</v>
      </c>
      <c r="L32" s="24" t="str">
        <v>10 out of 10</v>
      </c>
      <c r="M32" s="23" t="b">
        <f t="shared" si="0"/>
        <v>1</v>
      </c>
      <c r="N32" s="23" t="str">
        <v>10 out of 10</v>
      </c>
      <c r="O32" s="23"/>
      <c r="P32" s="42" t="str">
        <v>10</v>
      </c>
      <c r="Q32" s="42" t="str">
        <v>10</v>
      </c>
      <c r="R32" s="42" t="str">
        <v>10</v>
      </c>
      <c r="S32" s="10" t="str">
        <f t="shared" si="1"/>
        <v>No Change</v>
      </c>
    </row>
    <row r="33" spans="1:19" ht="120" hidden="1">
      <c r="A33" s="8" t="s">
        <v>1390</v>
      </c>
      <c r="B33" s="9" t="s">
        <v>13559</v>
      </c>
      <c r="C33" s="37" t="s">
        <v>5858</v>
      </c>
      <c r="D33" s="24"/>
      <c r="E33" s="24"/>
      <c r="F33" s="24" t="str">
        <v>K071</v>
      </c>
      <c r="G33" s="24" t="str">
        <v>8 out of 10</v>
      </c>
      <c r="H33" s="24" t="str">
        <v>https://nycdoe.sharepoint.com/:w:/s/BAP/ET-lZQ8DOTlMlqFH5v_0_2IBmku0QWHqW6lIvQW53pFwnQ</v>
      </c>
      <c r="I33" s="23">
        <v>29</v>
      </c>
      <c r="J33" s="24" t="str">
        <v>-</v>
      </c>
      <c r="K33" s="24">
        <v>99</v>
      </c>
      <c r="L33" s="24" t="str">
        <v>8 out of 10</v>
      </c>
      <c r="M33" s="23" t="b">
        <f t="shared" si="0"/>
        <v>1</v>
      </c>
      <c r="N33" s="23" t="str">
        <v>8 out of 10</v>
      </c>
      <c r="O33" s="23"/>
      <c r="P33" s="42" t="str">
        <v>8</v>
      </c>
      <c r="Q33" s="42" t="str">
        <v>8</v>
      </c>
      <c r="R33" s="42" t="str">
        <v>8</v>
      </c>
      <c r="S33" s="10" t="str">
        <f t="shared" si="1"/>
        <v>No Change</v>
      </c>
    </row>
    <row r="34" spans="1:19" ht="120" hidden="1">
      <c r="A34" s="8" t="s">
        <v>1181</v>
      </c>
      <c r="B34" s="9" t="s">
        <v>13563</v>
      </c>
      <c r="C34" s="37" t="s">
        <v>5597</v>
      </c>
      <c r="D34" s="24"/>
      <c r="E34" s="24"/>
      <c r="F34" s="24" t="str">
        <v>K072</v>
      </c>
      <c r="G34" s="24" t="str">
        <v>5 out of 10</v>
      </c>
      <c r="H34" s="24" t="str">
        <v>https://nycdoe.sharepoint.com/:w:/s/BAP/EQM0WH042ctAgYGIMgXKWO4BtH5fznWMYEfMm8B4e4fDYQ</v>
      </c>
      <c r="I34" s="23">
        <v>30</v>
      </c>
      <c r="J34" s="24" t="str">
        <v>-</v>
      </c>
      <c r="K34" s="24">
        <v>102</v>
      </c>
      <c r="L34" s="24" t="str">
        <v>5 out of 10</v>
      </c>
      <c r="M34" s="23" t="b">
        <f t="shared" si="0"/>
        <v>1</v>
      </c>
      <c r="N34" s="23" t="str">
        <v>5 out of 10</v>
      </c>
      <c r="O34" s="23"/>
      <c r="P34" s="42" t="str">
        <v>5</v>
      </c>
      <c r="Q34" s="42" t="str">
        <v>5</v>
      </c>
      <c r="R34" s="42" t="str">
        <v>5</v>
      </c>
      <c r="S34" s="10" t="str">
        <f t="shared" si="1"/>
        <v>No Change</v>
      </c>
    </row>
    <row r="35" spans="1:19" ht="135" hidden="1">
      <c r="A35" s="8" t="s">
        <v>9768</v>
      </c>
      <c r="B35" s="9" t="s">
        <v>13550</v>
      </c>
      <c r="C35" s="37" t="s">
        <v>13569</v>
      </c>
      <c r="D35" s="24"/>
      <c r="E35" s="24"/>
      <c r="F35" s="24" t="str">
        <v>K075</v>
      </c>
      <c r="G35" s="24" t="str">
        <v>0+ out of 10</v>
      </c>
      <c r="H35" s="24" t="str">
        <v>https://nycdoe.sharepoint.com/:w:/s/BAP/ESHXpfxWIIdMpj6lmDnVAo0BpGt_7o349ILjCFn_4p8VVg</v>
      </c>
      <c r="I35" s="23">
        <v>31</v>
      </c>
      <c r="J35" s="24" t="str">
        <v>-</v>
      </c>
      <c r="K35" s="24">
        <v>107</v>
      </c>
      <c r="L35" s="24" t="str">
        <v>N/A out of 10</v>
      </c>
      <c r="M35" s="23" t="b">
        <f t="shared" si="0"/>
        <v>0</v>
      </c>
      <c r="N35" s="23" t="str">
        <v>0+ out of 10</v>
      </c>
      <c r="O35" s="23"/>
      <c r="P35" s="42" t="str">
        <v>0+</v>
      </c>
      <c r="Q35" s="42" t="str">
        <v>N/A</v>
      </c>
      <c r="R35" s="42" t="str">
        <v>0+</v>
      </c>
      <c r="S35" s="10" t="str">
        <f t="shared" si="1"/>
        <v>No Change</v>
      </c>
    </row>
    <row r="36" spans="1:19" ht="120" hidden="1">
      <c r="A36" s="8" t="s">
        <v>1263</v>
      </c>
      <c r="B36" s="9" t="s">
        <v>13555</v>
      </c>
      <c r="C36" s="37" t="s">
        <v>5699</v>
      </c>
      <c r="D36" s="24"/>
      <c r="E36" s="24"/>
      <c r="F36" s="24" t="str">
        <v>K081</v>
      </c>
      <c r="G36" s="24" t="str">
        <v>3 out of 10</v>
      </c>
      <c r="H36" s="24" t="str">
        <v>https://nycdoe.sharepoint.com/:w:/s/BAP/Ebf5mmDhs4hHvn3w7qqf9sUBQrGxi_dfZkvbujh3B7Gthw</v>
      </c>
      <c r="I36" s="23">
        <v>32</v>
      </c>
      <c r="J36" s="24" t="str">
        <v>-</v>
      </c>
      <c r="K36" s="24">
        <v>110</v>
      </c>
      <c r="L36" s="24" t="str">
        <v>3 out of 10</v>
      </c>
      <c r="M36" s="23" t="b">
        <f t="shared" si="0"/>
        <v>1</v>
      </c>
      <c r="N36" s="23" t="str">
        <v>3 out of 10</v>
      </c>
      <c r="O36" s="23"/>
      <c r="P36" s="42" t="str">
        <v>3</v>
      </c>
      <c r="Q36" s="42" t="str">
        <v>3</v>
      </c>
      <c r="R36" s="42" t="str">
        <v>3</v>
      </c>
      <c r="S36" s="10" t="str">
        <f t="shared" si="1"/>
        <v>No Change</v>
      </c>
    </row>
    <row r="37" spans="1:19" ht="120" hidden="1">
      <c r="A37" s="8" t="s">
        <v>1921</v>
      </c>
      <c r="B37" s="9" t="s">
        <v>13555</v>
      </c>
      <c r="C37" s="37" t="s">
        <v>6479</v>
      </c>
      <c r="D37" s="24"/>
      <c r="E37" s="24"/>
      <c r="F37" s="24" t="str">
        <v>K084</v>
      </c>
      <c r="G37" s="24" t="str">
        <v>2 out of 10</v>
      </c>
      <c r="H37" s="24" t="str">
        <v>https://nycdoe.sharepoint.com/:w:/s/BAP/EY_p49TPRFZAvk6P0zO2SMEBJFJ5o3pOYo4ZcwvMUEY9wg</v>
      </c>
      <c r="I37" s="23">
        <v>33</v>
      </c>
      <c r="J37" s="24" t="str">
        <v>-</v>
      </c>
      <c r="K37" s="24">
        <v>112</v>
      </c>
      <c r="L37" s="24" t="str">
        <v>2 out of 10</v>
      </c>
      <c r="M37" s="23" t="b">
        <f t="shared" si="0"/>
        <v>1</v>
      </c>
      <c r="N37" s="23" t="str">
        <v>2 out of 10</v>
      </c>
      <c r="O37" s="23"/>
      <c r="P37" s="42" t="str">
        <v>2</v>
      </c>
      <c r="Q37" s="42" t="str">
        <v>2</v>
      </c>
      <c r="R37" s="42" t="str">
        <v>2</v>
      </c>
      <c r="S37" s="10" t="str">
        <f t="shared" si="1"/>
        <v>No Change</v>
      </c>
    </row>
    <row r="38" spans="1:19" ht="135" hidden="1">
      <c r="A38" s="8" t="s">
        <v>1462</v>
      </c>
      <c r="B38" s="9" t="s">
        <v>13558</v>
      </c>
      <c r="C38" s="37" t="s">
        <v>5927</v>
      </c>
      <c r="D38" s="24"/>
      <c r="E38" s="24"/>
      <c r="F38" s="24" t="str">
        <v>K085</v>
      </c>
      <c r="G38" s="24" t="str">
        <v>0+ out of 10</v>
      </c>
      <c r="H38" s="24" t="str">
        <v>https://nycdoe.sharepoint.com/:w:/s/BAP/EUumZpZ6BORChZ33sOO-AmUBWDeAoOih7aNM7sMXhb0sFg</v>
      </c>
      <c r="I38" s="23">
        <v>34</v>
      </c>
      <c r="J38" s="24" t="str">
        <v>-</v>
      </c>
      <c r="K38" s="24">
        <v>113</v>
      </c>
      <c r="L38" s="24" t="str">
        <v>N/A out of 10</v>
      </c>
      <c r="M38" s="23" t="b">
        <f t="shared" si="0"/>
        <v>0</v>
      </c>
      <c r="N38" s="23" t="str">
        <v>0+ out of 10</v>
      </c>
      <c r="O38" s="23"/>
      <c r="P38" s="42" t="str">
        <v>0+</v>
      </c>
      <c r="Q38" s="42" t="str">
        <v>N/A</v>
      </c>
      <c r="R38" s="42" t="str">
        <v>0+</v>
      </c>
      <c r="S38" s="10" t="str">
        <f t="shared" si="1"/>
        <v>No Change</v>
      </c>
    </row>
    <row r="39" spans="1:19" ht="120" hidden="1">
      <c r="A39" s="8" t="s">
        <v>9795</v>
      </c>
      <c r="B39" s="9" t="s">
        <v>13550</v>
      </c>
      <c r="C39" s="37" t="s">
        <v>13570</v>
      </c>
      <c r="D39" s="24"/>
      <c r="E39" s="24"/>
      <c r="F39" s="24" t="str">
        <v>K088</v>
      </c>
      <c r="G39" s="24" t="str">
        <v>9 out of 10</v>
      </c>
      <c r="H39" s="24" t="str">
        <v>https://nycdoe.sharepoint.com/:w:/s/BAP/EYSrSjjfJHVOmllBWGG_-JIB2sqthd7zjsLhhdjmCZw7xw</v>
      </c>
      <c r="I39" s="23">
        <v>35</v>
      </c>
      <c r="J39" s="24" t="str">
        <v>-</v>
      </c>
      <c r="K39" s="24">
        <v>115</v>
      </c>
      <c r="L39" s="24" t="str">
        <v>9 out of 10</v>
      </c>
      <c r="M39" s="23" t="b">
        <f t="shared" si="0"/>
        <v>1</v>
      </c>
      <c r="N39" s="23" t="str">
        <v>9 out of 10</v>
      </c>
      <c r="O39" s="23"/>
      <c r="P39" s="42" t="str">
        <v>9</v>
      </c>
      <c r="Q39" s="42" t="str">
        <v>9</v>
      </c>
      <c r="R39" s="42" t="str">
        <v>9</v>
      </c>
      <c r="S39" s="10" t="str">
        <f t="shared" si="1"/>
        <v>No Change</v>
      </c>
    </row>
    <row r="40" spans="1:19" ht="120" hidden="1">
      <c r="A40" s="8" t="s">
        <v>1925</v>
      </c>
      <c r="B40" s="9" t="s">
        <v>13553</v>
      </c>
      <c r="C40" s="37" t="s">
        <v>6488</v>
      </c>
      <c r="D40" s="24"/>
      <c r="E40" s="24"/>
      <c r="F40" s="24" t="str">
        <v>K090</v>
      </c>
      <c r="G40" s="24" t="str">
        <v>9 out of 10</v>
      </c>
      <c r="H40" s="24" t="str">
        <v>https://nycdoe.sharepoint.com/:w:/s/BAP/EZmL5nAGI4hGsRdGravcmKsBVu8XIjZIFoJ0WtRtR2h2uQ</v>
      </c>
      <c r="I40" s="23">
        <v>36</v>
      </c>
      <c r="J40" s="24" t="str">
        <v>-</v>
      </c>
      <c r="K40" s="24">
        <v>117</v>
      </c>
      <c r="L40" s="24" t="str">
        <v>9 out of 10</v>
      </c>
      <c r="M40" s="23" t="b">
        <f t="shared" si="0"/>
        <v>1</v>
      </c>
      <c r="N40" s="23" t="str">
        <v>9 out of 10</v>
      </c>
      <c r="O40" s="23"/>
      <c r="P40" s="42" t="str">
        <v>9</v>
      </c>
      <c r="Q40" s="42" t="str">
        <v>9</v>
      </c>
      <c r="R40" s="42" t="str">
        <v>9</v>
      </c>
      <c r="S40" s="10" t="str">
        <f t="shared" si="1"/>
        <v>No Change</v>
      </c>
    </row>
    <row r="41" spans="1:19" ht="120" hidden="1">
      <c r="A41" s="8" t="s">
        <v>1932</v>
      </c>
      <c r="B41" s="9" t="s">
        <v>13555</v>
      </c>
      <c r="C41" s="37" t="s">
        <v>6494</v>
      </c>
      <c r="D41" s="24"/>
      <c r="E41" s="24"/>
      <c r="F41" s="24" t="str">
        <v>K092</v>
      </c>
      <c r="G41" s="24" t="str">
        <v>1 out of 10</v>
      </c>
      <c r="H41" s="24" t="str">
        <v>https://nycdoe.sharepoint.com/:w:/s/BAP/ESrHQZEzuRdLhBTRxrJ3zzQBdakuGZ3Jv-eRAqhAjr6yUA</v>
      </c>
      <c r="I41" s="23">
        <v>37</v>
      </c>
      <c r="J41" s="24" t="str">
        <v>-</v>
      </c>
      <c r="K41" s="24">
        <v>120</v>
      </c>
      <c r="L41" s="24" t="str">
        <v>1 out of 10</v>
      </c>
      <c r="M41" s="23" t="b">
        <f t="shared" si="0"/>
        <v>1</v>
      </c>
      <c r="N41" s="23" t="str">
        <v>1 out of 10</v>
      </c>
      <c r="O41" s="23"/>
      <c r="P41" s="42" t="str">
        <v>1</v>
      </c>
      <c r="Q41" s="42" t="str">
        <v>1</v>
      </c>
      <c r="R41" s="42" t="str">
        <v>1</v>
      </c>
      <c r="S41" s="10" t="str">
        <f t="shared" si="1"/>
        <v>No Change</v>
      </c>
    </row>
    <row r="42" spans="1:19" ht="120" hidden="1">
      <c r="A42" s="8" t="s">
        <v>1936</v>
      </c>
      <c r="B42" s="9" t="s">
        <v>13553</v>
      </c>
      <c r="C42" s="37" t="s">
        <v>6498</v>
      </c>
      <c r="D42" s="24"/>
      <c r="E42" s="24"/>
      <c r="F42" s="24" t="str">
        <v>K093</v>
      </c>
      <c r="G42" s="24" t="str">
        <v>0+ out of 10</v>
      </c>
      <c r="H42" s="24" t="str">
        <v>https://nycdoe.sharepoint.com/:w:/s/BAP/EbK2TidelY9NvqaY0dL6uUwBZFbeBoXt7J_jBochp4bfDQ</v>
      </c>
      <c r="I42" s="23">
        <v>38</v>
      </c>
      <c r="J42" s="24" t="str">
        <v>-</v>
      </c>
      <c r="K42" s="24">
        <v>122</v>
      </c>
      <c r="L42" s="24" t="str">
        <v>N/A out of 10</v>
      </c>
      <c r="M42" s="23" t="b">
        <f t="shared" si="0"/>
        <v>0</v>
      </c>
      <c r="N42" s="23" t="str">
        <v>0+ out of 10</v>
      </c>
      <c r="O42" s="23"/>
      <c r="P42" s="42" t="str">
        <v>0+</v>
      </c>
      <c r="Q42" s="42" t="str">
        <v>N/A</v>
      </c>
      <c r="R42" s="42" t="str">
        <v>0+</v>
      </c>
      <c r="S42" s="10" t="str">
        <f t="shared" si="1"/>
        <v>No Change</v>
      </c>
    </row>
    <row r="43" spans="1:19" ht="120" hidden="1">
      <c r="A43" s="8" t="s">
        <v>1185</v>
      </c>
      <c r="B43" s="9" t="s">
        <v>13555</v>
      </c>
      <c r="C43" s="37" t="s">
        <v>5601</v>
      </c>
      <c r="D43" s="24"/>
      <c r="E43" s="24"/>
      <c r="F43" s="24" t="str">
        <v>K096</v>
      </c>
      <c r="G43" s="24" t="str">
        <v>10 out of 10</v>
      </c>
      <c r="H43" s="24" t="str">
        <v>https://nycdoe.sharepoint.com/:w:/s/BAP/EbvpaV3IHM9PnRdmr5LtUJsBdCmJVtdyU6UCsLbddw6rKA</v>
      </c>
      <c r="I43" s="23">
        <v>39</v>
      </c>
      <c r="J43" s="24" t="str">
        <v>-</v>
      </c>
      <c r="K43" s="24">
        <v>126</v>
      </c>
      <c r="L43" s="24" t="str">
        <v>10 out of 10</v>
      </c>
      <c r="M43" s="23" t="b">
        <f t="shared" si="0"/>
        <v>1</v>
      </c>
      <c r="N43" s="23" t="str">
        <v>10 out of 10</v>
      </c>
      <c r="O43" s="23"/>
      <c r="P43" s="42" t="str">
        <v>10</v>
      </c>
      <c r="Q43" s="42" t="str">
        <v>10</v>
      </c>
      <c r="R43" s="42" t="str">
        <v>10</v>
      </c>
      <c r="S43" s="10" t="str">
        <f t="shared" si="1"/>
        <v>No Change</v>
      </c>
    </row>
    <row r="44" spans="1:19" ht="120" hidden="1">
      <c r="A44" s="8" t="s">
        <v>1067</v>
      </c>
      <c r="B44" s="9" t="s">
        <v>13557</v>
      </c>
      <c r="C44" s="37" t="s">
        <v>5460</v>
      </c>
      <c r="D44" s="24"/>
      <c r="E44" s="24"/>
      <c r="F44" s="24" t="str">
        <v>K097</v>
      </c>
      <c r="G44" s="24" t="str">
        <v>9 out of 10</v>
      </c>
      <c r="H44" s="24" t="str">
        <v>https://nycdoe.sharepoint.com/:w:/s/BAP/EZ08NM08pYpFtLlY-bN-5dQBalcAGmRbGE5VXqZkgoV1uA</v>
      </c>
      <c r="I44" s="23">
        <v>40</v>
      </c>
      <c r="J44" s="24" t="str">
        <v>-</v>
      </c>
      <c r="K44" s="24">
        <v>128</v>
      </c>
      <c r="L44" s="24" t="str">
        <v>9 out of 10</v>
      </c>
      <c r="M44" s="23" t="b">
        <f t="shared" si="0"/>
        <v>1</v>
      </c>
      <c r="N44" s="23" t="str">
        <v>9 out of 10</v>
      </c>
      <c r="O44" s="23"/>
      <c r="P44" s="42" t="str">
        <v>9</v>
      </c>
      <c r="Q44" s="42" t="str">
        <v>9</v>
      </c>
      <c r="R44" s="42" t="str">
        <v>9</v>
      </c>
      <c r="S44" s="10" t="str">
        <f t="shared" si="1"/>
        <v>No Change</v>
      </c>
    </row>
    <row r="45" spans="1:19" ht="120" hidden="1">
      <c r="A45" s="8" t="s">
        <v>1597</v>
      </c>
      <c r="B45" s="9" t="s">
        <v>13555</v>
      </c>
      <c r="C45" s="37" t="s">
        <v>6083</v>
      </c>
      <c r="D45" s="24"/>
      <c r="E45" s="24"/>
      <c r="F45" s="24" t="str">
        <v>K101</v>
      </c>
      <c r="G45" s="24" t="str">
        <v>10 out of 10</v>
      </c>
      <c r="H45" s="24" t="str">
        <v>https://nycdoe.sharepoint.com/:w:/s/BAP/EcgqtcTODrNPik6aQbO62_QBvBwi_sGVbXjlibGC7W2t_Q</v>
      </c>
      <c r="I45" s="23">
        <v>41</v>
      </c>
      <c r="J45" s="24" t="str">
        <v>-</v>
      </c>
      <c r="K45" s="24">
        <v>132</v>
      </c>
      <c r="L45" s="24" t="str">
        <v>10 out of 10</v>
      </c>
      <c r="M45" s="23" t="b">
        <f t="shared" si="0"/>
        <v>1</v>
      </c>
      <c r="N45" s="23" t="str">
        <v>10 out of 10</v>
      </c>
      <c r="O45" s="23"/>
      <c r="P45" s="42" t="str">
        <v>10</v>
      </c>
      <c r="Q45" s="42" t="str">
        <v>10</v>
      </c>
      <c r="R45" s="42" t="str">
        <v>10</v>
      </c>
      <c r="S45" s="10" t="str">
        <f t="shared" si="1"/>
        <v>No Change</v>
      </c>
    </row>
    <row r="46" spans="1:19" ht="120" hidden="1">
      <c r="A46" s="8" t="s">
        <v>1604</v>
      </c>
      <c r="B46" s="9" t="s">
        <v>13555</v>
      </c>
      <c r="C46" s="37" t="s">
        <v>6089</v>
      </c>
      <c r="D46" s="24"/>
      <c r="E46" s="24"/>
      <c r="F46" s="24" t="str">
        <v>K102</v>
      </c>
      <c r="G46" s="24" t="str">
        <v>3 out of 10</v>
      </c>
      <c r="H46" s="24" t="str">
        <v>https://nycdoe.sharepoint.com/:w:/s/BAP/EW6CYgoXcxBCoZpdO7c_sAsBFQHyVCAc17OJ5C0tYa4zKw</v>
      </c>
      <c r="I46" s="23" t="str">
        <v>Was New</v>
      </c>
      <c r="J46" s="24" t="str">
        <v>3 out of 10</v>
      </c>
      <c r="K46" s="24">
        <v>133</v>
      </c>
      <c r="L46" s="24" t="str">
        <v>3 out of 10</v>
      </c>
      <c r="M46" s="23" t="b">
        <f t="shared" si="0"/>
        <v>1</v>
      </c>
      <c r="N46" s="23" t="str">
        <v>3 out of 10</v>
      </c>
      <c r="O46" s="23"/>
      <c r="P46" s="42" t="str">
        <v>3</v>
      </c>
      <c r="Q46" s="42" t="str">
        <v>3</v>
      </c>
      <c r="R46" s="42" t="str">
        <v>3</v>
      </c>
      <c r="S46" s="10" t="str">
        <f t="shared" si="1"/>
        <v>No Change</v>
      </c>
    </row>
    <row r="47" spans="1:19" ht="120" hidden="1">
      <c r="A47" s="8" t="s">
        <v>1189</v>
      </c>
      <c r="B47" s="11" t="s">
        <v>13560</v>
      </c>
      <c r="C47" s="37" t="s">
        <v>5605</v>
      </c>
      <c r="D47" s="24"/>
      <c r="E47" s="24"/>
      <c r="F47" s="24" t="str">
        <v>K104</v>
      </c>
      <c r="G47" s="24" t="str">
        <v>1 out of 10</v>
      </c>
      <c r="H47" s="24" t="str">
        <v>https://nycdoe.sharepoint.com/:w:/s/BAP/Eb8K0TD47gNMt05q04M1kYMB3FnKnTBbUzP3bUPRr95d7w</v>
      </c>
      <c r="I47" s="23" t="str">
        <v>Was New</v>
      </c>
      <c r="J47" s="24" t="str">
        <v>1 out of 10</v>
      </c>
      <c r="K47" s="24">
        <v>134</v>
      </c>
      <c r="L47" s="24" t="str">
        <v>1 out of 10</v>
      </c>
      <c r="M47" s="23" t="b">
        <f t="shared" si="0"/>
        <v>1</v>
      </c>
      <c r="N47" s="23" t="str">
        <v>1 out of 10</v>
      </c>
      <c r="O47" s="23"/>
      <c r="P47" s="42" t="str">
        <v>1</v>
      </c>
      <c r="Q47" s="42" t="str">
        <v>1</v>
      </c>
      <c r="R47" s="42" t="str">
        <v>1</v>
      </c>
      <c r="S47" s="10" t="str">
        <f t="shared" si="1"/>
        <v>No Change</v>
      </c>
    </row>
    <row r="48" spans="1:19" ht="120" hidden="1">
      <c r="A48" s="8" t="s">
        <v>1193</v>
      </c>
      <c r="B48" s="9" t="s">
        <v>13571</v>
      </c>
      <c r="C48" s="37" t="s">
        <v>5609</v>
      </c>
      <c r="D48" s="24"/>
      <c r="E48" s="24"/>
      <c r="F48" s="24" t="str">
        <v>K107</v>
      </c>
      <c r="G48" s="24" t="str">
        <v>2 out of 10</v>
      </c>
      <c r="H48" s="24" t="str">
        <v>https://nycdoe.sharepoint.com/:w:/s/BAP/EXAEBhtfdDpBt-g1NUe6sswB93zhO83opQoI71dy2h8JUQ</v>
      </c>
      <c r="I48" s="23" t="str">
        <v>Was New</v>
      </c>
      <c r="J48" s="24" t="str">
        <v>2 out of 10</v>
      </c>
      <c r="K48" s="24">
        <v>137</v>
      </c>
      <c r="L48" s="24" t="str">
        <v>2 out of 10</v>
      </c>
      <c r="M48" s="23" t="b">
        <f t="shared" si="0"/>
        <v>1</v>
      </c>
      <c r="N48" s="23" t="str">
        <v>2 out of 10</v>
      </c>
      <c r="O48" s="23"/>
      <c r="P48" s="42" t="str">
        <v>2</v>
      </c>
      <c r="Q48" s="42" t="str">
        <v>2</v>
      </c>
      <c r="R48" s="42" t="str">
        <v>2</v>
      </c>
      <c r="S48" s="10" t="str">
        <f t="shared" si="1"/>
        <v>No Change</v>
      </c>
    </row>
    <row r="49" spans="1:19" ht="120" hidden="1">
      <c r="A49" s="8" t="s">
        <v>1817</v>
      </c>
      <c r="B49" s="9" t="s">
        <v>13555</v>
      </c>
      <c r="C49" s="37" t="s">
        <v>6349</v>
      </c>
      <c r="D49" s="24"/>
      <c r="E49" s="24"/>
      <c r="F49" s="24" t="str">
        <v>K110</v>
      </c>
      <c r="G49" s="24" t="str">
        <v>9 out of 10</v>
      </c>
      <c r="H49" s="24" t="str">
        <v>https://nycdoe.sharepoint.com/:w:/s/BAP/Eb1yYgEfWbxEnmrSsm1mjHIBD9nNXB_NaRoZwScGrJ5cbQ</v>
      </c>
      <c r="I49" s="23">
        <v>42</v>
      </c>
      <c r="J49" s="24" t="str">
        <v>-</v>
      </c>
      <c r="K49" s="24">
        <v>139</v>
      </c>
      <c r="L49" s="24" t="str">
        <v>9 out of 10</v>
      </c>
      <c r="M49" s="23" t="b">
        <f t="shared" si="0"/>
        <v>1</v>
      </c>
      <c r="N49" s="23" t="str">
        <v>9 out of 10</v>
      </c>
      <c r="O49" s="23"/>
      <c r="P49" s="42" t="str">
        <v>9</v>
      </c>
      <c r="Q49" s="42" t="str">
        <v>9</v>
      </c>
      <c r="R49" s="42" t="str">
        <v>9</v>
      </c>
      <c r="S49" s="10" t="str">
        <f t="shared" si="1"/>
        <v>No Change</v>
      </c>
    </row>
    <row r="50" spans="1:19" ht="120" hidden="1">
      <c r="A50" s="8" t="s">
        <v>1270</v>
      </c>
      <c r="B50" s="9" t="s">
        <v>13560</v>
      </c>
      <c r="C50" s="37" t="s">
        <v>5710</v>
      </c>
      <c r="D50" s="24"/>
      <c r="E50" s="24"/>
      <c r="F50" s="24" t="str">
        <v>K113</v>
      </c>
      <c r="G50" s="24" t="str">
        <v>8 out of 10</v>
      </c>
      <c r="H50" s="24" t="str">
        <v>https://nycdoe.sharepoint.com/:w:/s/BAP/ESHJmIPi5SdCgxqrtDAVZrEB29f2FbAHClBEd1CaOokosw</v>
      </c>
      <c r="I50" s="23">
        <v>43</v>
      </c>
      <c r="J50" s="24" t="str">
        <v>-</v>
      </c>
      <c r="K50" s="24">
        <v>144</v>
      </c>
      <c r="L50" s="24" t="str">
        <v>8 out of 10</v>
      </c>
      <c r="M50" s="23" t="b">
        <f t="shared" si="0"/>
        <v>1</v>
      </c>
      <c r="N50" s="23" t="str">
        <v>8 out of 10</v>
      </c>
      <c r="O50" s="23"/>
      <c r="P50" s="42" t="str">
        <v>8</v>
      </c>
      <c r="Q50" s="42" t="str">
        <v>8</v>
      </c>
      <c r="R50" s="42" t="str">
        <v>8</v>
      </c>
      <c r="S50" s="10" t="str">
        <f t="shared" si="1"/>
        <v>No Change</v>
      </c>
    </row>
    <row r="51" spans="1:19" ht="120" hidden="1">
      <c r="A51" s="8" t="s">
        <v>1200</v>
      </c>
      <c r="B51" s="9" t="s">
        <v>13555</v>
      </c>
      <c r="C51" s="37" t="s">
        <v>5615</v>
      </c>
      <c r="D51" s="24"/>
      <c r="E51" s="24"/>
      <c r="F51" s="24" t="str">
        <v>K114</v>
      </c>
      <c r="G51" s="24" t="str">
        <v>9 out of 10</v>
      </c>
      <c r="H51" s="24" t="str">
        <v>https://nycdoe.sharepoint.com/:w:/s/BAP/ETbt3QLY8lhMsT2wR_92WrUBEb8nFT6JU8caqz4W8nJ2vw</v>
      </c>
      <c r="I51" s="23">
        <v>44</v>
      </c>
      <c r="J51" s="24" t="str">
        <v>-</v>
      </c>
      <c r="K51" s="24">
        <v>147</v>
      </c>
      <c r="L51" s="24" t="str">
        <v>9 out of 10</v>
      </c>
      <c r="M51" s="23" t="b">
        <f t="shared" si="0"/>
        <v>1</v>
      </c>
      <c r="N51" s="23" t="str">
        <v>9 out of 10</v>
      </c>
      <c r="O51" s="23"/>
      <c r="P51" s="42" t="str">
        <v>9</v>
      </c>
      <c r="Q51" s="42" t="str">
        <v>9</v>
      </c>
      <c r="R51" s="42" t="str">
        <v>9</v>
      </c>
      <c r="S51" s="10" t="str">
        <f t="shared" si="1"/>
        <v>No Change</v>
      </c>
    </row>
    <row r="52" spans="1:19" ht="120" hidden="1">
      <c r="A52" s="8" t="s">
        <v>9932</v>
      </c>
      <c r="B52" s="11" t="s">
        <v>13561</v>
      </c>
      <c r="C52" s="37" t="s">
        <v>13572</v>
      </c>
      <c r="D52" s="24"/>
      <c r="E52" s="24"/>
      <c r="F52" s="24" t="str">
        <v>K115</v>
      </c>
      <c r="G52" s="24" t="str">
        <v>9 out of 10</v>
      </c>
      <c r="H52" s="24" t="str">
        <v>https://nycdoe.sharepoint.com/:w:/s/BAP/EcrmvlFTTGpCubob1icX31IBnBDO0CbJgc7Yb7m6arsz1A</v>
      </c>
      <c r="I52" s="23">
        <v>45</v>
      </c>
      <c r="J52" s="24" t="str">
        <v>-</v>
      </c>
      <c r="K52" s="24">
        <v>149</v>
      </c>
      <c r="L52" s="24" t="str">
        <v>9 out of 10</v>
      </c>
      <c r="M52" s="23" t="b">
        <f t="shared" si="0"/>
        <v>1</v>
      </c>
      <c r="N52" s="23" t="str">
        <v>9 out of 10</v>
      </c>
      <c r="O52" s="23"/>
      <c r="P52" s="42" t="str">
        <v>9</v>
      </c>
      <c r="Q52" s="42" t="str">
        <v>9</v>
      </c>
      <c r="R52" s="42" t="str">
        <v>9</v>
      </c>
      <c r="S52" s="10" t="str">
        <f t="shared" si="1"/>
        <v>No Change</v>
      </c>
    </row>
    <row r="53" spans="1:19" ht="120" hidden="1">
      <c r="A53" s="8" t="s">
        <v>1469</v>
      </c>
      <c r="B53" s="9" t="s">
        <v>13558</v>
      </c>
      <c r="C53" s="37" t="s">
        <v>5931</v>
      </c>
      <c r="D53" s="24"/>
      <c r="E53" s="24"/>
      <c r="F53" s="24" t="str">
        <v>K120</v>
      </c>
      <c r="G53" s="24" t="str">
        <v>4 out of 10</v>
      </c>
      <c r="H53" s="24" t="str">
        <v>https://nycdoe.sharepoint.com/:w:/s/BAP/EXUi4aj8_7ZNtHYTWcDmYtEB_WASI79GOaT6SofWJdgkCg</v>
      </c>
      <c r="I53" s="23">
        <v>46</v>
      </c>
      <c r="J53" s="24" t="str">
        <v>-</v>
      </c>
      <c r="K53" s="24">
        <v>155</v>
      </c>
      <c r="L53" s="24" t="str">
        <v>4 out of 10</v>
      </c>
      <c r="M53" s="23" t="b">
        <f t="shared" si="0"/>
        <v>1</v>
      </c>
      <c r="N53" s="23" t="str">
        <v>4 out of 10</v>
      </c>
      <c r="O53" s="23"/>
      <c r="P53" s="42" t="str">
        <v>4</v>
      </c>
      <c r="Q53" s="42" t="str">
        <v>4</v>
      </c>
      <c r="R53" s="42" t="str">
        <v>4</v>
      </c>
      <c r="S53" s="10" t="str">
        <f t="shared" si="1"/>
        <v>No Change</v>
      </c>
    </row>
    <row r="54" spans="1:19" ht="120" hidden="1">
      <c r="A54" s="8" t="s">
        <v>2175</v>
      </c>
      <c r="B54" s="9" t="s">
        <v>13555</v>
      </c>
      <c r="C54" s="37" t="s">
        <v>6833</v>
      </c>
      <c r="D54" s="24"/>
      <c r="E54" s="24"/>
      <c r="F54" s="24" t="str">
        <v>K126</v>
      </c>
      <c r="G54" s="24" t="str">
        <v>9 out of 10</v>
      </c>
      <c r="H54" s="24" t="str">
        <v>https://nycdoe.sharepoint.com/:w:/s/BAP/ETw-TkGQnatJi03-pzbjeucBRMdThCL9O3diWAR2iklQuQ</v>
      </c>
      <c r="I54" s="23">
        <v>47</v>
      </c>
      <c r="J54" s="24" t="str">
        <v>9 out of 10</v>
      </c>
      <c r="K54" s="24">
        <v>160</v>
      </c>
      <c r="L54" s="24" t="str">
        <v>9 out of 10</v>
      </c>
      <c r="M54" s="23" t="b">
        <f t="shared" si="0"/>
        <v>1</v>
      </c>
      <c r="N54" s="23" t="str">
        <v>9 out of 10</v>
      </c>
      <c r="O54" s="23"/>
      <c r="P54" s="42" t="str">
        <v>9</v>
      </c>
      <c r="Q54" s="42" t="str">
        <v>9</v>
      </c>
      <c r="R54" s="42" t="str">
        <v>9</v>
      </c>
      <c r="S54" s="10" t="str">
        <f t="shared" si="1"/>
        <v>No Change</v>
      </c>
    </row>
    <row r="55" spans="1:19" ht="120" hidden="1">
      <c r="A55" s="8" t="s">
        <v>9955</v>
      </c>
      <c r="B55" s="9" t="s">
        <v>13550</v>
      </c>
      <c r="C55" s="37" t="s">
        <v>13573</v>
      </c>
      <c r="D55" s="24"/>
      <c r="E55" s="24"/>
      <c r="F55" s="24" t="str">
        <v>K127</v>
      </c>
      <c r="G55" s="24" t="str">
        <v>9 out of 10</v>
      </c>
      <c r="H55" s="24" t="str">
        <v>https://nycdoe.sharepoint.com/:w:/s/BAP/EStc0MTE99NDtb51guyr0E8BQcbqls2CNhybH-orMqlBMA</v>
      </c>
      <c r="I55" s="23">
        <v>48</v>
      </c>
      <c r="J55" s="24" t="str">
        <v>-</v>
      </c>
      <c r="K55" s="24">
        <v>162</v>
      </c>
      <c r="L55" s="24" t="str">
        <v>9 out of 10</v>
      </c>
      <c r="M55" s="23" t="b">
        <f t="shared" si="0"/>
        <v>1</v>
      </c>
      <c r="N55" s="23" t="str">
        <v>9 out of 10</v>
      </c>
      <c r="O55" s="23"/>
      <c r="P55" s="42" t="str">
        <v>9</v>
      </c>
      <c r="Q55" s="42" t="str">
        <v>9</v>
      </c>
      <c r="R55" s="42" t="str">
        <v>9</v>
      </c>
      <c r="S55" s="10" t="str">
        <f t="shared" si="1"/>
        <v>No Change</v>
      </c>
    </row>
    <row r="56" spans="1:19" ht="120" hidden="1">
      <c r="A56" s="8" t="s">
        <v>2031</v>
      </c>
      <c r="B56" s="9" t="s">
        <v>13557</v>
      </c>
      <c r="C56" s="37" t="s">
        <v>6635</v>
      </c>
      <c r="D56" s="24"/>
      <c r="E56" s="24"/>
      <c r="F56" s="24" t="str">
        <v>K130</v>
      </c>
      <c r="G56" s="24" t="str">
        <v>4 out of 10</v>
      </c>
      <c r="H56" s="24" t="str">
        <v>https://nycdoe.sharepoint.com/:w:/s/BAP/EdHqSfnemqBBrlq6vb6gjEwBoV0axIkkVujISARBYydu1g</v>
      </c>
      <c r="I56" s="23">
        <v>49</v>
      </c>
      <c r="J56" s="24" t="str">
        <v>-</v>
      </c>
      <c r="K56" s="24">
        <v>164</v>
      </c>
      <c r="L56" s="24" t="str">
        <v>4 out of 10</v>
      </c>
      <c r="M56" s="23" t="b">
        <f t="shared" si="0"/>
        <v>1</v>
      </c>
      <c r="N56" s="23" t="str">
        <v>4 out of 10</v>
      </c>
      <c r="O56" s="23"/>
      <c r="P56" s="42" t="str">
        <v>4</v>
      </c>
      <c r="Q56" s="42" t="str">
        <v>4</v>
      </c>
      <c r="R56" s="42" t="str">
        <v>4</v>
      </c>
      <c r="S56" s="10" t="str">
        <f t="shared" si="1"/>
        <v>No Change</v>
      </c>
    </row>
    <row r="57" spans="1:19" ht="120" hidden="1">
      <c r="A57" s="8" t="s">
        <v>1821</v>
      </c>
      <c r="B57" s="9" t="s">
        <v>13557</v>
      </c>
      <c r="C57" s="37" t="s">
        <v>6353</v>
      </c>
      <c r="D57" s="24"/>
      <c r="E57" s="24"/>
      <c r="F57" s="24" t="str">
        <v>K132</v>
      </c>
      <c r="G57" s="24" t="str">
        <v>9 out of 10</v>
      </c>
      <c r="H57" s="24" t="str">
        <v>https://nycdoe.sharepoint.com/:w:/s/BAP/EecYr2dDzelKsR6dFBb0lqoB7vqCqTn5VjTxTuGqGPhEUA</v>
      </c>
      <c r="I57" s="23">
        <v>50</v>
      </c>
      <c r="J57" s="24" t="str">
        <v>-</v>
      </c>
      <c r="K57" s="24">
        <v>166</v>
      </c>
      <c r="L57" s="24" t="str">
        <v>9 out of 10</v>
      </c>
      <c r="M57" s="23" t="b">
        <f t="shared" si="0"/>
        <v>1</v>
      </c>
      <c r="N57" s="23" t="str">
        <v>9 out of 10</v>
      </c>
      <c r="O57" s="23"/>
      <c r="P57" s="42" t="str">
        <v>9</v>
      </c>
      <c r="Q57" s="42" t="str">
        <v>9</v>
      </c>
      <c r="R57" s="42" t="str">
        <v>9</v>
      </c>
      <c r="S57" s="10" t="str">
        <f t="shared" si="1"/>
        <v>No Change</v>
      </c>
    </row>
    <row r="58" spans="1:19" ht="105" hidden="1">
      <c r="A58" s="8" t="s">
        <v>2179</v>
      </c>
      <c r="B58" s="9" t="s">
        <v>13557</v>
      </c>
      <c r="C58" s="37" t="s">
        <v>6842</v>
      </c>
      <c r="D58" s="24"/>
      <c r="E58" s="24"/>
      <c r="F58" s="24" t="str">
        <v>K136</v>
      </c>
      <c r="G58" s="24" t="str">
        <v>0 out of 10</v>
      </c>
      <c r="H58" s="24" t="str">
        <v>https://nycdoe.sharepoint.com/:w:/s/BAP/EUcfwjXCEs5ChYMFrm4lf-wBdphm4aDNsl3buGyzoZ6XMQ</v>
      </c>
      <c r="I58" s="23">
        <v>51</v>
      </c>
      <c r="J58" s="24" t="str">
        <v>-</v>
      </c>
      <c r="K58" s="24">
        <v>168</v>
      </c>
      <c r="L58" s="24" t="str">
        <v>N/A out of 10</v>
      </c>
      <c r="M58" s="23" t="b">
        <f t="shared" si="0"/>
        <v>0</v>
      </c>
      <c r="N58" s="23" t="str">
        <v>0 out of 10</v>
      </c>
      <c r="O58" s="23"/>
      <c r="P58" s="42" t="str">
        <v>0</v>
      </c>
      <c r="Q58" s="42" t="str">
        <v>N/A</v>
      </c>
      <c r="R58" s="42" t="str">
        <v>0</v>
      </c>
      <c r="S58" s="10" t="str">
        <f t="shared" si="1"/>
        <v>No Change</v>
      </c>
    </row>
    <row r="59" spans="1:19" ht="120" hidden="1">
      <c r="A59" s="8" t="s">
        <v>10007</v>
      </c>
      <c r="B59" s="11" t="s">
        <v>13550</v>
      </c>
      <c r="C59" s="37" t="s">
        <v>13574</v>
      </c>
      <c r="D59" s="24"/>
      <c r="E59" s="24"/>
      <c r="F59" s="24" t="str">
        <v>K138</v>
      </c>
      <c r="G59" s="24" t="str">
        <v>1 out of 10</v>
      </c>
      <c r="H59" s="24" t="str">
        <v>https://nycdoe.sharepoint.com/:w:/s/BAP/EZ_lIh64_O9NvHTTdKRsytYBabcXob6kKzkOXeCqPzb7jQ</v>
      </c>
      <c r="I59" s="23">
        <v>52</v>
      </c>
      <c r="J59" s="24" t="str">
        <v>-</v>
      </c>
      <c r="K59" s="24">
        <v>171</v>
      </c>
      <c r="L59" s="24" t="str">
        <v>1 out of 10</v>
      </c>
      <c r="M59" s="23" t="b">
        <f t="shared" si="0"/>
        <v>1</v>
      </c>
      <c r="N59" s="23" t="str">
        <v>1 out of 10</v>
      </c>
      <c r="O59" s="23"/>
      <c r="P59" s="42" t="str">
        <v>1</v>
      </c>
      <c r="Q59" s="42" t="str">
        <v>1</v>
      </c>
      <c r="R59" s="42" t="str">
        <v>1</v>
      </c>
      <c r="S59" s="10" t="str">
        <f t="shared" si="1"/>
        <v>No Change</v>
      </c>
    </row>
    <row r="60" spans="1:19" ht="120" hidden="1">
      <c r="A60" s="8" t="s">
        <v>1703</v>
      </c>
      <c r="B60" s="9" t="s">
        <v>13555</v>
      </c>
      <c r="C60" s="37" t="s">
        <v>6221</v>
      </c>
      <c r="D60" s="24"/>
      <c r="E60" s="24"/>
      <c r="F60" s="24" t="str">
        <v>K145</v>
      </c>
      <c r="G60" s="24" t="str">
        <v>9 out of 10</v>
      </c>
      <c r="H60" s="24" t="str">
        <v>https://nycdoe.sharepoint.com/:w:/s/BAP/ESxSJp0hx49MihZKzOFkxQ4BzZgA8QtE7zloXX9JgPgIuw</v>
      </c>
      <c r="I60" s="23">
        <v>53</v>
      </c>
      <c r="J60" s="24" t="str">
        <v>-</v>
      </c>
      <c r="K60" s="24">
        <v>176</v>
      </c>
      <c r="L60" s="24" t="str">
        <v>9 out of 10</v>
      </c>
      <c r="M60" s="23" t="b">
        <f t="shared" si="0"/>
        <v>1</v>
      </c>
      <c r="N60" s="23" t="str">
        <v>9 out of 10</v>
      </c>
      <c r="O60" s="23"/>
      <c r="P60" s="42" t="str">
        <v>9</v>
      </c>
      <c r="Q60" s="42" t="str">
        <v>9</v>
      </c>
      <c r="R60" s="42" t="str">
        <v>9</v>
      </c>
      <c r="S60" s="10" t="str">
        <f t="shared" si="1"/>
        <v>No Change</v>
      </c>
    </row>
    <row r="61" spans="1:19" ht="120" hidden="1">
      <c r="A61" s="8" t="s">
        <v>1825</v>
      </c>
      <c r="B61" s="9" t="s">
        <v>13555</v>
      </c>
      <c r="C61" s="37" t="s">
        <v>6357</v>
      </c>
      <c r="D61" s="24"/>
      <c r="E61" s="24"/>
      <c r="F61" s="24" t="str">
        <v>K148</v>
      </c>
      <c r="G61" s="24" t="str">
        <v>0+ out of 10</v>
      </c>
      <c r="H61" s="24" t="str">
        <v>https://nycdoe.sharepoint.com/:w:/s/BAP/EURnm_P2jl1KiuT9NyloJmgBMwJW12y1zKJyH92NREcXeQ</v>
      </c>
      <c r="I61" s="23">
        <v>54</v>
      </c>
      <c r="J61" s="24" t="str">
        <v>-</v>
      </c>
      <c r="K61" s="24">
        <v>179</v>
      </c>
      <c r="L61" s="24" t="str">
        <v>N/A out of 10</v>
      </c>
      <c r="M61" s="23" t="b">
        <f t="shared" si="0"/>
        <v>0</v>
      </c>
      <c r="N61" s="23" t="str">
        <v>0+ out of 10</v>
      </c>
      <c r="O61" s="23"/>
      <c r="P61" s="42" t="str">
        <v>0+</v>
      </c>
      <c r="Q61" s="42" t="str">
        <v>N/A</v>
      </c>
      <c r="R61" s="42" t="str">
        <v>0+</v>
      </c>
      <c r="S61" s="10" t="str">
        <f t="shared" si="1"/>
        <v>No Change</v>
      </c>
    </row>
    <row r="62" spans="1:19" ht="120" hidden="1">
      <c r="A62" s="8" t="s">
        <v>10037</v>
      </c>
      <c r="B62" s="11" t="s">
        <v>13561</v>
      </c>
      <c r="C62" s="37" t="s">
        <v>13575</v>
      </c>
      <c r="D62" s="24"/>
      <c r="E62" s="24"/>
      <c r="F62" s="24" t="str">
        <v>K152</v>
      </c>
      <c r="G62" s="24" t="str">
        <v>8 out of 10</v>
      </c>
      <c r="H62" s="24" t="str">
        <v>https://nycdoe.sharepoint.com/:w:/s/BAP/ESPi12tsJntAnK0-LTl2-zgBeM4AovN8sP_N-lHR69DWwA</v>
      </c>
      <c r="I62" s="23">
        <v>55</v>
      </c>
      <c r="J62" s="24" t="str">
        <v>-</v>
      </c>
      <c r="K62" s="24">
        <v>184</v>
      </c>
      <c r="L62" s="24" t="str">
        <v>8 out of 10</v>
      </c>
      <c r="M62" s="23" t="b">
        <f t="shared" si="0"/>
        <v>1</v>
      </c>
      <c r="N62" s="23" t="str">
        <v>8 out of 10</v>
      </c>
      <c r="O62" s="23"/>
      <c r="P62" s="42" t="str">
        <v>8</v>
      </c>
      <c r="Q62" s="42" t="str">
        <v>8</v>
      </c>
      <c r="R62" s="42" t="str">
        <v>8</v>
      </c>
      <c r="S62" s="10" t="str">
        <f t="shared" si="1"/>
        <v>No Change</v>
      </c>
    </row>
    <row r="63" spans="1:19" ht="120" hidden="1">
      <c r="A63" s="8" t="s">
        <v>2121</v>
      </c>
      <c r="B63" s="9" t="s">
        <v>13565</v>
      </c>
      <c r="C63" s="37" t="s">
        <v>6767</v>
      </c>
      <c r="D63" s="24"/>
      <c r="E63" s="24"/>
      <c r="F63" s="24" t="str">
        <v>K160</v>
      </c>
      <c r="G63" s="24" t="str">
        <v>8 out of 10</v>
      </c>
      <c r="H63" s="24" t="str">
        <v>https://nycdoe.sharepoint.com/:w:/s/BAP/EWxPXy_5ItdOhNMLn8yZBzsBOGzfxRxFiSNkXE01pQus4w</v>
      </c>
      <c r="I63" s="23">
        <v>56</v>
      </c>
      <c r="J63" s="24" t="str">
        <v>-</v>
      </c>
      <c r="K63" s="24">
        <v>192</v>
      </c>
      <c r="L63" s="24" t="str">
        <v>8 out of 10</v>
      </c>
      <c r="M63" s="23" t="b">
        <f t="shared" si="0"/>
        <v>1</v>
      </c>
      <c r="N63" s="23" t="str">
        <v>8 out of 10</v>
      </c>
      <c r="O63" s="23"/>
      <c r="P63" s="42" t="str">
        <v>8</v>
      </c>
      <c r="Q63" s="42" t="str">
        <v>8</v>
      </c>
      <c r="R63" s="42" t="str">
        <v>8</v>
      </c>
      <c r="S63" s="10" t="str">
        <f t="shared" si="1"/>
        <v>No Change</v>
      </c>
    </row>
    <row r="64" spans="1:19" ht="120" hidden="1">
      <c r="A64" s="8" t="s">
        <v>1829</v>
      </c>
      <c r="B64" s="9" t="s">
        <v>13571</v>
      </c>
      <c r="C64" s="37" t="s">
        <v>6361</v>
      </c>
      <c r="D64" s="24"/>
      <c r="E64" s="24"/>
      <c r="F64" s="24" t="str">
        <v>K162</v>
      </c>
      <c r="G64" s="24" t="str">
        <v>8 out of 10</v>
      </c>
      <c r="H64" s="24" t="str">
        <v>https://nycdoe.sharepoint.com/:w:/s/BAP/EeeBI9ifvuJOuHAJaxyIihABb0Eg3Xq3H2U-slC6J3yspg</v>
      </c>
      <c r="I64" s="23">
        <v>57</v>
      </c>
      <c r="J64" s="24" t="str">
        <v>-</v>
      </c>
      <c r="K64" s="24">
        <v>195</v>
      </c>
      <c r="L64" s="24" t="str">
        <v>8 out of 10</v>
      </c>
      <c r="M64" s="23" t="b">
        <f t="shared" si="0"/>
        <v>1</v>
      </c>
      <c r="N64" s="23" t="str">
        <v>8 out of 10</v>
      </c>
      <c r="O64" s="23"/>
      <c r="P64" s="42" t="str">
        <v>8</v>
      </c>
      <c r="Q64" s="42" t="str">
        <v>8</v>
      </c>
      <c r="R64" s="42" t="str">
        <v>8</v>
      </c>
      <c r="S64" s="10" t="str">
        <f t="shared" si="1"/>
        <v>No Change</v>
      </c>
    </row>
    <row r="65" spans="1:19" ht="120" hidden="1">
      <c r="A65" s="8" t="s">
        <v>1476</v>
      </c>
      <c r="B65" s="9" t="s">
        <v>13555</v>
      </c>
      <c r="C65" s="37" t="s">
        <v>5945</v>
      </c>
      <c r="D65" s="24"/>
      <c r="E65" s="24"/>
      <c r="F65" s="24" t="str">
        <v>K164</v>
      </c>
      <c r="G65" s="24" t="str">
        <v>0+ out of 10</v>
      </c>
      <c r="H65" s="24" t="str">
        <v>https://nycdoe.sharepoint.com/:w:/s/BAP/ES3pY0myuFRKlQCBxyyt9F0BHFveYfG_SklqkuUA4OeLXg</v>
      </c>
      <c r="I65" s="23">
        <v>58</v>
      </c>
      <c r="J65" s="24" t="str">
        <v>-</v>
      </c>
      <c r="K65" s="24">
        <v>197</v>
      </c>
      <c r="L65" s="24" t="str">
        <v>N/A out of 10</v>
      </c>
      <c r="M65" s="23" t="b">
        <f t="shared" si="0"/>
        <v>0</v>
      </c>
      <c r="N65" s="23" t="str">
        <v>0+ out of 10</v>
      </c>
      <c r="O65" s="23"/>
      <c r="P65" s="42" t="str">
        <v>0+</v>
      </c>
      <c r="Q65" s="42" t="str">
        <v>N/A</v>
      </c>
      <c r="R65" s="42" t="str">
        <v>0+</v>
      </c>
      <c r="S65" s="10" t="str">
        <f t="shared" si="1"/>
        <v>No Change</v>
      </c>
    </row>
    <row r="66" spans="1:19" ht="120" hidden="1">
      <c r="A66" s="8" t="s">
        <v>1940</v>
      </c>
      <c r="B66" s="9" t="s">
        <v>13563</v>
      </c>
      <c r="C66" s="37" t="s">
        <v>6512</v>
      </c>
      <c r="D66" s="24"/>
      <c r="E66" s="24"/>
      <c r="F66" s="24" t="str">
        <v>K166</v>
      </c>
      <c r="G66" s="24" t="str">
        <v>9 out of 10</v>
      </c>
      <c r="H66" s="24" t="str">
        <v>https://nycdoe.sharepoint.com/:w:/s/BAP/EZpRkPYwK0ZJqcs2jjAGDB8B2ogn0pIbD3MUHnCQV9XHzA</v>
      </c>
      <c r="I66" s="23">
        <v>59</v>
      </c>
      <c r="J66" s="24" t="str">
        <v>-</v>
      </c>
      <c r="K66" s="24">
        <v>200</v>
      </c>
      <c r="L66" s="24" t="str">
        <v>9 out of 10</v>
      </c>
      <c r="M66" s="23" t="b">
        <f t="shared" si="0"/>
        <v>1</v>
      </c>
      <c r="N66" s="23" t="str">
        <v>9 out of 10</v>
      </c>
      <c r="O66" s="23"/>
      <c r="P66" s="42" t="str">
        <v>9</v>
      </c>
      <c r="Q66" s="42" t="str">
        <v>9</v>
      </c>
      <c r="R66" s="42" t="str">
        <v>9</v>
      </c>
      <c r="S66" s="10" t="str">
        <f t="shared" si="1"/>
        <v>No Change</v>
      </c>
    </row>
    <row r="67" spans="1:19" ht="120" hidden="1">
      <c r="A67" s="8" t="s">
        <v>1714</v>
      </c>
      <c r="B67" s="9" t="s">
        <v>13555</v>
      </c>
      <c r="C67" s="37" t="s">
        <v>6229</v>
      </c>
      <c r="D67" s="24"/>
      <c r="E67" s="24"/>
      <c r="F67" s="24" t="str">
        <v>K170</v>
      </c>
      <c r="G67" s="24" t="str">
        <v>9 out of 10</v>
      </c>
      <c r="H67" s="24" t="str">
        <v>https://nycdoe.sharepoint.com/:w:/s/BAP/EUtqMhcL82BKhN7FzVkp0JsBa9iCv8T38jQvhn0PYLlsyw</v>
      </c>
      <c r="I67" s="23">
        <v>60</v>
      </c>
      <c r="J67" s="24" t="str">
        <v>-</v>
      </c>
      <c r="K67" s="24">
        <v>206</v>
      </c>
      <c r="L67" s="24" t="str">
        <v>9 out of 10</v>
      </c>
      <c r="M67" s="23" t="b">
        <f t="shared" ref="M67:M130" si="2">G67=L67</f>
        <v>1</v>
      </c>
      <c r="N67" s="23" t="str">
        <v>9 out of 10</v>
      </c>
      <c r="O67" s="23"/>
      <c r="P67" s="42" t="str">
        <v>9</v>
      </c>
      <c r="Q67" s="42" t="str">
        <v>9</v>
      </c>
      <c r="R67" s="42" t="str">
        <v>9</v>
      </c>
      <c r="S67" s="10" t="str">
        <f t="shared" ref="S67:S130" si="3">IFERROR(IF(OR(R67="0+",R67=0,AND(Q67="N/A")),"No Change",IF(R67&lt;&gt;Q67,"Change",IF(R67=Q67,"No Change",))),"Check BAP")</f>
        <v>No Change</v>
      </c>
    </row>
    <row r="68" spans="1:19" ht="120" hidden="1">
      <c r="A68" s="8" t="s">
        <v>2038</v>
      </c>
      <c r="B68" s="9" t="s">
        <v>13563</v>
      </c>
      <c r="C68" s="37" t="s">
        <v>6641</v>
      </c>
      <c r="D68" s="24"/>
      <c r="E68" s="24"/>
      <c r="F68" s="24" t="str">
        <v>K172</v>
      </c>
      <c r="G68" s="24" t="str">
        <v>0 out of 10</v>
      </c>
      <c r="H68" s="24" t="str">
        <v>https://nycdoe.sharepoint.com/:w:/s/BAP/EdJTySExgC5Cl_3kVcCj_MABcd5OnZaBXBdQmaj-lTQRAg</v>
      </c>
      <c r="I68" s="23">
        <v>61</v>
      </c>
      <c r="J68" s="24" t="str">
        <v>-</v>
      </c>
      <c r="K68" s="24">
        <v>209</v>
      </c>
      <c r="L68" s="24" t="str">
        <v>N/A out of 10</v>
      </c>
      <c r="M68" s="23" t="b">
        <f t="shared" si="2"/>
        <v>0</v>
      </c>
      <c r="N68" s="23" t="str">
        <v>0 out of 10</v>
      </c>
      <c r="O68" s="23"/>
      <c r="P68" s="42" t="str">
        <v>0</v>
      </c>
      <c r="Q68" s="42" t="str">
        <v>N/A</v>
      </c>
      <c r="R68" s="42" t="str">
        <v>0</v>
      </c>
      <c r="S68" s="10" t="str">
        <f t="shared" si="3"/>
        <v>No Change</v>
      </c>
    </row>
    <row r="69" spans="1:19" ht="120" hidden="1">
      <c r="A69" s="8" t="s">
        <v>2042</v>
      </c>
      <c r="B69" s="9" t="s">
        <v>13558</v>
      </c>
      <c r="C69" s="37" t="s">
        <v>6650</v>
      </c>
      <c r="D69" s="24"/>
      <c r="E69" s="24"/>
      <c r="F69" s="24" t="str">
        <v>K175</v>
      </c>
      <c r="G69" s="24" t="str">
        <v>5 out of 10</v>
      </c>
      <c r="H69" s="24" t="str">
        <v>https://nycdoe.sharepoint.com/:w:/s/BAP/EXcUE-LLiZ5DtvXEb75LOQ4BvHcrEdhQAPAHIdmmAVUdcA</v>
      </c>
      <c r="I69" s="23">
        <v>62</v>
      </c>
      <c r="J69" s="24" t="str">
        <v>-</v>
      </c>
      <c r="K69" s="24">
        <v>212</v>
      </c>
      <c r="L69" s="24" t="str">
        <v>5 out of 10</v>
      </c>
      <c r="M69" s="23" t="b">
        <f t="shared" si="2"/>
        <v>1</v>
      </c>
      <c r="N69" s="23" t="str">
        <v>5 out of 10</v>
      </c>
      <c r="O69" s="23"/>
      <c r="P69" s="42" t="str">
        <v>5</v>
      </c>
      <c r="Q69" s="42" t="str">
        <v>5</v>
      </c>
      <c r="R69" s="42" t="str">
        <v>5</v>
      </c>
      <c r="S69" s="10" t="str">
        <f t="shared" si="3"/>
        <v>No Change</v>
      </c>
    </row>
    <row r="70" spans="1:19" ht="120" hidden="1">
      <c r="A70" s="8" t="s">
        <v>1833</v>
      </c>
      <c r="B70" s="9" t="s">
        <v>13557</v>
      </c>
      <c r="C70" s="37" t="s">
        <v>6375</v>
      </c>
      <c r="D70" s="24"/>
      <c r="E70" s="24"/>
      <c r="F70" s="24" t="str">
        <v>K176</v>
      </c>
      <c r="G70" s="24" t="str">
        <v>7 out of 10</v>
      </c>
      <c r="H70" s="24" t="str">
        <v>https://nycdoe.sharepoint.com/:w:/s/BAP/EdJ74Go2MwlNhuGhrEjUVaMBNjKat77vEvP6MWw4PmZMnQ</v>
      </c>
      <c r="I70" s="23">
        <v>63</v>
      </c>
      <c r="J70" s="24" t="str">
        <v>-</v>
      </c>
      <c r="K70" s="24">
        <v>214</v>
      </c>
      <c r="L70" s="24" t="str">
        <v>7 out of 10</v>
      </c>
      <c r="M70" s="23" t="b">
        <f t="shared" si="2"/>
        <v>1</v>
      </c>
      <c r="N70" s="23" t="str">
        <v>7 out of 10</v>
      </c>
      <c r="O70" s="23"/>
      <c r="P70" s="42" t="str">
        <v>7</v>
      </c>
      <c r="Q70" s="42" t="str">
        <v>7</v>
      </c>
      <c r="R70" s="42" t="str">
        <v>7</v>
      </c>
      <c r="S70" s="10" t="str">
        <f t="shared" si="3"/>
        <v>No Change</v>
      </c>
    </row>
    <row r="71" spans="1:19" ht="120" hidden="1">
      <c r="A71" s="8" t="s">
        <v>1837</v>
      </c>
      <c r="B71" s="9" t="s">
        <v>13564</v>
      </c>
      <c r="C71" s="37" t="s">
        <v>6379</v>
      </c>
      <c r="D71" s="24"/>
      <c r="E71" s="24"/>
      <c r="F71" s="24" t="str">
        <v>K181</v>
      </c>
      <c r="G71" s="24" t="str">
        <v>9 out of 10</v>
      </c>
      <c r="H71" s="24" t="str">
        <v>https://nycdoe.sharepoint.com/:w:/s/BAP/EdyjK9oaLxZAqwdvZFZBCq0BNPEnSjmsO73z6t4ehuZrxw</v>
      </c>
      <c r="I71" s="23">
        <v>64</v>
      </c>
      <c r="J71" s="24" t="str">
        <v>-</v>
      </c>
      <c r="K71" s="24">
        <v>221</v>
      </c>
      <c r="L71" s="24" t="str">
        <v>9 out of 10</v>
      </c>
      <c r="M71" s="23" t="b">
        <f t="shared" si="2"/>
        <v>1</v>
      </c>
      <c r="N71" s="23" t="str">
        <v>9 out of 10</v>
      </c>
      <c r="O71" s="23"/>
      <c r="P71" s="42" t="str">
        <v>9</v>
      </c>
      <c r="Q71" s="42" t="str">
        <v>9</v>
      </c>
      <c r="R71" s="42" t="str">
        <v>9</v>
      </c>
      <c r="S71" s="10" t="str">
        <f t="shared" si="3"/>
        <v>No Change</v>
      </c>
    </row>
    <row r="72" spans="1:19" ht="120" hidden="1">
      <c r="A72" s="8" t="s">
        <v>1841</v>
      </c>
      <c r="B72" s="9" t="s">
        <v>13555</v>
      </c>
      <c r="C72" s="37" t="s">
        <v>6383</v>
      </c>
      <c r="D72" s="24"/>
      <c r="E72" s="24"/>
      <c r="F72" s="24" t="str">
        <v>K188</v>
      </c>
      <c r="G72" s="24" t="str">
        <v>2 out of 10</v>
      </c>
      <c r="H72" s="24" t="str">
        <v>https://nycdoe.sharepoint.com/:w:/s/BAP/EYvVsWmPrSlCkkCadSSPNB0BZ0eJ625DzwnPN4NcRPs1Dg</v>
      </c>
      <c r="I72" s="23">
        <v>65</v>
      </c>
      <c r="J72" s="24" t="str">
        <v>-</v>
      </c>
      <c r="K72" s="24">
        <v>228</v>
      </c>
      <c r="L72" s="24" t="str">
        <v>2 out of 10</v>
      </c>
      <c r="M72" s="23" t="b">
        <f t="shared" si="2"/>
        <v>1</v>
      </c>
      <c r="N72" s="23" t="str">
        <v>2 out of 10</v>
      </c>
      <c r="O72" s="23"/>
      <c r="P72" s="42" t="str">
        <v>2</v>
      </c>
      <c r="Q72" s="42" t="str">
        <v>2</v>
      </c>
      <c r="R72" s="42" t="str">
        <v>2</v>
      </c>
      <c r="S72" s="10" t="str">
        <f t="shared" si="3"/>
        <v>No Change</v>
      </c>
    </row>
    <row r="73" spans="1:19" ht="120" hidden="1">
      <c r="A73" s="8" t="s">
        <v>1608</v>
      </c>
      <c r="B73" s="9" t="s">
        <v>13557</v>
      </c>
      <c r="C73" s="37" t="s">
        <v>6103</v>
      </c>
      <c r="D73" s="24"/>
      <c r="E73" s="24"/>
      <c r="F73" s="24" t="str">
        <v>K190</v>
      </c>
      <c r="G73" s="24" t="str">
        <v>9 out of 10</v>
      </c>
      <c r="H73" s="24" t="str">
        <v>https://nycdoe.sharepoint.com/:w:/s/BAP/ER97onv6_MxFobYAANsWfikB7zAm_8xe1zYJTREUZQK_vg</v>
      </c>
      <c r="I73" s="23">
        <v>66</v>
      </c>
      <c r="J73" s="24" t="str">
        <v>-</v>
      </c>
      <c r="K73" s="24">
        <v>230</v>
      </c>
      <c r="L73" s="24" t="str">
        <v>9 out of 10</v>
      </c>
      <c r="M73" s="23" t="b">
        <f t="shared" si="2"/>
        <v>1</v>
      </c>
      <c r="N73" s="23" t="str">
        <v>9 out of 10</v>
      </c>
      <c r="O73" s="23"/>
      <c r="P73" s="42" t="str">
        <v>9</v>
      </c>
      <c r="Q73" s="42" t="str">
        <v>9</v>
      </c>
      <c r="R73" s="42" t="str">
        <v>9</v>
      </c>
      <c r="S73" s="10" t="str">
        <f t="shared" si="3"/>
        <v>No Change</v>
      </c>
    </row>
    <row r="74" spans="1:19" ht="120" hidden="1">
      <c r="A74" s="8" t="s">
        <v>1944</v>
      </c>
      <c r="B74" s="9" t="s">
        <v>13557</v>
      </c>
      <c r="C74" s="37" t="s">
        <v>6531</v>
      </c>
      <c r="D74" s="24"/>
      <c r="E74" s="24"/>
      <c r="F74" s="24" t="str">
        <v>K195</v>
      </c>
      <c r="G74" s="24" t="str">
        <v>2 out of 10</v>
      </c>
      <c r="H74" s="24" t="str">
        <v>https://nycdoe.sharepoint.com/:w:/s/BAP/EZcQu4haQtxCtBJxDKlqK3sBpcdHKOLpp_YbFm8txCVJEQ</v>
      </c>
      <c r="I74" s="23">
        <v>67</v>
      </c>
      <c r="J74" s="24" t="str">
        <v>-</v>
      </c>
      <c r="K74" s="24">
        <v>238</v>
      </c>
      <c r="L74" s="24" t="str">
        <v>2 out of 10</v>
      </c>
      <c r="M74" s="23" t="b">
        <f t="shared" si="2"/>
        <v>1</v>
      </c>
      <c r="N74" s="23" t="str">
        <v>2 out of 10</v>
      </c>
      <c r="O74" s="23"/>
      <c r="P74" s="42" t="str">
        <v>2</v>
      </c>
      <c r="Q74" s="42" t="str">
        <v>2</v>
      </c>
      <c r="R74" s="42" t="str">
        <v>2</v>
      </c>
      <c r="S74" s="10" t="str">
        <f t="shared" si="3"/>
        <v>No Change</v>
      </c>
    </row>
    <row r="75" spans="1:19" ht="120" hidden="1">
      <c r="A75" s="8" t="s">
        <v>2046</v>
      </c>
      <c r="B75" s="9" t="s">
        <v>13555</v>
      </c>
      <c r="C75" s="37" t="s">
        <v>6669</v>
      </c>
      <c r="D75" s="24"/>
      <c r="E75" s="24"/>
      <c r="F75" s="24" t="str">
        <v>K198</v>
      </c>
      <c r="G75" s="24" t="str">
        <v>1 out of 10</v>
      </c>
      <c r="H75" s="24" t="str">
        <v>https://nycdoe.sharepoint.com/:w:/s/BAP/EXrY1vgPS2BBliw07rI_ll4BgiSMZHSBMCXBl391yy4EZQ</v>
      </c>
      <c r="I75" s="23">
        <v>68</v>
      </c>
      <c r="J75" s="24" t="str">
        <v>-</v>
      </c>
      <c r="K75" s="24">
        <v>242</v>
      </c>
      <c r="L75" s="24" t="str">
        <v>1 out of 10</v>
      </c>
      <c r="M75" s="23" t="b">
        <f t="shared" si="2"/>
        <v>1</v>
      </c>
      <c r="N75" s="23" t="str">
        <v>1 out of 10</v>
      </c>
      <c r="O75" s="23"/>
      <c r="P75" s="42" t="str">
        <v>1</v>
      </c>
      <c r="Q75" s="42" t="str">
        <v>1</v>
      </c>
      <c r="R75" s="42" t="str">
        <v>1</v>
      </c>
      <c r="S75" s="10" t="str">
        <f t="shared" si="3"/>
        <v>No Change</v>
      </c>
    </row>
    <row r="76" spans="1:19" ht="135" hidden="1">
      <c r="A76" s="8" t="s">
        <v>2050</v>
      </c>
      <c r="B76" s="9" t="s">
        <v>13555</v>
      </c>
      <c r="C76" s="37" t="s">
        <v>6673</v>
      </c>
      <c r="D76" s="24"/>
      <c r="E76" s="24"/>
      <c r="F76" s="24" t="str">
        <v>K201</v>
      </c>
      <c r="G76" s="24" t="str">
        <v>8 out of 10</v>
      </c>
      <c r="H76" s="24" t="str">
        <v>https://nycdoe.sharepoint.com/:w:/s/BAP/Ef2E-D3m5dRChF-PVeQFcwgB3_QicvkfIDKuuiCWKU0Kxw</v>
      </c>
      <c r="I76" s="23">
        <v>69</v>
      </c>
      <c r="J76" s="24" t="str">
        <v>-</v>
      </c>
      <c r="K76" s="24">
        <v>245</v>
      </c>
      <c r="L76" s="24" t="str">
        <v>8 out of 10</v>
      </c>
      <c r="M76" s="23" t="b">
        <f t="shared" si="2"/>
        <v>1</v>
      </c>
      <c r="N76" s="23" t="str">
        <v>8 out of 10</v>
      </c>
      <c r="O76" s="23"/>
      <c r="P76" s="42" t="str">
        <v>8</v>
      </c>
      <c r="Q76" s="42" t="str">
        <v>8</v>
      </c>
      <c r="R76" s="42" t="str">
        <v>8</v>
      </c>
      <c r="S76" s="10" t="str">
        <f t="shared" si="3"/>
        <v>No Change</v>
      </c>
    </row>
    <row r="77" spans="1:19" ht="120" hidden="1">
      <c r="A77" s="8" t="s">
        <v>1845</v>
      </c>
      <c r="B77" s="9" t="s">
        <v>13557</v>
      </c>
      <c r="C77" s="37" t="s">
        <v>6387</v>
      </c>
      <c r="D77" s="24"/>
      <c r="E77" s="24"/>
      <c r="F77" s="24" t="str">
        <v>K204</v>
      </c>
      <c r="G77" s="24" t="str">
        <v>6 out of 10</v>
      </c>
      <c r="H77" s="24" t="str">
        <v>https://nycdoe.sharepoint.com/:w:/s/BAP/EWWkHgSFaH1EnefFt3QzQRwBswXSEdsbfllDlNlfAoe_gw</v>
      </c>
      <c r="I77" s="23">
        <v>70</v>
      </c>
      <c r="J77" s="24" t="str">
        <v>-</v>
      </c>
      <c r="K77" s="24">
        <v>250</v>
      </c>
      <c r="L77" s="24" t="str">
        <v>6 out of 10</v>
      </c>
      <c r="M77" s="23" t="b">
        <f t="shared" si="2"/>
        <v>1</v>
      </c>
      <c r="N77" s="23" t="str">
        <v>6 out of 10</v>
      </c>
      <c r="O77" s="23"/>
      <c r="P77" s="42" t="str">
        <v>6</v>
      </c>
      <c r="Q77" s="42" t="str">
        <v>6</v>
      </c>
      <c r="R77" s="42" t="str">
        <v>6</v>
      </c>
      <c r="S77" s="10" t="str">
        <f t="shared" si="3"/>
        <v>No Change</v>
      </c>
    </row>
    <row r="78" spans="1:19" ht="120" hidden="1">
      <c r="A78" s="8" t="s">
        <v>1720</v>
      </c>
      <c r="B78" s="9" t="s">
        <v>13555</v>
      </c>
      <c r="C78" s="37" t="s">
        <v>6249</v>
      </c>
      <c r="D78" s="24"/>
      <c r="E78" s="24"/>
      <c r="F78" s="24" t="str">
        <v>K205</v>
      </c>
      <c r="G78" s="24" t="str">
        <v>9 out of 10</v>
      </c>
      <c r="H78" s="24" t="str">
        <v>https://nycdoe.sharepoint.com/:w:/s/BAP/EcrAxGJJpeZIv2L-_LBvMFcBJaaYPdx2mmRkpZzQLugCNw</v>
      </c>
      <c r="I78" s="23">
        <v>71</v>
      </c>
      <c r="J78" s="24" t="str">
        <v>-</v>
      </c>
      <c r="K78" s="24">
        <v>251</v>
      </c>
      <c r="L78" s="24" t="str">
        <v>9 out of 10</v>
      </c>
      <c r="M78" s="23" t="b">
        <f t="shared" si="2"/>
        <v>1</v>
      </c>
      <c r="N78" s="23" t="str">
        <v>9 out of 10</v>
      </c>
      <c r="O78" s="23"/>
      <c r="P78" s="42" t="str">
        <v>9</v>
      </c>
      <c r="Q78" s="42" t="str">
        <v>9</v>
      </c>
      <c r="R78" s="42" t="str">
        <v>9</v>
      </c>
      <c r="S78" s="10" t="str">
        <f t="shared" si="3"/>
        <v>No Change</v>
      </c>
    </row>
    <row r="79" spans="1:19" ht="135" hidden="1">
      <c r="A79" s="8" t="s">
        <v>1948</v>
      </c>
      <c r="B79" s="9" t="s">
        <v>13557</v>
      </c>
      <c r="C79" s="37" t="s">
        <v>6540</v>
      </c>
      <c r="D79" s="24"/>
      <c r="E79" s="24"/>
      <c r="F79" s="24" t="str">
        <v>K211</v>
      </c>
      <c r="G79" s="24" t="str">
        <v>8 out of 10</v>
      </c>
      <c r="H79" s="24" t="str">
        <v>https://nycdoe.sharepoint.com/:w:/s/BAP/EdKdW6Az5OJGn0kW0fyMH5IBqIgUea2nySa6LEk6SfsEVQ</v>
      </c>
      <c r="I79" s="23">
        <v>72</v>
      </c>
      <c r="J79" s="24" t="str">
        <v>-</v>
      </c>
      <c r="K79" s="24">
        <v>259</v>
      </c>
      <c r="L79" s="24" t="str">
        <v>8 out of 10</v>
      </c>
      <c r="M79" s="23" t="b">
        <f t="shared" si="2"/>
        <v>1</v>
      </c>
      <c r="N79" s="23" t="str">
        <v>8 out of 10</v>
      </c>
      <c r="O79" s="23"/>
      <c r="P79" s="42" t="str">
        <v>8</v>
      </c>
      <c r="Q79" s="42" t="str">
        <v>8</v>
      </c>
      <c r="R79" s="42" t="str">
        <v>8</v>
      </c>
      <c r="S79" s="10" t="str">
        <f t="shared" si="3"/>
        <v>No Change</v>
      </c>
    </row>
    <row r="80" spans="1:19" ht="120" hidden="1">
      <c r="A80" s="8" t="s">
        <v>1952</v>
      </c>
      <c r="B80" s="9" t="s">
        <v>13555</v>
      </c>
      <c r="C80" s="37" t="s">
        <v>6544</v>
      </c>
      <c r="D80" s="24"/>
      <c r="E80" s="24"/>
      <c r="F80" s="24" t="str">
        <v>K215</v>
      </c>
      <c r="G80" s="24" t="str">
        <v>8 out of 10</v>
      </c>
      <c r="H80" s="24" t="str">
        <v>https://nycdoe.sharepoint.com/:w:/s/BAP/ERhev1x5VGJHvdiAb5cKcnIBM75ZN-_s6ECtUhBncRlrLA</v>
      </c>
      <c r="I80" s="23">
        <v>73</v>
      </c>
      <c r="J80" s="24" t="str">
        <v>-</v>
      </c>
      <c r="K80" s="24">
        <v>265</v>
      </c>
      <c r="L80" s="24" t="str">
        <v>8 out of 10</v>
      </c>
      <c r="M80" s="23" t="b">
        <f t="shared" si="2"/>
        <v>1</v>
      </c>
      <c r="N80" s="23" t="str">
        <v>8 out of 10</v>
      </c>
      <c r="O80" s="23"/>
      <c r="P80" s="42" t="str">
        <v>8</v>
      </c>
      <c r="Q80" s="42" t="str">
        <v>8</v>
      </c>
      <c r="R80" s="42" t="str">
        <v>8</v>
      </c>
      <c r="S80" s="10" t="str">
        <f t="shared" si="3"/>
        <v>No Change</v>
      </c>
    </row>
    <row r="81" spans="1:19" ht="120" hidden="1">
      <c r="A81" s="8" t="s">
        <v>1852</v>
      </c>
      <c r="B81" s="9" t="s">
        <v>13571</v>
      </c>
      <c r="C81" s="37" t="s">
        <v>6393</v>
      </c>
      <c r="D81" s="24"/>
      <c r="E81" s="24"/>
      <c r="F81" s="24" t="str">
        <v>K217</v>
      </c>
      <c r="G81" s="24" t="str">
        <v>9 out of 10</v>
      </c>
      <c r="H81" s="24" t="str">
        <v>https://nycdoe.sharepoint.com/:w:/s/BAP/ERbNqGpYZnZEmlQeZ6b5SjYBLQSULryfAydfzoi6xaKBtA</v>
      </c>
      <c r="I81" s="23">
        <v>74</v>
      </c>
      <c r="J81" s="24" t="str">
        <v>-</v>
      </c>
      <c r="K81" s="24">
        <v>268</v>
      </c>
      <c r="L81" s="24" t="str">
        <v>9 out of 10</v>
      </c>
      <c r="M81" s="23" t="b">
        <f t="shared" si="2"/>
        <v>1</v>
      </c>
      <c r="N81" s="23" t="str">
        <v>9 out of 10</v>
      </c>
      <c r="O81" s="23"/>
      <c r="P81" s="42" t="str">
        <v>9</v>
      </c>
      <c r="Q81" s="42" t="str">
        <v>9</v>
      </c>
      <c r="R81" s="42" t="str">
        <v>9</v>
      </c>
      <c r="S81" s="10" t="str">
        <f t="shared" si="3"/>
        <v>No Change</v>
      </c>
    </row>
    <row r="82" spans="1:19" ht="120" hidden="1">
      <c r="A82" s="8" t="s">
        <v>1956</v>
      </c>
      <c r="B82" s="9" t="s">
        <v>13559</v>
      </c>
      <c r="C82" s="37" t="s">
        <v>6548</v>
      </c>
      <c r="D82" s="24"/>
      <c r="E82" s="24"/>
      <c r="F82" s="24" t="str">
        <v>K222</v>
      </c>
      <c r="G82" s="24" t="str">
        <v>9 out of 10</v>
      </c>
      <c r="H82" s="24" t="str">
        <v>https://nycdoe.sharepoint.com/:w:/s/BAP/Ee-NA60MBuBFsKb1LWryIP4ByhQZC3HohHDtK1-Y2V3o3Q</v>
      </c>
      <c r="I82" s="23">
        <v>75</v>
      </c>
      <c r="J82" s="24" t="str">
        <v>-</v>
      </c>
      <c r="K82" s="24">
        <v>277</v>
      </c>
      <c r="L82" s="24" t="str">
        <v>9 out of 10</v>
      </c>
      <c r="M82" s="23" t="b">
        <f t="shared" si="2"/>
        <v>1</v>
      </c>
      <c r="N82" s="23" t="str">
        <v>9 out of 10</v>
      </c>
      <c r="O82" s="23"/>
      <c r="P82" s="42" t="str">
        <v>9</v>
      </c>
      <c r="Q82" s="42" t="str">
        <v>9</v>
      </c>
      <c r="R82" s="42" t="str">
        <v>9</v>
      </c>
      <c r="S82" s="10" t="str">
        <f t="shared" si="3"/>
        <v>No Change</v>
      </c>
    </row>
    <row r="83" spans="1:19" ht="120" hidden="1">
      <c r="A83" s="8" t="s">
        <v>1856</v>
      </c>
      <c r="B83" s="9" t="s">
        <v>13555</v>
      </c>
      <c r="C83" s="37" t="s">
        <v>6397</v>
      </c>
      <c r="D83" s="24"/>
      <c r="E83" s="24"/>
      <c r="F83" s="24" t="str">
        <v>K223</v>
      </c>
      <c r="G83" s="24" t="str">
        <v>8 out of 10</v>
      </c>
      <c r="H83" s="24" t="str">
        <v>https://nycdoe.sharepoint.com/:w:/s/BAP/ETDrhxkfINJJvgII5EyUCMABLY8m-3uzfljf8ZRXPQRIzw</v>
      </c>
      <c r="I83" s="23">
        <v>76</v>
      </c>
      <c r="J83" s="24" t="str">
        <v>-</v>
      </c>
      <c r="K83" s="24">
        <v>278</v>
      </c>
      <c r="L83" s="24" t="str">
        <v>8 out of 10</v>
      </c>
      <c r="M83" s="23" t="b">
        <f t="shared" si="2"/>
        <v>1</v>
      </c>
      <c r="N83" s="23" t="str">
        <v>8 out of 10</v>
      </c>
      <c r="O83" s="23"/>
      <c r="P83" s="42" t="str">
        <v>8</v>
      </c>
      <c r="Q83" s="42" t="str">
        <v>8</v>
      </c>
      <c r="R83" s="42" t="str">
        <v>8</v>
      </c>
      <c r="S83" s="10" t="str">
        <f t="shared" si="3"/>
        <v>No Change</v>
      </c>
    </row>
    <row r="84" spans="1:19" ht="120" hidden="1">
      <c r="A84" s="8" t="s">
        <v>1274</v>
      </c>
      <c r="B84" s="9" t="s">
        <v>13557</v>
      </c>
      <c r="C84" s="37" t="s">
        <v>5723</v>
      </c>
      <c r="D84" s="24"/>
      <c r="E84" s="24"/>
      <c r="F84" s="24" t="str">
        <v>K224</v>
      </c>
      <c r="G84" s="24" t="str">
        <v>9 out of 10</v>
      </c>
      <c r="H84" s="24" t="str">
        <v>https://nycdoe.sharepoint.com/:w:/s/BAP/EUEgPKhFR3NHkc8LtS8ugOMBjLp38tFCi_H-8edHEV3MvQ</v>
      </c>
      <c r="I84" s="23">
        <v>77</v>
      </c>
      <c r="J84" s="24" t="str">
        <v>-</v>
      </c>
      <c r="K84" s="24">
        <v>280</v>
      </c>
      <c r="L84" s="24" t="str">
        <v>9 out of 10</v>
      </c>
      <c r="M84" s="23" t="b">
        <f t="shared" si="2"/>
        <v>1</v>
      </c>
      <c r="N84" s="23" t="str">
        <v>9 out of 10</v>
      </c>
      <c r="O84" s="23"/>
      <c r="P84" s="42" t="str">
        <v>9</v>
      </c>
      <c r="Q84" s="42" t="str">
        <v>9</v>
      </c>
      <c r="R84" s="42" t="str">
        <v>9</v>
      </c>
      <c r="S84" s="10" t="str">
        <f t="shared" si="3"/>
        <v>No Change</v>
      </c>
    </row>
    <row r="85" spans="1:19" ht="120" hidden="1">
      <c r="A85" s="8" t="s">
        <v>1865</v>
      </c>
      <c r="B85" s="11" t="s">
        <v>13561</v>
      </c>
      <c r="C85" s="37" t="s">
        <v>13576</v>
      </c>
      <c r="D85" s="24"/>
      <c r="E85" s="24"/>
      <c r="F85" s="24" t="str">
        <v>K225</v>
      </c>
      <c r="G85" s="24" t="str">
        <v>8 out of 10</v>
      </c>
      <c r="H85" s="24" t="str">
        <v>https://nycdoe.sharepoint.com/:w:/s/BAP/ET7sB5-cqcxCl-hnPMxF1MMBxnkRXj3r_-9Xbgyi2C0Pmw</v>
      </c>
      <c r="I85" s="23">
        <v>78</v>
      </c>
      <c r="J85" s="24" t="str">
        <v>-</v>
      </c>
      <c r="K85" s="24">
        <v>282</v>
      </c>
      <c r="L85" s="24" t="str">
        <v>8 out of 10</v>
      </c>
      <c r="M85" s="23" t="b">
        <f t="shared" si="2"/>
        <v>1</v>
      </c>
      <c r="N85" s="23" t="str">
        <v>8 out of 10</v>
      </c>
      <c r="O85" s="23"/>
      <c r="P85" s="42" t="str">
        <v>8</v>
      </c>
      <c r="Q85" s="42" t="str">
        <v>8</v>
      </c>
      <c r="R85" s="42" t="str">
        <v>8</v>
      </c>
      <c r="S85" s="10" t="str">
        <f t="shared" si="3"/>
        <v>No Change</v>
      </c>
    </row>
    <row r="86" spans="1:19" ht="120" hidden="1">
      <c r="A86" s="8" t="s">
        <v>1615</v>
      </c>
      <c r="B86" s="9" t="s">
        <v>13571</v>
      </c>
      <c r="C86" s="37" t="s">
        <v>6125</v>
      </c>
      <c r="D86" s="24"/>
      <c r="E86" s="24"/>
      <c r="F86" s="24" t="str">
        <v>K226</v>
      </c>
      <c r="G86" s="24" t="str">
        <v>9 out of 10</v>
      </c>
      <c r="H86" s="24" t="str">
        <v>https://nycdoe.sharepoint.com/:w:/s/BAP/ESulgZUp0f5InkRqD96PiUQBqe_2gij_TS7XQaXPGX7jSg</v>
      </c>
      <c r="I86" s="23">
        <v>79</v>
      </c>
      <c r="J86" s="24" t="str">
        <v>-</v>
      </c>
      <c r="K86" s="24">
        <v>284</v>
      </c>
      <c r="L86" s="24" t="str">
        <v>9 out of 10</v>
      </c>
      <c r="M86" s="23" t="b">
        <f t="shared" si="2"/>
        <v>1</v>
      </c>
      <c r="N86" s="23" t="str">
        <v>9 out of 10</v>
      </c>
      <c r="O86" s="23"/>
      <c r="P86" s="42" t="str">
        <v>9</v>
      </c>
      <c r="Q86" s="42" t="str">
        <v>9</v>
      </c>
      <c r="R86" s="42" t="str">
        <v>9</v>
      </c>
      <c r="S86" s="10" t="str">
        <f t="shared" si="3"/>
        <v>No Change</v>
      </c>
    </row>
    <row r="87" spans="1:19" ht="135" hidden="1">
      <c r="A87" s="8" t="s">
        <v>2054</v>
      </c>
      <c r="B87" s="9" t="s">
        <v>13571</v>
      </c>
      <c r="C87" s="37" t="s">
        <v>6677</v>
      </c>
      <c r="D87" s="24"/>
      <c r="E87" s="24"/>
      <c r="F87" s="24" t="str">
        <v>K227</v>
      </c>
      <c r="G87" s="24" t="str">
        <v>7 out of 10</v>
      </c>
      <c r="H87" s="24" t="str">
        <v>https://nycdoe.sharepoint.com/:w:/s/BAP/ERZAoTscMF5KhQEbyWSDwpUBRNui9yV5r1bp7W6c9Tm2vg</v>
      </c>
      <c r="I87" s="23">
        <v>80</v>
      </c>
      <c r="J87" s="24" t="str">
        <v>-</v>
      </c>
      <c r="K87" s="24">
        <v>285</v>
      </c>
      <c r="L87" s="24" t="str">
        <v>7 out of 10</v>
      </c>
      <c r="M87" s="23" t="b">
        <f t="shared" si="2"/>
        <v>1</v>
      </c>
      <c r="N87" s="23" t="str">
        <v>7 out of 10</v>
      </c>
      <c r="O87" s="23"/>
      <c r="P87" s="42" t="str">
        <v>7</v>
      </c>
      <c r="Q87" s="42" t="str">
        <v>7</v>
      </c>
      <c r="R87" s="42" t="str">
        <v>7</v>
      </c>
      <c r="S87" s="10" t="str">
        <f t="shared" si="3"/>
        <v>No Change</v>
      </c>
    </row>
    <row r="88" spans="1:19" ht="135" hidden="1">
      <c r="A88" s="8" t="s">
        <v>1622</v>
      </c>
      <c r="B88" s="9" t="s">
        <v>13559</v>
      </c>
      <c r="C88" s="37" t="s">
        <v>6131</v>
      </c>
      <c r="D88" s="24"/>
      <c r="E88" s="24"/>
      <c r="F88" s="24" t="str">
        <v>K228</v>
      </c>
      <c r="G88" s="24" t="str">
        <v>3 out of 10</v>
      </c>
      <c r="H88" s="24" t="str">
        <v>https://nycdoe.sharepoint.com/:w:/s/BAP/EaZccFphpKdAli_a9prbBkMBuBvFrRH1J_aJFX9oVQ0x6A</v>
      </c>
      <c r="I88" s="23">
        <v>81</v>
      </c>
      <c r="J88" s="24" t="str">
        <v>-</v>
      </c>
      <c r="K88" s="24">
        <v>286</v>
      </c>
      <c r="L88" s="24" t="str">
        <v>3 out of 10</v>
      </c>
      <c r="M88" s="23" t="b">
        <f t="shared" si="2"/>
        <v>1</v>
      </c>
      <c r="N88" s="23" t="str">
        <v>3 out of 10</v>
      </c>
      <c r="O88" s="23"/>
      <c r="P88" s="42" t="str">
        <v>3</v>
      </c>
      <c r="Q88" s="42" t="str">
        <v>3</v>
      </c>
      <c r="R88" s="42" t="str">
        <v>3</v>
      </c>
      <c r="S88" s="10" t="str">
        <f t="shared" si="3"/>
        <v>No Change</v>
      </c>
    </row>
    <row r="89" spans="1:19" ht="120" hidden="1">
      <c r="A89" s="8" t="s">
        <v>1960</v>
      </c>
      <c r="B89" s="9" t="s">
        <v>13553</v>
      </c>
      <c r="C89" s="37" t="s">
        <v>6550</v>
      </c>
      <c r="D89" s="24"/>
      <c r="E89" s="24"/>
      <c r="F89" s="24" t="str">
        <v>K229</v>
      </c>
      <c r="G89" s="24" t="str">
        <v>9 out of 10</v>
      </c>
      <c r="H89" s="24" t="str">
        <v>https://nycdoe.sharepoint.com/:w:/s/BAP/Eauqy4Z2tyVCvpyRB-LnsHgBev2zSQQfgqcNE6EeYaUyWg</v>
      </c>
      <c r="I89" s="23">
        <v>82</v>
      </c>
      <c r="J89" s="24" t="str">
        <v>-</v>
      </c>
      <c r="K89" s="24">
        <v>287</v>
      </c>
      <c r="L89" s="24" t="str">
        <v>9 out of 10</v>
      </c>
      <c r="M89" s="23" t="b">
        <f t="shared" si="2"/>
        <v>1</v>
      </c>
      <c r="N89" s="23" t="str">
        <v>9 out of 10</v>
      </c>
      <c r="O89" s="23"/>
      <c r="P89" s="42" t="str">
        <v>9</v>
      </c>
      <c r="Q89" s="42" t="str">
        <v>9</v>
      </c>
      <c r="R89" s="42" t="str">
        <v>9</v>
      </c>
      <c r="S89" s="10" t="str">
        <f t="shared" si="3"/>
        <v>No Change</v>
      </c>
    </row>
    <row r="90" spans="1:19" ht="120" hidden="1">
      <c r="A90" s="8" t="s">
        <v>1967</v>
      </c>
      <c r="B90" s="9" t="s">
        <v>13559</v>
      </c>
      <c r="C90" s="37" t="s">
        <v>6556</v>
      </c>
      <c r="D90" s="24"/>
      <c r="E90" s="24"/>
      <c r="F90" s="24" t="str">
        <v>K230</v>
      </c>
      <c r="G90" s="24" t="str">
        <v>8 out of 10</v>
      </c>
      <c r="H90" s="24" t="str">
        <v>https://nycdoe.sharepoint.com/:w:/s/BAP/EU4XeQ9dvJdKjxZqnblJe2oB1UJA0ri1RibavzbBwuU1ZA</v>
      </c>
      <c r="I90" s="23">
        <v>83</v>
      </c>
      <c r="J90" s="24" t="str">
        <v>-</v>
      </c>
      <c r="K90" s="24">
        <v>288</v>
      </c>
      <c r="L90" s="24" t="str">
        <v>8 out of 10</v>
      </c>
      <c r="M90" s="23" t="b">
        <f t="shared" si="2"/>
        <v>1</v>
      </c>
      <c r="N90" s="23" t="str">
        <v>8 out of 10</v>
      </c>
      <c r="O90" s="23"/>
      <c r="P90" s="42" t="str">
        <v>8</v>
      </c>
      <c r="Q90" s="42" t="str">
        <v>8</v>
      </c>
      <c r="R90" s="42" t="str">
        <v>8</v>
      </c>
      <c r="S90" s="10" t="str">
        <f t="shared" si="3"/>
        <v>No Change</v>
      </c>
    </row>
    <row r="91" spans="1:19" ht="135" hidden="1">
      <c r="A91" s="8" t="s">
        <v>10212</v>
      </c>
      <c r="B91" s="9" t="s">
        <v>13561</v>
      </c>
      <c r="C91" s="37" t="s">
        <v>13577</v>
      </c>
      <c r="D91" s="24"/>
      <c r="E91" s="24"/>
      <c r="F91" s="24" t="str">
        <v>K231</v>
      </c>
      <c r="G91" s="24" t="str">
        <v>0 out of 10</v>
      </c>
      <c r="H91" s="24" t="str">
        <v>https://nycdoe.sharepoint.com/:w:/s/BAP/EZUyyR6guvBApHX8cOsozcoBQllaLPctzI1eNOf0nS5ncQ</v>
      </c>
      <c r="I91" s="23">
        <v>84</v>
      </c>
      <c r="J91" s="24" t="str">
        <v>-</v>
      </c>
      <c r="K91" s="24">
        <v>289</v>
      </c>
      <c r="L91" s="24" t="str">
        <v>N/A out of 10</v>
      </c>
      <c r="M91" s="23" t="b">
        <f t="shared" si="2"/>
        <v>0</v>
      </c>
      <c r="N91" s="23" t="str">
        <v>0 out of 10</v>
      </c>
      <c r="O91" s="23"/>
      <c r="P91" s="42" t="str">
        <v>0</v>
      </c>
      <c r="Q91" s="42" t="str">
        <v>N/A</v>
      </c>
      <c r="R91" s="42" t="str">
        <v>0</v>
      </c>
      <c r="S91" s="10" t="str">
        <f t="shared" si="3"/>
        <v>No Change</v>
      </c>
    </row>
    <row r="92" spans="1:19" ht="120" hidden="1">
      <c r="A92" s="8" t="s">
        <v>1626</v>
      </c>
      <c r="B92" s="9" t="s">
        <v>13555</v>
      </c>
      <c r="C92" s="37" t="s">
        <v>6135</v>
      </c>
      <c r="D92" s="24"/>
      <c r="E92" s="24"/>
      <c r="F92" s="24" t="str">
        <v>K233</v>
      </c>
      <c r="G92" s="24" t="str">
        <v>7 out of 10</v>
      </c>
      <c r="H92" s="24" t="str">
        <v>https://nycdoe.sharepoint.com/:w:/s/BAP/EQKLLJG4Ud1EkJpDzzFDEIwBm0LKuovc5rTMoiog6TZdMA</v>
      </c>
      <c r="I92" s="23">
        <v>85</v>
      </c>
      <c r="J92" s="24" t="str">
        <v>-</v>
      </c>
      <c r="K92" s="24">
        <v>293</v>
      </c>
      <c r="L92" s="24" t="str">
        <v>7 out of 10</v>
      </c>
      <c r="M92" s="23" t="b">
        <f t="shared" si="2"/>
        <v>1</v>
      </c>
      <c r="N92" s="23" t="str">
        <v>7 out of 10</v>
      </c>
      <c r="O92" s="23"/>
      <c r="P92" s="42" t="str">
        <v>7</v>
      </c>
      <c r="Q92" s="42" t="str">
        <v>7</v>
      </c>
      <c r="R92" s="42" t="str">
        <v>7</v>
      </c>
      <c r="S92" s="10" t="str">
        <f t="shared" si="3"/>
        <v>No Change</v>
      </c>
    </row>
    <row r="93" spans="1:19" ht="120" hidden="1">
      <c r="A93" s="8" t="s">
        <v>1483</v>
      </c>
      <c r="B93" s="9" t="s">
        <v>13557</v>
      </c>
      <c r="C93" s="37" t="s">
        <v>5966</v>
      </c>
      <c r="D93" s="24"/>
      <c r="E93" s="24"/>
      <c r="F93" s="24" t="str">
        <v>K234</v>
      </c>
      <c r="G93" s="24" t="str">
        <v>7 out of 10</v>
      </c>
      <c r="H93" s="24" t="str">
        <v>https://nycdoe.sharepoint.com/:w:/s/BAP/EaPBbaLoLghHtup3n0mnex4BUS4YGnHbX-Th3uaP063teA</v>
      </c>
      <c r="I93" s="23">
        <v>86</v>
      </c>
      <c r="J93" s="24" t="str">
        <v>-</v>
      </c>
      <c r="K93" s="24">
        <v>295</v>
      </c>
      <c r="L93" s="24" t="str">
        <v>7 out of 10</v>
      </c>
      <c r="M93" s="23" t="b">
        <f t="shared" si="2"/>
        <v>1</v>
      </c>
      <c r="N93" s="23" t="str">
        <v>7 out of 10</v>
      </c>
      <c r="O93" s="23"/>
      <c r="P93" s="42" t="str">
        <v>7</v>
      </c>
      <c r="Q93" s="42" t="str">
        <v>7</v>
      </c>
      <c r="R93" s="42" t="str">
        <v>7</v>
      </c>
      <c r="S93" s="10" t="str">
        <f t="shared" si="3"/>
        <v>No Change</v>
      </c>
    </row>
    <row r="94" spans="1:19" ht="120" hidden="1">
      <c r="A94" s="8" t="s">
        <v>1490</v>
      </c>
      <c r="B94" s="9" t="s">
        <v>13558</v>
      </c>
      <c r="C94" s="37" t="s">
        <v>5972</v>
      </c>
      <c r="D94" s="24"/>
      <c r="E94" s="24"/>
      <c r="F94" s="24" t="str">
        <v>K235</v>
      </c>
      <c r="G94" s="24" t="str">
        <v>3 out of 10</v>
      </c>
      <c r="H94" s="24" t="str">
        <v>https://nycdoe.sharepoint.com/:w:/s/BAP/EZ7Aryk9DvZChsqRFLUFw7UBjd862CDRx-dNniuhK9U0VA</v>
      </c>
      <c r="I94" s="23">
        <v>87</v>
      </c>
      <c r="J94" s="24" t="str">
        <v>-</v>
      </c>
      <c r="K94" s="24">
        <v>296</v>
      </c>
      <c r="L94" s="24" t="str">
        <v>3 out of 10</v>
      </c>
      <c r="M94" s="23" t="b">
        <f t="shared" si="2"/>
        <v>1</v>
      </c>
      <c r="N94" s="23" t="str">
        <v>3 out of 10</v>
      </c>
      <c r="O94" s="23"/>
      <c r="P94" s="42" t="str">
        <v>3</v>
      </c>
      <c r="Q94" s="42" t="str">
        <v>3</v>
      </c>
      <c r="R94" s="42" t="str">
        <v>3</v>
      </c>
      <c r="S94" s="10" t="str">
        <f t="shared" si="3"/>
        <v>No Change</v>
      </c>
    </row>
    <row r="95" spans="1:19" ht="120" hidden="1">
      <c r="A95" s="8" t="s">
        <v>1633</v>
      </c>
      <c r="B95" s="11" t="s">
        <v>13560</v>
      </c>
      <c r="C95" s="37" t="s">
        <v>6141</v>
      </c>
      <c r="D95" s="24"/>
      <c r="E95" s="24"/>
      <c r="F95" s="24" t="str">
        <v>K237</v>
      </c>
      <c r="G95" s="24" t="str">
        <v>10 out of 10</v>
      </c>
      <c r="H95" s="24" t="str">
        <v>https://nycdoe.sharepoint.com/:w:/s/BAP/EbkOaFdYGK5AlhddVTXqM9MBc8XA_cHRYY9ubhkegz-1Pg</v>
      </c>
      <c r="I95" s="23">
        <v>88</v>
      </c>
      <c r="J95" s="24" t="str">
        <v>-</v>
      </c>
      <c r="K95" s="24">
        <v>299</v>
      </c>
      <c r="L95" s="24" t="str">
        <v>10 out of 10</v>
      </c>
      <c r="M95" s="23" t="b">
        <f t="shared" si="2"/>
        <v>1</v>
      </c>
      <c r="N95" s="23" t="str">
        <v>10 out of 10</v>
      </c>
      <c r="O95" s="23"/>
      <c r="P95" s="42" t="str">
        <v>10</v>
      </c>
      <c r="Q95" s="42" t="str">
        <v>10</v>
      </c>
      <c r="R95" s="42" t="str">
        <v>10</v>
      </c>
      <c r="S95" s="10" t="str">
        <f t="shared" si="3"/>
        <v>No Change</v>
      </c>
    </row>
    <row r="96" spans="1:19" ht="120" hidden="1">
      <c r="A96" s="8" t="s">
        <v>2058</v>
      </c>
      <c r="B96" s="9" t="s">
        <v>13555</v>
      </c>
      <c r="C96" s="37" t="s">
        <v>6691</v>
      </c>
      <c r="D96" s="24"/>
      <c r="E96" s="24"/>
      <c r="F96" s="24" t="str">
        <v>K238</v>
      </c>
      <c r="G96" s="24" t="str">
        <v>3 out of 10</v>
      </c>
      <c r="H96" s="24" t="str">
        <v>https://nycdoe.sharepoint.com/:w:/s/BAP/EYHmyTluoTVMrfmC210-rCMBYy2ejcQNRktturCB7W8X-A</v>
      </c>
      <c r="I96" s="23">
        <v>89</v>
      </c>
      <c r="J96" s="24" t="str">
        <v>-</v>
      </c>
      <c r="K96" s="24">
        <v>302</v>
      </c>
      <c r="L96" s="24" t="str">
        <v>3 out of 10</v>
      </c>
      <c r="M96" s="23" t="b">
        <f t="shared" si="2"/>
        <v>1</v>
      </c>
      <c r="N96" s="23" t="str">
        <v>3 out of 10</v>
      </c>
      <c r="O96" s="23"/>
      <c r="P96" s="42" t="str">
        <v>3</v>
      </c>
      <c r="Q96" s="42" t="str">
        <v>3</v>
      </c>
      <c r="R96" s="42" t="str">
        <v>3</v>
      </c>
      <c r="S96" s="10" t="str">
        <f t="shared" si="3"/>
        <v>No Change</v>
      </c>
    </row>
    <row r="97" spans="1:19" ht="120" hidden="1">
      <c r="A97" s="8" t="s">
        <v>1204</v>
      </c>
      <c r="B97" s="9" t="s">
        <v>13557</v>
      </c>
      <c r="C97" s="37" t="s">
        <v>5640</v>
      </c>
      <c r="D97" s="24"/>
      <c r="E97" s="24"/>
      <c r="F97" s="24" t="str">
        <v>K240</v>
      </c>
      <c r="G97" s="24" t="str">
        <v>0 out of 10</v>
      </c>
      <c r="H97" s="24" t="str">
        <v>https://nycdoe.sharepoint.com/:w:/s/BAP/ER0kw7LGW6RLkOCTmjh1gAMB0nFxWVF-eWK1nLRDfVOb4w</v>
      </c>
      <c r="I97" s="23">
        <v>90</v>
      </c>
      <c r="J97" s="24" t="str">
        <v>-</v>
      </c>
      <c r="K97" s="24">
        <v>305</v>
      </c>
      <c r="L97" s="24" t="str">
        <v>N/A out of 10</v>
      </c>
      <c r="M97" s="23" t="b">
        <f t="shared" si="2"/>
        <v>0</v>
      </c>
      <c r="N97" s="23" t="str">
        <v>0 out of 10</v>
      </c>
      <c r="O97" s="23"/>
      <c r="P97" s="42" t="str">
        <v>0</v>
      </c>
      <c r="Q97" s="42" t="str">
        <v>N/A</v>
      </c>
      <c r="R97" s="42" t="str">
        <v>0</v>
      </c>
      <c r="S97" s="10" t="str">
        <f t="shared" si="3"/>
        <v>No Change</v>
      </c>
    </row>
    <row r="98" spans="1:19" ht="120" hidden="1">
      <c r="A98" s="8" t="s">
        <v>1077</v>
      </c>
      <c r="B98" s="9" t="s">
        <v>13555</v>
      </c>
      <c r="C98" s="37" t="s">
        <v>5475</v>
      </c>
      <c r="D98" s="24"/>
      <c r="E98" s="24"/>
      <c r="F98" s="24" t="str">
        <v>K244</v>
      </c>
      <c r="G98" s="24" t="str">
        <v>9 out of 10</v>
      </c>
      <c r="H98" s="24" t="str">
        <v>https://nycdoe.sharepoint.com/:w:/s/BAP/EQy2jGYIzE1KhOZHHxrjTw8B2KGmpWJRgaTlF5JCAYjdtQ</v>
      </c>
      <c r="I98" s="23">
        <v>91</v>
      </c>
      <c r="J98" s="24" t="str">
        <v>-</v>
      </c>
      <c r="K98" s="24">
        <v>312</v>
      </c>
      <c r="L98" s="24" t="str">
        <v>9 out of 10</v>
      </c>
      <c r="M98" s="23" t="b">
        <f t="shared" si="2"/>
        <v>1</v>
      </c>
      <c r="N98" s="23" t="str">
        <v>9 out of 10</v>
      </c>
      <c r="O98" s="23"/>
      <c r="P98" s="42" t="str">
        <v>9</v>
      </c>
      <c r="Q98" s="42" t="str">
        <v>9</v>
      </c>
      <c r="R98" s="42" t="str">
        <v>9</v>
      </c>
      <c r="S98" s="10" t="str">
        <f t="shared" si="3"/>
        <v>No Change</v>
      </c>
    </row>
    <row r="99" spans="1:19" ht="120" hidden="1">
      <c r="A99" s="8" t="s">
        <v>1860</v>
      </c>
      <c r="B99" s="9" t="s">
        <v>13555</v>
      </c>
      <c r="C99" s="37" t="s">
        <v>6406</v>
      </c>
      <c r="D99" s="24"/>
      <c r="E99" s="24"/>
      <c r="F99" s="24" t="str">
        <v>K246</v>
      </c>
      <c r="G99" s="24" t="str">
        <v>8 out of 10</v>
      </c>
      <c r="H99" s="24" t="str">
        <v>https://nycdoe.sharepoint.com/:w:/s/BAP/EVuRcmB44MdBgySHI5DDoRsBDk7kpVQ16ugYtORUfN-x4Q</v>
      </c>
      <c r="I99" s="23">
        <v>92</v>
      </c>
      <c r="J99" s="24" t="str">
        <v>-</v>
      </c>
      <c r="K99" s="24">
        <v>314</v>
      </c>
      <c r="L99" s="24" t="str">
        <v>8 out of 10</v>
      </c>
      <c r="M99" s="23" t="b">
        <f t="shared" si="2"/>
        <v>1</v>
      </c>
      <c r="N99" s="23" t="str">
        <v>8 out of 10</v>
      </c>
      <c r="O99" s="23"/>
      <c r="P99" s="42" t="str">
        <v>8</v>
      </c>
      <c r="Q99" s="42" t="str">
        <v>8</v>
      </c>
      <c r="R99" s="42" t="str">
        <v>8</v>
      </c>
      <c r="S99" s="10" t="str">
        <f t="shared" si="3"/>
        <v>No Change</v>
      </c>
    </row>
    <row r="100" spans="1:19" ht="120" hidden="1">
      <c r="A100" s="8" t="s">
        <v>1278</v>
      </c>
      <c r="B100" s="9" t="s">
        <v>13559</v>
      </c>
      <c r="C100" s="37" t="s">
        <v>5727</v>
      </c>
      <c r="D100" s="24"/>
      <c r="E100" s="24"/>
      <c r="F100" s="24" t="str">
        <v>K249</v>
      </c>
      <c r="G100" s="24" t="str">
        <v>1 out of 10</v>
      </c>
      <c r="H100" s="24" t="str">
        <v>https://nycdoe.sharepoint.com/:w:/s/BAP/ETIjVE0Cb59NnpNuBEkg3b4B-7sFq2GzTiipuTmoCSy0gA</v>
      </c>
      <c r="I100" s="23">
        <v>93</v>
      </c>
      <c r="J100" s="24" t="str">
        <v>-</v>
      </c>
      <c r="K100" s="24">
        <v>317</v>
      </c>
      <c r="L100" s="24" t="str">
        <v>1 out of 10</v>
      </c>
      <c r="M100" s="23" t="b">
        <f t="shared" si="2"/>
        <v>1</v>
      </c>
      <c r="N100" s="23" t="str">
        <v>1 out of 10</v>
      </c>
      <c r="O100" s="23"/>
      <c r="P100" s="42" t="str">
        <v>1</v>
      </c>
      <c r="Q100" s="42" t="str">
        <v>1</v>
      </c>
      <c r="R100" s="42" t="str">
        <v>1</v>
      </c>
      <c r="S100" s="10" t="str">
        <f t="shared" si="3"/>
        <v>No Change</v>
      </c>
    </row>
    <row r="101" spans="1:19" ht="120" hidden="1">
      <c r="A101" s="8" t="s">
        <v>2129</v>
      </c>
      <c r="B101" s="9" t="s">
        <v>13558</v>
      </c>
      <c r="C101" s="37" t="s">
        <v>6782</v>
      </c>
      <c r="D101" s="24"/>
      <c r="E101" s="24"/>
      <c r="F101" s="24" t="str">
        <v>K250</v>
      </c>
      <c r="G101" s="24" t="str">
        <v>2 out of 10</v>
      </c>
      <c r="H101" s="24" t="str">
        <v>https://nycdoe.sharepoint.com/:w:/s/BAP/EcA0eVEB8whFriD3yKxtc8EBqJAj2fJFO1_mxCqZoQHSyA</v>
      </c>
      <c r="I101" s="23" t="str">
        <v>Was New</v>
      </c>
      <c r="J101" s="24" t="str">
        <v>2 out of 10</v>
      </c>
      <c r="K101" s="24">
        <v>318</v>
      </c>
      <c r="L101" s="24" t="str">
        <v>2 out of 10</v>
      </c>
      <c r="M101" s="23" t="b">
        <f t="shared" si="2"/>
        <v>1</v>
      </c>
      <c r="N101" s="23" t="str">
        <v>2 out of 10</v>
      </c>
      <c r="O101" s="23"/>
      <c r="P101" s="42" t="str">
        <v>2</v>
      </c>
      <c r="Q101" s="42" t="str">
        <v>2</v>
      </c>
      <c r="R101" s="42" t="str">
        <v>2</v>
      </c>
      <c r="S101" s="10" t="str">
        <f t="shared" si="3"/>
        <v>No Change</v>
      </c>
    </row>
    <row r="102" spans="1:19" ht="120" hidden="1">
      <c r="A102" s="8" t="s">
        <v>1864</v>
      </c>
      <c r="B102" s="9" t="s">
        <v>13553</v>
      </c>
      <c r="C102" s="37" t="s">
        <v>6409</v>
      </c>
      <c r="D102" s="24"/>
      <c r="E102" s="24"/>
      <c r="F102" s="24" t="str">
        <v>K252</v>
      </c>
      <c r="G102" s="24" t="str">
        <v>4 out of 10</v>
      </c>
      <c r="H102" s="24" t="str">
        <v>https://nycdoe.sharepoint.com/:w:/s/BAP/EYUoORoyvrhEqMKmYAID87QBIgGcDk_cwXUV2eBzz3dqLA</v>
      </c>
      <c r="I102" s="23">
        <v>94</v>
      </c>
      <c r="J102" s="24" t="str">
        <v>-</v>
      </c>
      <c r="K102" s="24">
        <v>320</v>
      </c>
      <c r="L102" s="24" t="str">
        <v>4 out of 10</v>
      </c>
      <c r="M102" s="23" t="b">
        <f t="shared" si="2"/>
        <v>1</v>
      </c>
      <c r="N102" s="23" t="str">
        <v>4 out of 10</v>
      </c>
      <c r="O102" s="23"/>
      <c r="P102" s="42" t="str">
        <v>4</v>
      </c>
      <c r="Q102" s="42" t="str">
        <v>4</v>
      </c>
      <c r="R102" s="42" t="str">
        <v>4</v>
      </c>
      <c r="S102" s="10" t="str">
        <f t="shared" si="3"/>
        <v>No Change</v>
      </c>
    </row>
    <row r="103" spans="1:19" ht="120" hidden="1">
      <c r="A103" s="8" t="s">
        <v>10287</v>
      </c>
      <c r="B103" s="11" t="s">
        <v>13561</v>
      </c>
      <c r="C103" s="37" t="s">
        <v>13578</v>
      </c>
      <c r="D103" s="24"/>
      <c r="E103" s="24"/>
      <c r="F103" s="24" t="str">
        <v>K254</v>
      </c>
      <c r="G103" s="24" t="str">
        <v>9 out of 10</v>
      </c>
      <c r="H103" s="24" t="str">
        <v>https://nycdoe.sharepoint.com/:w:/s/BAP/EfR-PAtH3rlFrDIOgagKbpMB9QP2p6R6Mdg42LEPjUXQxQ</v>
      </c>
      <c r="I103" s="23">
        <v>95</v>
      </c>
      <c r="J103" s="24" t="str">
        <v>-</v>
      </c>
      <c r="K103" s="24">
        <v>324</v>
      </c>
      <c r="L103" s="24" t="str">
        <v>9 out of 10</v>
      </c>
      <c r="M103" s="23" t="b">
        <f t="shared" si="2"/>
        <v>1</v>
      </c>
      <c r="N103" s="23" t="str">
        <v>9 out of 10</v>
      </c>
      <c r="O103" s="23"/>
      <c r="P103" s="42" t="str">
        <v>9</v>
      </c>
      <c r="Q103" s="42" t="str">
        <v>9</v>
      </c>
      <c r="R103" s="42" t="str">
        <v>9</v>
      </c>
      <c r="S103" s="10" t="str">
        <f t="shared" si="3"/>
        <v>No Change</v>
      </c>
    </row>
    <row r="104" spans="1:19" ht="120" hidden="1">
      <c r="A104" s="8" t="s">
        <v>2062</v>
      </c>
      <c r="B104" s="9" t="s">
        <v>13555</v>
      </c>
      <c r="C104" s="37" t="s">
        <v>6695</v>
      </c>
      <c r="D104" s="24"/>
      <c r="E104" s="24"/>
      <c r="F104" s="24" t="str">
        <v>K257</v>
      </c>
      <c r="G104" s="24" t="str">
        <v>3 out of 10</v>
      </c>
      <c r="H104" s="24" t="str">
        <v>https://nycdoe.sharepoint.com/:w:/s/BAP/EYc5JQ-RpV9HrnDN2yX6DAkBy-FXYT0ywRKJNE3nAFlFkA</v>
      </c>
      <c r="I104" s="23">
        <v>96</v>
      </c>
      <c r="J104" s="24" t="str">
        <v>3 out of 10</v>
      </c>
      <c r="K104" s="24">
        <v>328</v>
      </c>
      <c r="L104" s="24" t="str">
        <v>3 out of 10</v>
      </c>
      <c r="M104" s="23" t="b">
        <f t="shared" si="2"/>
        <v>1</v>
      </c>
      <c r="N104" s="23" t="str">
        <v>3 out of 10</v>
      </c>
      <c r="O104" s="23"/>
      <c r="P104" s="42" t="str">
        <v>3</v>
      </c>
      <c r="Q104" s="42" t="str">
        <v>3</v>
      </c>
      <c r="R104" s="42" t="str">
        <v>3</v>
      </c>
      <c r="S104" s="10" t="str">
        <f t="shared" si="3"/>
        <v>No Change</v>
      </c>
    </row>
    <row r="105" spans="1:19" ht="120" hidden="1">
      <c r="A105" s="8" t="s">
        <v>2139</v>
      </c>
      <c r="B105" s="9" t="s">
        <v>13555</v>
      </c>
      <c r="C105" s="37" t="s">
        <v>6799</v>
      </c>
      <c r="D105" s="24"/>
      <c r="E105" s="24"/>
      <c r="F105" s="24" t="str">
        <v>K258</v>
      </c>
      <c r="G105" s="24" t="str">
        <v>9 out of 10</v>
      </c>
      <c r="H105" s="24" t="str">
        <v>https://nycdoe.sharepoint.com/:w:/s/BAP/EYZ9RJxRDfpBgufk_2GmcMABzzNsII641d7T-j_U6gXvFA</v>
      </c>
      <c r="I105" s="23">
        <v>97</v>
      </c>
      <c r="J105" s="24" t="str">
        <v>-</v>
      </c>
      <c r="K105" s="24">
        <v>329</v>
      </c>
      <c r="L105" s="24" t="str">
        <v>9 out of 10</v>
      </c>
      <c r="M105" s="23" t="b">
        <f t="shared" si="2"/>
        <v>1</v>
      </c>
      <c r="N105" s="23" t="str">
        <v>9 out of 10</v>
      </c>
      <c r="O105" s="23"/>
      <c r="P105" s="42" t="str">
        <v>9</v>
      </c>
      <c r="Q105" s="42" t="str">
        <v>9</v>
      </c>
      <c r="R105" s="42" t="str">
        <v>9</v>
      </c>
      <c r="S105" s="10" t="str">
        <f t="shared" si="3"/>
        <v>No Change</v>
      </c>
    </row>
    <row r="106" spans="1:19" ht="120" hidden="1">
      <c r="A106" s="8" t="s">
        <v>1644</v>
      </c>
      <c r="B106" s="9" t="s">
        <v>13555</v>
      </c>
      <c r="C106" s="37" t="s">
        <v>6155</v>
      </c>
      <c r="D106" s="24"/>
      <c r="E106" s="24"/>
      <c r="F106" s="24" t="str">
        <v>K259</v>
      </c>
      <c r="G106" s="24" t="str">
        <v>9 out of 10</v>
      </c>
      <c r="H106" s="24" t="str">
        <v>https://nycdoe.sharepoint.com/:w:/s/BAP/Ea_V0P3812dNjqwHqjOLntYBvZf0a_w0d1vrvVej6Gom6g</v>
      </c>
      <c r="I106" s="23">
        <v>98</v>
      </c>
      <c r="J106" s="24" t="str">
        <v>-</v>
      </c>
      <c r="K106" s="24">
        <v>331</v>
      </c>
      <c r="L106" s="24" t="str">
        <v>9 out of 10</v>
      </c>
      <c r="M106" s="23" t="b">
        <f t="shared" si="2"/>
        <v>1</v>
      </c>
      <c r="N106" s="23" t="str">
        <v>9 out of 10</v>
      </c>
      <c r="O106" s="23"/>
      <c r="P106" s="42" t="str">
        <v>9</v>
      </c>
      <c r="Q106" s="42" t="str">
        <v>9</v>
      </c>
      <c r="R106" s="42" t="str">
        <v>9</v>
      </c>
      <c r="S106" s="10" t="str">
        <f t="shared" si="3"/>
        <v>No Change</v>
      </c>
    </row>
    <row r="107" spans="1:19" ht="120" hidden="1">
      <c r="A107" s="8" t="s">
        <v>1282</v>
      </c>
      <c r="B107" s="9" t="s">
        <v>13564</v>
      </c>
      <c r="C107" s="37" t="s">
        <v>5731</v>
      </c>
      <c r="D107" s="24"/>
      <c r="E107" s="24"/>
      <c r="F107" s="24" t="str">
        <v>K261</v>
      </c>
      <c r="G107" s="24" t="str">
        <v>3 out of 10</v>
      </c>
      <c r="H107" s="24" t="str">
        <v>https://nycdoe.sharepoint.com/:w:/s/BAP/EdArwNv9BgpCjL3VBEHoilIBMulTuR0EwO85SA56UhdGZg</v>
      </c>
      <c r="I107" s="23">
        <v>99</v>
      </c>
      <c r="J107" s="24" t="str">
        <v>-</v>
      </c>
      <c r="K107" s="24">
        <v>333</v>
      </c>
      <c r="L107" s="24" t="str">
        <v>3 out of 10</v>
      </c>
      <c r="M107" s="23" t="b">
        <f t="shared" si="2"/>
        <v>1</v>
      </c>
      <c r="N107" s="23" t="str">
        <v>3 out of 10</v>
      </c>
      <c r="O107" s="23"/>
      <c r="P107" s="42" t="str">
        <v>3</v>
      </c>
      <c r="Q107" s="42" t="str">
        <v>3</v>
      </c>
      <c r="R107" s="42" t="str">
        <v>3</v>
      </c>
      <c r="S107" s="10" t="str">
        <f t="shared" si="3"/>
        <v>No Change</v>
      </c>
    </row>
    <row r="108" spans="1:19" ht="120" hidden="1">
      <c r="A108" s="8" t="s">
        <v>1971</v>
      </c>
      <c r="B108" s="9" t="s">
        <v>13558</v>
      </c>
      <c r="C108" s="37" t="s">
        <v>6567</v>
      </c>
      <c r="D108" s="24"/>
      <c r="E108" s="24"/>
      <c r="F108" s="24" t="str">
        <v>K263</v>
      </c>
      <c r="G108" s="24" t="str">
        <v>1 out of 10</v>
      </c>
      <c r="H108" s="24" t="str">
        <v>https://nycdoe.sharepoint.com/:w:/s/BAP/Efx54ZxDAkRBhF69zR7U-dUBjU7bujTdSC7hxt7JAm4GDA</v>
      </c>
      <c r="I108" s="23">
        <v>100</v>
      </c>
      <c r="J108" s="24" t="str">
        <v>-</v>
      </c>
      <c r="K108" s="24">
        <v>337</v>
      </c>
      <c r="L108" s="24" t="str">
        <v>1 out of 10</v>
      </c>
      <c r="M108" s="23" t="b">
        <f t="shared" si="2"/>
        <v>1</v>
      </c>
      <c r="N108" s="23" t="str">
        <v>1 out of 10</v>
      </c>
      <c r="O108" s="23"/>
      <c r="P108" s="42" t="str">
        <v>1</v>
      </c>
      <c r="Q108" s="42" t="str">
        <v>1</v>
      </c>
      <c r="R108" s="42" t="str">
        <v>1</v>
      </c>
      <c r="S108" s="10" t="str">
        <f t="shared" si="3"/>
        <v>No Change</v>
      </c>
    </row>
    <row r="109" spans="1:19" ht="120" hidden="1">
      <c r="A109" s="8" t="s">
        <v>1085</v>
      </c>
      <c r="B109" s="11" t="s">
        <v>13558</v>
      </c>
      <c r="C109" s="37" t="s">
        <v>5486</v>
      </c>
      <c r="D109" s="24"/>
      <c r="E109" s="24"/>
      <c r="F109" s="24" t="str">
        <v>K264</v>
      </c>
      <c r="G109" s="24" t="str">
        <v>10 out of 10</v>
      </c>
      <c r="H109" s="24" t="str">
        <v>https://nycdoe.sharepoint.com/:w:/s/BAP/EVOh3BjEDC5HqGZJeoo6UpgBW2Yc2wwgES47lI_9QHYVew</v>
      </c>
      <c r="I109" s="23">
        <v>101</v>
      </c>
      <c r="J109" s="24" t="str">
        <v>-</v>
      </c>
      <c r="K109" s="24">
        <v>341</v>
      </c>
      <c r="L109" s="24" t="str">
        <v>10 out of 10</v>
      </c>
      <c r="M109" s="23" t="b">
        <f t="shared" si="2"/>
        <v>1</v>
      </c>
      <c r="N109" s="23" t="str">
        <v>10 out of 10</v>
      </c>
      <c r="O109" s="23"/>
      <c r="P109" s="42" t="str">
        <v>10</v>
      </c>
      <c r="Q109" s="42" t="str">
        <v>10</v>
      </c>
      <c r="R109" s="42" t="str">
        <v>10</v>
      </c>
      <c r="S109" s="10" t="str">
        <f t="shared" si="3"/>
        <v>No Change</v>
      </c>
    </row>
    <row r="110" spans="1:19" ht="120" hidden="1">
      <c r="A110" s="8" t="s">
        <v>2067</v>
      </c>
      <c r="B110" s="9" t="s">
        <v>13564</v>
      </c>
      <c r="C110" s="37" t="s">
        <v>6702</v>
      </c>
      <c r="D110" s="24"/>
      <c r="E110" s="24"/>
      <c r="F110" s="24" t="str">
        <v>K265</v>
      </c>
      <c r="G110" s="24" t="str">
        <v>0 out of 10</v>
      </c>
      <c r="H110" s="24" t="str">
        <v>https://nycdoe.sharepoint.com/:w:/s/BAP/EamqGg-8M25Jou8QxFndwmoBzITLKSMjy5zMJJwu7cnY-w</v>
      </c>
      <c r="I110" s="23">
        <v>102</v>
      </c>
      <c r="J110" s="24" t="str">
        <v>-</v>
      </c>
      <c r="K110" s="24">
        <v>343</v>
      </c>
      <c r="L110" s="24" t="str">
        <v>N/A out of 10</v>
      </c>
      <c r="M110" s="23" t="b">
        <f t="shared" si="2"/>
        <v>0</v>
      </c>
      <c r="N110" s="23" t="str">
        <v>0 out of 10</v>
      </c>
      <c r="O110" s="23"/>
      <c r="P110" s="42" t="str">
        <v>0</v>
      </c>
      <c r="Q110" s="42" t="str">
        <v>N/A</v>
      </c>
      <c r="R110" s="42" t="str">
        <v>0</v>
      </c>
      <c r="S110" s="10" t="str">
        <f t="shared" si="3"/>
        <v>No Change</v>
      </c>
    </row>
    <row r="111" spans="1:19" ht="120" hidden="1">
      <c r="A111" s="8" t="s">
        <v>1494</v>
      </c>
      <c r="B111" s="9" t="s">
        <v>13557</v>
      </c>
      <c r="C111" s="37" t="s">
        <v>5976</v>
      </c>
      <c r="D111" s="24"/>
      <c r="E111" s="24"/>
      <c r="F111" s="24" t="str">
        <v>K269</v>
      </c>
      <c r="G111" s="24" t="str">
        <v>9 out of 10</v>
      </c>
      <c r="H111" s="24" t="str">
        <v>https://nycdoe.sharepoint.com/:w:/s/BAP/EY8v-wi5Ma1MlN7j1bMcfmABv_2Wp9QmoY1KLpNIoFVh4w</v>
      </c>
      <c r="I111" s="23">
        <v>103</v>
      </c>
      <c r="J111" s="24" t="str">
        <v>-</v>
      </c>
      <c r="K111" s="24">
        <v>347</v>
      </c>
      <c r="L111" s="24" t="str">
        <v>9 out of 10</v>
      </c>
      <c r="M111" s="23" t="b">
        <f t="shared" si="2"/>
        <v>1</v>
      </c>
      <c r="N111" s="23" t="str">
        <v>9 out of 10</v>
      </c>
      <c r="O111" s="23"/>
      <c r="P111" s="42" t="str">
        <v>9</v>
      </c>
      <c r="Q111" s="42" t="str">
        <v>9</v>
      </c>
      <c r="R111" s="42" t="str">
        <v>9</v>
      </c>
      <c r="S111" s="10" t="str">
        <f t="shared" si="3"/>
        <v>No Change</v>
      </c>
    </row>
    <row r="112" spans="1:19" ht="135" hidden="1">
      <c r="A112" s="8" t="s">
        <v>1727</v>
      </c>
      <c r="B112" s="11" t="s">
        <v>13565</v>
      </c>
      <c r="C112" s="37" t="s">
        <v>6255</v>
      </c>
      <c r="D112" s="24"/>
      <c r="E112" s="24"/>
      <c r="F112" s="24" t="str">
        <v>K275</v>
      </c>
      <c r="G112" s="24" t="str">
        <v>9 out of 10</v>
      </c>
      <c r="H112" s="24" t="str">
        <v>https://nycdoe.sharepoint.com/:w:/s/BAP/EaGoUDwGD_ZEoaCERrerGRcB9-2CG_nERrwLnO4AohpvrQ</v>
      </c>
      <c r="I112" s="23">
        <v>104</v>
      </c>
      <c r="J112" s="24" t="str">
        <v>-</v>
      </c>
      <c r="K112" s="24">
        <v>356</v>
      </c>
      <c r="L112" s="24" t="str">
        <v>9 out of 10</v>
      </c>
      <c r="M112" s="23" t="b">
        <f t="shared" si="2"/>
        <v>1</v>
      </c>
      <c r="N112" s="23" t="str">
        <v>9 out of 10</v>
      </c>
      <c r="O112" s="23"/>
      <c r="P112" s="42" t="str">
        <v>9</v>
      </c>
      <c r="Q112" s="42" t="str">
        <v>9</v>
      </c>
      <c r="R112" s="42" t="str">
        <v>9</v>
      </c>
      <c r="S112" s="10" t="str">
        <f t="shared" si="3"/>
        <v>No Change</v>
      </c>
    </row>
    <row r="113" spans="1:19" ht="120" hidden="1">
      <c r="A113" s="8" t="s">
        <v>2183</v>
      </c>
      <c r="B113" s="9" t="s">
        <v>13559</v>
      </c>
      <c r="C113" s="37" t="s">
        <v>6851</v>
      </c>
      <c r="D113" s="24"/>
      <c r="E113" s="24"/>
      <c r="F113" s="24" t="str">
        <v>K279</v>
      </c>
      <c r="G113" s="24" t="str">
        <v>9 out of 10</v>
      </c>
      <c r="H113" s="24" t="str">
        <v>https://nycdoe.sharepoint.com/:w:/s/BAP/EQ9uUT_rZcJEjEJUbBNzEVIBhazSWknBZKlrYppt-YjHuQ</v>
      </c>
      <c r="I113" s="23">
        <v>105</v>
      </c>
      <c r="J113" s="24" t="str">
        <v>-</v>
      </c>
      <c r="K113" s="24">
        <v>363</v>
      </c>
      <c r="L113" s="24" t="str">
        <v>9 out of 10</v>
      </c>
      <c r="M113" s="23" t="b">
        <f t="shared" si="2"/>
        <v>1</v>
      </c>
      <c r="N113" s="23" t="str">
        <v>9 out of 10</v>
      </c>
      <c r="O113" s="23"/>
      <c r="P113" s="42" t="str">
        <v>9</v>
      </c>
      <c r="Q113" s="42" t="str">
        <v>9</v>
      </c>
      <c r="R113" s="42" t="str">
        <v>9</v>
      </c>
      <c r="S113" s="10" t="str">
        <f t="shared" si="3"/>
        <v>No Change</v>
      </c>
    </row>
    <row r="114" spans="1:19" ht="120" hidden="1">
      <c r="A114" s="8" t="s">
        <v>1287</v>
      </c>
      <c r="B114" s="11" t="s">
        <v>13559</v>
      </c>
      <c r="C114" s="37" t="s">
        <v>5735</v>
      </c>
      <c r="D114" s="24"/>
      <c r="E114" s="24"/>
      <c r="F114" s="24" t="str">
        <v>K280</v>
      </c>
      <c r="G114" s="24" t="str">
        <v>4 out of 10</v>
      </c>
      <c r="H114" s="24" t="str">
        <v>https://nycdoe.sharepoint.com/:w:/s/BAP/ETeAz3QGiqFKkxhN9kiJqDUB7l2MBXmavUiYOpzpsG3tMg</v>
      </c>
      <c r="I114" s="23">
        <v>106</v>
      </c>
      <c r="J114" s="24" t="str">
        <v>4 out of 10</v>
      </c>
      <c r="K114" s="24">
        <v>365</v>
      </c>
      <c r="L114" s="24" t="str">
        <v>4 out of 10</v>
      </c>
      <c r="M114" s="23" t="b">
        <f t="shared" si="2"/>
        <v>1</v>
      </c>
      <c r="N114" s="23" t="str">
        <v>4 out of 10</v>
      </c>
      <c r="O114" s="23"/>
      <c r="P114" s="42" t="str">
        <v>4</v>
      </c>
      <c r="Q114" s="42" t="str">
        <v>4</v>
      </c>
      <c r="R114" s="42" t="str">
        <v>4</v>
      </c>
      <c r="S114" s="10" t="str">
        <f t="shared" si="3"/>
        <v>No Change</v>
      </c>
    </row>
    <row r="115" spans="1:19" ht="120" hidden="1">
      <c r="A115" s="8" t="s">
        <v>2153</v>
      </c>
      <c r="B115" s="9" t="s">
        <v>13558</v>
      </c>
      <c r="C115" s="37" t="s">
        <v>6814</v>
      </c>
      <c r="D115" s="24"/>
      <c r="E115" s="24"/>
      <c r="F115" s="24" t="str">
        <v>K281</v>
      </c>
      <c r="G115" s="24" t="str">
        <v>1 out of 10</v>
      </c>
      <c r="H115" s="24" t="str">
        <v>https://nycdoe.sharepoint.com/:w:/s/BAP/EZqBK0vzJyxFjNSF95HrCgYBLitHues_jRmC8FaFYVwYuQ</v>
      </c>
      <c r="I115" s="23">
        <v>107</v>
      </c>
      <c r="J115" s="24" t="str">
        <v>-</v>
      </c>
      <c r="K115" s="24">
        <v>367</v>
      </c>
      <c r="L115" s="24" t="str">
        <v>1 out of 10</v>
      </c>
      <c r="M115" s="23" t="b">
        <f t="shared" si="2"/>
        <v>1</v>
      </c>
      <c r="N115" s="23" t="str">
        <v>1 out of 10</v>
      </c>
      <c r="O115" s="23"/>
      <c r="P115" s="42" t="str">
        <v>1</v>
      </c>
      <c r="Q115" s="42" t="str">
        <v>1</v>
      </c>
      <c r="R115" s="42" t="str">
        <v>1</v>
      </c>
      <c r="S115" s="10" t="str">
        <f t="shared" si="3"/>
        <v>No Change</v>
      </c>
    </row>
    <row r="116" spans="1:19" ht="120" hidden="1">
      <c r="A116" s="8" t="s">
        <v>1731</v>
      </c>
      <c r="B116" s="9" t="s">
        <v>13557</v>
      </c>
      <c r="C116" s="37" t="s">
        <v>6259</v>
      </c>
      <c r="D116" s="24"/>
      <c r="E116" s="24"/>
      <c r="F116" s="24" t="str">
        <v>K282</v>
      </c>
      <c r="G116" s="24" t="str">
        <v>1 out of 10</v>
      </c>
      <c r="H116" s="24" t="str">
        <v>https://nycdoe.sharepoint.com/:w:/s/BAP/EYEw2ZTQqHROjv-VIX-ssJIB1Hf-vwy9POrRi2LrsXGA1A</v>
      </c>
      <c r="I116" s="23">
        <v>108</v>
      </c>
      <c r="J116" s="24" t="str">
        <v>-</v>
      </c>
      <c r="K116" s="24">
        <v>370</v>
      </c>
      <c r="L116" s="24" t="str">
        <v>1 out of 10</v>
      </c>
      <c r="M116" s="23" t="b">
        <f t="shared" si="2"/>
        <v>1</v>
      </c>
      <c r="N116" s="23" t="str">
        <v>1 out of 10</v>
      </c>
      <c r="O116" s="23"/>
      <c r="P116" s="42" t="str">
        <v>1</v>
      </c>
      <c r="Q116" s="42" t="str">
        <v>1</v>
      </c>
      <c r="R116" s="42" t="str">
        <v>1</v>
      </c>
      <c r="S116" s="10" t="str">
        <f t="shared" si="3"/>
        <v>No Change</v>
      </c>
    </row>
    <row r="117" spans="1:19" ht="120" hidden="1">
      <c r="A117" s="8" t="s">
        <v>1981</v>
      </c>
      <c r="B117" s="9" t="s">
        <v>13555</v>
      </c>
      <c r="C117" s="37" t="s">
        <v>6578</v>
      </c>
      <c r="D117" s="24"/>
      <c r="E117" s="24"/>
      <c r="F117" s="24" t="str">
        <v>K286</v>
      </c>
      <c r="G117" s="24" t="str">
        <v>6 out of 10</v>
      </c>
      <c r="H117" s="24" t="str">
        <v>https://nycdoe.sharepoint.com/:w:/s/BAP/ESry4VtwKKVIiEqqswEl5IsBnsPgqf3-pHxuXcRx7C2kKA</v>
      </c>
      <c r="I117" s="23">
        <v>109</v>
      </c>
      <c r="J117" s="24" t="str">
        <v>-</v>
      </c>
      <c r="K117" s="24">
        <v>374</v>
      </c>
      <c r="L117" s="24" t="str">
        <v>6 out of 10</v>
      </c>
      <c r="M117" s="23" t="b">
        <f t="shared" si="2"/>
        <v>1</v>
      </c>
      <c r="N117" s="23" t="str">
        <v>6 out of 10</v>
      </c>
      <c r="O117" s="23"/>
      <c r="P117" s="42" t="str">
        <v>6</v>
      </c>
      <c r="Q117" s="42" t="str">
        <v>6</v>
      </c>
      <c r="R117" s="42" t="str">
        <v>6</v>
      </c>
      <c r="S117" s="10" t="str">
        <f t="shared" si="3"/>
        <v>No Change</v>
      </c>
    </row>
    <row r="118" spans="1:19" ht="120" hidden="1">
      <c r="A118" s="8" t="s">
        <v>1397</v>
      </c>
      <c r="B118" s="9" t="s">
        <v>13564</v>
      </c>
      <c r="C118" s="37" t="s">
        <v>5871</v>
      </c>
      <c r="D118" s="24"/>
      <c r="E118" s="24"/>
      <c r="F118" s="24" t="str">
        <v>K289</v>
      </c>
      <c r="G118" s="24" t="str">
        <v>8 out of 10</v>
      </c>
      <c r="H118" s="24" t="str">
        <v>https://nycdoe.sharepoint.com/:w:/s/BAP/EZOS0kDdY09LtCFUSu3RCrkBdZ4EElovHcwyWkOqVg0K0A</v>
      </c>
      <c r="I118" s="23">
        <v>110</v>
      </c>
      <c r="J118" s="24" t="str">
        <v>-</v>
      </c>
      <c r="K118" s="24">
        <v>378</v>
      </c>
      <c r="L118" s="24" t="str">
        <v>8 out of 10</v>
      </c>
      <c r="M118" s="23" t="b">
        <f t="shared" si="2"/>
        <v>1</v>
      </c>
      <c r="N118" s="23" t="str">
        <v>8 out of 10</v>
      </c>
      <c r="O118" s="23"/>
      <c r="P118" s="42" t="str">
        <v>8</v>
      </c>
      <c r="Q118" s="42" t="str">
        <v>8</v>
      </c>
      <c r="R118" s="42" t="str">
        <v>8</v>
      </c>
      <c r="S118" s="10" t="str">
        <f t="shared" si="3"/>
        <v>No Change</v>
      </c>
    </row>
    <row r="119" spans="1:19" ht="120" hidden="1">
      <c r="A119" s="8" t="s">
        <v>1871</v>
      </c>
      <c r="B119" s="9" t="s">
        <v>13553</v>
      </c>
      <c r="C119" s="37" t="s">
        <v>6415</v>
      </c>
      <c r="D119" s="24"/>
      <c r="E119" s="24"/>
      <c r="F119" s="24" t="str">
        <v>K290</v>
      </c>
      <c r="G119" s="24" t="str">
        <v>5 out of 10</v>
      </c>
      <c r="H119" s="24" t="str">
        <v>https://nycdoe.sharepoint.com/:w:/s/BAP/EW3Kwos6yw1IjxHxah3XdHQB9tYoLszdkY-EVGz_MbfUpg</v>
      </c>
      <c r="I119" s="23">
        <v>111</v>
      </c>
      <c r="J119" s="24" t="str">
        <v>-</v>
      </c>
      <c r="K119" s="24">
        <v>380</v>
      </c>
      <c r="L119" s="24" t="str">
        <v>5 out of 10</v>
      </c>
      <c r="M119" s="23" t="b">
        <f t="shared" si="2"/>
        <v>1</v>
      </c>
      <c r="N119" s="23" t="str">
        <v>5 out of 10</v>
      </c>
      <c r="O119" s="23"/>
      <c r="P119" s="42" t="str">
        <v>5</v>
      </c>
      <c r="Q119" s="42" t="str">
        <v>5</v>
      </c>
      <c r="R119" s="42" t="str">
        <v>5</v>
      </c>
      <c r="S119" s="10" t="str">
        <f t="shared" si="3"/>
        <v>No Change</v>
      </c>
    </row>
    <row r="120" spans="1:19" ht="120" hidden="1">
      <c r="A120" s="8" t="s">
        <v>2069</v>
      </c>
      <c r="B120" s="9" t="s">
        <v>13558</v>
      </c>
      <c r="C120" s="37" t="s">
        <v>6706</v>
      </c>
      <c r="D120" s="24"/>
      <c r="E120" s="24"/>
      <c r="F120" s="24" t="str">
        <v>K291</v>
      </c>
      <c r="G120" s="24" t="str">
        <v>3 out of 10</v>
      </c>
      <c r="H120" s="24" t="str">
        <v>https://nycdoe.sharepoint.com/:w:/s/BAP/EYBwe1meym1BrJGjgvkFKlcBIsS19ggdezGwjDmFu7kUlg</v>
      </c>
      <c r="I120" s="23">
        <v>112</v>
      </c>
      <c r="J120" s="24" t="str">
        <v>-</v>
      </c>
      <c r="K120" s="24">
        <v>381</v>
      </c>
      <c r="L120" s="24" t="str">
        <v>3 out of 10</v>
      </c>
      <c r="M120" s="23" t="b">
        <f t="shared" si="2"/>
        <v>1</v>
      </c>
      <c r="N120" s="23" t="str">
        <v>3 out of 10</v>
      </c>
      <c r="O120" s="23"/>
      <c r="P120" s="42" t="str">
        <v>3</v>
      </c>
      <c r="Q120" s="42" t="str">
        <v>3</v>
      </c>
      <c r="R120" s="42" t="str">
        <v>3</v>
      </c>
      <c r="S120" s="10" t="str">
        <f t="shared" si="3"/>
        <v>No Change</v>
      </c>
    </row>
    <row r="121" spans="1:19" ht="120" hidden="1">
      <c r="A121" s="8" t="s">
        <v>1089</v>
      </c>
      <c r="B121" s="9" t="s">
        <v>13553</v>
      </c>
      <c r="C121" s="37" t="s">
        <v>5494</v>
      </c>
      <c r="D121" s="24"/>
      <c r="E121" s="24"/>
      <c r="F121" s="24" t="str">
        <v>K293</v>
      </c>
      <c r="G121" s="24" t="str">
        <v>3 out of 10</v>
      </c>
      <c r="H121" s="24" t="str">
        <v>https://nycdoe.sharepoint.com/:w:/s/BAP/EeNn43r3Gc1AtioSIychIe4B4mlwzT4KwWE_ebaOybQe6g</v>
      </c>
      <c r="I121" s="23">
        <v>113</v>
      </c>
      <c r="J121" s="24" t="str">
        <v>-</v>
      </c>
      <c r="K121" s="24">
        <v>387</v>
      </c>
      <c r="L121" s="24" t="str">
        <v>3 out of 10</v>
      </c>
      <c r="M121" s="23" t="b">
        <f t="shared" si="2"/>
        <v>1</v>
      </c>
      <c r="N121" s="23" t="str">
        <v>3 out of 10</v>
      </c>
      <c r="O121" s="23"/>
      <c r="P121" s="42" t="str">
        <v>3</v>
      </c>
      <c r="Q121" s="42" t="str">
        <v>3</v>
      </c>
      <c r="R121" s="42" t="str">
        <v>3</v>
      </c>
      <c r="S121" s="10" t="str">
        <f t="shared" si="3"/>
        <v>No Change</v>
      </c>
    </row>
    <row r="122" spans="1:19" ht="120" hidden="1">
      <c r="A122" s="8" t="s">
        <v>1875</v>
      </c>
      <c r="B122" s="9" t="s">
        <v>13555</v>
      </c>
      <c r="C122" s="37" t="s">
        <v>6419</v>
      </c>
      <c r="D122" s="24"/>
      <c r="E122" s="24"/>
      <c r="F122" s="24" t="str">
        <v>K298</v>
      </c>
      <c r="G122" s="24" t="str">
        <v>1 out of 10</v>
      </c>
      <c r="H122" s="24" t="str">
        <v>https://nycdoe.sharepoint.com/:w:/s/BAP/EYrLzJYhtnFAjBCCDZnrghwBzdguT5mAU-p1mzs8-dCCPg</v>
      </c>
      <c r="I122" s="23">
        <v>114</v>
      </c>
      <c r="J122" s="24" t="str">
        <v>-</v>
      </c>
      <c r="K122" s="24">
        <v>395</v>
      </c>
      <c r="L122" s="24" t="str">
        <v>1 out of 10</v>
      </c>
      <c r="M122" s="23" t="b">
        <f t="shared" si="2"/>
        <v>1</v>
      </c>
      <c r="N122" s="23" t="str">
        <v>1 out of 10</v>
      </c>
      <c r="O122" s="23"/>
      <c r="P122" s="42" t="str">
        <v>1</v>
      </c>
      <c r="Q122" s="42" t="str">
        <v>1</v>
      </c>
      <c r="R122" s="42" t="str">
        <v>1</v>
      </c>
      <c r="S122" s="10" t="str">
        <f t="shared" si="3"/>
        <v>No Change</v>
      </c>
    </row>
    <row r="123" spans="1:19" ht="120" hidden="1">
      <c r="A123" s="8" t="s">
        <v>1097</v>
      </c>
      <c r="B123" s="9" t="s">
        <v>13553</v>
      </c>
      <c r="C123" s="37" t="s">
        <v>5502</v>
      </c>
      <c r="D123" s="24"/>
      <c r="E123" s="24"/>
      <c r="F123" s="24" t="str">
        <v>K302</v>
      </c>
      <c r="G123" s="24" t="str">
        <v>5 out of 10</v>
      </c>
      <c r="H123" s="24" t="str">
        <v>https://nycdoe.sharepoint.com/:w:/s/BAP/EV0aoTKjKLRDsHnZQaYslW4BYPvTlGegNrjCR7-pbyttVw</v>
      </c>
      <c r="I123" s="23">
        <v>115</v>
      </c>
      <c r="J123" s="24" t="str">
        <v>5 out of 10</v>
      </c>
      <c r="K123" s="24">
        <v>398</v>
      </c>
      <c r="L123" s="24" t="str">
        <v>5 out of 10</v>
      </c>
      <c r="M123" s="23" t="b">
        <f t="shared" si="2"/>
        <v>1</v>
      </c>
      <c r="N123" s="23" t="str">
        <v>5 out of 10</v>
      </c>
      <c r="O123" s="23"/>
      <c r="P123" s="42" t="str">
        <v>5</v>
      </c>
      <c r="Q123" s="42" t="str">
        <v>5</v>
      </c>
      <c r="R123" s="42" t="str">
        <v>5</v>
      </c>
      <c r="S123" s="10" t="str">
        <f t="shared" si="3"/>
        <v>No Change</v>
      </c>
    </row>
    <row r="124" spans="1:19" ht="120" hidden="1">
      <c r="A124" s="8" t="s">
        <v>1208</v>
      </c>
      <c r="B124" s="9" t="s">
        <v>13559</v>
      </c>
      <c r="C124" s="37" t="s">
        <v>5644</v>
      </c>
      <c r="D124" s="24"/>
      <c r="E124" s="24"/>
      <c r="F124" s="24" t="str">
        <v>K303</v>
      </c>
      <c r="G124" s="24" t="str">
        <v>9 out of 10</v>
      </c>
      <c r="H124" s="24" t="str">
        <v>https://nycdoe.sharepoint.com/:w:/s/BAP/EQPPXkf9vmlLkbabUMOIueUB2zj0xYUr8G-fjJmCwzuzqg</v>
      </c>
      <c r="I124" s="23">
        <v>116</v>
      </c>
      <c r="J124" s="24" t="str">
        <v>-</v>
      </c>
      <c r="K124" s="24">
        <v>401</v>
      </c>
      <c r="L124" s="24" t="str">
        <v>9 out of 10</v>
      </c>
      <c r="M124" s="23" t="b">
        <f t="shared" si="2"/>
        <v>1</v>
      </c>
      <c r="N124" s="23" t="str">
        <v>9 out of 10</v>
      </c>
      <c r="O124" s="23"/>
      <c r="P124" s="42" t="str">
        <v>9</v>
      </c>
      <c r="Q124" s="42" t="str">
        <v>9</v>
      </c>
      <c r="R124" s="42" t="str">
        <v>9</v>
      </c>
      <c r="S124" s="10" t="str">
        <f t="shared" si="3"/>
        <v>No Change</v>
      </c>
    </row>
    <row r="125" spans="1:19" ht="120" hidden="1">
      <c r="A125" s="8" t="s">
        <v>1212</v>
      </c>
      <c r="B125" s="9" t="s">
        <v>13558</v>
      </c>
      <c r="C125" s="37" t="s">
        <v>5647</v>
      </c>
      <c r="D125" s="24"/>
      <c r="E125" s="24"/>
      <c r="F125" s="24" t="str">
        <v>K308</v>
      </c>
      <c r="G125" s="24" t="str">
        <v>6 out of 10</v>
      </c>
      <c r="H125" s="24" t="str">
        <v>https://nycdoe.sharepoint.com/:w:/s/BAP/EYfIKjNeqeJLizMFauo17osBTmNaA9axe3E2mX504JvmhQ</v>
      </c>
      <c r="I125" s="23">
        <v>117</v>
      </c>
      <c r="J125" s="24" t="str">
        <v>-</v>
      </c>
      <c r="K125" s="24">
        <v>411</v>
      </c>
      <c r="L125" s="24" t="str">
        <v>6 out of 10</v>
      </c>
      <c r="M125" s="23" t="b">
        <f t="shared" si="2"/>
        <v>1</v>
      </c>
      <c r="N125" s="23" t="str">
        <v>6 out of 10</v>
      </c>
      <c r="O125" s="23"/>
      <c r="P125" s="42" t="str">
        <v>6</v>
      </c>
      <c r="Q125" s="42" t="str">
        <v>6</v>
      </c>
      <c r="R125" s="42" t="str">
        <v>6</v>
      </c>
      <c r="S125" s="10" t="str">
        <f t="shared" si="3"/>
        <v>No Change</v>
      </c>
    </row>
    <row r="126" spans="1:19" ht="120" hidden="1">
      <c r="A126" s="8" t="s">
        <v>1298</v>
      </c>
      <c r="B126" s="9" t="s">
        <v>13555</v>
      </c>
      <c r="C126" s="37" t="s">
        <v>5743</v>
      </c>
      <c r="D126" s="24"/>
      <c r="E126" s="24"/>
      <c r="F126" s="24" t="str">
        <v>K310</v>
      </c>
      <c r="G126" s="24" t="str">
        <v>10 out of 10</v>
      </c>
      <c r="H126" s="24" t="str">
        <v>https://nycdoe.sharepoint.com/:w:/s/BAP/ER_yeO1ORntCuR5IxcThSTQBCGHWqiFZSi18-tBHPFw53w</v>
      </c>
      <c r="I126" s="23">
        <v>118</v>
      </c>
      <c r="J126" s="24" t="str">
        <v>-</v>
      </c>
      <c r="K126" s="24">
        <v>415</v>
      </c>
      <c r="L126" s="24" t="str">
        <v>10 out of 10</v>
      </c>
      <c r="M126" s="23" t="b">
        <f t="shared" si="2"/>
        <v>1</v>
      </c>
      <c r="N126" s="23" t="str">
        <v>10 out of 10</v>
      </c>
      <c r="O126" s="23"/>
      <c r="P126" s="42" t="str">
        <v>10</v>
      </c>
      <c r="Q126" s="42" t="str">
        <v>10</v>
      </c>
      <c r="R126" s="42" t="str">
        <v>10</v>
      </c>
      <c r="S126" s="10" t="str">
        <f t="shared" si="3"/>
        <v>No Change</v>
      </c>
    </row>
    <row r="127" spans="1:19" ht="120" hidden="1">
      <c r="A127" s="8" t="s">
        <v>1404</v>
      </c>
      <c r="B127" s="9" t="s">
        <v>13564</v>
      </c>
      <c r="C127" s="37" t="s">
        <v>5875</v>
      </c>
      <c r="D127" s="24"/>
      <c r="E127" s="24"/>
      <c r="F127" s="24" t="str">
        <v>K312</v>
      </c>
      <c r="G127" s="24" t="str">
        <v>1 out of 10</v>
      </c>
      <c r="H127" s="24" t="str">
        <v>https://nycdoe.sharepoint.com/:w:/s/BAP/EYsyKkB6lhRJpvbqtfwIcVsBV1wGUqFyHQGO13OL90gwcg</v>
      </c>
      <c r="I127" s="23">
        <v>119</v>
      </c>
      <c r="J127" s="24" t="str">
        <v>-</v>
      </c>
      <c r="K127" s="24">
        <v>416</v>
      </c>
      <c r="L127" s="24" t="str">
        <v>1 out of 10</v>
      </c>
      <c r="M127" s="23" t="b">
        <f t="shared" si="2"/>
        <v>1</v>
      </c>
      <c r="N127" s="23" t="str">
        <v>1 out of 10</v>
      </c>
      <c r="O127" s="23"/>
      <c r="P127" s="42" t="str">
        <v>1</v>
      </c>
      <c r="Q127" s="42" t="str">
        <v>1</v>
      </c>
      <c r="R127" s="42" t="str">
        <v>1</v>
      </c>
      <c r="S127" s="10" t="str">
        <f t="shared" si="3"/>
        <v>No Change</v>
      </c>
    </row>
    <row r="128" spans="1:19" ht="120" hidden="1">
      <c r="A128" s="8" t="s">
        <v>2134</v>
      </c>
      <c r="B128" s="9" t="s">
        <v>13558</v>
      </c>
      <c r="C128" s="37" t="s">
        <v>6818</v>
      </c>
      <c r="D128" s="24"/>
      <c r="E128" s="24"/>
      <c r="F128" s="24" t="str">
        <v>K313</v>
      </c>
      <c r="G128" s="24" t="str">
        <v>10 out of 10</v>
      </c>
      <c r="H128" s="24" t="str">
        <v>https://nycdoe.sharepoint.com/:w:/s/BAP/Ed-OF_7GtJdGsICupGsFGQ0BTK1sK4USwTU1j4Jc2caqzA</v>
      </c>
      <c r="I128" s="23">
        <v>120</v>
      </c>
      <c r="J128" s="24" t="str">
        <v>-</v>
      </c>
      <c r="K128" s="24">
        <v>417</v>
      </c>
      <c r="L128" s="24" t="str">
        <v>10 out of 10</v>
      </c>
      <c r="M128" s="23" t="b">
        <f t="shared" si="2"/>
        <v>1</v>
      </c>
      <c r="N128" s="23" t="str">
        <v>10 out of 10</v>
      </c>
      <c r="O128" s="23"/>
      <c r="P128" s="42" t="str">
        <v>10</v>
      </c>
      <c r="Q128" s="42" t="str">
        <v>10</v>
      </c>
      <c r="R128" s="42" t="str">
        <v>10</v>
      </c>
      <c r="S128" s="10" t="str">
        <f t="shared" si="3"/>
        <v>No Change</v>
      </c>
    </row>
    <row r="129" spans="1:19" ht="105" hidden="1">
      <c r="A129" s="8" t="s">
        <v>1988</v>
      </c>
      <c r="B129" s="9" t="s">
        <v>13555</v>
      </c>
      <c r="C129" s="37" t="s">
        <v>6585</v>
      </c>
      <c r="D129" s="24"/>
      <c r="E129" s="24"/>
      <c r="F129" s="24" t="str">
        <v>K314</v>
      </c>
      <c r="G129" s="24" t="str">
        <v>9 out of 10</v>
      </c>
      <c r="H129" s="24" t="str">
        <v>https://nycdoe.sharepoint.com/:w:/s/BAP/EWJt3c5TI5FHrOjwCMIAItMB6WOKCtQLLNdqQlAX2u2hlw</v>
      </c>
      <c r="I129" s="23">
        <v>121</v>
      </c>
      <c r="J129" s="24" t="str">
        <v>-</v>
      </c>
      <c r="K129" s="24">
        <v>420</v>
      </c>
      <c r="L129" s="24" t="str">
        <v>9 out of 10</v>
      </c>
      <c r="M129" s="23" t="b">
        <f t="shared" si="2"/>
        <v>1</v>
      </c>
      <c r="N129" s="23" t="str">
        <v>9 out of 10</v>
      </c>
      <c r="O129" s="23"/>
      <c r="P129" s="42" t="str">
        <v>9</v>
      </c>
      <c r="Q129" s="42" t="str">
        <v>9</v>
      </c>
      <c r="R129" s="42" t="str">
        <v>9</v>
      </c>
      <c r="S129" s="10" t="str">
        <f t="shared" si="3"/>
        <v>No Change</v>
      </c>
    </row>
    <row r="130" spans="1:19" ht="120" hidden="1">
      <c r="A130" s="8" t="s">
        <v>1883</v>
      </c>
      <c r="B130" s="9" t="s">
        <v>13553</v>
      </c>
      <c r="C130" s="37" t="s">
        <v>6431</v>
      </c>
      <c r="D130" s="24"/>
      <c r="E130" s="24"/>
      <c r="F130" s="24" t="str">
        <v>K316</v>
      </c>
      <c r="G130" s="24" t="str">
        <v>4 out of 10</v>
      </c>
      <c r="H130" s="24" t="str">
        <v>https://nycdoe.sharepoint.com/:w:/s/BAP/ER8qRyH0TxNKjG5dEWdVuo8B9fWjMrtvEo25Cjho5kegjw</v>
      </c>
      <c r="I130" s="23" t="str">
        <v>Was New</v>
      </c>
      <c r="J130" s="24" t="str">
        <v>4 out of 10</v>
      </c>
      <c r="K130" s="24">
        <v>422</v>
      </c>
      <c r="L130" s="24" t="str">
        <v>4 out of 10</v>
      </c>
      <c r="M130" s="23" t="b">
        <f t="shared" si="2"/>
        <v>1</v>
      </c>
      <c r="N130" s="23" t="str">
        <v>4 out of 10</v>
      </c>
      <c r="O130" s="23"/>
      <c r="P130" s="42" t="str">
        <v>4</v>
      </c>
      <c r="Q130" s="42" t="str">
        <v>4</v>
      </c>
      <c r="R130" s="42" t="str">
        <v>4</v>
      </c>
      <c r="S130" s="10" t="str">
        <f t="shared" si="3"/>
        <v>No Change</v>
      </c>
    </row>
    <row r="131" spans="1:19" ht="120" hidden="1">
      <c r="A131" s="8" t="s">
        <v>2161</v>
      </c>
      <c r="B131" s="9" t="s">
        <v>13564</v>
      </c>
      <c r="C131" s="37" t="s">
        <v>6822</v>
      </c>
      <c r="D131" s="24"/>
      <c r="E131" s="24"/>
      <c r="F131" s="24" t="str">
        <v>K317</v>
      </c>
      <c r="G131" s="24" t="str">
        <v>10 out of 10</v>
      </c>
      <c r="H131" s="24" t="str">
        <v>https://nycdoe.sharepoint.com/:w:/s/BAP/EWtBT9_017xErhvZlExBoZIBtzQpsEr_usIWeb8cgs89BQ</v>
      </c>
      <c r="I131" s="23">
        <v>122</v>
      </c>
      <c r="J131" s="24" t="str">
        <v>-</v>
      </c>
      <c r="K131" s="24">
        <v>424</v>
      </c>
      <c r="L131" s="24" t="str">
        <v>10 out of 10</v>
      </c>
      <c r="M131" s="23" t="b">
        <f t="shared" ref="M131:M194" si="4">G131=L131</f>
        <v>1</v>
      </c>
      <c r="N131" s="23" t="str">
        <v>10 out of 10</v>
      </c>
      <c r="O131" s="23"/>
      <c r="P131" s="42" t="str">
        <v>10</v>
      </c>
      <c r="Q131" s="42" t="str">
        <v>10</v>
      </c>
      <c r="R131" s="42" t="str">
        <v>10</v>
      </c>
      <c r="S131" s="10" t="str">
        <f t="shared" ref="S131:S194" si="5">IFERROR(IF(OR(R131="0+",R131=0,AND(Q131="N/A")),"No Change",IF(R131&lt;&gt;Q131,"Change",IF(R131=Q131,"No Change",))),"Check BAP")</f>
        <v>No Change</v>
      </c>
    </row>
    <row r="132" spans="1:19" ht="120" hidden="1">
      <c r="A132" s="8" t="s">
        <v>1455</v>
      </c>
      <c r="B132" s="9" t="s">
        <v>13561</v>
      </c>
      <c r="C132" s="37" t="s">
        <v>13579</v>
      </c>
      <c r="D132" s="24"/>
      <c r="E132" s="24"/>
      <c r="F132" s="24" t="str">
        <v>K318</v>
      </c>
      <c r="G132" s="24" t="str">
        <v>3 out of 10</v>
      </c>
      <c r="H132" s="24" t="str">
        <v>https://nycdoe.sharepoint.com/:w:/s/BAP/EQnwFe5AoWJDjDfJZJuypC8BvTcn2v0AvKlNNHIxt-gWxQ</v>
      </c>
      <c r="I132" s="23">
        <v>123</v>
      </c>
      <c r="J132" s="24" t="str">
        <v>-</v>
      </c>
      <c r="K132" s="24">
        <v>426</v>
      </c>
      <c r="L132" s="24" t="str">
        <v>3 out of 10</v>
      </c>
      <c r="M132" s="23" t="b">
        <f t="shared" si="4"/>
        <v>1</v>
      </c>
      <c r="N132" s="23" t="str">
        <v>3 out of 10</v>
      </c>
      <c r="O132" s="23"/>
      <c r="P132" s="42" t="str">
        <v>3</v>
      </c>
      <c r="Q132" s="42" t="str">
        <v>3</v>
      </c>
      <c r="R132" s="42" t="str">
        <v>3</v>
      </c>
      <c r="S132" s="10" t="str">
        <f t="shared" si="5"/>
        <v>No Change</v>
      </c>
    </row>
    <row r="133" spans="1:19" ht="120" hidden="1">
      <c r="A133" s="8" t="s">
        <v>1415</v>
      </c>
      <c r="B133" s="9" t="s">
        <v>13560</v>
      </c>
      <c r="C133" s="37" t="s">
        <v>5883</v>
      </c>
      <c r="D133" s="24"/>
      <c r="E133" s="24"/>
      <c r="F133" s="24" t="str">
        <v>K319</v>
      </c>
      <c r="G133" s="24" t="str">
        <v>1 out of 10</v>
      </c>
      <c r="H133" s="24" t="str">
        <v>https://nycdoe.sharepoint.com/:w:/s/BAP/Ect7sJYaA6tFnI0kwWSEpdwBSMMWRigZV1BF7UzWz-PnFA</v>
      </c>
      <c r="I133" s="23">
        <v>124</v>
      </c>
      <c r="J133" s="24" t="str">
        <v>-</v>
      </c>
      <c r="K133" s="24">
        <v>427</v>
      </c>
      <c r="L133" s="24" t="str">
        <v>1 out of 10</v>
      </c>
      <c r="M133" s="23" t="b">
        <f t="shared" si="4"/>
        <v>1</v>
      </c>
      <c r="N133" s="23" t="str">
        <v>1 out of 10</v>
      </c>
      <c r="O133" s="23"/>
      <c r="P133" s="42" t="str">
        <v>1</v>
      </c>
      <c r="Q133" s="42" t="str">
        <v>1</v>
      </c>
      <c r="R133" s="42" t="str">
        <v>1</v>
      </c>
      <c r="S133" s="10" t="str">
        <f t="shared" si="5"/>
        <v>No Change</v>
      </c>
    </row>
    <row r="134" spans="1:19" ht="120" hidden="1">
      <c r="A134" s="8" t="s">
        <v>1302</v>
      </c>
      <c r="B134" s="9" t="s">
        <v>13553</v>
      </c>
      <c r="C134" s="37" t="s">
        <v>5746</v>
      </c>
      <c r="D134" s="24"/>
      <c r="E134" s="24"/>
      <c r="F134" s="24" t="str">
        <v>K321</v>
      </c>
      <c r="G134" s="24" t="str">
        <v>9 out of 10</v>
      </c>
      <c r="H134" s="24" t="str">
        <v>https://nycdoe.sharepoint.com/:w:/s/BAP/Ef7MIi-PPFZMt9z2yMSDqVkBveyz57nVGAkWTXm7Ss1jfA</v>
      </c>
      <c r="I134" s="23">
        <v>125</v>
      </c>
      <c r="J134" s="24" t="str">
        <v>-</v>
      </c>
      <c r="K134" s="24">
        <v>431</v>
      </c>
      <c r="L134" s="24" t="str">
        <v>9 out of 10</v>
      </c>
      <c r="M134" s="23" t="b">
        <f t="shared" si="4"/>
        <v>1</v>
      </c>
      <c r="N134" s="23" t="str">
        <v>9 out of 10</v>
      </c>
      <c r="O134" s="23"/>
      <c r="P134" s="42" t="str">
        <v>9</v>
      </c>
      <c r="Q134" s="42" t="str">
        <v>9</v>
      </c>
      <c r="R134" s="42" t="str">
        <v>9</v>
      </c>
      <c r="S134" s="10" t="str">
        <f t="shared" si="5"/>
        <v>No Change</v>
      </c>
    </row>
    <row r="135" spans="1:19" ht="120">
      <c r="A135" s="8" t="s">
        <v>1742</v>
      </c>
      <c r="B135" s="9" t="s">
        <v>13558</v>
      </c>
      <c r="C135" s="37" t="s">
        <v>6272</v>
      </c>
      <c r="D135" s="24"/>
      <c r="E135" s="24"/>
      <c r="F135" s="24" t="str">
        <v>K324</v>
      </c>
      <c r="G135" s="24" t="str">
        <v>9 out of 10</v>
      </c>
      <c r="H135" s="24" t="str">
        <v>https://nycdoe.sharepoint.com/:w:/s/BAP/EcSit3RVPEFAq-UJ0FgnT64BOURt7pB3YbUVsbnkvlPvVw</v>
      </c>
      <c r="I135" s="23">
        <v>126</v>
      </c>
      <c r="J135" s="24" t="str">
        <v>9 out of 10</v>
      </c>
      <c r="K135" s="24">
        <v>432</v>
      </c>
      <c r="L135" s="24" t="str">
        <v>6 out of 10</v>
      </c>
      <c r="M135" s="23" t="b">
        <f t="shared" si="4"/>
        <v>0</v>
      </c>
      <c r="N135" s="23" t="str">
        <v>9 out of 10</v>
      </c>
      <c r="O135" s="23"/>
      <c r="P135" s="42" t="str">
        <v>9</v>
      </c>
      <c r="Q135" s="42" t="str">
        <v>6</v>
      </c>
      <c r="R135" s="42" t="str">
        <v>9</v>
      </c>
      <c r="S135" s="10" t="str">
        <f t="shared" si="5"/>
        <v>Change</v>
      </c>
    </row>
    <row r="136" spans="1:19" ht="120" hidden="1">
      <c r="A136" s="8" t="s">
        <v>1499</v>
      </c>
      <c r="B136" s="9" t="s">
        <v>13553</v>
      </c>
      <c r="C136" s="37" t="s">
        <v>6826</v>
      </c>
      <c r="D136" s="24"/>
      <c r="E136" s="24"/>
      <c r="F136" s="24" t="str">
        <v>K327</v>
      </c>
      <c r="G136" s="24" t="str">
        <v>1 out of 10</v>
      </c>
      <c r="H136" s="24" t="str">
        <v>https://nycdoe.sharepoint.com/:w:/s/BAP/EWJV8nqfpwhFmqlrO7hSIZYBsU80tpy3Tq9pFVEUC42iqg</v>
      </c>
      <c r="I136" s="23">
        <v>127</v>
      </c>
      <c r="J136" s="24" t="str">
        <v>-</v>
      </c>
      <c r="K136" s="24">
        <v>435</v>
      </c>
      <c r="L136" s="24" t="str">
        <v>1 out of 10</v>
      </c>
      <c r="M136" s="23" t="b">
        <f t="shared" si="4"/>
        <v>1</v>
      </c>
      <c r="N136" s="23" t="str">
        <v>1 out of 10</v>
      </c>
      <c r="O136" s="23"/>
      <c r="P136" s="42" t="str">
        <v>1</v>
      </c>
      <c r="Q136" s="42" t="str">
        <v>1</v>
      </c>
      <c r="R136" s="42" t="str">
        <v>1</v>
      </c>
      <c r="S136" s="10" t="str">
        <f t="shared" si="5"/>
        <v>No Change</v>
      </c>
    </row>
    <row r="137" spans="1:19" ht="120" hidden="1">
      <c r="A137" s="8" t="s">
        <v>1648</v>
      </c>
      <c r="B137" s="9" t="s">
        <v>13553</v>
      </c>
      <c r="C137" s="37" t="s">
        <v>6159</v>
      </c>
      <c r="D137" s="24"/>
      <c r="E137" s="24"/>
      <c r="F137" s="24" t="str">
        <v>K329</v>
      </c>
      <c r="G137" s="24" t="str">
        <v>9 out of 10</v>
      </c>
      <c r="H137" s="24" t="str">
        <v>https://nycdoe.sharepoint.com/:w:/s/BAP/ERT1aIPzlBJCv3CbDfn16JIBlYQuKKA5dEttC-D9a9r0Qw</v>
      </c>
      <c r="I137" s="23">
        <v>128</v>
      </c>
      <c r="J137" s="24" t="str">
        <v>-</v>
      </c>
      <c r="K137" s="24">
        <v>439</v>
      </c>
      <c r="L137" s="24" t="str">
        <v>9 out of 10</v>
      </c>
      <c r="M137" s="23" t="b">
        <f t="shared" si="4"/>
        <v>1</v>
      </c>
      <c r="N137" s="23" t="str">
        <v>9 out of 10</v>
      </c>
      <c r="O137" s="23"/>
      <c r="P137" s="42" t="str">
        <v>9</v>
      </c>
      <c r="Q137" s="42" t="str">
        <v>9</v>
      </c>
      <c r="R137" s="42" t="str">
        <v>9</v>
      </c>
      <c r="S137" s="10" t="str">
        <f t="shared" si="5"/>
        <v>No Change</v>
      </c>
    </row>
    <row r="138" spans="1:19" ht="135" hidden="1">
      <c r="A138" s="8" t="s">
        <v>1064</v>
      </c>
      <c r="B138" s="11" t="s">
        <v>13561</v>
      </c>
      <c r="C138" s="37" t="s">
        <v>13580</v>
      </c>
      <c r="D138" s="24"/>
      <c r="E138" s="24"/>
      <c r="F138" s="24" t="str">
        <v>K331</v>
      </c>
      <c r="G138" s="24" t="str">
        <v>10 out of 10</v>
      </c>
      <c r="H138" s="24" t="str">
        <v>https://nycdoe.sharepoint.com/:w:/s/BAP/EXhDqTmP0ttInIxlrBGgwcMBn3Yt0TKEa97LCTNtLn1yiw</v>
      </c>
      <c r="I138" s="23">
        <v>129</v>
      </c>
      <c r="J138" s="24" t="str">
        <v>-</v>
      </c>
      <c r="K138" s="24">
        <v>441</v>
      </c>
      <c r="L138" s="24" t="str">
        <v>10 out of 10</v>
      </c>
      <c r="M138" s="23" t="b">
        <f t="shared" si="4"/>
        <v>1</v>
      </c>
      <c r="N138" s="23" t="str">
        <v>10 out of 10</v>
      </c>
      <c r="O138" s="23"/>
      <c r="P138" s="42" t="str">
        <v>10</v>
      </c>
      <c r="Q138" s="42" t="str">
        <v>10</v>
      </c>
      <c r="R138" s="42" t="str">
        <v>10</v>
      </c>
      <c r="S138" s="10" t="str">
        <f t="shared" si="5"/>
        <v>No Change</v>
      </c>
    </row>
    <row r="139" spans="1:19" ht="120" hidden="1">
      <c r="A139" s="8" t="s">
        <v>1889</v>
      </c>
      <c r="B139" s="9" t="s">
        <v>13557</v>
      </c>
      <c r="C139" s="37" t="s">
        <v>6587</v>
      </c>
      <c r="D139" s="24"/>
      <c r="E139" s="24"/>
      <c r="F139" s="24" t="str">
        <v>K332</v>
      </c>
      <c r="G139" s="24" t="str">
        <v>9 out of 10</v>
      </c>
      <c r="H139" s="24" t="str">
        <v>https://nycdoe.sharepoint.com/:w:/s/BAP/EVvzxfGt_UZHpjJUUITlGTMBhjk7JYr_TwO1IUndUuQsog</v>
      </c>
      <c r="I139" s="23">
        <v>130</v>
      </c>
      <c r="J139" s="24" t="str">
        <v>9 out of 10</v>
      </c>
      <c r="K139" s="24">
        <v>443</v>
      </c>
      <c r="L139" s="24" t="str">
        <v>9 out of 10</v>
      </c>
      <c r="M139" s="23" t="b">
        <f t="shared" si="4"/>
        <v>1</v>
      </c>
      <c r="N139" s="23" t="str">
        <v>9 out of 10</v>
      </c>
      <c r="O139" s="23"/>
      <c r="P139" s="42" t="str">
        <v>9</v>
      </c>
      <c r="Q139" s="42" t="str">
        <v>9</v>
      </c>
      <c r="R139" s="42" t="str">
        <v>9</v>
      </c>
      <c r="S139" s="10" t="str">
        <f t="shared" si="5"/>
        <v>No Change</v>
      </c>
    </row>
    <row r="140" spans="1:19" ht="120" hidden="1">
      <c r="A140" s="8" t="s">
        <v>1107</v>
      </c>
      <c r="B140" s="11" t="s">
        <v>13550</v>
      </c>
      <c r="C140" s="37" t="s">
        <v>13581</v>
      </c>
      <c r="D140" s="24"/>
      <c r="E140" s="24"/>
      <c r="F140" s="24" t="str">
        <v>K333</v>
      </c>
      <c r="G140" s="24" t="str">
        <v>0 out of 10</v>
      </c>
      <c r="H140" s="24" t="str">
        <v>https://nycdoe.sharepoint.com/:w:/s/BAP/EYAvljIh4KtMkZkhrUgDstkBrYiNF-X7ywxYGdA86HE-8g</v>
      </c>
      <c r="I140" s="23">
        <v>131</v>
      </c>
      <c r="J140" s="24" t="str">
        <v>-</v>
      </c>
      <c r="K140" s="24">
        <v>445</v>
      </c>
      <c r="L140" s="24" t="str">
        <v>N/A out of 10</v>
      </c>
      <c r="M140" s="23" t="b">
        <f t="shared" si="4"/>
        <v>0</v>
      </c>
      <c r="N140" s="23" t="str">
        <v>0 out of 10</v>
      </c>
      <c r="O140" s="23"/>
      <c r="P140" s="42" t="str">
        <v>0</v>
      </c>
      <c r="Q140" s="42" t="str">
        <v>N/A</v>
      </c>
      <c r="R140" s="42" t="str">
        <v>0</v>
      </c>
      <c r="S140" s="10" t="str">
        <f t="shared" si="5"/>
        <v>No Change</v>
      </c>
    </row>
    <row r="141" spans="1:19" ht="120" hidden="1">
      <c r="A141" s="8" t="s">
        <v>6864</v>
      </c>
      <c r="B141" s="9" t="s">
        <v>13561</v>
      </c>
      <c r="C141" s="37" t="s">
        <v>6867</v>
      </c>
      <c r="D141" s="24"/>
      <c r="E141" s="24"/>
      <c r="F141" s="24" t="str">
        <v>K335</v>
      </c>
      <c r="G141" s="24" t="str">
        <v>4 out of 10</v>
      </c>
      <c r="H141" s="24" t="str">
        <v>https://nycdoe.sharepoint.com/:w:/s/BAP/Eds2toLr7HFOuU4QXECSZuABBsznC5ExeAoLwPlEs9p2iw</v>
      </c>
      <c r="I141" s="23">
        <v>132</v>
      </c>
      <c r="J141" s="24" t="str">
        <v>-</v>
      </c>
      <c r="K141" s="24">
        <v>446</v>
      </c>
      <c r="L141" s="24" t="str">
        <v>4 out of 10</v>
      </c>
      <c r="M141" s="23" t="b">
        <f t="shared" si="4"/>
        <v>1</v>
      </c>
      <c r="N141" s="23" t="str">
        <v>4 out of 10</v>
      </c>
      <c r="O141" s="23"/>
      <c r="P141" s="42" t="str">
        <v>4</v>
      </c>
      <c r="Q141" s="42" t="str">
        <v>4</v>
      </c>
      <c r="R141" s="42" t="str">
        <v>4</v>
      </c>
      <c r="S141" s="10" t="str">
        <f t="shared" si="5"/>
        <v>No Change</v>
      </c>
    </row>
    <row r="142" spans="1:19" ht="120" hidden="1">
      <c r="A142" s="8" t="s">
        <v>2192</v>
      </c>
      <c r="B142" s="9" t="s">
        <v>13558</v>
      </c>
      <c r="C142" s="37" t="s">
        <v>6871</v>
      </c>
      <c r="D142" s="24"/>
      <c r="E142" s="24"/>
      <c r="F142" s="24" t="str">
        <v>K338</v>
      </c>
      <c r="G142" s="24" t="str">
        <v>10 out of 10</v>
      </c>
      <c r="H142" s="24" t="str">
        <v>https://nycdoe.sharepoint.com/:w:/s/BAP/EVp0bmp0FERIr93vi4CbydcBD9ZcAfuybKFqE0E5w_n-kw</v>
      </c>
      <c r="I142" s="23">
        <v>133</v>
      </c>
      <c r="J142" s="24" t="str">
        <v>-</v>
      </c>
      <c r="K142" s="24">
        <v>448</v>
      </c>
      <c r="L142" s="24" t="str">
        <v>10 out of 10</v>
      </c>
      <c r="M142" s="23" t="b">
        <f t="shared" si="4"/>
        <v>1</v>
      </c>
      <c r="N142" s="23" t="str">
        <v>10 out of 10</v>
      </c>
      <c r="O142" s="23"/>
      <c r="P142" s="42" t="str">
        <v>10</v>
      </c>
      <c r="Q142" s="42" t="str">
        <v>10</v>
      </c>
      <c r="R142" s="42" t="str">
        <v>10</v>
      </c>
      <c r="S142" s="10" t="str">
        <f t="shared" si="5"/>
        <v>No Change</v>
      </c>
    </row>
    <row r="143" spans="1:19" ht="120" hidden="1">
      <c r="A143" s="8" t="s">
        <v>1216</v>
      </c>
      <c r="B143" s="9" t="s">
        <v>13559</v>
      </c>
      <c r="C143" s="37" t="s">
        <v>5649</v>
      </c>
      <c r="D143" s="24"/>
      <c r="E143" s="24"/>
      <c r="F143" s="24" t="str">
        <v>K346</v>
      </c>
      <c r="G143" s="24" t="str">
        <v>9 out of 10</v>
      </c>
      <c r="H143" s="24" t="str">
        <v>https://nycdoe.sharepoint.com/:w:/s/BAP/Ec0valYF_RxJrV0ohSI4nKwBGFeZdMmBXMpWujtL6FaZcQ</v>
      </c>
      <c r="I143" s="23">
        <v>134</v>
      </c>
      <c r="J143" s="24" t="str">
        <v>9 out of 10</v>
      </c>
      <c r="K143" s="24">
        <v>451</v>
      </c>
      <c r="L143" s="24" t="str">
        <v>9 out of 10</v>
      </c>
      <c r="M143" s="23" t="b">
        <f t="shared" si="4"/>
        <v>1</v>
      </c>
      <c r="N143" s="23" t="str">
        <v>9 out of 10</v>
      </c>
      <c r="O143" s="23"/>
      <c r="P143" s="42" t="str">
        <v>9</v>
      </c>
      <c r="Q143" s="42" t="str">
        <v>9</v>
      </c>
      <c r="R143" s="42" t="str">
        <v>9</v>
      </c>
      <c r="S143" s="10" t="str">
        <f t="shared" si="5"/>
        <v>No Change</v>
      </c>
    </row>
    <row r="144" spans="1:19" ht="120" hidden="1">
      <c r="A144" s="8" t="s">
        <v>2198</v>
      </c>
      <c r="B144" s="9" t="s">
        <v>13571</v>
      </c>
      <c r="C144" s="37" t="s">
        <v>6877</v>
      </c>
      <c r="D144" s="24"/>
      <c r="E144" s="24"/>
      <c r="F144" s="24" t="str">
        <v>K356</v>
      </c>
      <c r="G144" s="24" t="str">
        <v>10 out of 10</v>
      </c>
      <c r="H144" s="24" t="str">
        <v>https://nycdoe.sharepoint.com/:w:/s/BAP/EbMhxmB5sABKnF4CDfAwSkoBTOFQOIFcw6dEdEk7eQ-qJQ</v>
      </c>
      <c r="I144" s="23">
        <v>135</v>
      </c>
      <c r="J144" s="24" t="str">
        <v>-</v>
      </c>
      <c r="K144" s="24">
        <v>453</v>
      </c>
      <c r="L144" s="24" t="str">
        <v>10 out of 10</v>
      </c>
      <c r="M144" s="23" t="b">
        <f t="shared" si="4"/>
        <v>1</v>
      </c>
      <c r="N144" s="23" t="str">
        <v>10 out of 10</v>
      </c>
      <c r="O144" s="23"/>
      <c r="P144" s="42" t="str">
        <v>10</v>
      </c>
      <c r="Q144" s="42" t="str">
        <v>10</v>
      </c>
      <c r="R144" s="42" t="str">
        <v>10</v>
      </c>
      <c r="S144" s="10" t="str">
        <f t="shared" si="5"/>
        <v>No Change</v>
      </c>
    </row>
    <row r="145" spans="1:19" ht="120" hidden="1">
      <c r="A145" s="8" t="s">
        <v>2205</v>
      </c>
      <c r="B145" s="9" t="s">
        <v>13558</v>
      </c>
      <c r="C145" s="37" t="s">
        <v>6879</v>
      </c>
      <c r="D145" s="24"/>
      <c r="E145" s="24"/>
      <c r="F145" s="24" t="str">
        <v>K366</v>
      </c>
      <c r="G145" s="24" t="str">
        <v>10 out of 10</v>
      </c>
      <c r="H145" s="24" t="str">
        <v>https://nycdoe.sharepoint.com/:w:/s/BAP/EVfwtg26QixNnkaeQgifOvMBKH19oeuMIO5ooJPWeB4_qw</v>
      </c>
      <c r="I145" s="23">
        <v>136</v>
      </c>
      <c r="J145" s="24" t="str">
        <v>-</v>
      </c>
      <c r="K145" s="24">
        <v>456</v>
      </c>
      <c r="L145" s="24" t="str">
        <v>10 out of 10</v>
      </c>
      <c r="M145" s="23" t="b">
        <f t="shared" si="4"/>
        <v>1</v>
      </c>
      <c r="N145" s="23" t="str">
        <v>10 out of 10</v>
      </c>
      <c r="O145" s="23"/>
      <c r="P145" s="42" t="str">
        <v>10</v>
      </c>
      <c r="Q145" s="42" t="str">
        <v>10</v>
      </c>
      <c r="R145" s="42" t="str">
        <v>10</v>
      </c>
      <c r="S145" s="10" t="str">
        <f t="shared" si="5"/>
        <v>No Change</v>
      </c>
    </row>
    <row r="146" spans="1:19" ht="120" hidden="1">
      <c r="A146" s="8" t="s">
        <v>1498</v>
      </c>
      <c r="B146" s="9" t="s">
        <v>13559</v>
      </c>
      <c r="C146" s="37" t="s">
        <v>5994</v>
      </c>
      <c r="D146" s="24"/>
      <c r="E146" s="24"/>
      <c r="F146" s="24" t="str">
        <v>K369</v>
      </c>
      <c r="G146" s="24" t="str">
        <v>0 out of 10</v>
      </c>
      <c r="H146" s="24" t="str">
        <v>https://nycdoe.sharepoint.com/:w:/s/BAP/Ed0W4HFnSxVCn-tLVpwz3QQBWH5lYEo_gZ3_WG_B56vnHA</v>
      </c>
      <c r="I146" s="23">
        <v>137</v>
      </c>
      <c r="J146" s="24" t="str">
        <v>-</v>
      </c>
      <c r="K146" s="24">
        <v>457</v>
      </c>
      <c r="L146" s="24" t="str">
        <v>N/A out of 10</v>
      </c>
      <c r="M146" s="23" t="b">
        <f t="shared" si="4"/>
        <v>0</v>
      </c>
      <c r="N146" s="23" t="str">
        <v>0 out of 10</v>
      </c>
      <c r="O146" s="23"/>
      <c r="P146" s="42" t="str">
        <v>0</v>
      </c>
      <c r="Q146" s="42" t="str">
        <v>N/A</v>
      </c>
      <c r="R146" s="42" t="str">
        <v>0</v>
      </c>
      <c r="S146" s="10" t="str">
        <f t="shared" si="5"/>
        <v>No Change</v>
      </c>
    </row>
    <row r="147" spans="1:19" ht="120" hidden="1">
      <c r="A147" s="8" t="s">
        <v>1577</v>
      </c>
      <c r="B147" s="9" t="s">
        <v>13553</v>
      </c>
      <c r="C147" s="37" t="s">
        <v>6708</v>
      </c>
      <c r="D147" s="24"/>
      <c r="E147" s="24"/>
      <c r="F147" s="24" t="str">
        <v>K370</v>
      </c>
      <c r="G147" s="24" t="str">
        <v>8 out of 10</v>
      </c>
      <c r="H147" s="24" t="str">
        <v>https://nycdoe.sharepoint.com/:w:/s/BAP/EWqi8gh5F6tIu7Tv0xQ9jbcBYcRSA2qjJU8AMlTqPuVPwA</v>
      </c>
      <c r="I147" s="23">
        <v>138</v>
      </c>
      <c r="J147" s="24" t="str">
        <v>-</v>
      </c>
      <c r="K147" s="24">
        <v>458</v>
      </c>
      <c r="L147" s="24" t="str">
        <v>8 out of 10</v>
      </c>
      <c r="M147" s="23" t="b">
        <f t="shared" si="4"/>
        <v>1</v>
      </c>
      <c r="N147" s="23" t="str">
        <v>8 out of 10</v>
      </c>
      <c r="O147" s="23"/>
      <c r="P147" s="42" t="str">
        <v>8</v>
      </c>
      <c r="Q147" s="42" t="str">
        <v>8</v>
      </c>
      <c r="R147" s="42" t="str">
        <v>8</v>
      </c>
      <c r="S147" s="10" t="str">
        <f t="shared" si="5"/>
        <v>No Change</v>
      </c>
    </row>
    <row r="148" spans="1:19" ht="120" hidden="1">
      <c r="A148" s="8" t="s">
        <v>1480</v>
      </c>
      <c r="B148" s="9" t="s">
        <v>13571</v>
      </c>
      <c r="C148" s="37" t="s">
        <v>6829</v>
      </c>
      <c r="D148" s="24"/>
      <c r="E148" s="24"/>
      <c r="F148" s="24" t="str">
        <v>K371</v>
      </c>
      <c r="G148" s="24" t="str">
        <v>0+ out of 10</v>
      </c>
      <c r="H148" s="24" t="str">
        <v>https://nycdoe.sharepoint.com/:w:/s/BAP/Ee-r3KFRpSpOgRwD6j3QeS8B7n3G7yERnDcuiNBeRVeqCQ</v>
      </c>
      <c r="I148" s="23">
        <v>139</v>
      </c>
      <c r="J148" s="24" t="str">
        <v>-</v>
      </c>
      <c r="K148" s="24">
        <v>459</v>
      </c>
      <c r="L148" s="24" t="str">
        <v>N/A out of 10</v>
      </c>
      <c r="M148" s="23" t="b">
        <f t="shared" si="4"/>
        <v>0</v>
      </c>
      <c r="N148" s="23" t="str">
        <v>0+ out of 10</v>
      </c>
      <c r="O148" s="23"/>
      <c r="P148" s="42" t="str">
        <v>0+</v>
      </c>
      <c r="Q148" s="42" t="str">
        <v>N/A</v>
      </c>
      <c r="R148" s="42" t="str">
        <v>0+</v>
      </c>
      <c r="S148" s="10" t="str">
        <f t="shared" si="5"/>
        <v>No Change</v>
      </c>
    </row>
    <row r="149" spans="1:19" ht="120" hidden="1">
      <c r="A149" s="8" t="s">
        <v>1506</v>
      </c>
      <c r="B149" s="9" t="s">
        <v>13560</v>
      </c>
      <c r="C149" s="37" t="s">
        <v>6000</v>
      </c>
      <c r="D149" s="24"/>
      <c r="E149" s="24"/>
      <c r="F149" s="24" t="str">
        <v>K376</v>
      </c>
      <c r="G149" s="24" t="str">
        <v>10 out of 10</v>
      </c>
      <c r="H149" s="24" t="str">
        <v>https://nycdoe.sharepoint.com/:w:/s/BAP/ETwl-nsgtd5LpaoQVrlH5D8BLG_fe0e4MOr7eLmuHqxNsA</v>
      </c>
      <c r="I149" s="23">
        <v>140</v>
      </c>
      <c r="J149" s="24" t="str">
        <v>10 out of 10</v>
      </c>
      <c r="K149" s="24">
        <v>460</v>
      </c>
      <c r="L149" s="24" t="str">
        <v>10 out of 10</v>
      </c>
      <c r="M149" s="23" t="b">
        <f t="shared" si="4"/>
        <v>1</v>
      </c>
      <c r="N149" s="23" t="str">
        <v>10 out of 10</v>
      </c>
      <c r="O149" s="23"/>
      <c r="P149" s="42" t="str">
        <v>10</v>
      </c>
      <c r="Q149" s="42" t="str">
        <v>10</v>
      </c>
      <c r="R149" s="42" t="str">
        <v>10</v>
      </c>
      <c r="S149" s="10" t="str">
        <f t="shared" si="5"/>
        <v>No Change</v>
      </c>
    </row>
    <row r="150" spans="1:19" ht="120" hidden="1">
      <c r="A150" s="8" t="s">
        <v>1510</v>
      </c>
      <c r="B150" s="9" t="s">
        <v>13564</v>
      </c>
      <c r="C150" s="37" t="s">
        <v>6004</v>
      </c>
      <c r="D150" s="24"/>
      <c r="E150" s="24"/>
      <c r="F150" s="24" t="str">
        <v>K377</v>
      </c>
      <c r="G150" s="24" t="str">
        <v>1 out of 10</v>
      </c>
      <c r="H150" s="24" t="str">
        <v>https://nycdoe.sharepoint.com/:w:/s/BAP/ETH8To5Qai9Cl6-y1MkKTNcBVyG8XGkSF7Ym6iZRGq0eig</v>
      </c>
      <c r="I150" s="23">
        <v>141</v>
      </c>
      <c r="J150" s="24" t="str">
        <v>-</v>
      </c>
      <c r="K150" s="24">
        <v>461</v>
      </c>
      <c r="L150" s="24" t="str">
        <v>1 out of 10</v>
      </c>
      <c r="M150" s="23" t="b">
        <f t="shared" si="4"/>
        <v>1</v>
      </c>
      <c r="N150" s="23" t="str">
        <v>1 out of 10</v>
      </c>
      <c r="O150" s="23"/>
      <c r="P150" s="42" t="str">
        <v>1</v>
      </c>
      <c r="Q150" s="42" t="str">
        <v>1</v>
      </c>
      <c r="R150" s="42" t="str">
        <v>1</v>
      </c>
      <c r="S150" s="10" t="str">
        <f t="shared" si="5"/>
        <v>No Change</v>
      </c>
    </row>
    <row r="151" spans="1:19" ht="120" hidden="1">
      <c r="A151" s="8" t="s">
        <v>1517</v>
      </c>
      <c r="B151" s="9" t="s">
        <v>13558</v>
      </c>
      <c r="C151" s="37" t="s">
        <v>6010</v>
      </c>
      <c r="D151" s="24"/>
      <c r="E151" s="24"/>
      <c r="F151" s="24" t="str">
        <v>K380</v>
      </c>
      <c r="G151" s="24" t="str">
        <v>3 out of 10</v>
      </c>
      <c r="H151" s="24" t="str">
        <v>https://nycdoe.sharepoint.com/:w:/s/BAP/EfqZ5sVOW4ZEosGQEK5vbe4Bf6wffl1SxmK1Haw65eD8og</v>
      </c>
      <c r="I151" s="23">
        <v>142</v>
      </c>
      <c r="J151" s="24" t="str">
        <v>-</v>
      </c>
      <c r="K151" s="24">
        <v>463</v>
      </c>
      <c r="L151" s="24" t="str">
        <v>3 out of 10</v>
      </c>
      <c r="M151" s="23" t="b">
        <f t="shared" si="4"/>
        <v>1</v>
      </c>
      <c r="N151" s="23" t="str">
        <v>3 out of 10</v>
      </c>
      <c r="O151" s="23"/>
      <c r="P151" s="42" t="str">
        <v>3</v>
      </c>
      <c r="Q151" s="42" t="str">
        <v>3</v>
      </c>
      <c r="R151" s="42" t="str">
        <v>3</v>
      </c>
      <c r="S151" s="10" t="str">
        <f t="shared" si="5"/>
        <v>No Change</v>
      </c>
    </row>
    <row r="152" spans="1:19" ht="120" hidden="1">
      <c r="A152" s="8" t="s">
        <v>1993</v>
      </c>
      <c r="B152" s="9" t="s">
        <v>13564</v>
      </c>
      <c r="C152" s="37" t="s">
        <v>6591</v>
      </c>
      <c r="D152" s="24"/>
      <c r="E152" s="24"/>
      <c r="F152" s="24" t="str">
        <v>K383</v>
      </c>
      <c r="G152" s="24" t="str">
        <v>7 out of 10</v>
      </c>
      <c r="H152" s="24" t="str">
        <v>https://nycdoe.sharepoint.com/:w:/s/BAP/EUX7X4QW2HlLkyRhbptPwaMBOFHMQoYuMwRRcnqqodDLYQ</v>
      </c>
      <c r="I152" s="23">
        <v>143</v>
      </c>
      <c r="J152" s="24" t="str">
        <v>-</v>
      </c>
      <c r="K152" s="24">
        <v>465</v>
      </c>
      <c r="L152" s="24" t="str">
        <v>7 out of 10</v>
      </c>
      <c r="M152" s="23" t="b">
        <f t="shared" si="4"/>
        <v>1</v>
      </c>
      <c r="N152" s="23" t="str">
        <v>7 out of 10</v>
      </c>
      <c r="O152" s="23"/>
      <c r="P152" s="42" t="str">
        <v>7</v>
      </c>
      <c r="Q152" s="42" t="str">
        <v>7</v>
      </c>
      <c r="R152" s="42" t="str">
        <v>7</v>
      </c>
      <c r="S152" s="10" t="str">
        <f t="shared" si="5"/>
        <v>No Change</v>
      </c>
    </row>
    <row r="153" spans="1:19" ht="120" hidden="1">
      <c r="A153" s="8" t="s">
        <v>2010</v>
      </c>
      <c r="B153" s="9" t="s">
        <v>13555</v>
      </c>
      <c r="C153" s="37" t="s">
        <v>6601</v>
      </c>
      <c r="D153" s="24"/>
      <c r="E153" s="24"/>
      <c r="F153" s="24" t="str">
        <v>K384</v>
      </c>
      <c r="G153" s="24" t="str">
        <v>1 out of 10</v>
      </c>
      <c r="H153" s="24" t="str">
        <v>https://nycdoe.sharepoint.com/:w:/s/BAP/EfMal6Wbt1JOp7_-To3EtdoB3N2DpKxjku_EMJ9xe7wblw</v>
      </c>
      <c r="I153" s="23">
        <v>144</v>
      </c>
      <c r="J153" s="24" t="str">
        <v>-</v>
      </c>
      <c r="K153" s="24">
        <v>467</v>
      </c>
      <c r="L153" s="24" t="str">
        <v>1 out of 10</v>
      </c>
      <c r="M153" s="23" t="b">
        <f t="shared" si="4"/>
        <v>1</v>
      </c>
      <c r="N153" s="23" t="str">
        <v>1 out of 10</v>
      </c>
      <c r="O153" s="23"/>
      <c r="P153" s="42" t="str">
        <v>1</v>
      </c>
      <c r="Q153" s="42" t="str">
        <v>1</v>
      </c>
      <c r="R153" s="42" t="str">
        <v>1</v>
      </c>
      <c r="S153" s="10" t="str">
        <f t="shared" si="5"/>
        <v>No Change</v>
      </c>
    </row>
    <row r="154" spans="1:19" ht="120" hidden="1">
      <c r="A154" s="8" t="s">
        <v>1652</v>
      </c>
      <c r="B154" s="9" t="s">
        <v>13564</v>
      </c>
      <c r="C154" s="37" t="s">
        <v>6163</v>
      </c>
      <c r="D154" s="24"/>
      <c r="E154" s="24"/>
      <c r="F154" s="24" t="str">
        <v>K391</v>
      </c>
      <c r="G154" s="24" t="str">
        <v>3 out of 10</v>
      </c>
      <c r="H154" s="24" t="str">
        <v>https://nycdoe.sharepoint.com/:w:/s/BAP/EbdqMDlBGOpItMCL3HIKAJ4BIeLUxysp0QCfdvEPnh5kaA</v>
      </c>
      <c r="I154" s="23">
        <v>145</v>
      </c>
      <c r="J154" s="24" t="str">
        <v>-</v>
      </c>
      <c r="K154" s="24">
        <v>471</v>
      </c>
      <c r="L154" s="24" t="str">
        <v>3 out of 10</v>
      </c>
      <c r="M154" s="23" t="b">
        <f t="shared" si="4"/>
        <v>1</v>
      </c>
      <c r="N154" s="23" t="str">
        <v>3 out of 10</v>
      </c>
      <c r="O154" s="23"/>
      <c r="P154" s="42" t="str">
        <v>3</v>
      </c>
      <c r="Q154" s="42" t="str">
        <v>3</v>
      </c>
      <c r="R154" s="42" t="str">
        <v>3</v>
      </c>
      <c r="S154" s="10" t="str">
        <f t="shared" si="5"/>
        <v>No Change</v>
      </c>
    </row>
    <row r="155" spans="1:19" ht="120" hidden="1">
      <c r="A155" s="8" t="s">
        <v>1749</v>
      </c>
      <c r="B155" s="9" t="s">
        <v>13557</v>
      </c>
      <c r="C155" s="37" t="s">
        <v>6278</v>
      </c>
      <c r="D155" s="24"/>
      <c r="E155" s="24"/>
      <c r="F155" s="24" t="str">
        <v>K395</v>
      </c>
      <c r="G155" s="24" t="str">
        <v>10 out of 10</v>
      </c>
      <c r="H155" s="24" t="str">
        <v>https://nycdoe.sharepoint.com/:w:/s/BAP/ERG1CTre4DZIrEazQIsxZewBl9_S_YQbphn2dtrfCpA96A</v>
      </c>
      <c r="I155" s="23">
        <v>146</v>
      </c>
      <c r="J155" s="24" t="str">
        <v>-</v>
      </c>
      <c r="K155" s="24">
        <v>473</v>
      </c>
      <c r="L155" s="24" t="str">
        <v>10 out of 10</v>
      </c>
      <c r="M155" s="23" t="b">
        <f t="shared" si="4"/>
        <v>1</v>
      </c>
      <c r="N155" s="23" t="str">
        <v>10 out of 10</v>
      </c>
      <c r="O155" s="23"/>
      <c r="P155" s="42" t="str">
        <v>10</v>
      </c>
      <c r="Q155" s="42" t="str">
        <v>10</v>
      </c>
      <c r="R155" s="42" t="str">
        <v>10</v>
      </c>
      <c r="S155" s="10" t="str">
        <f t="shared" si="5"/>
        <v>No Change</v>
      </c>
    </row>
    <row r="156" spans="1:19" ht="120" hidden="1">
      <c r="A156" s="8" t="s">
        <v>1766</v>
      </c>
      <c r="B156" s="9" t="s">
        <v>13553</v>
      </c>
      <c r="C156" s="37" t="s">
        <v>6288</v>
      </c>
      <c r="D156" s="24"/>
      <c r="E156" s="24"/>
      <c r="F156" s="24" t="str">
        <v>K396</v>
      </c>
      <c r="G156" s="24" t="str">
        <v>7 out of 10</v>
      </c>
      <c r="H156" s="24" t="str">
        <v>https://nycdoe.sharepoint.com/:w:/s/BAP/EdXl8ToLJqJCvj3W3hgsccMBDP0AKrnATQILhKjq-XpJoQ</v>
      </c>
      <c r="I156" s="23">
        <v>147</v>
      </c>
      <c r="J156" s="24" t="str">
        <v>-</v>
      </c>
      <c r="K156" s="24">
        <v>475</v>
      </c>
      <c r="L156" s="24" t="str">
        <v>7 out of 10</v>
      </c>
      <c r="M156" s="23" t="b">
        <f t="shared" si="4"/>
        <v>1</v>
      </c>
      <c r="N156" s="23" t="str">
        <v>7 out of 10</v>
      </c>
      <c r="O156" s="23"/>
      <c r="P156" s="42" t="str">
        <v>7</v>
      </c>
      <c r="Q156" s="42" t="str">
        <v>7</v>
      </c>
      <c r="R156" s="42" t="str">
        <v>7</v>
      </c>
      <c r="S156" s="10" t="str">
        <f t="shared" si="5"/>
        <v>No Change</v>
      </c>
    </row>
    <row r="157" spans="1:19" ht="120" hidden="1">
      <c r="A157" s="8" t="s">
        <v>2077</v>
      </c>
      <c r="B157" s="9" t="s">
        <v>13559</v>
      </c>
      <c r="C157" s="37" t="s">
        <v>6713</v>
      </c>
      <c r="D157" s="24"/>
      <c r="E157" s="24"/>
      <c r="F157" s="24" t="str">
        <v>K397</v>
      </c>
      <c r="G157" s="24" t="str">
        <v>4 out of 10</v>
      </c>
      <c r="H157" s="24" t="str">
        <v>https://nycdoe.sharepoint.com/:w:/s/BAP/EbtFWUpEztVHqNuuE-ABUskBhQS-zyrTO1B92s3uNb7EBw</v>
      </c>
      <c r="I157" s="23">
        <v>148</v>
      </c>
      <c r="J157" s="24" t="str">
        <v>-</v>
      </c>
      <c r="K157" s="24">
        <v>477</v>
      </c>
      <c r="L157" s="24" t="str">
        <v>4 out of 10</v>
      </c>
      <c r="M157" s="23" t="b">
        <f t="shared" si="4"/>
        <v>1</v>
      </c>
      <c r="N157" s="23" t="str">
        <v>4 out of 10</v>
      </c>
      <c r="O157" s="23"/>
      <c r="P157" s="42" t="str">
        <v>4</v>
      </c>
      <c r="Q157" s="42" t="str">
        <v>4</v>
      </c>
      <c r="R157" s="42" t="str">
        <v>4</v>
      </c>
      <c r="S157" s="10" t="str">
        <f t="shared" si="5"/>
        <v>No Change</v>
      </c>
    </row>
    <row r="158" spans="1:19" ht="120" hidden="1">
      <c r="A158" s="8" t="s">
        <v>1102</v>
      </c>
      <c r="B158" s="9" t="s">
        <v>13557</v>
      </c>
      <c r="C158" s="37" t="s">
        <v>5506</v>
      </c>
      <c r="D158" s="24"/>
      <c r="E158" s="24"/>
      <c r="F158" s="24" t="str">
        <v>K398</v>
      </c>
      <c r="G158" s="24" t="str">
        <v>6 out of 10</v>
      </c>
      <c r="H158" s="24" t="str">
        <v>https://nycdoe.sharepoint.com/:w:/s/BAP/EVTgoxkHpWpDjJy_NHDwOx4BZ8lP6FDUiykLbvRWJrFKeg</v>
      </c>
      <c r="I158" s="23">
        <v>149</v>
      </c>
      <c r="J158" s="24" t="str">
        <v>-</v>
      </c>
      <c r="K158" s="24">
        <v>478</v>
      </c>
      <c r="L158" s="24" t="str">
        <v>6 out of 10</v>
      </c>
      <c r="M158" s="23" t="b">
        <f t="shared" si="4"/>
        <v>1</v>
      </c>
      <c r="N158" s="23" t="str">
        <v>6 out of 10</v>
      </c>
      <c r="O158" s="23"/>
      <c r="P158" s="42" t="str">
        <v>6</v>
      </c>
      <c r="Q158" s="42" t="str">
        <v>6</v>
      </c>
      <c r="R158" s="42" t="str">
        <v>6</v>
      </c>
      <c r="S158" s="10" t="str">
        <f t="shared" si="5"/>
        <v>No Change</v>
      </c>
    </row>
    <row r="159" spans="1:19" ht="135" hidden="1">
      <c r="A159" s="8" t="s">
        <v>6011</v>
      </c>
      <c r="B159" s="9" t="s">
        <v>13553</v>
      </c>
      <c r="C159" s="37" t="s">
        <v>6013</v>
      </c>
      <c r="D159" s="24"/>
      <c r="E159" s="24"/>
      <c r="F159" s="24" t="str">
        <v>K399</v>
      </c>
      <c r="G159" s="24" t="str">
        <v>1 out of 10</v>
      </c>
      <c r="H159" s="24" t="str">
        <v>https://nycdoe.sharepoint.com/:w:/s/BAP/EeFYpVc5JvZIu7-HGGako8oBUiJLkU9o4uZcjG5RHCJ1TA</v>
      </c>
      <c r="I159" s="23">
        <v>150</v>
      </c>
      <c r="J159" s="24" t="str">
        <v>-</v>
      </c>
      <c r="K159" s="24">
        <v>480</v>
      </c>
      <c r="L159" s="24" t="str">
        <v>1 out of 10</v>
      </c>
      <c r="M159" s="23" t="b">
        <f t="shared" si="4"/>
        <v>1</v>
      </c>
      <c r="N159" s="23" t="str">
        <v>1 out of 10</v>
      </c>
      <c r="O159" s="23"/>
      <c r="P159" s="42" t="str">
        <v>1</v>
      </c>
      <c r="Q159" s="42" t="str">
        <v>1</v>
      </c>
      <c r="R159" s="42" t="str">
        <v>1</v>
      </c>
      <c r="S159" s="10" t="str">
        <f t="shared" si="5"/>
        <v>No Change</v>
      </c>
    </row>
    <row r="160" spans="1:19" ht="120" hidden="1">
      <c r="A160" s="8" t="s">
        <v>1310</v>
      </c>
      <c r="B160" s="9" t="s">
        <v>13553</v>
      </c>
      <c r="C160" s="37" t="s">
        <v>5752</v>
      </c>
      <c r="D160" s="24"/>
      <c r="E160" s="24"/>
      <c r="F160" s="24" t="str">
        <v>K400</v>
      </c>
      <c r="G160" s="24" t="str">
        <v>6 out of 10</v>
      </c>
      <c r="H160" s="24" t="str">
        <v>https://nycdoe.sharepoint.com/:w:/s/BAP/EQMAyEoeohxFi1un1lFQwwoBGrOAfj6fCrrs2WmuFl1QZg</v>
      </c>
      <c r="I160" s="23">
        <v>151</v>
      </c>
      <c r="J160" s="24" t="str">
        <v>-</v>
      </c>
      <c r="K160" s="24">
        <v>481</v>
      </c>
      <c r="L160" s="24" t="str">
        <v>6 out of 10</v>
      </c>
      <c r="M160" s="23" t="b">
        <f t="shared" si="4"/>
        <v>1</v>
      </c>
      <c r="N160" s="23" t="str">
        <v>6 out of 10</v>
      </c>
      <c r="O160" s="23"/>
      <c r="P160" s="42" t="str">
        <v>6</v>
      </c>
      <c r="Q160" s="42" t="str">
        <v>6</v>
      </c>
      <c r="R160" s="42" t="str">
        <v>6</v>
      </c>
      <c r="S160" s="10" t="str">
        <f t="shared" si="5"/>
        <v>No Change</v>
      </c>
    </row>
    <row r="161" spans="1:19" ht="120" hidden="1">
      <c r="A161" s="8" t="s">
        <v>1521</v>
      </c>
      <c r="B161" s="9" t="s">
        <v>13555</v>
      </c>
      <c r="C161" s="37" t="s">
        <v>6020</v>
      </c>
      <c r="D161" s="24"/>
      <c r="E161" s="24"/>
      <c r="F161" s="24" t="str">
        <v>K405</v>
      </c>
      <c r="G161" s="24" t="str">
        <v>0 out of 10</v>
      </c>
      <c r="H161" s="24" t="str">
        <v>https://nycdoe.sharepoint.com/:w:/s/BAP/EZG_55MTnCJNmMnDPsLJnTwBCu0M0NXwAJeztkN8_6OXxQ</v>
      </c>
      <c r="I161" s="23" t="str">
        <v>Was New</v>
      </c>
      <c r="J161" s="24" t="str">
        <v>0 out of 10</v>
      </c>
      <c r="K161" s="24">
        <v>486</v>
      </c>
      <c r="L161" s="24" t="str">
        <v>N/A out of 10</v>
      </c>
      <c r="M161" s="23" t="b">
        <f t="shared" si="4"/>
        <v>0</v>
      </c>
      <c r="N161" s="23" t="str">
        <v>0 out of 10</v>
      </c>
      <c r="O161" s="23"/>
      <c r="P161" s="42" t="str">
        <v>0</v>
      </c>
      <c r="Q161" s="42" t="str">
        <v>N/A</v>
      </c>
      <c r="R161" s="42" t="str">
        <v>0</v>
      </c>
      <c r="S161" s="10" t="str">
        <f t="shared" si="5"/>
        <v>No Change</v>
      </c>
    </row>
    <row r="162" spans="1:19" ht="120" hidden="1">
      <c r="A162" s="8" t="s">
        <v>1888</v>
      </c>
      <c r="B162" s="9" t="s">
        <v>13557</v>
      </c>
      <c r="C162" s="37" t="s">
        <v>6435</v>
      </c>
      <c r="D162" s="24"/>
      <c r="E162" s="24"/>
      <c r="F162" s="24" t="str">
        <v>K410</v>
      </c>
      <c r="G162" s="24" t="str">
        <v>9 out of 10</v>
      </c>
      <c r="H162" s="24" t="str">
        <v>https://nycdoe.sharepoint.com/:w:/s/BAP/EeiwxgR6EoxNmpNFVxbBBiEBshGzroUgmI2D7_BCFW9_uw</v>
      </c>
      <c r="I162" s="23">
        <v>152</v>
      </c>
      <c r="J162" s="24" t="str">
        <v>-</v>
      </c>
      <c r="K162" s="24">
        <v>487</v>
      </c>
      <c r="L162" s="24" t="str">
        <v>9 out of 10</v>
      </c>
      <c r="M162" s="23" t="b">
        <f t="shared" si="4"/>
        <v>1</v>
      </c>
      <c r="N162" s="23" t="str">
        <v>9 out of 10</v>
      </c>
      <c r="O162" s="23"/>
      <c r="P162" s="42" t="str">
        <v>9</v>
      </c>
      <c r="Q162" s="42" t="str">
        <v>9</v>
      </c>
      <c r="R162" s="42" t="str">
        <v>9</v>
      </c>
      <c r="S162" s="10" t="str">
        <f t="shared" si="5"/>
        <v>No Change</v>
      </c>
    </row>
    <row r="163" spans="1:19" ht="120">
      <c r="A163" s="8" t="s">
        <v>1220</v>
      </c>
      <c r="B163" s="9" t="s">
        <v>13557</v>
      </c>
      <c r="C163" s="37" t="s">
        <v>5655</v>
      </c>
      <c r="D163" s="24"/>
      <c r="E163" s="24"/>
      <c r="F163" s="24" t="str">
        <v>K415</v>
      </c>
      <c r="G163" s="24" t="str">
        <v>8 out of 10</v>
      </c>
      <c r="H163" s="24" t="str">
        <v>https://nycdoe.sharepoint.com/:w:/s/BAP/EbVBYxcKmthAg2DJWANXLwkBYQ-gLHi9UzWfjysMYRLRWA</v>
      </c>
      <c r="I163" s="23">
        <v>153</v>
      </c>
      <c r="J163" s="24" t="str">
        <v>8 out of 10</v>
      </c>
      <c r="K163" s="24">
        <v>489</v>
      </c>
      <c r="L163" s="24" t="str">
        <v>6 out of 10</v>
      </c>
      <c r="M163" s="23" t="b">
        <f t="shared" si="4"/>
        <v>0</v>
      </c>
      <c r="N163" s="23" t="str">
        <v>8 out of 10</v>
      </c>
      <c r="O163" s="23"/>
      <c r="P163" s="42" t="str">
        <v>8</v>
      </c>
      <c r="Q163" s="42" t="str">
        <v>6</v>
      </c>
      <c r="R163" s="42" t="str">
        <v>8</v>
      </c>
      <c r="S163" s="10" t="str">
        <f t="shared" si="5"/>
        <v>Change</v>
      </c>
    </row>
    <row r="164" spans="1:19" ht="120" hidden="1">
      <c r="A164" s="8" t="s">
        <v>1422</v>
      </c>
      <c r="B164" s="9" t="s">
        <v>13559</v>
      </c>
      <c r="C164" s="37" t="s">
        <v>5889</v>
      </c>
      <c r="D164" s="24"/>
      <c r="E164" s="24"/>
      <c r="F164" s="24" t="str">
        <v>K420</v>
      </c>
      <c r="G164" s="24" t="str">
        <v>8 out of 10</v>
      </c>
      <c r="H164" s="24" t="str">
        <v>https://nycdoe.sharepoint.com/:w:/s/BAP/EcxONJLKVYJEvfM_V2Su4ZcBVLt3TygyXlTze8W2HOhfVQ</v>
      </c>
      <c r="I164" s="23">
        <v>154</v>
      </c>
      <c r="J164" s="24" t="str">
        <v>-</v>
      </c>
      <c r="K164" s="24">
        <v>493</v>
      </c>
      <c r="L164" s="24" t="str">
        <v>8 out of 10</v>
      </c>
      <c r="M164" s="23" t="b">
        <f t="shared" si="4"/>
        <v>1</v>
      </c>
      <c r="N164" s="23" t="str">
        <v>8 out of 10</v>
      </c>
      <c r="O164" s="23"/>
      <c r="P164" s="42" t="str">
        <v>8</v>
      </c>
      <c r="Q164" s="42" t="str">
        <v>8</v>
      </c>
      <c r="R164" s="42" t="str">
        <v>8</v>
      </c>
      <c r="S164" s="10" t="str">
        <f t="shared" si="5"/>
        <v>No Change</v>
      </c>
    </row>
    <row r="165" spans="1:19" ht="105" hidden="1">
      <c r="A165" s="8" t="s">
        <v>1106</v>
      </c>
      <c r="B165" s="9" t="s">
        <v>13555</v>
      </c>
      <c r="C165" s="37" t="s">
        <v>5510</v>
      </c>
      <c r="D165" s="24"/>
      <c r="E165" s="24"/>
      <c r="F165" s="24" t="str">
        <v>K422</v>
      </c>
      <c r="G165" s="24" t="str">
        <v>10 out of 10</v>
      </c>
      <c r="H165" s="24" t="str">
        <v>https://nycdoe.sharepoint.com/:w:/s/BAP/Eeixrz858TlIop78YPPGscMBogfJseCf6Gp12KjzdHzWqA</v>
      </c>
      <c r="I165" s="23">
        <v>155</v>
      </c>
      <c r="J165" s="24" t="str">
        <v>-</v>
      </c>
      <c r="K165" s="24">
        <v>499</v>
      </c>
      <c r="L165" s="24" t="str">
        <v>10 out of 10</v>
      </c>
      <c r="M165" s="23" t="b">
        <f t="shared" si="4"/>
        <v>1</v>
      </c>
      <c r="N165" s="23" t="str">
        <v>10 out of 10</v>
      </c>
      <c r="O165" s="23"/>
      <c r="P165" s="42" t="str">
        <v>10</v>
      </c>
      <c r="Q165" s="42" t="str">
        <v>10</v>
      </c>
      <c r="R165" s="42" t="str">
        <v>10</v>
      </c>
      <c r="S165" s="10" t="str">
        <f t="shared" si="5"/>
        <v>No Change</v>
      </c>
    </row>
    <row r="166" spans="1:19" ht="135" hidden="1">
      <c r="A166" s="8" t="s">
        <v>1315</v>
      </c>
      <c r="B166" s="9" t="s">
        <v>13555</v>
      </c>
      <c r="C166" s="37" t="s">
        <v>5757</v>
      </c>
      <c r="D166" s="24"/>
      <c r="E166" s="24"/>
      <c r="F166" s="24" t="str">
        <v>K425</v>
      </c>
      <c r="G166" s="24" t="str">
        <v>3 out of 10</v>
      </c>
      <c r="H166" s="24" t="str">
        <v>https://nycdoe.sharepoint.com/:w:/s/BAP/EW4wneEEBSlKgZh9puswglIBFox3K-Z7w3He3xUg_e2lMg</v>
      </c>
      <c r="I166" s="23">
        <v>156</v>
      </c>
      <c r="J166" s="24" t="str">
        <v>-</v>
      </c>
      <c r="K166" s="24">
        <v>502</v>
      </c>
      <c r="L166" s="24" t="str">
        <v>3 out of 10</v>
      </c>
      <c r="M166" s="23" t="b">
        <f t="shared" si="4"/>
        <v>1</v>
      </c>
      <c r="N166" s="23" t="str">
        <v>3 out of 10</v>
      </c>
      <c r="O166" s="23"/>
      <c r="P166" s="42" t="str">
        <v>3</v>
      </c>
      <c r="Q166" s="42" t="str">
        <v>3</v>
      </c>
      <c r="R166" s="42" t="str">
        <v>3</v>
      </c>
      <c r="S166" s="10" t="str">
        <f t="shared" si="5"/>
        <v>No Change</v>
      </c>
    </row>
    <row r="167" spans="1:19" ht="120" hidden="1">
      <c r="A167" s="8" t="s">
        <v>1535</v>
      </c>
      <c r="B167" s="9" t="s">
        <v>13557</v>
      </c>
      <c r="C167" s="37" t="s">
        <v>6030</v>
      </c>
      <c r="D167" s="24"/>
      <c r="E167" s="24"/>
      <c r="F167" s="24" t="str">
        <v>K430</v>
      </c>
      <c r="G167" s="24" t="str">
        <v>8 out of 10</v>
      </c>
      <c r="H167" s="24" t="str">
        <v>https://nycdoe.sharepoint.com/:w:/s/BAP/EeP1DPepMZRPq3B5_IPfbz0BoNBj8Ela9hSIqERYOFiCww</v>
      </c>
      <c r="I167" s="23">
        <v>157</v>
      </c>
      <c r="J167" s="24" t="str">
        <v>-</v>
      </c>
      <c r="K167" s="24">
        <v>503</v>
      </c>
      <c r="L167" s="24" t="str">
        <v>8 out of 10</v>
      </c>
      <c r="M167" s="23" t="b">
        <f t="shared" si="4"/>
        <v>1</v>
      </c>
      <c r="N167" s="23" t="str">
        <v>8 out of 10</v>
      </c>
      <c r="O167" s="23"/>
      <c r="P167" s="42" t="str">
        <v>8</v>
      </c>
      <c r="Q167" s="42" t="str">
        <v>8</v>
      </c>
      <c r="R167" s="42" t="str">
        <v>8</v>
      </c>
      <c r="S167" s="10" t="str">
        <f t="shared" si="5"/>
        <v>No Change</v>
      </c>
    </row>
    <row r="168" spans="1:19" ht="120" hidden="1">
      <c r="A168" s="8" t="s">
        <v>2209</v>
      </c>
      <c r="B168" s="9" t="s">
        <v>13559</v>
      </c>
      <c r="C168" s="37" t="s">
        <v>6885</v>
      </c>
      <c r="D168" s="24"/>
      <c r="E168" s="24"/>
      <c r="F168" s="24" t="str">
        <v>K434</v>
      </c>
      <c r="G168" s="24" t="str">
        <v>10 out of 10</v>
      </c>
      <c r="H168" s="24" t="str">
        <v>https://nycdoe.sharepoint.com/:w:/s/BAP/EcCqBct4cm1FgKVvMXdTf1MBjbimTTxU-xKMIdqON0oOpQ</v>
      </c>
      <c r="I168" s="23">
        <v>158</v>
      </c>
      <c r="J168" s="24" t="str">
        <v>-</v>
      </c>
      <c r="K168" s="24">
        <v>504</v>
      </c>
      <c r="L168" s="24" t="str">
        <v>10 out of 10</v>
      </c>
      <c r="M168" s="23" t="b">
        <f t="shared" si="4"/>
        <v>1</v>
      </c>
      <c r="N168" s="23" t="str">
        <v>10 out of 10</v>
      </c>
      <c r="O168" s="23"/>
      <c r="P168" s="42" t="str">
        <v>10</v>
      </c>
      <c r="Q168" s="42" t="str">
        <v>10</v>
      </c>
      <c r="R168" s="42" t="str">
        <v>10</v>
      </c>
      <c r="S168" s="10" t="str">
        <f t="shared" si="5"/>
        <v>No Change</v>
      </c>
    </row>
    <row r="169" spans="1:19" ht="120" hidden="1">
      <c r="A169" s="8" t="s">
        <v>1895</v>
      </c>
      <c r="B169" s="9" t="s">
        <v>13555</v>
      </c>
      <c r="C169" s="37" t="s">
        <v>6441</v>
      </c>
      <c r="D169" s="24"/>
      <c r="E169" s="24"/>
      <c r="F169" s="24" t="str">
        <v>K437</v>
      </c>
      <c r="G169" s="24" t="str">
        <v>10 out of 10</v>
      </c>
      <c r="H169" s="24" t="str">
        <v>https://nycdoe.sharepoint.com/:w:/s/BAP/EesPuxxfSu9Hh7VM4ulRgDUB5oD9-D5uTEk6u6K3VLnhZg</v>
      </c>
      <c r="I169" s="23">
        <v>159</v>
      </c>
      <c r="J169" s="24" t="str">
        <v>-</v>
      </c>
      <c r="K169" s="24">
        <v>510</v>
      </c>
      <c r="L169" s="24" t="str">
        <v>10 out of 10</v>
      </c>
      <c r="M169" s="23" t="b">
        <f t="shared" si="4"/>
        <v>1</v>
      </c>
      <c r="N169" s="23" t="str">
        <v>10 out of 10</v>
      </c>
      <c r="O169" s="23"/>
      <c r="P169" s="42" t="str">
        <v>10</v>
      </c>
      <c r="Q169" s="42" t="str">
        <v>10</v>
      </c>
      <c r="R169" s="42" t="str">
        <v>10</v>
      </c>
      <c r="S169" s="10" t="str">
        <f t="shared" si="5"/>
        <v>No Change</v>
      </c>
    </row>
    <row r="170" spans="1:19" ht="120" hidden="1">
      <c r="A170" s="8" t="s">
        <v>1899</v>
      </c>
      <c r="B170" s="9" t="s">
        <v>13571</v>
      </c>
      <c r="C170" s="37" t="s">
        <v>6447</v>
      </c>
      <c r="D170" s="24"/>
      <c r="E170" s="24"/>
      <c r="F170" s="24" t="str">
        <v>K440</v>
      </c>
      <c r="G170" s="24" t="str">
        <v>9 out of 10</v>
      </c>
      <c r="H170" s="24" t="str">
        <v>https://nycdoe.sharepoint.com/:w:/s/BAP/ERKRcMdCBV9CnUO5wHX14psB_NI1aVZ34tGywLwAYOSPLQ</v>
      </c>
      <c r="I170" s="23">
        <v>160</v>
      </c>
      <c r="J170" s="24" t="str">
        <v>-</v>
      </c>
      <c r="K170" s="24">
        <v>513</v>
      </c>
      <c r="L170" s="24" t="str">
        <v>9 out of 10</v>
      </c>
      <c r="M170" s="23" t="b">
        <f t="shared" si="4"/>
        <v>1</v>
      </c>
      <c r="N170" s="23" t="str">
        <v>9 out of 10</v>
      </c>
      <c r="O170" s="23"/>
      <c r="P170" s="42" t="str">
        <v>9</v>
      </c>
      <c r="Q170" s="42" t="str">
        <v>9</v>
      </c>
      <c r="R170" s="42" t="str">
        <v>9</v>
      </c>
      <c r="S170" s="10" t="str">
        <f t="shared" si="5"/>
        <v>No Change</v>
      </c>
    </row>
    <row r="171" spans="1:19" ht="120" hidden="1">
      <c r="A171" s="8" t="s">
        <v>2081</v>
      </c>
      <c r="B171" s="9" t="s">
        <v>13555</v>
      </c>
      <c r="C171" s="37" t="s">
        <v>6717</v>
      </c>
      <c r="D171" s="24"/>
      <c r="E171" s="24"/>
      <c r="F171" s="24" t="str">
        <v>K445</v>
      </c>
      <c r="G171" s="24" t="str">
        <v>8 out of 10</v>
      </c>
      <c r="H171" s="24" t="str">
        <v>https://nycdoe.sharepoint.com/:w:/s/BAP/EWLeiTfldhpHlDcRIBRn6VgBRoQcEqavSXJViftAS6OvAg</v>
      </c>
      <c r="I171" s="23">
        <v>161</v>
      </c>
      <c r="J171" s="24" t="str">
        <v>-</v>
      </c>
      <c r="K171" s="24">
        <v>517</v>
      </c>
      <c r="L171" s="24" t="str">
        <v>8 out of 10</v>
      </c>
      <c r="M171" s="23" t="b">
        <f t="shared" si="4"/>
        <v>1</v>
      </c>
      <c r="N171" s="23" t="str">
        <v>8 out of 10</v>
      </c>
      <c r="O171" s="23"/>
      <c r="P171" s="42" t="str">
        <v>8</v>
      </c>
      <c r="Q171" s="42" t="str">
        <v>8</v>
      </c>
      <c r="R171" s="42" t="str">
        <v>8</v>
      </c>
      <c r="S171" s="10" t="str">
        <f t="shared" si="5"/>
        <v>No Change</v>
      </c>
    </row>
    <row r="172" spans="1:19" ht="105" hidden="1">
      <c r="A172" s="8" t="s">
        <v>1663</v>
      </c>
      <c r="B172" s="9" t="s">
        <v>13564</v>
      </c>
      <c r="C172" s="37" t="s">
        <v>6183</v>
      </c>
      <c r="D172" s="24"/>
      <c r="E172" s="24"/>
      <c r="F172" s="24" t="str">
        <v>K450</v>
      </c>
      <c r="G172" s="24" t="str">
        <v>8 out of 10</v>
      </c>
      <c r="H172" s="24" t="str">
        <v>https://nycdoe.sharepoint.com/:w:/s/BAP/ETzQAVqDc4NHpyal7fLpEOQBbULP_j9q9RwUu1xq5DA0Kw</v>
      </c>
      <c r="I172" s="23">
        <v>162</v>
      </c>
      <c r="J172" s="24" t="str">
        <v>-</v>
      </c>
      <c r="K172" s="24">
        <v>519</v>
      </c>
      <c r="L172" s="24" t="str">
        <v>8 out of 10</v>
      </c>
      <c r="M172" s="23" t="b">
        <f t="shared" si="4"/>
        <v>1</v>
      </c>
      <c r="N172" s="23" t="str">
        <v>8 out of 10</v>
      </c>
      <c r="O172" s="23"/>
      <c r="P172" s="42" t="str">
        <v>8</v>
      </c>
      <c r="Q172" s="42" t="str">
        <v>8</v>
      </c>
      <c r="R172" s="42" t="str">
        <v>8</v>
      </c>
      <c r="S172" s="10" t="str">
        <f t="shared" si="5"/>
        <v>No Change</v>
      </c>
    </row>
    <row r="173" spans="1:19" ht="105" hidden="1">
      <c r="A173" s="8" t="s">
        <v>6448</v>
      </c>
      <c r="B173" s="9" t="s">
        <v>13553</v>
      </c>
      <c r="C173" s="37" t="s">
        <v>6450</v>
      </c>
      <c r="D173" s="24"/>
      <c r="E173" s="24"/>
      <c r="F173" s="24" t="str">
        <v>K455</v>
      </c>
      <c r="G173" s="24" t="str">
        <v>3 out of 10</v>
      </c>
      <c r="H173" s="24" t="str">
        <v>https://nycdoe.sharepoint.com/:w:/s/BAP/EVEB_pd5nntOltQNnjIajsQBvvAyocrWl9NXqgogBZZVDA</v>
      </c>
      <c r="I173" s="23">
        <v>163</v>
      </c>
      <c r="J173" s="24" t="str">
        <v>-</v>
      </c>
      <c r="K173" s="24">
        <v>523</v>
      </c>
      <c r="L173" s="24" t="str">
        <v>3 out of 10</v>
      </c>
      <c r="M173" s="23" t="b">
        <f t="shared" si="4"/>
        <v>1</v>
      </c>
      <c r="N173" s="23" t="str">
        <v>3 out of 10</v>
      </c>
      <c r="O173" s="23"/>
      <c r="P173" s="42" t="str">
        <v>3</v>
      </c>
      <c r="Q173" s="42" t="str">
        <v>3</v>
      </c>
      <c r="R173" s="42" t="str">
        <v>3</v>
      </c>
      <c r="S173" s="10" t="str">
        <f t="shared" si="5"/>
        <v>No Change</v>
      </c>
    </row>
    <row r="174" spans="1:19" ht="120" hidden="1">
      <c r="A174" s="8" t="s">
        <v>2014</v>
      </c>
      <c r="B174" s="9" t="s">
        <v>13571</v>
      </c>
      <c r="C174" s="37" t="s">
        <v>6607</v>
      </c>
      <c r="D174" s="24"/>
      <c r="E174" s="24"/>
      <c r="F174" s="24" t="str">
        <v>K458</v>
      </c>
      <c r="G174" s="24" t="str">
        <v>9 out of 10</v>
      </c>
      <c r="H174" s="24" t="str">
        <v>https://nycdoe.sharepoint.com/:w:/s/BAP/ET2fjjR_A7tBr0kZPUzxeFcBwbhXr6vAkB59GeJAl2iXUA</v>
      </c>
      <c r="I174" s="23">
        <v>164</v>
      </c>
      <c r="J174" s="24" t="str">
        <v>-</v>
      </c>
      <c r="K174" s="24">
        <v>526</v>
      </c>
      <c r="L174" s="24" t="str">
        <v>9 out of 10</v>
      </c>
      <c r="M174" s="23" t="b">
        <f t="shared" si="4"/>
        <v>1</v>
      </c>
      <c r="N174" s="23" t="str">
        <v>9 out of 10</v>
      </c>
      <c r="O174" s="23"/>
      <c r="P174" s="42" t="str">
        <v>9</v>
      </c>
      <c r="Q174" s="42" t="str">
        <v>9</v>
      </c>
      <c r="R174" s="42" t="str">
        <v>9</v>
      </c>
      <c r="S174" s="10" t="str">
        <f t="shared" si="5"/>
        <v>No Change</v>
      </c>
    </row>
    <row r="175" spans="1:19" ht="120" hidden="1">
      <c r="A175" s="8" t="s">
        <v>2094</v>
      </c>
      <c r="B175" s="9" t="s">
        <v>13553</v>
      </c>
      <c r="C175" s="37" t="s">
        <v>6726</v>
      </c>
      <c r="D175" s="24"/>
      <c r="E175" s="24"/>
      <c r="F175" s="24" t="str">
        <v>K460</v>
      </c>
      <c r="G175" s="24" t="str">
        <v>9 out of 10</v>
      </c>
      <c r="H175" s="24" t="str">
        <v>https://nycdoe.sharepoint.com/:w:/s/BAP/EV3R3N7AgTBPi9_GZXkVKkYBBLvKMJ6SK-ZOOPpC90gpzA</v>
      </c>
      <c r="I175" s="23">
        <v>165</v>
      </c>
      <c r="J175" s="24" t="str">
        <v>-</v>
      </c>
      <c r="K175" s="24">
        <v>529</v>
      </c>
      <c r="L175" s="24" t="str">
        <v>9 out of 10</v>
      </c>
      <c r="M175" s="23" t="b">
        <f t="shared" si="4"/>
        <v>1</v>
      </c>
      <c r="N175" s="23" t="str">
        <v>9 out of 10</v>
      </c>
      <c r="O175" s="23"/>
      <c r="P175" s="42" t="str">
        <v>9</v>
      </c>
      <c r="Q175" s="42" t="str">
        <v>9</v>
      </c>
      <c r="R175" s="42" t="str">
        <v>9</v>
      </c>
      <c r="S175" s="10" t="str">
        <f t="shared" si="5"/>
        <v>No Change</v>
      </c>
    </row>
    <row r="176" spans="1:19" ht="120" hidden="1">
      <c r="A176" s="8" t="s">
        <v>2223</v>
      </c>
      <c r="B176" s="9" t="s">
        <v>13553</v>
      </c>
      <c r="C176" s="37" t="s">
        <v>6895</v>
      </c>
      <c r="D176" s="24"/>
      <c r="E176" s="24"/>
      <c r="F176" s="24" t="str">
        <v>K465</v>
      </c>
      <c r="G176" s="24" t="str">
        <v>8 out of 10</v>
      </c>
      <c r="H176" s="24" t="str">
        <v>https://nycdoe.sharepoint.com/:w:/s/BAP/EYLP_eUcd9ZOtvc0PLLPGxcBGVbvXlqLby2tP_XeKHIUXg</v>
      </c>
      <c r="I176" s="23">
        <v>166</v>
      </c>
      <c r="J176" s="24" t="str">
        <v>-</v>
      </c>
      <c r="K176" s="24">
        <v>533</v>
      </c>
      <c r="L176" s="24" t="str">
        <v>8 out of 10</v>
      </c>
      <c r="M176" s="23" t="b">
        <f t="shared" si="4"/>
        <v>1</v>
      </c>
      <c r="N176" s="23" t="str">
        <v>8 out of 10</v>
      </c>
      <c r="O176" s="23"/>
      <c r="P176" s="42" t="str">
        <v>8</v>
      </c>
      <c r="Q176" s="42" t="str">
        <v>8</v>
      </c>
      <c r="R176" s="42" t="str">
        <v>8</v>
      </c>
      <c r="S176" s="10" t="str">
        <f t="shared" si="5"/>
        <v>No Change</v>
      </c>
    </row>
    <row r="177" spans="1:19" ht="120" hidden="1">
      <c r="A177" s="8" t="s">
        <v>1366</v>
      </c>
      <c r="B177" s="9" t="s">
        <v>13555</v>
      </c>
      <c r="C177" s="37" t="s">
        <v>6730</v>
      </c>
      <c r="D177" s="24"/>
      <c r="E177" s="24"/>
      <c r="F177" s="24" t="str">
        <v>K480</v>
      </c>
      <c r="G177" s="24" t="str">
        <v>5 out of 10</v>
      </c>
      <c r="H177" s="24" t="str">
        <v>https://nycdoe.sharepoint.com/:w:/s/BAP/Eeqn83BEAGZOs04ZuF11L28B9xTjiir--jZFSfqPKVEp1Q</v>
      </c>
      <c r="I177" s="23">
        <v>167</v>
      </c>
      <c r="J177" s="24" t="str">
        <v>5 out of 10</v>
      </c>
      <c r="K177" s="24">
        <v>542</v>
      </c>
      <c r="L177" s="24" t="str">
        <v>5 out of 10</v>
      </c>
      <c r="M177" s="23" t="b">
        <f t="shared" si="4"/>
        <v>1</v>
      </c>
      <c r="N177" s="23" t="str">
        <v>5 out of 10</v>
      </c>
      <c r="O177" s="23"/>
      <c r="P177" s="42" t="str">
        <v>5</v>
      </c>
      <c r="Q177" s="42" t="str">
        <v>5</v>
      </c>
      <c r="R177" s="42" t="str">
        <v>5</v>
      </c>
      <c r="S177" s="10" t="str">
        <f t="shared" si="5"/>
        <v>No Change</v>
      </c>
    </row>
    <row r="178" spans="1:19" ht="120" hidden="1">
      <c r="A178" s="8" t="s">
        <v>1329</v>
      </c>
      <c r="B178" s="9" t="s">
        <v>13553</v>
      </c>
      <c r="C178" s="37" t="s">
        <v>5771</v>
      </c>
      <c r="D178" s="24"/>
      <c r="E178" s="24"/>
      <c r="F178" s="24" t="str">
        <v>K485</v>
      </c>
      <c r="G178" s="24" t="str">
        <v>9 out of 10</v>
      </c>
      <c r="H178" s="24" t="str">
        <v>https://nycdoe.sharepoint.com/:w:/s/BAP/EUEzohI0dHRIhsnUA9gAqaEBN_XSQtKBAV3XdcZcPR9JzA</v>
      </c>
      <c r="I178" s="23">
        <v>168</v>
      </c>
      <c r="J178" s="24" t="str">
        <v>-</v>
      </c>
      <c r="K178" s="24">
        <v>546</v>
      </c>
      <c r="L178" s="24" t="str">
        <v>9 out of 10</v>
      </c>
      <c r="M178" s="23" t="b">
        <f t="shared" si="4"/>
        <v>1</v>
      </c>
      <c r="N178" s="23" t="str">
        <v>9 out of 10</v>
      </c>
      <c r="O178" s="23"/>
      <c r="P178" s="42" t="str">
        <v>9</v>
      </c>
      <c r="Q178" s="42" t="str">
        <v>9</v>
      </c>
      <c r="R178" s="42" t="str">
        <v>9</v>
      </c>
      <c r="S178" s="10" t="str">
        <f t="shared" si="5"/>
        <v>No Change</v>
      </c>
    </row>
    <row r="179" spans="1:19" ht="120" hidden="1">
      <c r="A179" s="8" t="s">
        <v>1114</v>
      </c>
      <c r="B179" s="9" t="s">
        <v>13571</v>
      </c>
      <c r="C179" s="37" t="s">
        <v>5514</v>
      </c>
      <c r="D179" s="24"/>
      <c r="E179" s="24"/>
      <c r="F179" s="24" t="str">
        <v>K490</v>
      </c>
      <c r="G179" s="24" t="str">
        <v>7 out of 10</v>
      </c>
      <c r="H179" s="24" t="str">
        <v>https://nycdoe.sharepoint.com/:w:/s/BAP/EQws6F14bdJLlHjxOCxq0nsBKYIUTHMnV_AonEgnEX3y7Q</v>
      </c>
      <c r="I179" s="23">
        <v>169</v>
      </c>
      <c r="J179" s="24" t="str">
        <v>-</v>
      </c>
      <c r="K179" s="24">
        <v>549</v>
      </c>
      <c r="L179" s="24" t="str">
        <v>7 out of 10</v>
      </c>
      <c r="M179" s="23" t="b">
        <f t="shared" si="4"/>
        <v>1</v>
      </c>
      <c r="N179" s="23" t="str">
        <v>7 out of 10</v>
      </c>
      <c r="O179" s="23"/>
      <c r="P179" s="42" t="str">
        <v>7</v>
      </c>
      <c r="Q179" s="42" t="str">
        <v>7</v>
      </c>
      <c r="R179" s="42" t="str">
        <v>7</v>
      </c>
      <c r="S179" s="10" t="str">
        <f t="shared" si="5"/>
        <v>No Change</v>
      </c>
    </row>
    <row r="180" spans="1:19" ht="120" hidden="1">
      <c r="A180" s="8" t="s">
        <v>1552</v>
      </c>
      <c r="B180" s="9" t="s">
        <v>13555</v>
      </c>
      <c r="C180" s="37" t="s">
        <v>6052</v>
      </c>
      <c r="D180" s="24"/>
      <c r="E180" s="24"/>
      <c r="F180" s="24" t="str">
        <v>K495</v>
      </c>
      <c r="G180" s="24" t="str">
        <v>9 out of 10</v>
      </c>
      <c r="H180" s="24" t="str">
        <v>https://nycdoe.sharepoint.com/:w:/s/BAP/EQchxPESBN9Lg3Gz5kQzZHkBPZ0neyjsLVTrb-_-yB8FAg</v>
      </c>
      <c r="I180" s="23">
        <v>170</v>
      </c>
      <c r="J180" s="24" t="str">
        <v>-</v>
      </c>
      <c r="K180" s="24">
        <v>551</v>
      </c>
      <c r="L180" s="24" t="str">
        <v>9 out of 10</v>
      </c>
      <c r="M180" s="23" t="b">
        <f t="shared" si="4"/>
        <v>1</v>
      </c>
      <c r="N180" s="23" t="str">
        <v>9 out of 10</v>
      </c>
      <c r="O180" s="23"/>
      <c r="P180" s="42" t="str">
        <v>9</v>
      </c>
      <c r="Q180" s="42" t="str">
        <v>9</v>
      </c>
      <c r="R180" s="42" t="str">
        <v>9</v>
      </c>
      <c r="S180" s="10" t="str">
        <f t="shared" si="5"/>
        <v>No Change</v>
      </c>
    </row>
    <row r="181" spans="1:19" ht="120" hidden="1">
      <c r="A181" s="8" t="s">
        <v>1773</v>
      </c>
      <c r="B181" s="11" t="s">
        <v>13553</v>
      </c>
      <c r="C181" s="37" t="s">
        <v>6295</v>
      </c>
      <c r="D181" s="24"/>
      <c r="E181" s="24"/>
      <c r="F181" s="24" t="str">
        <v>K515</v>
      </c>
      <c r="G181" s="24" t="str">
        <v>6 out of 10</v>
      </c>
      <c r="H181" s="24" t="str">
        <v>https://nycdoe.sharepoint.com/:w:/s/BAP/ERc4IXOPBIlIvZftfJJSNHEBaIZxde_ONg7Nuja7CjMlKg</v>
      </c>
      <c r="I181" s="23">
        <v>171</v>
      </c>
      <c r="J181" s="24" t="str">
        <v>-</v>
      </c>
      <c r="K181" s="24">
        <v>561</v>
      </c>
      <c r="L181" s="24" t="str">
        <v>6 out of 10</v>
      </c>
      <c r="M181" s="23" t="b">
        <f t="shared" si="4"/>
        <v>1</v>
      </c>
      <c r="N181" s="23" t="str">
        <v>6 out of 10</v>
      </c>
      <c r="O181" s="23"/>
      <c r="P181" s="42" t="str">
        <v>6</v>
      </c>
      <c r="Q181" s="42" t="str">
        <v>6</v>
      </c>
      <c r="R181" s="42" t="str">
        <v>6</v>
      </c>
      <c r="S181" s="10" t="str">
        <f t="shared" si="5"/>
        <v>No Change</v>
      </c>
    </row>
    <row r="182" spans="1:19" ht="120" hidden="1">
      <c r="A182" s="8" t="s">
        <v>1556</v>
      </c>
      <c r="B182" s="9" t="s">
        <v>13565</v>
      </c>
      <c r="C182" s="37" t="s">
        <v>6056</v>
      </c>
      <c r="D182" s="24"/>
      <c r="E182" s="24"/>
      <c r="F182" s="24" t="str">
        <v>K521</v>
      </c>
      <c r="G182" s="24" t="str">
        <v>10 out of 10</v>
      </c>
      <c r="H182" s="24" t="str">
        <v>https://nycdoe.sharepoint.com/:w:/s/BAP/EZ7xiiBX9-BPmYE0zIrLFtUB9jpf173lI0r-3erzkmSlNQ</v>
      </c>
      <c r="I182" s="23">
        <v>172</v>
      </c>
      <c r="J182" s="24" t="str">
        <v>-</v>
      </c>
      <c r="K182" s="24">
        <v>568</v>
      </c>
      <c r="L182" s="24" t="str">
        <v>10 out of 10</v>
      </c>
      <c r="M182" s="23" t="b">
        <f t="shared" si="4"/>
        <v>1</v>
      </c>
      <c r="N182" s="23" t="str">
        <v>10 out of 10</v>
      </c>
      <c r="O182" s="23"/>
      <c r="P182" s="42" t="str">
        <v>10</v>
      </c>
      <c r="Q182" s="42" t="str">
        <v>10</v>
      </c>
      <c r="R182" s="42" t="str">
        <v>10</v>
      </c>
      <c r="S182" s="10" t="str">
        <f t="shared" si="5"/>
        <v>No Change</v>
      </c>
    </row>
    <row r="183" spans="1:19" ht="120" hidden="1">
      <c r="A183" s="8" t="s">
        <v>1231</v>
      </c>
      <c r="B183" s="9" t="s">
        <v>13558</v>
      </c>
      <c r="C183" s="37" t="s">
        <v>5663</v>
      </c>
      <c r="D183" s="24"/>
      <c r="E183" s="24"/>
      <c r="F183" s="24" t="str">
        <v>K525</v>
      </c>
      <c r="G183" s="24" t="str">
        <v>7 out of 10</v>
      </c>
      <c r="H183" s="24" t="str">
        <v>https://nycdoe.sharepoint.com/:w:/s/BAP/ERyoIQjTjbJHra8ivPiYuAgBmkkPYgQTdYQhqXpxcShsOw</v>
      </c>
      <c r="I183" s="23">
        <v>173</v>
      </c>
      <c r="J183" s="24" t="str">
        <v>-</v>
      </c>
      <c r="K183" s="24">
        <v>569</v>
      </c>
      <c r="L183" s="24" t="str">
        <v>7 out of 10</v>
      </c>
      <c r="M183" s="23" t="b">
        <f t="shared" si="4"/>
        <v>1</v>
      </c>
      <c r="N183" s="23" t="str">
        <v>7 out of 10</v>
      </c>
      <c r="O183" s="23"/>
      <c r="P183" s="42" t="str">
        <v>7</v>
      </c>
      <c r="Q183" s="42" t="str">
        <v>7</v>
      </c>
      <c r="R183" s="42" t="str">
        <v>7</v>
      </c>
      <c r="S183" s="10" t="str">
        <f t="shared" si="5"/>
        <v>No Change</v>
      </c>
    </row>
    <row r="184" spans="1:19" ht="120" hidden="1">
      <c r="A184" s="8" t="s">
        <v>1125</v>
      </c>
      <c r="B184" s="9" t="s">
        <v>13553</v>
      </c>
      <c r="C184" s="37" t="s">
        <v>5522</v>
      </c>
      <c r="D184" s="24"/>
      <c r="E184" s="24"/>
      <c r="F184" s="24" t="str">
        <v>K535</v>
      </c>
      <c r="G184" s="24" t="str">
        <v>10 out of 10</v>
      </c>
      <c r="H184" s="24" t="str">
        <v>https://nycdoe.sharepoint.com/:w:/s/BAP/EYTINdw5rqFGsFjeU1Fcy1QB1SB7Lf2IdVP2gfnJruZF-A</v>
      </c>
      <c r="I184" s="23">
        <v>174</v>
      </c>
      <c r="J184" s="24" t="str">
        <v>-</v>
      </c>
      <c r="K184" s="24">
        <v>572</v>
      </c>
      <c r="L184" s="24" t="str">
        <v>10 out of 10</v>
      </c>
      <c r="M184" s="23" t="b">
        <f t="shared" si="4"/>
        <v>1</v>
      </c>
      <c r="N184" s="23" t="str">
        <v>10 out of 10</v>
      </c>
      <c r="O184" s="23"/>
      <c r="P184" s="42" t="str">
        <v>10</v>
      </c>
      <c r="Q184" s="42" t="str">
        <v>10</v>
      </c>
      <c r="R184" s="42" t="str">
        <v>10</v>
      </c>
      <c r="S184" s="10" t="str">
        <f t="shared" si="5"/>
        <v>No Change</v>
      </c>
    </row>
    <row r="185" spans="1:19" ht="120" hidden="1">
      <c r="A185" s="8" t="s">
        <v>1781</v>
      </c>
      <c r="B185" s="9" t="s">
        <v>13564</v>
      </c>
      <c r="C185" s="37" t="s">
        <v>6301</v>
      </c>
      <c r="D185" s="24"/>
      <c r="E185" s="24"/>
      <c r="F185" s="24" t="str">
        <v>K554</v>
      </c>
      <c r="G185" s="24" t="str">
        <v>10 out of 10</v>
      </c>
      <c r="H185" s="24" t="str">
        <v>https://nycdoe.sharepoint.com/:w:/s/BAP/Ee1V-fHmBYdLuhA-mNOQGLsBk2wkjW_ep2G9V2vxQwqY6A</v>
      </c>
      <c r="I185" s="23">
        <v>175</v>
      </c>
      <c r="J185" s="24" t="str">
        <v>-</v>
      </c>
      <c r="K185" s="24">
        <v>576</v>
      </c>
      <c r="L185" s="24" t="str">
        <v>10 out of 10</v>
      </c>
      <c r="M185" s="23" t="b">
        <f t="shared" si="4"/>
        <v>1</v>
      </c>
      <c r="N185" s="23" t="str">
        <v>10 out of 10</v>
      </c>
      <c r="O185" s="23"/>
      <c r="P185" s="42" t="str">
        <v>10</v>
      </c>
      <c r="Q185" s="42" t="str">
        <v>10</v>
      </c>
      <c r="R185" s="42" t="str">
        <v>10</v>
      </c>
      <c r="S185" s="10" t="str">
        <f t="shared" si="5"/>
        <v>No Change</v>
      </c>
    </row>
    <row r="186" spans="1:19" ht="120" hidden="1">
      <c r="A186" s="8" t="s">
        <v>2018</v>
      </c>
      <c r="B186" s="9" t="s">
        <v>13558</v>
      </c>
      <c r="C186" s="37" t="s">
        <v>6611</v>
      </c>
      <c r="D186" s="24"/>
      <c r="E186" s="24"/>
      <c r="F186" s="24" t="str">
        <v>K555</v>
      </c>
      <c r="G186" s="24" t="str">
        <v>9 out of 10</v>
      </c>
      <c r="H186" s="24" t="str">
        <v>https://nycdoe.sharepoint.com/:w:/s/BAP/EdUv6EZ3pGlHueFSasFiNogBDZVNSL4y7gE0zY8WDAWSIg</v>
      </c>
      <c r="I186" s="23">
        <v>176</v>
      </c>
      <c r="J186" s="24" t="str">
        <v>-</v>
      </c>
      <c r="K186" s="24">
        <v>577</v>
      </c>
      <c r="L186" s="24" t="str">
        <v>9 out of 10</v>
      </c>
      <c r="M186" s="23" t="b">
        <f t="shared" si="4"/>
        <v>1</v>
      </c>
      <c r="N186" s="23" t="str">
        <v>9 out of 10</v>
      </c>
      <c r="O186" s="23"/>
      <c r="P186" s="42" t="str">
        <v>9</v>
      </c>
      <c r="Q186" s="42" t="str">
        <v>9</v>
      </c>
      <c r="R186" s="42" t="str">
        <v>9</v>
      </c>
      <c r="S186" s="10" t="str">
        <f t="shared" si="5"/>
        <v>No Change</v>
      </c>
    </row>
    <row r="187" spans="1:19" ht="120" hidden="1">
      <c r="A187" s="8" t="s">
        <v>1563</v>
      </c>
      <c r="B187" s="9" t="s">
        <v>13555</v>
      </c>
      <c r="C187" s="37" t="s">
        <v>6060</v>
      </c>
      <c r="D187" s="24"/>
      <c r="E187" s="24"/>
      <c r="F187" s="24" t="str">
        <v>K557</v>
      </c>
      <c r="G187" s="24" t="str">
        <v>10 out of 10</v>
      </c>
      <c r="H187" s="24" t="str">
        <v>https://nycdoe.sharepoint.com/:w:/s/BAP/EeApMFujEPJJudcS4TLVyUIBW9y5lgcozJc0VJ78sBatWA</v>
      </c>
      <c r="I187" s="23" t="str">
        <v>Was New</v>
      </c>
      <c r="J187" s="24" t="str">
        <v>10 out of 10</v>
      </c>
      <c r="K187" s="24">
        <v>578</v>
      </c>
      <c r="L187" s="24" t="str">
        <v>N/A out of 10</v>
      </c>
      <c r="M187" s="23" t="b">
        <f t="shared" si="4"/>
        <v>0</v>
      </c>
      <c r="N187" s="23" t="str">
        <v>10 out of 10</v>
      </c>
      <c r="O187" s="23"/>
      <c r="P187" s="42" t="str">
        <v>10</v>
      </c>
      <c r="Q187" s="42" t="str">
        <v>N/A</v>
      </c>
      <c r="R187" s="42" t="str">
        <v>10</v>
      </c>
      <c r="S187" s="10" t="str">
        <f t="shared" si="5"/>
        <v>No Change</v>
      </c>
    </row>
    <row r="188" spans="1:19" ht="120" hidden="1">
      <c r="A188" s="8" t="s">
        <v>1235</v>
      </c>
      <c r="B188" s="9" t="s">
        <v>13564</v>
      </c>
      <c r="C188" s="37" t="s">
        <v>5667</v>
      </c>
      <c r="D188" s="24"/>
      <c r="E188" s="24"/>
      <c r="F188" s="24" t="str">
        <v>K564</v>
      </c>
      <c r="G188" s="24" t="str">
        <v>10 out of 10</v>
      </c>
      <c r="H188" s="24" t="str">
        <v>https://nycdoe.sharepoint.com/:w:/s/BAP/EYNejqIbwZNLoPQ1x-gnJ3sB9Sp4Lh0gkjWQgFutlN_Xfw</v>
      </c>
      <c r="I188" s="23">
        <v>177</v>
      </c>
      <c r="J188" s="24" t="str">
        <v>-</v>
      </c>
      <c r="K188" s="24">
        <v>580</v>
      </c>
      <c r="L188" s="24" t="str">
        <v>10 out of 10</v>
      </c>
      <c r="M188" s="23" t="b">
        <f t="shared" si="4"/>
        <v>1</v>
      </c>
      <c r="N188" s="23" t="str">
        <v>10 out of 10</v>
      </c>
      <c r="O188" s="23"/>
      <c r="P188" s="42" t="str">
        <v>10</v>
      </c>
      <c r="Q188" s="42" t="str">
        <v>10</v>
      </c>
      <c r="R188" s="42" t="str">
        <v>10</v>
      </c>
      <c r="S188" s="10" t="str">
        <f t="shared" si="5"/>
        <v>No Change</v>
      </c>
    </row>
    <row r="189" spans="1:19" ht="120" hidden="1">
      <c r="A189" s="8" t="s">
        <v>1334</v>
      </c>
      <c r="B189" s="9" t="s">
        <v>13564</v>
      </c>
      <c r="C189" s="37" t="s">
        <v>5788</v>
      </c>
      <c r="D189" s="24"/>
      <c r="E189" s="24"/>
      <c r="F189" s="24" t="str">
        <v>K580</v>
      </c>
      <c r="G189" s="24" t="str">
        <v>7 out of 10</v>
      </c>
      <c r="H189" s="24" t="str">
        <v>https://nycdoe.sharepoint.com/:w:/s/BAP/EYd63Fvxr5RJhOyTtkuu5mwB6jH4z0T-jwEVi6xRaRGcPQ</v>
      </c>
      <c r="I189" s="23">
        <v>178</v>
      </c>
      <c r="J189" s="24" t="str">
        <v>-</v>
      </c>
      <c r="K189" s="24">
        <v>582</v>
      </c>
      <c r="L189" s="24" t="str">
        <v>7 out of 10</v>
      </c>
      <c r="M189" s="23" t="b">
        <f t="shared" si="4"/>
        <v>1</v>
      </c>
      <c r="N189" s="23" t="str">
        <v>7 out of 10</v>
      </c>
      <c r="O189" s="23"/>
      <c r="P189" s="42" t="str">
        <v>7</v>
      </c>
      <c r="Q189" s="42" t="str">
        <v>7</v>
      </c>
      <c r="R189" s="42" t="str">
        <v>7</v>
      </c>
      <c r="S189" s="10" t="str">
        <f t="shared" si="5"/>
        <v>No Change</v>
      </c>
    </row>
    <row r="190" spans="1:19" ht="120" hidden="1">
      <c r="A190" s="8" t="s">
        <v>1339</v>
      </c>
      <c r="B190" s="11" t="s">
        <v>13559</v>
      </c>
      <c r="C190" s="37" t="s">
        <v>5792</v>
      </c>
      <c r="D190" s="24"/>
      <c r="E190" s="24"/>
      <c r="F190" s="24" t="str">
        <v>K590</v>
      </c>
      <c r="G190" s="24" t="str">
        <v>9 out of 10</v>
      </c>
      <c r="H190" s="24" t="str">
        <v>https://nycdoe.sharepoint.com/:w:/s/BAP/EbJoaE7icfNPi_aKXn9zTisBnTiro45YWNNhm_DatKp7tw</v>
      </c>
      <c r="I190" s="23">
        <v>179</v>
      </c>
      <c r="J190" s="24" t="str">
        <v>-</v>
      </c>
      <c r="K190" s="24">
        <v>586</v>
      </c>
      <c r="L190" s="24" t="str">
        <v>9 out of 10</v>
      </c>
      <c r="M190" s="23" t="b">
        <f t="shared" si="4"/>
        <v>1</v>
      </c>
      <c r="N190" s="23" t="str">
        <v>9 out of 10</v>
      </c>
      <c r="O190" s="23"/>
      <c r="P190" s="42" t="str">
        <v>9</v>
      </c>
      <c r="Q190" s="42" t="str">
        <v>9</v>
      </c>
      <c r="R190" s="42" t="str">
        <v>9</v>
      </c>
      <c r="S190" s="10" t="str">
        <f t="shared" si="5"/>
        <v>No Change</v>
      </c>
    </row>
    <row r="191" spans="1:19" ht="120" hidden="1">
      <c r="A191" s="8" t="s">
        <v>1785</v>
      </c>
      <c r="B191" s="9" t="s">
        <v>13555</v>
      </c>
      <c r="C191" s="37" t="s">
        <v>6305</v>
      </c>
      <c r="D191" s="24"/>
      <c r="E191" s="24"/>
      <c r="F191" s="24" t="str">
        <v>K599</v>
      </c>
      <c r="G191" s="24" t="str">
        <v>10 out of 10</v>
      </c>
      <c r="H191" s="24" t="str">
        <v>https://nycdoe.sharepoint.com/:w:/s/BAP/EYewSkCifNBAgooZSLY5tlgB3tlM4fZmJKAnM_43AzGZBw</v>
      </c>
      <c r="I191" s="23">
        <v>180</v>
      </c>
      <c r="J191" s="24" t="str">
        <v>-</v>
      </c>
      <c r="K191" s="24">
        <v>588</v>
      </c>
      <c r="L191" s="24" t="str">
        <v>10 out of 10</v>
      </c>
      <c r="M191" s="23" t="b">
        <f t="shared" si="4"/>
        <v>1</v>
      </c>
      <c r="N191" s="23" t="str">
        <v>10 out of 10</v>
      </c>
      <c r="O191" s="23"/>
      <c r="P191" s="42" t="str">
        <v>10</v>
      </c>
      <c r="Q191" s="42" t="str">
        <v>10</v>
      </c>
      <c r="R191" s="42" t="str">
        <v>10</v>
      </c>
      <c r="S191" s="10" t="str">
        <f t="shared" si="5"/>
        <v>No Change</v>
      </c>
    </row>
    <row r="192" spans="1:19" ht="135" hidden="1">
      <c r="A192" s="8" t="s">
        <v>1732</v>
      </c>
      <c r="B192" s="11" t="s">
        <v>13553</v>
      </c>
      <c r="C192" s="38" t="s">
        <v>13582</v>
      </c>
      <c r="D192" s="24"/>
      <c r="E192" s="24"/>
      <c r="F192" s="24" t="str">
        <v>K600</v>
      </c>
      <c r="G192" s="24" t="str">
        <v>5 out of 10</v>
      </c>
      <c r="H192" s="24" t="str">
        <v>https://nycdoe.sharepoint.com/:w:/s/BAP/Eany3iExQXBKogDV3xg22gMBSy4_-WRJ3S1wDgnKe0-yNg</v>
      </c>
      <c r="I192" s="23">
        <v>181</v>
      </c>
      <c r="J192" s="24" t="str">
        <v>-</v>
      </c>
      <c r="K192" s="24">
        <v>590</v>
      </c>
      <c r="L192" s="24" t="str">
        <v>5 out of 10</v>
      </c>
      <c r="M192" s="23" t="b">
        <f t="shared" si="4"/>
        <v>1</v>
      </c>
      <c r="N192" s="23" t="str">
        <v>5 out of 10</v>
      </c>
      <c r="O192" s="23"/>
      <c r="P192" s="42" t="str">
        <v>5</v>
      </c>
      <c r="Q192" s="42" t="str">
        <v>5</v>
      </c>
      <c r="R192" s="42" t="str">
        <v>5</v>
      </c>
      <c r="S192" s="10" t="str">
        <f t="shared" si="5"/>
        <v>No Change</v>
      </c>
    </row>
    <row r="193" spans="1:19" ht="120" hidden="1">
      <c r="A193" s="8" t="s">
        <v>1331</v>
      </c>
      <c r="B193" s="9" t="s">
        <v>13553</v>
      </c>
      <c r="C193" s="37" t="s">
        <v>6307</v>
      </c>
      <c r="D193" s="24"/>
      <c r="E193" s="24"/>
      <c r="F193" s="24" t="str">
        <v>K610</v>
      </c>
      <c r="G193" s="24" t="str">
        <v>1 out of 10</v>
      </c>
      <c r="H193" s="24" t="str">
        <v>https://nycdoe.sharepoint.com/:w:/s/BAP/EeolikCxqjZHpa0F1YanxZIBgAAyzPQvqZneTsKPMV7B9A</v>
      </c>
      <c r="I193" s="23">
        <v>182</v>
      </c>
      <c r="J193" s="24" t="str">
        <v>-</v>
      </c>
      <c r="K193" s="24">
        <v>592</v>
      </c>
      <c r="L193" s="24" t="str">
        <v>1 out of 10</v>
      </c>
      <c r="M193" s="23" t="b">
        <f t="shared" si="4"/>
        <v>1</v>
      </c>
      <c r="N193" s="23" t="str">
        <v>1 out of 10</v>
      </c>
      <c r="O193" s="23"/>
      <c r="P193" s="42" t="str">
        <v>1</v>
      </c>
      <c r="Q193" s="42" t="str">
        <v>1</v>
      </c>
      <c r="R193" s="42" t="str">
        <v>1</v>
      </c>
      <c r="S193" s="10" t="str">
        <f t="shared" si="5"/>
        <v>No Change</v>
      </c>
    </row>
    <row r="194" spans="1:19" ht="120" hidden="1">
      <c r="A194" s="8" t="s">
        <v>1342</v>
      </c>
      <c r="B194" s="11" t="s">
        <v>13553</v>
      </c>
      <c r="C194" s="37" t="s">
        <v>5795</v>
      </c>
      <c r="D194" s="24"/>
      <c r="E194" s="24"/>
      <c r="F194" s="24" t="str">
        <v>K611</v>
      </c>
      <c r="G194" s="24" t="str">
        <v>10 out of 10</v>
      </c>
      <c r="H194" s="24" t="str">
        <v>https://nycdoe.sharepoint.com/:w:/s/BAP/EeBGbBuPyUNHmpXu3_xl-EgBjgX-rELNkNZoIyPiNsK0bA</v>
      </c>
      <c r="I194" s="23">
        <v>183</v>
      </c>
      <c r="J194" s="24" t="str">
        <v>-</v>
      </c>
      <c r="K194" s="24">
        <v>593</v>
      </c>
      <c r="L194" s="24" t="str">
        <v>10 out of 10</v>
      </c>
      <c r="M194" s="23" t="b">
        <f t="shared" si="4"/>
        <v>1</v>
      </c>
      <c r="N194" s="23" t="str">
        <v>10 out of 10</v>
      </c>
      <c r="O194" s="23"/>
      <c r="P194" s="42" t="str">
        <v>10</v>
      </c>
      <c r="Q194" s="42" t="str">
        <v>10</v>
      </c>
      <c r="R194" s="42" t="str">
        <v>10</v>
      </c>
      <c r="S194" s="10" t="str">
        <f t="shared" si="5"/>
        <v>No Change</v>
      </c>
    </row>
    <row r="195" spans="1:19" ht="120" hidden="1">
      <c r="A195" s="8" t="s">
        <v>1347</v>
      </c>
      <c r="B195" s="9" t="s">
        <v>13560</v>
      </c>
      <c r="C195" s="37" t="s">
        <v>5799</v>
      </c>
      <c r="D195" s="24"/>
      <c r="E195" s="24"/>
      <c r="F195" s="24" t="str">
        <v>K615</v>
      </c>
      <c r="G195" s="24" t="str">
        <v>6 out of 10</v>
      </c>
      <c r="H195" s="24" t="str">
        <v>https://nycdoe.sharepoint.com/:w:/s/BAP/ERN8I_IwVU5NpvsGeBQoi8MBx-Fni6D_2oEaXJLFzmMWjw</v>
      </c>
      <c r="I195" s="23">
        <v>184</v>
      </c>
      <c r="J195" s="24" t="str">
        <v>-</v>
      </c>
      <c r="K195" s="24">
        <v>596</v>
      </c>
      <c r="L195" s="24" t="str">
        <v>6 out of 10</v>
      </c>
      <c r="M195" s="23" t="b">
        <f t="shared" ref="M195:M258" si="6">G195=L195</f>
        <v>1</v>
      </c>
      <c r="N195" s="23" t="str">
        <v>6 out of 10</v>
      </c>
      <c r="O195" s="23"/>
      <c r="P195" s="42" t="str">
        <v>6</v>
      </c>
      <c r="Q195" s="42" t="str">
        <v>6</v>
      </c>
      <c r="R195" s="42" t="str">
        <v>6</v>
      </c>
      <c r="S195" s="10" t="str">
        <f t="shared" ref="S195:S258" si="7">IFERROR(IF(OR(R195="0+",R195=0,AND(Q195="N/A")),"No Change",IF(R195&lt;&gt;Q195,"Change",IF(R195=Q195,"No Change",))),"Check BAP")</f>
        <v>No Change</v>
      </c>
    </row>
    <row r="196" spans="1:19" ht="120" hidden="1">
      <c r="A196" s="8" t="s">
        <v>1459</v>
      </c>
      <c r="B196" s="9" t="s">
        <v>13553</v>
      </c>
      <c r="C196" s="37" t="s">
        <v>6735</v>
      </c>
      <c r="D196" s="24"/>
      <c r="E196" s="24"/>
      <c r="F196" s="24" t="str">
        <v>K620</v>
      </c>
      <c r="G196" s="24" t="str">
        <v>1 out of 10</v>
      </c>
      <c r="H196" s="24" t="str">
        <v>https://nycdoe.sharepoint.com/:w:/s/BAP/EYNaNZDRGFdJvLjHhXwdhhsBac6i2UB1SdnNSh9sJYSDYg</v>
      </c>
      <c r="I196" s="23">
        <v>185</v>
      </c>
      <c r="J196" s="24" t="str">
        <v>-</v>
      </c>
      <c r="K196" s="24">
        <v>597</v>
      </c>
      <c r="L196" s="24" t="str">
        <v>1 out of 10</v>
      </c>
      <c r="M196" s="23" t="b">
        <f t="shared" si="6"/>
        <v>1</v>
      </c>
      <c r="N196" s="23" t="str">
        <v>1 out of 10</v>
      </c>
      <c r="O196" s="23"/>
      <c r="P196" s="42" t="str">
        <v>1</v>
      </c>
      <c r="Q196" s="42" t="str">
        <v>1</v>
      </c>
      <c r="R196" s="42" t="str">
        <v>1</v>
      </c>
      <c r="S196" s="10" t="str">
        <f t="shared" si="7"/>
        <v>No Change</v>
      </c>
    </row>
    <row r="197" spans="1:19" ht="120" hidden="1">
      <c r="A197" s="8" t="s">
        <v>1503</v>
      </c>
      <c r="B197" s="9" t="s">
        <v>13553</v>
      </c>
      <c r="C197" s="37" t="s">
        <v>6622</v>
      </c>
      <c r="D197" s="24"/>
      <c r="E197" s="24"/>
      <c r="F197" s="24" t="str">
        <v>K625</v>
      </c>
      <c r="G197" s="24" t="str">
        <v>9 out of 10</v>
      </c>
      <c r="H197" s="24" t="str">
        <v>https://nycdoe.sharepoint.com/:w:/s/BAP/ESUnVDMvftBOluoslGtlRjMBnNdhLXq2eUQcHNoehiG4jw</v>
      </c>
      <c r="I197" s="23">
        <v>186</v>
      </c>
      <c r="J197" s="24" t="str">
        <v>-</v>
      </c>
      <c r="K197" s="24">
        <v>599</v>
      </c>
      <c r="L197" s="24" t="str">
        <v>9 out of 10</v>
      </c>
      <c r="M197" s="23" t="b">
        <f t="shared" si="6"/>
        <v>1</v>
      </c>
      <c r="N197" s="23" t="str">
        <v>9 out of 10</v>
      </c>
      <c r="O197" s="23"/>
      <c r="P197" s="42" t="str">
        <v>9</v>
      </c>
      <c r="Q197" s="42" t="str">
        <v>9</v>
      </c>
      <c r="R197" s="42" t="str">
        <v>9</v>
      </c>
      <c r="S197" s="10" t="str">
        <f t="shared" si="7"/>
        <v>No Change</v>
      </c>
    </row>
    <row r="198" spans="1:19" ht="120" hidden="1">
      <c r="A198" s="8" t="s">
        <v>10672</v>
      </c>
      <c r="B198" s="9" t="s">
        <v>13561</v>
      </c>
      <c r="C198" s="37" t="s">
        <v>13583</v>
      </c>
      <c r="D198" s="24"/>
      <c r="E198" s="24"/>
      <c r="F198" s="24" t="str">
        <v>K650</v>
      </c>
      <c r="G198" s="24" t="str">
        <v>6 out of 10</v>
      </c>
      <c r="H198" s="24" t="str">
        <v>https://nycdoe.sharepoint.com/:w:/s/BAP/EdRPShyEjOZEv31bwgGHfa4BGO7UMqSvn5GEVxkGMJsGdA</v>
      </c>
      <c r="I198" s="23">
        <v>187</v>
      </c>
      <c r="J198" s="24" t="str">
        <v>-</v>
      </c>
      <c r="K198" s="24">
        <v>601</v>
      </c>
      <c r="L198" s="24" t="str">
        <v>6 out of 10</v>
      </c>
      <c r="M198" s="23" t="b">
        <f t="shared" si="6"/>
        <v>1</v>
      </c>
      <c r="N198" s="23" t="str">
        <v>6 out of 10</v>
      </c>
      <c r="O198" s="23"/>
      <c r="P198" s="42" t="str">
        <v>6</v>
      </c>
      <c r="Q198" s="42" t="str">
        <v>6</v>
      </c>
      <c r="R198" s="42" t="str">
        <v>6</v>
      </c>
      <c r="S198" s="10" t="str">
        <f t="shared" si="7"/>
        <v>No Change</v>
      </c>
    </row>
    <row r="199" spans="1:19" ht="120" hidden="1">
      <c r="A199" s="8" t="s">
        <v>1903</v>
      </c>
      <c r="B199" s="9" t="s">
        <v>13553</v>
      </c>
      <c r="C199" s="37" t="s">
        <v>6459</v>
      </c>
      <c r="D199" s="24"/>
      <c r="E199" s="24"/>
      <c r="F199" s="24" t="str">
        <v>K655</v>
      </c>
      <c r="G199" s="24" t="str">
        <v>6 out of 10</v>
      </c>
      <c r="H199" s="24" t="str">
        <v>https://nycdoe.sharepoint.com/:w:/s/BAP/Ef6_Gew_2mhIpiQLA9JMiusBhp0Zf1XaRYoc1phgDA7IwA</v>
      </c>
      <c r="I199" s="23">
        <v>188</v>
      </c>
      <c r="J199" s="24" t="str">
        <v>-</v>
      </c>
      <c r="K199" s="24">
        <v>604</v>
      </c>
      <c r="L199" s="24" t="str">
        <v>6 out of 10</v>
      </c>
      <c r="M199" s="23" t="b">
        <f t="shared" si="6"/>
        <v>1</v>
      </c>
      <c r="N199" s="23" t="str">
        <v>6 out of 10</v>
      </c>
      <c r="O199" s="23"/>
      <c r="P199" s="42" t="str">
        <v>6</v>
      </c>
      <c r="Q199" s="42" t="str">
        <v>6</v>
      </c>
      <c r="R199" s="42" t="str">
        <v>6</v>
      </c>
      <c r="S199" s="10" t="str">
        <f t="shared" si="7"/>
        <v>No Change</v>
      </c>
    </row>
    <row r="200" spans="1:19" ht="120" hidden="1">
      <c r="A200" s="8" t="s">
        <v>1568</v>
      </c>
      <c r="B200" s="9" t="s">
        <v>13555</v>
      </c>
      <c r="C200" s="37" t="s">
        <v>5807</v>
      </c>
      <c r="D200" s="24"/>
      <c r="E200" s="24"/>
      <c r="F200" s="24" t="str">
        <v>K656</v>
      </c>
      <c r="G200" s="24" t="str">
        <v>3 out of 10</v>
      </c>
      <c r="H200" s="24" t="str">
        <v>https://nycdoe.sharepoint.com/:w:/s/BAP/Ea6wTYVpRCNFkfeQhhjg78sBavPdlztKnANh3TerQgakTA</v>
      </c>
      <c r="I200" s="23">
        <v>189</v>
      </c>
      <c r="J200" s="24" t="str">
        <v>-</v>
      </c>
      <c r="K200" s="24">
        <v>606</v>
      </c>
      <c r="L200" s="24" t="str">
        <v>3 out of 10</v>
      </c>
      <c r="M200" s="23" t="b">
        <f t="shared" si="6"/>
        <v>1</v>
      </c>
      <c r="N200" s="23" t="str">
        <v>3 out of 10</v>
      </c>
      <c r="O200" s="23"/>
      <c r="P200" s="42" t="str">
        <v>3</v>
      </c>
      <c r="Q200" s="42" t="str">
        <v>3</v>
      </c>
      <c r="R200" s="42" t="str">
        <v>3</v>
      </c>
      <c r="S200" s="10" t="str">
        <f t="shared" si="7"/>
        <v>No Change</v>
      </c>
    </row>
    <row r="201" spans="1:19" ht="120" hidden="1">
      <c r="A201" s="13" t="s">
        <v>10692</v>
      </c>
      <c r="B201" s="11" t="s">
        <v>13555</v>
      </c>
      <c r="C201" s="39" t="s">
        <v>13584</v>
      </c>
      <c r="D201" s="24"/>
      <c r="E201" s="24"/>
      <c r="F201" s="24" t="str">
        <v>K660</v>
      </c>
      <c r="G201" s="24" t="str">
        <v>9 out of 10</v>
      </c>
      <c r="H201" s="24" t="str">
        <v>https://nycdoe.sharepoint.com/:w:/s/BAP/ESevf_3TWc5FhspFiID2KSYBaLsMZqGEPKWKeuZWLVs3oA</v>
      </c>
      <c r="I201" s="23">
        <v>190</v>
      </c>
      <c r="J201" s="24" t="str">
        <v>-</v>
      </c>
      <c r="K201" s="24">
        <v>607</v>
      </c>
      <c r="L201" s="24" t="str">
        <v>9 out of 10</v>
      </c>
      <c r="M201" s="23" t="b">
        <f t="shared" si="6"/>
        <v>1</v>
      </c>
      <c r="N201" s="23" t="str">
        <v>9 out of 10</v>
      </c>
      <c r="O201" s="23"/>
      <c r="P201" s="42" t="str">
        <v>9</v>
      </c>
      <c r="Q201" s="42" t="str">
        <v>9</v>
      </c>
      <c r="R201" s="42" t="str">
        <v>9</v>
      </c>
      <c r="S201" s="10" t="str">
        <f t="shared" si="7"/>
        <v>No Change</v>
      </c>
    </row>
    <row r="202" spans="1:19" ht="120" hidden="1">
      <c r="A202" s="8" t="s">
        <v>1630</v>
      </c>
      <c r="B202" s="9" t="s">
        <v>13561</v>
      </c>
      <c r="C202" s="37" t="s">
        <v>13585</v>
      </c>
      <c r="D202" s="24"/>
      <c r="E202" s="24"/>
      <c r="F202" s="24" t="str">
        <v>K661</v>
      </c>
      <c r="G202" s="24" t="str">
        <v>10 out of 10</v>
      </c>
      <c r="H202" s="24" t="str">
        <v>https://nycdoe.sharepoint.com/:w:/s/BAP/Ea8y-BKv-0lFmwfPw7Mg-AUBm3oWsgRfQ_RkqJrAVoaAyw</v>
      </c>
      <c r="I202" s="23">
        <v>191</v>
      </c>
      <c r="J202" s="24" t="str">
        <v>-</v>
      </c>
      <c r="K202" s="24">
        <v>609</v>
      </c>
      <c r="L202" s="24" t="str">
        <v>10 out of 10</v>
      </c>
      <c r="M202" s="23" t="b">
        <f t="shared" si="6"/>
        <v>1</v>
      </c>
      <c r="N202" s="23" t="str">
        <v>10 out of 10</v>
      </c>
      <c r="O202" s="23"/>
      <c r="P202" s="42" t="str">
        <v>10</v>
      </c>
      <c r="Q202" s="42" t="str">
        <v>10</v>
      </c>
      <c r="R202" s="42" t="str">
        <v>10</v>
      </c>
      <c r="S202" s="10" t="str">
        <f t="shared" si="7"/>
        <v>No Change</v>
      </c>
    </row>
    <row r="203" spans="1:19" ht="120" hidden="1">
      <c r="A203" s="8" t="s">
        <v>10517</v>
      </c>
      <c r="B203" s="9" t="s">
        <v>13561</v>
      </c>
      <c r="C203" s="37" t="s">
        <v>13586</v>
      </c>
      <c r="D203" s="24"/>
      <c r="E203" s="24"/>
      <c r="F203" s="24" t="str">
        <v>K667</v>
      </c>
      <c r="G203" s="24" t="str">
        <v>10 out of 10</v>
      </c>
      <c r="H203" s="24" t="str">
        <v>https://nycdoe.sharepoint.com/:w:/s/BAP/EaWJP9Q9ERZHnu5jFp4hKcsBHtg0Ezyb5qBSfUXPA2VkuQ</v>
      </c>
      <c r="I203" s="23">
        <v>192</v>
      </c>
      <c r="J203" s="24" t="str">
        <v>-</v>
      </c>
      <c r="K203" s="24">
        <v>612</v>
      </c>
      <c r="L203" s="24" t="str">
        <v>10 out of 10</v>
      </c>
      <c r="M203" s="23" t="b">
        <f t="shared" si="6"/>
        <v>1</v>
      </c>
      <c r="N203" s="23" t="str">
        <v>10 out of 10</v>
      </c>
      <c r="O203" s="23"/>
      <c r="P203" s="42" t="str">
        <v>10</v>
      </c>
      <c r="Q203" s="42" t="str">
        <v>10</v>
      </c>
      <c r="R203" s="42" t="str">
        <v>10</v>
      </c>
      <c r="S203" s="10" t="str">
        <f t="shared" si="7"/>
        <v>No Change</v>
      </c>
    </row>
    <row r="204" spans="1:19" ht="120" hidden="1">
      <c r="A204" s="8" t="s">
        <v>10710</v>
      </c>
      <c r="B204" s="9" t="s">
        <v>13561</v>
      </c>
      <c r="C204" s="37" t="s">
        <v>13587</v>
      </c>
      <c r="D204" s="24"/>
      <c r="E204" s="24"/>
      <c r="F204" s="24" t="str">
        <v>K671</v>
      </c>
      <c r="G204" s="24" t="str">
        <v>10 out of 10</v>
      </c>
      <c r="H204" s="24" t="str">
        <v>https://nycdoe.sharepoint.com/:w:/s/BAP/ESYm0fmnz2lBugH-fz5I2NQBiClYtmZw72zwdC3dxs4_Eg</v>
      </c>
      <c r="I204" s="23">
        <v>193</v>
      </c>
      <c r="J204" s="24" t="str">
        <v>-</v>
      </c>
      <c r="K204" s="24">
        <v>615</v>
      </c>
      <c r="L204" s="24" t="str">
        <v>10 out of 10</v>
      </c>
      <c r="M204" s="23" t="b">
        <f t="shared" si="6"/>
        <v>1</v>
      </c>
      <c r="N204" s="23" t="str">
        <v>10 out of 10</v>
      </c>
      <c r="O204" s="23"/>
      <c r="P204" s="42" t="str">
        <v>10</v>
      </c>
      <c r="Q204" s="42" t="str">
        <v>10</v>
      </c>
      <c r="R204" s="42" t="str">
        <v>10</v>
      </c>
      <c r="S204" s="10" t="str">
        <f t="shared" si="7"/>
        <v>No Change</v>
      </c>
    </row>
    <row r="205" spans="1:19" ht="120" hidden="1">
      <c r="A205" s="8" t="s">
        <v>6896</v>
      </c>
      <c r="B205" s="9" t="s">
        <v>13553</v>
      </c>
      <c r="C205" s="37" t="s">
        <v>6898</v>
      </c>
      <c r="D205" s="24"/>
      <c r="E205" s="24"/>
      <c r="F205" s="24" t="str">
        <v>K682</v>
      </c>
      <c r="G205" s="24" t="str">
        <v>4 out of 10</v>
      </c>
      <c r="H205" s="24" t="str">
        <v>https://nycdoe.sharepoint.com/:w:/s/BAP/EZIQ5F_EmzVFupNxopQENakB1vZtXLNFOkt70iZYR7yH2g</v>
      </c>
      <c r="I205" s="23">
        <v>194</v>
      </c>
      <c r="J205" s="24" t="str">
        <v>-</v>
      </c>
      <c r="K205" s="24">
        <v>619</v>
      </c>
      <c r="L205" s="24" t="str">
        <v>4 out of 10</v>
      </c>
      <c r="M205" s="23" t="b">
        <f t="shared" si="6"/>
        <v>1</v>
      </c>
      <c r="N205" s="23" t="str">
        <v>4 out of 10</v>
      </c>
      <c r="O205" s="23"/>
      <c r="P205" s="42" t="str">
        <v>4</v>
      </c>
      <c r="Q205" s="42" t="str">
        <v>4</v>
      </c>
      <c r="R205" s="42" t="str">
        <v>4</v>
      </c>
      <c r="S205" s="10" t="str">
        <f t="shared" si="7"/>
        <v>No Change</v>
      </c>
    </row>
    <row r="206" spans="1:19" ht="120" hidden="1">
      <c r="A206" s="8" t="s">
        <v>1432</v>
      </c>
      <c r="B206" s="11" t="s">
        <v>13555</v>
      </c>
      <c r="C206" s="37" t="s">
        <v>5897</v>
      </c>
      <c r="D206" s="24"/>
      <c r="E206" s="24"/>
      <c r="F206" s="24" t="str">
        <v>K705</v>
      </c>
      <c r="G206" s="24" t="str">
        <v>10 out of 10</v>
      </c>
      <c r="H206" s="24" t="str">
        <v>https://nycdoe.sharepoint.com/:w:/s/BAP/EdEh28g2wVtNsbMiCN3kGc8BES7tGw5sa_caNSE1Lff02g</v>
      </c>
      <c r="I206" s="23">
        <v>195</v>
      </c>
      <c r="J206" s="24" t="str">
        <v>-</v>
      </c>
      <c r="K206" s="24">
        <v>624</v>
      </c>
      <c r="L206" s="24" t="str">
        <v>10 out of 10</v>
      </c>
      <c r="M206" s="23" t="b">
        <f t="shared" si="6"/>
        <v>1</v>
      </c>
      <c r="N206" s="23" t="str">
        <v>10 out of 10</v>
      </c>
      <c r="O206" s="23"/>
      <c r="P206" s="42" t="str">
        <v>10</v>
      </c>
      <c r="Q206" s="42" t="str">
        <v>10</v>
      </c>
      <c r="R206" s="42" t="str">
        <v>10</v>
      </c>
      <c r="S206" s="10" t="str">
        <f t="shared" si="7"/>
        <v>No Change</v>
      </c>
    </row>
    <row r="207" spans="1:19" ht="120" hidden="1">
      <c r="A207" s="8" t="s">
        <v>1129</v>
      </c>
      <c r="B207" s="9" t="s">
        <v>13555</v>
      </c>
      <c r="C207" s="37" t="s">
        <v>5540</v>
      </c>
      <c r="D207" s="24"/>
      <c r="E207" s="24"/>
      <c r="F207" s="24" t="str">
        <v>K722</v>
      </c>
      <c r="G207" s="24" t="str">
        <v>10 out of 10</v>
      </c>
      <c r="H207" s="24" t="str">
        <v>https://nycdoe.sharepoint.com/:w:/s/BAP/EQWFDtV0EXBDm0Bxb1ES29gBLTgl1vb2dLWTfvAZ_U2ajA</v>
      </c>
      <c r="I207" s="23">
        <v>196</v>
      </c>
      <c r="J207" s="24" t="str">
        <v>-</v>
      </c>
      <c r="K207" s="24">
        <v>627</v>
      </c>
      <c r="L207" s="24" t="str">
        <v>10 out of 10</v>
      </c>
      <c r="M207" s="23" t="b">
        <f t="shared" si="6"/>
        <v>1</v>
      </c>
      <c r="N207" s="23" t="str">
        <v>10 out of 10</v>
      </c>
      <c r="O207" s="23"/>
      <c r="P207" s="42" t="str">
        <v>10</v>
      </c>
      <c r="Q207" s="42" t="str">
        <v>10</v>
      </c>
      <c r="R207" s="42" t="str">
        <v>10</v>
      </c>
      <c r="S207" s="10" t="str">
        <f t="shared" si="7"/>
        <v>No Change</v>
      </c>
    </row>
    <row r="208" spans="1:19" ht="120" hidden="1">
      <c r="A208" s="8" t="s">
        <v>1796</v>
      </c>
      <c r="B208" s="9" t="s">
        <v>13553</v>
      </c>
      <c r="C208" s="37" t="s">
        <v>6311</v>
      </c>
      <c r="D208" s="24"/>
      <c r="E208" s="24"/>
      <c r="F208" s="24" t="str">
        <v>K735</v>
      </c>
      <c r="G208" s="24" t="str">
        <v>0 out of 10</v>
      </c>
      <c r="H208" s="24" t="str">
        <v>https://nycdoe.sharepoint.com/:w:/s/BAP/Efjpib7sZhVFo3z7KcHu1mIBl3h4QeidNrvHCDlWAd7NGw</v>
      </c>
      <c r="I208" s="23">
        <v>197</v>
      </c>
      <c r="J208" s="24" t="str">
        <v>-</v>
      </c>
      <c r="K208" s="24">
        <v>631</v>
      </c>
      <c r="L208" s="24" t="str">
        <v>N/A out of 10</v>
      </c>
      <c r="M208" s="23" t="b">
        <f t="shared" si="6"/>
        <v>0</v>
      </c>
      <c r="N208" s="23" t="str">
        <v>0 out of 10</v>
      </c>
      <c r="O208" s="23"/>
      <c r="P208" s="42" t="str">
        <v>0</v>
      </c>
      <c r="Q208" s="42" t="str">
        <v>N/A</v>
      </c>
      <c r="R208" s="42" t="str">
        <v>0</v>
      </c>
      <c r="S208" s="10" t="str">
        <f t="shared" si="7"/>
        <v>No Change</v>
      </c>
    </row>
    <row r="209" spans="1:19" ht="120" hidden="1">
      <c r="A209" s="8" t="s">
        <v>1352</v>
      </c>
      <c r="B209" s="11" t="s">
        <v>13560</v>
      </c>
      <c r="C209" s="37" t="s">
        <v>5811</v>
      </c>
      <c r="D209" s="24"/>
      <c r="E209" s="24"/>
      <c r="F209" s="24" t="str">
        <v>K746</v>
      </c>
      <c r="G209" s="24" t="str">
        <v>10 out of 10</v>
      </c>
      <c r="H209" s="24" t="str">
        <v>https://nycdoe.sharepoint.com/:w:/s/BAP/EYphslRlZTdDvGG1JRzodHABTq-VZk4ZQSWaIzFTB_rRRQ</v>
      </c>
      <c r="I209" s="23">
        <v>198</v>
      </c>
      <c r="J209" s="24" t="str">
        <v>-</v>
      </c>
      <c r="K209" s="24">
        <v>632</v>
      </c>
      <c r="L209" s="24" t="str">
        <v>10 out of 10</v>
      </c>
      <c r="M209" s="23" t="b">
        <f t="shared" si="6"/>
        <v>1</v>
      </c>
      <c r="N209" s="23" t="str">
        <v>10 out of 10</v>
      </c>
      <c r="O209" s="23"/>
      <c r="P209" s="42" t="str">
        <v>10</v>
      </c>
      <c r="Q209" s="42" t="str">
        <v>10</v>
      </c>
      <c r="R209" s="42" t="str">
        <v>10</v>
      </c>
      <c r="S209" s="10" t="str">
        <f t="shared" si="7"/>
        <v>No Change</v>
      </c>
    </row>
    <row r="210" spans="1:19" ht="135" hidden="1">
      <c r="A210" s="8" t="s">
        <v>1134</v>
      </c>
      <c r="B210" s="9" t="s">
        <v>13555</v>
      </c>
      <c r="C210" s="37" t="s">
        <v>5544</v>
      </c>
      <c r="D210" s="24"/>
      <c r="E210" s="24"/>
      <c r="F210" s="24" t="str">
        <v>K748</v>
      </c>
      <c r="G210" s="24" t="str">
        <v>10 out of 10</v>
      </c>
      <c r="H210" s="24" t="str">
        <v>https://nycdoe.sharepoint.com/:w:/s/BAP/ESBYWxWGUqJAvLsPLQoa1jwBY1vk9K6aatssIHe-32WBVQ</v>
      </c>
      <c r="I210" s="23" t="str">
        <v>Was New</v>
      </c>
      <c r="J210" s="24" t="str">
        <v>10 out of 10</v>
      </c>
      <c r="K210" s="24">
        <v>635</v>
      </c>
      <c r="L210" s="24" t="str">
        <v>N/A out of 10</v>
      </c>
      <c r="M210" s="23" t="b">
        <f t="shared" si="6"/>
        <v>0</v>
      </c>
      <c r="N210" s="23" t="str">
        <v>10 out of 10</v>
      </c>
      <c r="O210" s="23"/>
      <c r="P210" s="42" t="str">
        <v>10</v>
      </c>
      <c r="Q210" s="42" t="str">
        <v>N/A</v>
      </c>
      <c r="R210" s="42" t="str">
        <v>10</v>
      </c>
      <c r="S210" s="10" t="str">
        <f t="shared" si="7"/>
        <v>No Change</v>
      </c>
    </row>
    <row r="211" spans="1:19" ht="120" hidden="1">
      <c r="A211" s="8" t="s">
        <v>1911</v>
      </c>
      <c r="B211" s="9" t="s">
        <v>13553</v>
      </c>
      <c r="C211" s="37" t="s">
        <v>6465</v>
      </c>
      <c r="D211" s="24"/>
      <c r="E211" s="24"/>
      <c r="F211" s="24" t="str">
        <v>K751</v>
      </c>
      <c r="G211" s="24" t="str">
        <v>9 out of 10</v>
      </c>
      <c r="H211" s="24" t="str">
        <v>https://nycdoe.sharepoint.com/:w:/s/BAP/ERNB0qnGWrZLupUuydgNFKwB_Kq1ejGVby3gaW9hplQHYA</v>
      </c>
      <c r="I211" s="23">
        <v>199</v>
      </c>
      <c r="J211" s="24" t="str">
        <v>-</v>
      </c>
      <c r="K211" s="24">
        <v>637</v>
      </c>
      <c r="L211" s="24" t="str">
        <v>9 out of 10</v>
      </c>
      <c r="M211" s="23" t="b">
        <f t="shared" si="6"/>
        <v>1</v>
      </c>
      <c r="N211" s="23" t="str">
        <v>9 out of 10</v>
      </c>
      <c r="O211" s="23"/>
      <c r="P211" s="42" t="str">
        <v>9</v>
      </c>
      <c r="Q211" s="42" t="str">
        <v>9</v>
      </c>
      <c r="R211" s="42" t="str">
        <v>9</v>
      </c>
      <c r="S211" s="10" t="str">
        <f t="shared" si="7"/>
        <v>No Change</v>
      </c>
    </row>
    <row r="212" spans="1:19" ht="120" hidden="1">
      <c r="A212" s="8" t="s">
        <v>1801</v>
      </c>
      <c r="B212" s="9" t="s">
        <v>13553</v>
      </c>
      <c r="C212" s="37" t="s">
        <v>6316</v>
      </c>
      <c r="D212" s="24"/>
      <c r="E212" s="24"/>
      <c r="F212" s="24" t="str">
        <v>K762</v>
      </c>
      <c r="G212" s="24" t="str">
        <v>9 out of 10</v>
      </c>
      <c r="H212" s="24" t="str">
        <v>https://nycdoe.sharepoint.com/:w:/s/BAP/EeU1aTSLaC9IjcRMo-QgUGcBHXB38VHYmIy6JBZLjWZeMQ</v>
      </c>
      <c r="I212" s="23">
        <v>200</v>
      </c>
      <c r="J212" s="24" t="str">
        <v>-</v>
      </c>
      <c r="K212" s="24">
        <v>638</v>
      </c>
      <c r="L212" s="24" t="str">
        <v>9 out of 10</v>
      </c>
      <c r="M212" s="23" t="b">
        <f t="shared" si="6"/>
        <v>1</v>
      </c>
      <c r="N212" s="23" t="str">
        <v>9 out of 10</v>
      </c>
      <c r="O212" s="23"/>
      <c r="P212" s="42" t="str">
        <v>9</v>
      </c>
      <c r="Q212" s="42" t="str">
        <v>9</v>
      </c>
      <c r="R212" s="42" t="str">
        <v>9</v>
      </c>
      <c r="S212" s="10" t="str">
        <f t="shared" si="7"/>
        <v>No Change</v>
      </c>
    </row>
    <row r="213" spans="1:19" ht="120" hidden="1">
      <c r="A213" s="8" t="s">
        <v>1571</v>
      </c>
      <c r="B213" s="9" t="s">
        <v>13557</v>
      </c>
      <c r="C213" s="37" t="s">
        <v>13588</v>
      </c>
      <c r="D213" s="24"/>
      <c r="E213" s="24"/>
      <c r="F213" s="24" t="str">
        <v>K763</v>
      </c>
      <c r="G213" s="24" t="str">
        <v>0 out of 10</v>
      </c>
      <c r="H213" s="24" t="str">
        <v>https://nycdoe.sharepoint.com/:w:/s/BAP/EYPBwLruvstPkGcriVoFc0sBL5zz139cTSB5smRutih0TQ</v>
      </c>
      <c r="I213" s="23">
        <v>201</v>
      </c>
      <c r="J213" s="24" t="str">
        <v>-</v>
      </c>
      <c r="K213" s="24">
        <v>639</v>
      </c>
      <c r="L213" s="24" t="str">
        <v>N/A out of 10</v>
      </c>
      <c r="M213" s="23" t="b">
        <f t="shared" si="6"/>
        <v>0</v>
      </c>
      <c r="N213" s="23" t="str">
        <v>0 out of 10</v>
      </c>
      <c r="O213" s="23"/>
      <c r="P213" s="42" t="str">
        <v>0</v>
      </c>
      <c r="Q213" s="42" t="str">
        <v>N/A</v>
      </c>
      <c r="R213" s="42" t="str">
        <v>0</v>
      </c>
      <c r="S213" s="10" t="str">
        <f t="shared" si="7"/>
        <v>No Change</v>
      </c>
    </row>
    <row r="214" spans="1:19" ht="120" hidden="1">
      <c r="A214" s="8" t="s">
        <v>1360</v>
      </c>
      <c r="B214" s="9" t="s">
        <v>13555</v>
      </c>
      <c r="C214" s="37" t="s">
        <v>5817</v>
      </c>
      <c r="D214" s="24"/>
      <c r="E214" s="24"/>
      <c r="F214" s="24" t="str">
        <v>K764</v>
      </c>
      <c r="G214" s="24" t="str">
        <v>0 out of 10</v>
      </c>
      <c r="H214" s="24" t="str">
        <v>https://nycdoe.sharepoint.com/:w:/s/BAP/EW9_yonXtv1Eij7RODp1azUB1IETdQH14P6yhjlSW5PZpA</v>
      </c>
      <c r="I214" s="23" t="str">
        <v>Was New</v>
      </c>
      <c r="J214" s="24" t="str">
        <v>0 out of 10</v>
      </c>
      <c r="K214" s="24">
        <v>640</v>
      </c>
      <c r="L214" s="24" t="str">
        <v>N/A out of 10</v>
      </c>
      <c r="M214" s="23" t="b">
        <f t="shared" si="6"/>
        <v>0</v>
      </c>
      <c r="N214" s="23" t="str">
        <v>0 out of 10</v>
      </c>
      <c r="O214" s="23"/>
      <c r="P214" s="42" t="str">
        <v>0</v>
      </c>
      <c r="Q214" s="42" t="str">
        <v>N/A</v>
      </c>
      <c r="R214" s="42" t="str">
        <v>0</v>
      </c>
      <c r="S214" s="10" t="str">
        <f t="shared" si="7"/>
        <v>No Change</v>
      </c>
    </row>
    <row r="215" spans="1:19" ht="120" hidden="1">
      <c r="A215" s="8" t="s">
        <v>1806</v>
      </c>
      <c r="B215" s="11" t="s">
        <v>13558</v>
      </c>
      <c r="C215" s="37" t="s">
        <v>6318</v>
      </c>
      <c r="D215" s="24"/>
      <c r="E215" s="24"/>
      <c r="F215" s="24" t="str">
        <v>K768</v>
      </c>
      <c r="G215" s="24" t="str">
        <v>0 out of 10</v>
      </c>
      <c r="H215" s="24" t="str">
        <v>https://nycdoe.sharepoint.com/:w:/s/BAP/EXgHs26mq-lFgSXMQvDsv4kBFaSXAxhtwPPxFfdT18if6Q</v>
      </c>
      <c r="I215" s="23">
        <v>202</v>
      </c>
      <c r="J215" s="24" t="str">
        <v>-</v>
      </c>
      <c r="K215" s="24">
        <v>643</v>
      </c>
      <c r="L215" s="24" t="str">
        <v>N/A out of 10</v>
      </c>
      <c r="M215" s="23" t="b">
        <f t="shared" si="6"/>
        <v>0</v>
      </c>
      <c r="N215" s="23" t="str">
        <v>0 out of 10</v>
      </c>
      <c r="O215" s="23"/>
      <c r="P215" s="42" t="str">
        <v>0</v>
      </c>
      <c r="Q215" s="42" t="str">
        <v>N/A</v>
      </c>
      <c r="R215" s="42" t="str">
        <v>0</v>
      </c>
      <c r="S215" s="10" t="str">
        <f t="shared" si="7"/>
        <v>No Change</v>
      </c>
    </row>
    <row r="216" spans="1:19" ht="120" hidden="1">
      <c r="A216" s="8" t="s">
        <v>6899</v>
      </c>
      <c r="B216" s="9" t="s">
        <v>13558</v>
      </c>
      <c r="C216" s="37" t="s">
        <v>6903</v>
      </c>
      <c r="D216" s="24"/>
      <c r="E216" s="24"/>
      <c r="F216" s="24" t="str">
        <v>K776</v>
      </c>
      <c r="G216" s="24" t="str">
        <v>0 out of 10</v>
      </c>
      <c r="H216" s="24" t="str">
        <v>https://nycdoe.sharepoint.com/:w:/s/BAP/ET6jveTph2FJjh47YscbHPIBS6QklpOdOj8Bw2s4qN7gUw</v>
      </c>
      <c r="I216" s="23">
        <v>203</v>
      </c>
      <c r="J216" s="24" t="str">
        <v>-</v>
      </c>
      <c r="K216" s="24">
        <v>644</v>
      </c>
      <c r="L216" s="24" t="str">
        <v>N/A out of 10</v>
      </c>
      <c r="M216" s="23" t="b">
        <f t="shared" si="6"/>
        <v>0</v>
      </c>
      <c r="N216" s="23" t="str">
        <v>0 out of 10</v>
      </c>
      <c r="O216" s="23"/>
      <c r="P216" s="42" t="str">
        <v>0</v>
      </c>
      <c r="Q216" s="42" t="str">
        <v>N/A</v>
      </c>
      <c r="R216" s="42" t="str">
        <v>0</v>
      </c>
      <c r="S216" s="10" t="str">
        <f t="shared" si="7"/>
        <v>No Change</v>
      </c>
    </row>
    <row r="217" spans="1:19" ht="120" hidden="1">
      <c r="A217" s="8" t="s">
        <v>5818</v>
      </c>
      <c r="B217" s="11" t="s">
        <v>13555</v>
      </c>
      <c r="C217" s="37" t="s">
        <v>5820</v>
      </c>
      <c r="D217" s="24"/>
      <c r="E217" s="24"/>
      <c r="F217" s="24" t="str">
        <v>K779</v>
      </c>
      <c r="G217" s="24" t="str">
        <v>10 out of 10</v>
      </c>
      <c r="H217" s="24" t="str">
        <v>https://nycdoe.sharepoint.com/:w:/s/BAP/EVEmbH9lAAxPifhhtT2MNjIBydtrTi98E06tM4oe3fJtQA</v>
      </c>
      <c r="I217" s="23">
        <v>204</v>
      </c>
      <c r="J217" s="24" t="str">
        <v>-</v>
      </c>
      <c r="K217" s="24">
        <v>646</v>
      </c>
      <c r="L217" s="24" t="str">
        <v>10 out of 10</v>
      </c>
      <c r="M217" s="23" t="b">
        <f t="shared" si="6"/>
        <v>1</v>
      </c>
      <c r="N217" s="23" t="str">
        <v>10 out of 10</v>
      </c>
      <c r="O217" s="23"/>
      <c r="P217" s="42" t="str">
        <v>10</v>
      </c>
      <c r="Q217" s="42" t="str">
        <v>10</v>
      </c>
      <c r="R217" s="42" t="str">
        <v>10</v>
      </c>
      <c r="S217" s="10" t="str">
        <f t="shared" si="7"/>
        <v>No Change</v>
      </c>
    </row>
    <row r="218" spans="1:19" ht="120" hidden="1">
      <c r="A218" s="8" t="s">
        <v>5821</v>
      </c>
      <c r="B218" s="11" t="s">
        <v>13558</v>
      </c>
      <c r="C218" s="37" t="s">
        <v>5826</v>
      </c>
      <c r="D218" s="24"/>
      <c r="E218" s="24"/>
      <c r="F218" s="24" t="str">
        <v>K783</v>
      </c>
      <c r="G218" s="24" t="str">
        <v>9 out of 10</v>
      </c>
      <c r="H218" s="24" t="str">
        <v>https://nycdoe.sharepoint.com/:w:/s/BAP/EUGZsrcv-_pLh8DOFwA-AjMB-hTPM5puSctk4do7gwGf3g</v>
      </c>
      <c r="I218" s="23">
        <v>205</v>
      </c>
      <c r="J218" s="24" t="str">
        <v>-</v>
      </c>
      <c r="K218" s="24">
        <v>649</v>
      </c>
      <c r="L218" s="24" t="str">
        <v>9 out of 10</v>
      </c>
      <c r="M218" s="23" t="b">
        <f t="shared" si="6"/>
        <v>1</v>
      </c>
      <c r="N218" s="23" t="str">
        <v>9 out of 10</v>
      </c>
      <c r="O218" s="23"/>
      <c r="P218" s="42" t="str">
        <v>9</v>
      </c>
      <c r="Q218" s="42" t="str">
        <v>9</v>
      </c>
      <c r="R218" s="42" t="str">
        <v>9</v>
      </c>
      <c r="S218" s="10" t="str">
        <f t="shared" si="7"/>
        <v>No Change</v>
      </c>
    </row>
    <row r="219" spans="1:19" ht="120" hidden="1">
      <c r="A219" s="8" t="s">
        <v>13589</v>
      </c>
      <c r="B219" s="9" t="s">
        <v>13553</v>
      </c>
      <c r="C219" s="37" t="s">
        <v>13590</v>
      </c>
      <c r="D219" s="24"/>
      <c r="E219" s="24"/>
      <c r="F219" s="24" t="str">
        <v>K784</v>
      </c>
      <c r="G219" s="24" t="str">
        <v>9 out of 10</v>
      </c>
      <c r="H219" s="24" t="str">
        <v>https://nycdoe.sharepoint.com/:w:/s/BAP/EdGTJQFXWA9CnQSUQNCWKPYBm-00RCY8T_QcLHcxyGBK1g</v>
      </c>
      <c r="I219" s="23">
        <v>206</v>
      </c>
      <c r="J219" s="24" t="str">
        <v>-</v>
      </c>
      <c r="K219" s="24">
        <v>650</v>
      </c>
      <c r="L219" s="24" t="str">
        <v>9 out of 10</v>
      </c>
      <c r="M219" s="23" t="b">
        <f t="shared" si="6"/>
        <v>1</v>
      </c>
      <c r="N219" s="23" t="str">
        <v>9 out of 10</v>
      </c>
      <c r="O219" s="23"/>
      <c r="P219" s="42" t="str">
        <v>9</v>
      </c>
      <c r="Q219" s="42" t="str">
        <v>9</v>
      </c>
      <c r="R219" s="42" t="str">
        <v>9</v>
      </c>
      <c r="S219" s="10" t="str">
        <f t="shared" si="7"/>
        <v>No Change</v>
      </c>
    </row>
    <row r="220" spans="1:19" ht="120" hidden="1">
      <c r="A220" s="8" t="s">
        <v>1348</v>
      </c>
      <c r="B220" s="11" t="s">
        <v>13555</v>
      </c>
      <c r="C220" s="37" t="s">
        <v>5827</v>
      </c>
      <c r="D220" s="24"/>
      <c r="E220" s="24"/>
      <c r="F220" s="24" t="str">
        <v>K798</v>
      </c>
      <c r="G220" s="24" t="str">
        <v>10 out of 10</v>
      </c>
      <c r="H220" s="24" t="str">
        <v>https://nycdoe.sharepoint.com/:w:/s/BAP/EdUEHx9RtRlPpJBCPm8qOzQBo1Kf0qQFYh7eLgT3_NEDNA</v>
      </c>
      <c r="I220" s="23">
        <v>207</v>
      </c>
      <c r="J220" s="24" t="str">
        <v>-</v>
      </c>
      <c r="K220" s="24">
        <v>652</v>
      </c>
      <c r="L220" s="24" t="str">
        <v>10 out of 10</v>
      </c>
      <c r="M220" s="23" t="b">
        <f t="shared" si="6"/>
        <v>1</v>
      </c>
      <c r="N220" s="23" t="str">
        <v>10 out of 10</v>
      </c>
      <c r="O220" s="23"/>
      <c r="P220" s="42" t="str">
        <v>10</v>
      </c>
      <c r="Q220" s="42" t="str">
        <v>10</v>
      </c>
      <c r="R220" s="42" t="str">
        <v>10</v>
      </c>
      <c r="S220" s="10" t="str">
        <f t="shared" si="7"/>
        <v>No Change</v>
      </c>
    </row>
    <row r="221" spans="1:19" ht="135" hidden="1">
      <c r="A221" s="8" t="s">
        <v>10839</v>
      </c>
      <c r="B221" s="11" t="s">
        <v>13561</v>
      </c>
      <c r="C221" s="37" t="s">
        <v>13591</v>
      </c>
      <c r="D221" s="24"/>
      <c r="E221" s="24"/>
      <c r="F221" s="24" t="str">
        <v>K804</v>
      </c>
      <c r="G221" s="24" t="str">
        <v>4 out of 10</v>
      </c>
      <c r="H221" s="24" t="str">
        <v>https://nycdoe.sharepoint.com/:w:/s/BAP/EdOo47S98-JJq4W__khaNEkBYojjCVAXLPc1Xx_ZeoeXyQ</v>
      </c>
      <c r="I221" s="23">
        <v>208</v>
      </c>
      <c r="J221" s="24" t="str">
        <v>-</v>
      </c>
      <c r="K221" s="24">
        <v>655</v>
      </c>
      <c r="L221" s="24" t="str">
        <v>4 out of 10</v>
      </c>
      <c r="M221" s="23" t="b">
        <f t="shared" si="6"/>
        <v>1</v>
      </c>
      <c r="N221" s="23" t="str">
        <v>4 out of 10</v>
      </c>
      <c r="O221" s="23"/>
      <c r="P221" s="42" t="str">
        <v>4</v>
      </c>
      <c r="Q221" s="42" t="str">
        <v>4</v>
      </c>
      <c r="R221" s="42" t="str">
        <v>4</v>
      </c>
      <c r="S221" s="10" t="str">
        <f t="shared" si="7"/>
        <v>No Change</v>
      </c>
    </row>
    <row r="222" spans="1:19" ht="120" hidden="1">
      <c r="A222" s="8" t="s">
        <v>1576</v>
      </c>
      <c r="B222" s="9" t="s">
        <v>13555</v>
      </c>
      <c r="C222" s="37" t="s">
        <v>6069</v>
      </c>
      <c r="D222" s="24"/>
      <c r="E222" s="24"/>
      <c r="F222" s="24" t="str">
        <v>K805</v>
      </c>
      <c r="G222" s="24" t="str">
        <v>9 out of 10</v>
      </c>
      <c r="H222" s="24" t="str">
        <v>https://nycdoe.sharepoint.com/:w:/s/BAP/EXcijHX1lsNAmN65TFX9mKABHT92WxJ-ZBBLGzhWGi1qkg</v>
      </c>
      <c r="I222" s="23">
        <v>209</v>
      </c>
      <c r="J222" s="24" t="str">
        <v>-</v>
      </c>
      <c r="K222" s="24">
        <v>657</v>
      </c>
      <c r="L222" s="24" t="str">
        <v>9 out of 10</v>
      </c>
      <c r="M222" s="23" t="b">
        <f t="shared" si="6"/>
        <v>1</v>
      </c>
      <c r="N222" s="23" t="str">
        <v>9 out of 10</v>
      </c>
      <c r="O222" s="23"/>
      <c r="P222" s="42" t="str">
        <v>9</v>
      </c>
      <c r="Q222" s="42" t="str">
        <v>9</v>
      </c>
      <c r="R222" s="42" t="str">
        <v>9</v>
      </c>
      <c r="S222" s="10" t="str">
        <f t="shared" si="7"/>
        <v>No Change</v>
      </c>
    </row>
    <row r="223" spans="1:19" ht="120" hidden="1">
      <c r="A223" s="8" t="s">
        <v>5828</v>
      </c>
      <c r="B223" s="9" t="s">
        <v>13553</v>
      </c>
      <c r="C223" s="37" t="s">
        <v>5830</v>
      </c>
      <c r="D223" s="24"/>
      <c r="E223" s="24"/>
      <c r="F223" s="24" t="str">
        <v>K807</v>
      </c>
      <c r="G223" s="24" t="str">
        <v>10 out of 10</v>
      </c>
      <c r="H223" s="24" t="str">
        <v>https://nycdoe.sharepoint.com/:w:/s/BAP/EYjTsptH1z5PhF4JUNYlYFMBwPi5ChwMPYm6K8dJZYtLmQ</v>
      </c>
      <c r="I223" s="23">
        <v>210</v>
      </c>
      <c r="J223" s="24" t="str">
        <v>-</v>
      </c>
      <c r="K223" s="24">
        <v>661</v>
      </c>
      <c r="L223" s="24" t="str">
        <v>10 out of 10</v>
      </c>
      <c r="M223" s="23" t="b">
        <f t="shared" si="6"/>
        <v>1</v>
      </c>
      <c r="N223" s="23" t="str">
        <v>10 out of 10</v>
      </c>
      <c r="O223" s="23"/>
      <c r="P223" s="42" t="str">
        <v>10</v>
      </c>
      <c r="Q223" s="42" t="str">
        <v>10</v>
      </c>
      <c r="R223" s="42" t="str">
        <v>10</v>
      </c>
      <c r="S223" s="10" t="str">
        <f t="shared" si="7"/>
        <v>No Change</v>
      </c>
    </row>
    <row r="224" spans="1:19" ht="120" hidden="1">
      <c r="A224" s="8" t="s">
        <v>1584</v>
      </c>
      <c r="B224" s="9" t="s">
        <v>13555</v>
      </c>
      <c r="C224" s="37" t="s">
        <v>6073</v>
      </c>
      <c r="D224" s="24"/>
      <c r="E224" s="24"/>
      <c r="F224" s="24" t="str">
        <v>K814</v>
      </c>
      <c r="G224" s="24" t="str">
        <v>10 out of 10</v>
      </c>
      <c r="H224" s="24" t="str">
        <v>https://nycdoe.sharepoint.com/:w:/s/BAP/ETlU8tqJTYNMt1F7luwB81oBV24ke8L3IHnW9ZjKgXp64A</v>
      </c>
      <c r="I224" s="23">
        <v>211</v>
      </c>
      <c r="J224" s="24" t="str">
        <v>-</v>
      </c>
      <c r="K224" s="24">
        <v>663</v>
      </c>
      <c r="L224" s="24" t="str">
        <v>10 out of 10</v>
      </c>
      <c r="M224" s="23" t="b">
        <f t="shared" si="6"/>
        <v>1</v>
      </c>
      <c r="N224" s="23" t="str">
        <v>10 out of 10</v>
      </c>
      <c r="O224" s="23"/>
      <c r="P224" s="42" t="str">
        <v>10</v>
      </c>
      <c r="Q224" s="42" t="str">
        <v>10</v>
      </c>
      <c r="R224" s="42" t="str">
        <v>10</v>
      </c>
      <c r="S224" s="10" t="str">
        <f t="shared" si="7"/>
        <v>No Change</v>
      </c>
    </row>
    <row r="225" spans="1:19" ht="120" hidden="1">
      <c r="A225" s="8" t="s">
        <v>2227</v>
      </c>
      <c r="B225" s="9" t="s">
        <v>13557</v>
      </c>
      <c r="C225" s="37" t="s">
        <v>6907</v>
      </c>
      <c r="D225" s="24"/>
      <c r="E225" s="24"/>
      <c r="F225" s="24" t="str">
        <v>K824</v>
      </c>
      <c r="G225" s="24" t="str">
        <v>9 out of 10</v>
      </c>
      <c r="H225" s="24" t="str">
        <v>https://nycdoe.sharepoint.com/:w:/s/BAP/ERpcGb5pAJdMousrMfXIESABZd4oHCIydyPO1SnvPzS09w</v>
      </c>
      <c r="I225" s="23">
        <v>212</v>
      </c>
      <c r="J225" s="24" t="str">
        <v>9 out of 10</v>
      </c>
      <c r="K225" s="24" t="str">
        <v>Possible Change</v>
      </c>
      <c r="L225" s="24" t="str">
        <v>- out of 10</v>
      </c>
      <c r="M225" s="23" t="b">
        <f t="shared" si="6"/>
        <v>0</v>
      </c>
      <c r="N225" s="23" t="str">
        <v>9 out of 10</v>
      </c>
      <c r="O225" s="23"/>
      <c r="P225" s="42" t="str">
        <v>9</v>
      </c>
      <c r="Q225" s="42" t="str">
        <v>Not Found</v>
      </c>
      <c r="R225" s="42" t="str">
        <v>9</v>
      </c>
      <c r="S225" s="10" t="str">
        <f t="shared" si="7"/>
        <v>Change</v>
      </c>
    </row>
    <row r="226" spans="1:19" ht="120" hidden="1">
      <c r="A226" s="8" t="s">
        <v>1145</v>
      </c>
      <c r="B226" s="9" t="s">
        <v>13553</v>
      </c>
      <c r="C226" s="37" t="s">
        <v>5552</v>
      </c>
      <c r="D226" s="24"/>
      <c r="E226" s="24"/>
      <c r="F226" s="24" t="str">
        <v>K825</v>
      </c>
      <c r="G226" s="24" t="str">
        <v>9 out of 10</v>
      </c>
      <c r="H226" s="24" t="str">
        <v>https://nycdoe.sharepoint.com/:w:/s/BAP/ESFdp3ncXWtMl69EVkMDVgwBIF9Xi_PWBXYXYd8FpcphgA</v>
      </c>
      <c r="I226" s="23">
        <v>213</v>
      </c>
      <c r="J226" s="24" t="str">
        <v>-</v>
      </c>
      <c r="K226" s="24">
        <v>664</v>
      </c>
      <c r="L226" s="24" t="str">
        <v>9 out of 10</v>
      </c>
      <c r="M226" s="23" t="b">
        <f t="shared" si="6"/>
        <v>1</v>
      </c>
      <c r="N226" s="23" t="str">
        <v>9 out of 10</v>
      </c>
      <c r="O226" s="23"/>
      <c r="P226" s="42" t="str">
        <v>9</v>
      </c>
      <c r="Q226" s="42" t="str">
        <v>9</v>
      </c>
      <c r="R226" s="42" t="str">
        <v>9</v>
      </c>
      <c r="S226" s="10" t="str">
        <f t="shared" si="7"/>
        <v>No Change</v>
      </c>
    </row>
    <row r="227" spans="1:19" ht="120" hidden="1">
      <c r="A227" s="8" t="s">
        <v>1365</v>
      </c>
      <c r="B227" s="9" t="s">
        <v>13555</v>
      </c>
      <c r="C227" s="37" t="s">
        <v>5834</v>
      </c>
      <c r="D227" s="24"/>
      <c r="E227" s="24"/>
      <c r="F227" s="24" t="str">
        <v>K834</v>
      </c>
      <c r="G227" s="24" t="str">
        <v>0 out of 10</v>
      </c>
      <c r="H227" s="24" t="str">
        <v>https://nycdoe.sharepoint.com/:w:/s/BAP/EYeVyhYBRPBCmaLvMA712UwBiZbxiuTpuBPeiGCSIBgsAQ</v>
      </c>
      <c r="I227" s="23" t="str">
        <v>Was New</v>
      </c>
      <c r="J227" s="24" t="str">
        <v>0 out of 10</v>
      </c>
      <c r="K227" s="24">
        <v>666</v>
      </c>
      <c r="L227" s="24" t="str">
        <v>N/A out of 10</v>
      </c>
      <c r="M227" s="23" t="b">
        <f t="shared" si="6"/>
        <v>0</v>
      </c>
      <c r="N227" s="23" t="str">
        <v>0 out of 10</v>
      </c>
      <c r="O227" s="23"/>
      <c r="P227" s="42" t="str">
        <v>0</v>
      </c>
      <c r="Q227" s="42" t="str">
        <v>N/A</v>
      </c>
      <c r="R227" s="42" t="str">
        <v>0</v>
      </c>
      <c r="S227" s="10" t="str">
        <f t="shared" si="7"/>
        <v>No Change</v>
      </c>
    </row>
    <row r="228" spans="1:19" ht="120" hidden="1">
      <c r="A228" s="8" t="s">
        <v>1908</v>
      </c>
      <c r="B228" s="11" t="s">
        <v>13555</v>
      </c>
      <c r="C228" s="37" t="s">
        <v>13592</v>
      </c>
      <c r="D228" s="24"/>
      <c r="E228" s="24"/>
      <c r="F228" s="24" t="str">
        <v>K835</v>
      </c>
      <c r="G228" s="24" t="str">
        <v>9 out of 10</v>
      </c>
      <c r="H228" s="24" t="str">
        <v>https://nycdoe.sharepoint.com/:w:/s/BAP/Eb0Q5zKAXh5AnkXHTlZm3FkB23pgF-a7a91mzl6e88S6jQ</v>
      </c>
      <c r="I228" s="23" t="str">
        <v>Was New</v>
      </c>
      <c r="J228" s="24" t="str">
        <v>9 out of 10</v>
      </c>
      <c r="K228" s="24">
        <v>667</v>
      </c>
      <c r="L228" s="24" t="str">
        <v>9 out of 10</v>
      </c>
      <c r="M228" s="23" t="b">
        <f t="shared" si="6"/>
        <v>1</v>
      </c>
      <c r="N228" s="23" t="str">
        <v>9 out of 10</v>
      </c>
      <c r="O228" s="23"/>
      <c r="P228" s="42" t="str">
        <v>9</v>
      </c>
      <c r="Q228" s="42" t="str">
        <v>9</v>
      </c>
      <c r="R228" s="42" t="str">
        <v>9</v>
      </c>
      <c r="S228" s="10" t="str">
        <f t="shared" si="7"/>
        <v>No Change</v>
      </c>
    </row>
    <row r="229" spans="1:19" ht="120" hidden="1">
      <c r="A229" s="8" t="s">
        <v>10855</v>
      </c>
      <c r="B229" s="11" t="s">
        <v>13561</v>
      </c>
      <c r="C229" s="37" t="s">
        <v>13593</v>
      </c>
      <c r="D229" s="24"/>
      <c r="E229" s="24"/>
      <c r="F229" s="24" t="str">
        <v>K857</v>
      </c>
      <c r="G229" s="24" t="str">
        <v>1 out of 10</v>
      </c>
      <c r="H229" s="24" t="str">
        <v>https://nycdoe.sharepoint.com/:w:/s/BAP/EW9Vr3MM68lGgKOqyoqCh_wB7U39G832LtmRqimPalorXA</v>
      </c>
      <c r="I229" s="23">
        <v>214</v>
      </c>
      <c r="J229" s="24" t="str">
        <v>-</v>
      </c>
      <c r="K229" s="24">
        <v>677</v>
      </c>
      <c r="L229" s="24" t="str">
        <v>1 out of 10</v>
      </c>
      <c r="M229" s="23" t="b">
        <f t="shared" si="6"/>
        <v>1</v>
      </c>
      <c r="N229" s="23" t="str">
        <v>1 out of 10</v>
      </c>
      <c r="O229" s="23"/>
      <c r="P229" s="42" t="str">
        <v>1</v>
      </c>
      <c r="Q229" s="42" t="str">
        <v>1</v>
      </c>
      <c r="R229" s="42" t="str">
        <v>1</v>
      </c>
      <c r="S229" s="10" t="str">
        <f t="shared" si="7"/>
        <v>No Change</v>
      </c>
    </row>
    <row r="230" spans="1:19" ht="120" hidden="1">
      <c r="A230" s="8" t="s">
        <v>1916</v>
      </c>
      <c r="B230" s="9" t="s">
        <v>13553</v>
      </c>
      <c r="C230" s="37" t="s">
        <v>6469</v>
      </c>
      <c r="D230" s="24"/>
      <c r="E230" s="24"/>
      <c r="F230" s="24" t="str">
        <v>K865</v>
      </c>
      <c r="G230" s="24" t="str">
        <v>1 out of 10</v>
      </c>
      <c r="H230" s="24" t="str">
        <v>https://nycdoe.sharepoint.com/:w:/s/BAP/EWcbuyd6Ec5Ku0yhLmHwu4sBdzAtO8Z6lVFkJ69dfqxXJg</v>
      </c>
      <c r="I230" s="23">
        <v>215</v>
      </c>
      <c r="J230" s="24" t="str">
        <v>-</v>
      </c>
      <c r="K230" s="24" t="str">
        <v>Possible Change</v>
      </c>
      <c r="L230" s="24" t="str">
        <v>- out of 10</v>
      </c>
      <c r="M230" s="23" t="b">
        <f t="shared" si="6"/>
        <v>0</v>
      </c>
      <c r="N230" s="23" t="str">
        <v>1 out of 10</v>
      </c>
      <c r="O230" s="23"/>
      <c r="P230" s="42" t="str">
        <v>1</v>
      </c>
      <c r="Q230" s="42" t="str">
        <v>Not Found</v>
      </c>
      <c r="R230" s="42" t="str">
        <v>1</v>
      </c>
      <c r="S230" s="10" t="str">
        <f t="shared" si="7"/>
        <v>Change</v>
      </c>
    </row>
    <row r="231" spans="1:19" ht="120" hidden="1">
      <c r="A231" s="8" t="s">
        <v>1437</v>
      </c>
      <c r="B231" s="9" t="s">
        <v>13555</v>
      </c>
      <c r="C231" s="37" t="s">
        <v>5901</v>
      </c>
      <c r="D231" s="24"/>
      <c r="E231" s="24"/>
      <c r="F231" s="24" t="str">
        <v>K871</v>
      </c>
      <c r="G231" s="24" t="str">
        <v>9 out of 10</v>
      </c>
      <c r="H231" s="24" t="str">
        <v>https://nycdoe.sharepoint.com/:w:/s/BAP/EbmGCcCCgYBMpAsGkTlw3KIBhBN3H0jS3dEM6dgTA2HY1g</v>
      </c>
      <c r="I231" s="23">
        <v>216</v>
      </c>
      <c r="J231" s="24" t="str">
        <v>-</v>
      </c>
      <c r="K231" s="24" t="str">
        <v>Possible Change</v>
      </c>
      <c r="L231" s="24" t="str">
        <v>- out of 10</v>
      </c>
      <c r="M231" s="23" t="b">
        <f t="shared" si="6"/>
        <v>0</v>
      </c>
      <c r="N231" s="23" t="str">
        <v>9 out of 10</v>
      </c>
      <c r="O231" s="23"/>
      <c r="P231" s="42" t="str">
        <v>9</v>
      </c>
      <c r="Q231" s="42" t="str">
        <v>Not Found</v>
      </c>
      <c r="R231" s="42" t="str">
        <v>9</v>
      </c>
      <c r="S231" s="10" t="str">
        <f t="shared" si="7"/>
        <v>Change</v>
      </c>
    </row>
    <row r="232" spans="1:19" ht="120" hidden="1">
      <c r="A232" s="8" t="s">
        <v>1370</v>
      </c>
      <c r="B232" s="9" t="s">
        <v>13553</v>
      </c>
      <c r="C232" s="37" t="s">
        <v>5838</v>
      </c>
      <c r="D232" s="24"/>
      <c r="E232" s="24"/>
      <c r="F232" s="24" t="str">
        <v>K881</v>
      </c>
      <c r="G232" s="24" t="str">
        <v>1 out of 10</v>
      </c>
      <c r="H232" s="24" t="str">
        <v>https://nycdoe.sharepoint.com/:w:/s/BAP/EfAzUAOXT-BHrWbHE7GzsZwBTwtl9jXuQl1dnAQh1f-1oQ</v>
      </c>
      <c r="I232" s="23">
        <v>217</v>
      </c>
      <c r="J232" s="24" t="str">
        <v>-</v>
      </c>
      <c r="K232" s="24">
        <v>688</v>
      </c>
      <c r="L232" s="24" t="str">
        <v>1 out of 10</v>
      </c>
      <c r="M232" s="23" t="b">
        <f t="shared" si="6"/>
        <v>1</v>
      </c>
      <c r="N232" s="23" t="str">
        <v>1 out of 10</v>
      </c>
      <c r="O232" s="23"/>
      <c r="P232" s="42" t="str">
        <v>1</v>
      </c>
      <c r="Q232" s="42" t="str">
        <v>1</v>
      </c>
      <c r="R232" s="42" t="str">
        <v>1</v>
      </c>
      <c r="S232" s="10" t="str">
        <f t="shared" si="7"/>
        <v>No Change</v>
      </c>
    </row>
    <row r="233" spans="1:19" ht="120" hidden="1">
      <c r="A233" s="8" t="s">
        <v>1150</v>
      </c>
      <c r="B233" s="9" t="s">
        <v>13553</v>
      </c>
      <c r="C233" s="37" t="s">
        <v>5556</v>
      </c>
      <c r="D233" s="24"/>
      <c r="E233" s="24"/>
      <c r="F233" s="24" t="str">
        <v>K894</v>
      </c>
      <c r="G233" s="24" t="str">
        <v>10 out of 10</v>
      </c>
      <c r="H233" s="24" t="str">
        <v>https://nycdoe.sharepoint.com/:w:/s/BAP/EaE5wW--NgtCsM0NcG9PKocBd707MVVE3nxRovL4bCPfTg</v>
      </c>
      <c r="I233" s="23">
        <v>218</v>
      </c>
      <c r="J233" s="24" t="str">
        <v>-</v>
      </c>
      <c r="K233" s="24" t="str">
        <v>Possible Change</v>
      </c>
      <c r="L233" s="24" t="str">
        <v>- out of 10</v>
      </c>
      <c r="M233" s="23" t="b">
        <f t="shared" si="6"/>
        <v>0</v>
      </c>
      <c r="N233" s="23" t="str">
        <v>10 out of 10</v>
      </c>
      <c r="O233" s="23"/>
      <c r="P233" s="42" t="str">
        <v>10</v>
      </c>
      <c r="Q233" s="42" t="str">
        <v>Not Found</v>
      </c>
      <c r="R233" s="42" t="str">
        <v>10</v>
      </c>
      <c r="S233" s="10" t="str">
        <f t="shared" si="7"/>
        <v>Change</v>
      </c>
    </row>
    <row r="234" spans="1:19" ht="105" hidden="1">
      <c r="A234" s="8" t="s">
        <v>2315</v>
      </c>
      <c r="B234" s="9" t="s">
        <v>13558</v>
      </c>
      <c r="C234" s="37" t="s">
        <v>6997</v>
      </c>
      <c r="D234" s="24"/>
      <c r="E234" s="24"/>
      <c r="F234" s="24" t="str">
        <v>K896</v>
      </c>
      <c r="G234" s="24" t="str">
        <v>9 out of 10</v>
      </c>
      <c r="H234" s="24" t="str">
        <v>https://nycdoe.sharepoint.com/:w:/s/BAP/EZLOo4vNv6hPuwE8p93w_w4B_CeQRWyjeGUz-q_tqdqNBA</v>
      </c>
      <c r="I234" s="23">
        <v>219</v>
      </c>
      <c r="J234" s="24" t="str">
        <v>-</v>
      </c>
      <c r="K234" s="24">
        <v>693</v>
      </c>
      <c r="L234" s="24" t="str">
        <v>9 out of 10</v>
      </c>
      <c r="M234" s="23" t="b">
        <f t="shared" si="6"/>
        <v>1</v>
      </c>
      <c r="N234" s="23" t="str">
        <v>9 out of 10</v>
      </c>
      <c r="O234" s="23"/>
      <c r="P234" s="42" t="str">
        <v>9</v>
      </c>
      <c r="Q234" s="42" t="str">
        <v>9</v>
      </c>
      <c r="R234" s="42" t="str">
        <v>9</v>
      </c>
      <c r="S234" s="10" t="str">
        <f t="shared" si="7"/>
        <v>No Change</v>
      </c>
    </row>
    <row r="235" spans="1:19" ht="120" hidden="1">
      <c r="A235" s="8" t="s">
        <v>3014</v>
      </c>
      <c r="B235" s="9" t="s">
        <v>13553</v>
      </c>
      <c r="C235" s="37" t="s">
        <v>7723</v>
      </c>
      <c r="D235" s="24"/>
      <c r="E235" s="24"/>
      <c r="F235" s="24" t="str">
        <v>K902</v>
      </c>
      <c r="G235" s="24" t="str">
        <v>0 out of 10</v>
      </c>
      <c r="H235" s="24" t="str">
        <v>https://nycdoe.sharepoint.com/:w:/s/BAP/ET_puoosKwxPiVmKjR8W99IBCUTlKADUJ-rA5YB2koAxjQ</v>
      </c>
      <c r="I235" s="23">
        <v>220</v>
      </c>
      <c r="J235" s="24" t="str">
        <v>-</v>
      </c>
      <c r="K235" s="24">
        <v>695</v>
      </c>
      <c r="L235" s="24" t="str">
        <v>N/A out of 10</v>
      </c>
      <c r="M235" s="23" t="b">
        <f t="shared" si="6"/>
        <v>0</v>
      </c>
      <c r="N235" s="23" t="str">
        <v>0 out of 10</v>
      </c>
      <c r="O235" s="23"/>
      <c r="P235" s="42" t="str">
        <v>0</v>
      </c>
      <c r="Q235" s="42" t="str">
        <v>N/A</v>
      </c>
      <c r="R235" s="42" t="str">
        <v>0</v>
      </c>
      <c r="S235" s="10" t="str">
        <f t="shared" si="7"/>
        <v>No Change</v>
      </c>
    </row>
    <row r="236" spans="1:19" ht="120" hidden="1">
      <c r="A236" s="8" t="s">
        <v>3018</v>
      </c>
      <c r="B236" s="9" t="s">
        <v>13553</v>
      </c>
      <c r="C236" s="37" t="s">
        <v>7727</v>
      </c>
      <c r="D236" s="24"/>
      <c r="E236" s="24"/>
      <c r="F236" s="24" t="str">
        <v>K907</v>
      </c>
      <c r="G236" s="24" t="str">
        <v>9 out of 10</v>
      </c>
      <c r="H236" s="24" t="str">
        <v>https://nycdoe.sharepoint.com/:w:/s/BAP/EUIzK-t04DZEsx3CRs1Xq84BJdrxB6UfYJW8asvbkAHUAQ</v>
      </c>
      <c r="I236" s="23">
        <v>221</v>
      </c>
      <c r="J236" s="24" t="str">
        <v>-</v>
      </c>
      <c r="K236" s="24">
        <v>697</v>
      </c>
      <c r="L236" s="24" t="str">
        <v>9 out of 10</v>
      </c>
      <c r="M236" s="23" t="b">
        <f t="shared" si="6"/>
        <v>1</v>
      </c>
      <c r="N236" s="23" t="str">
        <v>9 out of 10</v>
      </c>
      <c r="O236" s="23"/>
      <c r="P236" s="42" t="str">
        <v>9</v>
      </c>
      <c r="Q236" s="42" t="str">
        <v>9</v>
      </c>
      <c r="R236" s="42" t="str">
        <v>9</v>
      </c>
      <c r="S236" s="10" t="str">
        <f t="shared" si="7"/>
        <v>No Change</v>
      </c>
    </row>
    <row r="237" spans="1:19" ht="120" hidden="1">
      <c r="A237" s="8" t="s">
        <v>2862</v>
      </c>
      <c r="B237" s="9" t="s">
        <v>13555</v>
      </c>
      <c r="C237" s="37" t="s">
        <v>7495</v>
      </c>
      <c r="D237" s="24"/>
      <c r="E237" s="24"/>
      <c r="F237" s="24" t="str">
        <v>K908</v>
      </c>
      <c r="G237" s="24" t="str">
        <v>10 out of 10</v>
      </c>
      <c r="H237" s="24" t="str">
        <v>https://nycdoe.sharepoint.com/:w:/s/BAP/ET_UWmsjkJBBnWx3UEjXG50Bdi-GUqXXk1oqWNxrIrgGyQ</v>
      </c>
      <c r="I237" s="23">
        <v>222</v>
      </c>
      <c r="J237" s="24" t="str">
        <v>-</v>
      </c>
      <c r="K237" s="24">
        <v>700</v>
      </c>
      <c r="L237" s="24" t="str">
        <v>10 out of 10</v>
      </c>
      <c r="M237" s="23" t="b">
        <f t="shared" si="6"/>
        <v>1</v>
      </c>
      <c r="N237" s="23" t="str">
        <v>10 out of 10</v>
      </c>
      <c r="O237" s="23"/>
      <c r="P237" s="42" t="str">
        <v>10</v>
      </c>
      <c r="Q237" s="42" t="str">
        <v>10</v>
      </c>
      <c r="R237" s="42" t="str">
        <v>10</v>
      </c>
      <c r="S237" s="10" t="str">
        <f t="shared" si="7"/>
        <v>No Change</v>
      </c>
    </row>
    <row r="238" spans="1:19" ht="120" hidden="1">
      <c r="A238" s="8" t="s">
        <v>3022</v>
      </c>
      <c r="B238" s="9" t="s">
        <v>13553</v>
      </c>
      <c r="C238" s="37" t="s">
        <v>7731</v>
      </c>
      <c r="D238" s="24"/>
      <c r="E238" s="24"/>
      <c r="F238" s="24" t="str">
        <v>K909</v>
      </c>
      <c r="G238" s="24" t="str">
        <v>9 out of 10</v>
      </c>
      <c r="H238" s="24" t="str">
        <v>https://nycdoe.sharepoint.com/:w:/s/BAP/ERVfQLolTZxMoh5e1kP7BeYBxNYSqeqQUVqzf98nAU5Zaw</v>
      </c>
      <c r="I238" s="23">
        <v>223</v>
      </c>
      <c r="J238" s="24" t="str">
        <v>-</v>
      </c>
      <c r="K238" s="24">
        <v>701</v>
      </c>
      <c r="L238" s="24" t="str">
        <v>9 out of 10</v>
      </c>
      <c r="M238" s="23" t="b">
        <f t="shared" si="6"/>
        <v>1</v>
      </c>
      <c r="N238" s="23" t="str">
        <v>9 out of 10</v>
      </c>
      <c r="O238" s="23"/>
      <c r="P238" s="42" t="str">
        <v>9</v>
      </c>
      <c r="Q238" s="42" t="str">
        <v>9</v>
      </c>
      <c r="R238" s="42" t="str">
        <v>9</v>
      </c>
      <c r="S238" s="10" t="str">
        <f t="shared" si="7"/>
        <v>No Change</v>
      </c>
    </row>
    <row r="239" spans="1:19" ht="120" hidden="1">
      <c r="A239" s="8" t="s">
        <v>2694</v>
      </c>
      <c r="B239" s="9" t="s">
        <v>13558</v>
      </c>
      <c r="C239" s="37" t="s">
        <v>7361</v>
      </c>
      <c r="D239" s="24"/>
      <c r="E239" s="24"/>
      <c r="F239" s="24" t="str">
        <v>K913</v>
      </c>
      <c r="G239" s="24" t="str">
        <v>8 out of 10</v>
      </c>
      <c r="H239" s="24" t="str">
        <v>https://nycdoe.sharepoint.com/:w:/s/BAP/ERHal_VEr7hKhrNO_v67SYABO5FzWanngfgcnz_2AVVlkw</v>
      </c>
      <c r="I239" s="23">
        <v>224</v>
      </c>
      <c r="J239" s="24" t="str">
        <v>-</v>
      </c>
      <c r="K239" s="24">
        <v>703</v>
      </c>
      <c r="L239" s="24" t="str">
        <v>8 out of 10</v>
      </c>
      <c r="M239" s="23" t="b">
        <f t="shared" si="6"/>
        <v>1</v>
      </c>
      <c r="N239" s="23" t="str">
        <v>8 out of 10</v>
      </c>
      <c r="O239" s="23"/>
      <c r="P239" s="42" t="str">
        <v>8</v>
      </c>
      <c r="Q239" s="42" t="str">
        <v>8</v>
      </c>
      <c r="R239" s="42" t="str">
        <v>8</v>
      </c>
      <c r="S239" s="10" t="str">
        <f t="shared" si="7"/>
        <v>No Change</v>
      </c>
    </row>
    <row r="240" spans="1:19" ht="120" hidden="1">
      <c r="A240" s="8" t="s">
        <v>2927</v>
      </c>
      <c r="B240" s="9" t="s">
        <v>13557</v>
      </c>
      <c r="C240" s="37" t="s">
        <v>7606</v>
      </c>
      <c r="D240" s="24"/>
      <c r="E240" s="24"/>
      <c r="F240" s="24" t="str">
        <v>K914</v>
      </c>
      <c r="G240" s="24" t="str">
        <v>10 out of 10</v>
      </c>
      <c r="H240" s="24" t="str">
        <v>https://nycdoe.sharepoint.com/:w:/s/BAP/EdXZ-4ivOYBIuvXGy5kpsCYBekzIsIID88sBNaCKL86-vg</v>
      </c>
      <c r="I240" s="23">
        <v>225</v>
      </c>
      <c r="J240" s="24" t="str">
        <v>-</v>
      </c>
      <c r="K240" s="24">
        <v>704</v>
      </c>
      <c r="L240" s="24" t="str">
        <v>10 out of 10</v>
      </c>
      <c r="M240" s="23" t="b">
        <f t="shared" si="6"/>
        <v>1</v>
      </c>
      <c r="N240" s="23" t="str">
        <v>10 out of 10</v>
      </c>
      <c r="O240" s="23"/>
      <c r="P240" s="42" t="str">
        <v>10</v>
      </c>
      <c r="Q240" s="42" t="str">
        <v>10</v>
      </c>
      <c r="R240" s="42" t="str">
        <v>10</v>
      </c>
      <c r="S240" s="10" t="str">
        <f t="shared" si="7"/>
        <v>No Change</v>
      </c>
    </row>
    <row r="241" spans="1:19" ht="120" hidden="1">
      <c r="A241" s="8" t="s">
        <v>2234</v>
      </c>
      <c r="B241" s="9" t="s">
        <v>13560</v>
      </c>
      <c r="C241" s="37" t="s">
        <v>6911</v>
      </c>
      <c r="D241" s="24"/>
      <c r="E241" s="24"/>
      <c r="F241" s="24" t="str">
        <v>K917</v>
      </c>
      <c r="G241" s="24" t="str">
        <v>9 out of 10</v>
      </c>
      <c r="H241" s="24" t="str">
        <v>https://nycdoe.sharepoint.com/:w:/s/BAP/EaXJLuZuABdBjiB-ToE9SlsB6HuaBVqgwHht3O5czf5hPA</v>
      </c>
      <c r="I241" s="23">
        <v>226</v>
      </c>
      <c r="J241" s="24" t="str">
        <v>-</v>
      </c>
      <c r="K241" s="24">
        <v>705</v>
      </c>
      <c r="L241" s="24" t="str">
        <v>9 out of 10</v>
      </c>
      <c r="M241" s="23" t="b">
        <f t="shared" si="6"/>
        <v>1</v>
      </c>
      <c r="N241" s="23" t="str">
        <v>9 out of 10</v>
      </c>
      <c r="O241" s="23"/>
      <c r="P241" s="42" t="str">
        <v>9</v>
      </c>
      <c r="Q241" s="42" t="str">
        <v>9</v>
      </c>
      <c r="R241" s="42" t="str">
        <v>9</v>
      </c>
      <c r="S241" s="10" t="str">
        <f t="shared" si="7"/>
        <v>No Change</v>
      </c>
    </row>
    <row r="242" spans="1:19" ht="120" hidden="1">
      <c r="A242" s="8" t="s">
        <v>10931</v>
      </c>
      <c r="B242" s="11" t="s">
        <v>13561</v>
      </c>
      <c r="C242" s="37" t="s">
        <v>13594</v>
      </c>
      <c r="D242" s="24"/>
      <c r="E242" s="24"/>
      <c r="F242" s="24" t="str">
        <v>K939</v>
      </c>
      <c r="G242" s="24" t="str">
        <v>9 out of 10</v>
      </c>
      <c r="H242" s="24" t="str">
        <v>https://nycdoe.sharepoint.com/:w:/s/BAP/Ef_lBJdIS0hAsO9OKWIY9twBe5pN-N_DD9735RgX8oo8hA</v>
      </c>
      <c r="I242" s="23">
        <v>227</v>
      </c>
      <c r="J242" s="24" t="str">
        <v>-</v>
      </c>
      <c r="K242" s="24" t="str">
        <v>Possible Change</v>
      </c>
      <c r="L242" s="24" t="str">
        <v>- out of 10</v>
      </c>
      <c r="M242" s="23" t="b">
        <f t="shared" si="6"/>
        <v>0</v>
      </c>
      <c r="N242" s="23" t="str">
        <v>9 out of 10</v>
      </c>
      <c r="O242" s="23"/>
      <c r="P242" s="42" t="str">
        <v>9</v>
      </c>
      <c r="Q242" s="42" t="str">
        <v>Not Found</v>
      </c>
      <c r="R242" s="42" t="str">
        <v>9</v>
      </c>
      <c r="S242" s="10" t="str">
        <f t="shared" si="7"/>
        <v>Change</v>
      </c>
    </row>
    <row r="243" spans="1:19" ht="120" hidden="1">
      <c r="A243" s="8" t="s">
        <v>2241</v>
      </c>
      <c r="B243" s="9" t="s">
        <v>13560</v>
      </c>
      <c r="C243" s="37" t="s">
        <v>6916</v>
      </c>
      <c r="D243" s="24"/>
      <c r="E243" s="24"/>
      <c r="F243" s="24" t="str">
        <v>K940</v>
      </c>
      <c r="G243" s="24" t="str">
        <v>0 out of 10</v>
      </c>
      <c r="H243" s="24" t="str">
        <v>https://nycdoe.sharepoint.com/:w:/s/BAP/Ec5nRQud0aVAs3n-RJab8RIBiSh9bZ6PFC4wunT90vaPcg</v>
      </c>
      <c r="I243" s="23">
        <v>228</v>
      </c>
      <c r="J243" s="24" t="str">
        <v>-</v>
      </c>
      <c r="K243" s="24">
        <v>707</v>
      </c>
      <c r="L243" s="24" t="str">
        <v>N/A out of 10</v>
      </c>
      <c r="M243" s="23" t="b">
        <f t="shared" si="6"/>
        <v>0</v>
      </c>
      <c r="N243" s="23" t="str">
        <v>0 out of 10</v>
      </c>
      <c r="O243" s="23"/>
      <c r="P243" s="42" t="str">
        <v>0</v>
      </c>
      <c r="Q243" s="42" t="str">
        <v>N/A</v>
      </c>
      <c r="R243" s="42" t="str">
        <v>0</v>
      </c>
      <c r="S243" s="10" t="str">
        <f t="shared" si="7"/>
        <v>No Change</v>
      </c>
    </row>
    <row r="244" spans="1:19" ht="120" hidden="1">
      <c r="A244" s="8" t="s">
        <v>2245</v>
      </c>
      <c r="B244" s="9" t="s">
        <v>13555</v>
      </c>
      <c r="C244" s="37" t="s">
        <v>6920</v>
      </c>
      <c r="D244" s="24"/>
      <c r="E244" s="24"/>
      <c r="F244" s="24" t="str">
        <v>K971</v>
      </c>
      <c r="G244" s="24" t="str">
        <v>10 out of 10</v>
      </c>
      <c r="H244" s="24" t="str">
        <v>https://nycdoe.sharepoint.com/:w:/s/BAP/EQA8H7WBVwlBlwakENSJyd8Bww40vdX2jueS1WHe-juaBg</v>
      </c>
      <c r="I244" s="23">
        <v>229</v>
      </c>
      <c r="J244" s="24" t="str">
        <v>-</v>
      </c>
      <c r="K244" s="24">
        <v>708</v>
      </c>
      <c r="L244" s="24" t="str">
        <v>10 out of 10</v>
      </c>
      <c r="M244" s="23" t="b">
        <f t="shared" si="6"/>
        <v>1</v>
      </c>
      <c r="N244" s="23" t="str">
        <v>10 out of 10</v>
      </c>
      <c r="O244" s="23"/>
      <c r="P244" s="42" t="str">
        <v>10</v>
      </c>
      <c r="Q244" s="42" t="str">
        <v>10</v>
      </c>
      <c r="R244" s="42" t="str">
        <v>10</v>
      </c>
      <c r="S244" s="10" t="str">
        <f t="shared" si="7"/>
        <v>No Change</v>
      </c>
    </row>
    <row r="245" spans="1:19" ht="120" hidden="1">
      <c r="A245" s="8" t="s">
        <v>2932</v>
      </c>
      <c r="B245" s="9" t="s">
        <v>13560</v>
      </c>
      <c r="C245" s="37" t="s">
        <v>7610</v>
      </c>
      <c r="D245" s="24"/>
      <c r="E245" s="24"/>
      <c r="F245" s="24" t="str">
        <v>K987</v>
      </c>
      <c r="G245" s="24" t="str">
        <v>9 out of 10</v>
      </c>
      <c r="H245" s="24" t="str">
        <v>https://nycdoe.sharepoint.com/:w:/s/BAP/EUl413Cug55DhdLPHBelkmUBpUzcEayg14Mr_ys8fXFUcQ</v>
      </c>
      <c r="I245" s="23">
        <v>230</v>
      </c>
      <c r="J245" s="24" t="str">
        <v>-</v>
      </c>
      <c r="K245" s="24">
        <v>709</v>
      </c>
      <c r="L245" s="24" t="str">
        <v>9 out of 10</v>
      </c>
      <c r="M245" s="23" t="b">
        <f t="shared" si="6"/>
        <v>1</v>
      </c>
      <c r="N245" s="23" t="str">
        <v>9 out of 10</v>
      </c>
      <c r="O245" s="23"/>
      <c r="P245" s="42" t="str">
        <v>9</v>
      </c>
      <c r="Q245" s="42" t="str">
        <v>9</v>
      </c>
      <c r="R245" s="42" t="str">
        <v>9</v>
      </c>
      <c r="S245" s="10" t="str">
        <f t="shared" si="7"/>
        <v>No Change</v>
      </c>
    </row>
    <row r="246" spans="1:19" ht="120" hidden="1">
      <c r="A246" s="8" t="s">
        <v>2319</v>
      </c>
      <c r="B246" s="9" t="s">
        <v>13555</v>
      </c>
      <c r="C246" s="37" t="s">
        <v>7011</v>
      </c>
      <c r="D246" s="24"/>
      <c r="E246" s="24"/>
      <c r="F246" s="24" t="str">
        <v>K990</v>
      </c>
      <c r="G246" s="24" t="str">
        <v>10 out of 10</v>
      </c>
      <c r="H246" s="24" t="str">
        <v>https://nycdoe.sharepoint.com/:w:/s/BAP/EVoJtJNVeHZFrKvzTpNv13MBFbD4MZIXEqEEShBNRKax4g</v>
      </c>
      <c r="I246" s="23">
        <v>231</v>
      </c>
      <c r="J246" s="24" t="str">
        <v>-</v>
      </c>
      <c r="K246" s="24">
        <v>711</v>
      </c>
      <c r="L246" s="24" t="str">
        <v>10 out of 10</v>
      </c>
      <c r="M246" s="23" t="b">
        <f t="shared" si="6"/>
        <v>1</v>
      </c>
      <c r="N246" s="23" t="str">
        <v>10 out of 10</v>
      </c>
      <c r="O246" s="23"/>
      <c r="P246" s="42" t="str">
        <v>10</v>
      </c>
      <c r="Q246" s="42" t="str">
        <v>10</v>
      </c>
      <c r="R246" s="42" t="str">
        <v>10</v>
      </c>
      <c r="S246" s="10" t="str">
        <f t="shared" si="7"/>
        <v>No Change</v>
      </c>
    </row>
    <row r="247" spans="1:19" ht="120" hidden="1">
      <c r="A247" s="8" t="s">
        <v>2253</v>
      </c>
      <c r="B247" s="9" t="s">
        <v>13558</v>
      </c>
      <c r="C247" s="37" t="s">
        <v>6926</v>
      </c>
      <c r="D247" s="24"/>
      <c r="E247" s="24"/>
      <c r="F247" s="24" t="str">
        <v>K994</v>
      </c>
      <c r="G247" s="24" t="str">
        <v>10 out of 10</v>
      </c>
      <c r="H247" s="24" t="str">
        <v>https://nycdoe.sharepoint.com/:w:/s/BAP/Eb4TP64C6NdFkaGKumQHgvIBMJFPGz4_Fghau0BMvGl3EA</v>
      </c>
      <c r="I247" s="23">
        <v>232</v>
      </c>
      <c r="J247" s="24" t="str">
        <v>-</v>
      </c>
      <c r="K247" s="24">
        <v>712</v>
      </c>
      <c r="L247" s="24" t="str">
        <v>10 out of 10</v>
      </c>
      <c r="M247" s="23" t="b">
        <f t="shared" si="6"/>
        <v>1</v>
      </c>
      <c r="N247" s="23" t="str">
        <v>10 out of 10</v>
      </c>
      <c r="O247" s="23"/>
      <c r="P247" s="42" t="str">
        <v>10</v>
      </c>
      <c r="Q247" s="42" t="str">
        <v>10</v>
      </c>
      <c r="R247" s="42" t="str">
        <v>10</v>
      </c>
      <c r="S247" s="10" t="str">
        <f t="shared" si="7"/>
        <v>No Change</v>
      </c>
    </row>
    <row r="248" spans="1:19" ht="120" hidden="1">
      <c r="A248" s="8" t="s">
        <v>2939</v>
      </c>
      <c r="B248" s="9" t="s">
        <v>13559</v>
      </c>
      <c r="C248" s="37" t="s">
        <v>7616</v>
      </c>
      <c r="D248" s="24"/>
      <c r="E248" s="24"/>
      <c r="F248" s="24" t="str">
        <v>M002</v>
      </c>
      <c r="G248" s="24" t="str">
        <v>1 out of 10</v>
      </c>
      <c r="H248" s="24" t="str">
        <v>https://nycdoe.sharepoint.com/:w:/s/BAP/EbyfgctZNBxNqiM7Zeb6LBsBSJnhJv7uhjEkxsDDJ7-jyA</v>
      </c>
      <c r="I248" s="23">
        <v>233</v>
      </c>
      <c r="J248" s="24" t="str">
        <v>-</v>
      </c>
      <c r="K248" s="24">
        <v>716</v>
      </c>
      <c r="L248" s="24" t="str">
        <v>1 out of 10</v>
      </c>
      <c r="M248" s="23" t="b">
        <f t="shared" si="6"/>
        <v>1</v>
      </c>
      <c r="N248" s="23" t="str">
        <v>1 out of 10</v>
      </c>
      <c r="O248" s="23"/>
      <c r="P248" s="42" t="str">
        <v>1</v>
      </c>
      <c r="Q248" s="42" t="str">
        <v>1</v>
      </c>
      <c r="R248" s="42" t="str">
        <v>1</v>
      </c>
      <c r="S248" s="10" t="str">
        <f t="shared" si="7"/>
        <v>No Change</v>
      </c>
    </row>
    <row r="249" spans="1:19" ht="120" hidden="1">
      <c r="A249" s="8" t="s">
        <v>2701</v>
      </c>
      <c r="B249" s="9" t="s">
        <v>13565</v>
      </c>
      <c r="C249" s="37" t="s">
        <v>7367</v>
      </c>
      <c r="D249" s="24"/>
      <c r="E249" s="24"/>
      <c r="F249" s="24" t="str">
        <v>M004</v>
      </c>
      <c r="G249" s="24" t="str">
        <v>10 out of 10</v>
      </c>
      <c r="H249" s="24" t="str">
        <v>https://nycdoe.sharepoint.com/:w:/s/BAP/ESyyUez9yXpJixvpPTzaJQ8BKccZcpCGJXHqSXNoQFAFjg</v>
      </c>
      <c r="I249" s="23">
        <v>234</v>
      </c>
      <c r="J249" s="24" t="str">
        <v>-</v>
      </c>
      <c r="K249" s="24">
        <v>718</v>
      </c>
      <c r="L249" s="24" t="str">
        <v>10 out of 10</v>
      </c>
      <c r="M249" s="23" t="b">
        <f t="shared" si="6"/>
        <v>1</v>
      </c>
      <c r="N249" s="23" t="str">
        <v>10 out of 10</v>
      </c>
      <c r="O249" s="23"/>
      <c r="P249" s="42" t="str">
        <v>10</v>
      </c>
      <c r="Q249" s="42" t="str">
        <v>10</v>
      </c>
      <c r="R249" s="42" t="str">
        <v>10</v>
      </c>
      <c r="S249" s="10" t="str">
        <f t="shared" si="7"/>
        <v>No Change</v>
      </c>
    </row>
    <row r="250" spans="1:19" ht="120" hidden="1">
      <c r="A250" s="8" t="s">
        <v>10981</v>
      </c>
      <c r="B250" s="9" t="s">
        <v>13550</v>
      </c>
      <c r="C250" s="37" t="s">
        <v>13595</v>
      </c>
      <c r="D250" s="24"/>
      <c r="E250" s="24"/>
      <c r="F250" s="24" t="str">
        <v>M005</v>
      </c>
      <c r="G250" s="24" t="str">
        <v>10 out of 10</v>
      </c>
      <c r="H250" s="24" t="str">
        <v>https://nycdoe.sharepoint.com/:w:/s/BAP/EWOoXRTyKL9LhbqXdK6LWsEBA3sirICq9oxLv4SrQQF28A</v>
      </c>
      <c r="I250" s="23">
        <v>235</v>
      </c>
      <c r="J250" s="24" t="str">
        <v>-</v>
      </c>
      <c r="K250" s="24">
        <v>719</v>
      </c>
      <c r="L250" s="24" t="str">
        <v>10 out of 10</v>
      </c>
      <c r="M250" s="23" t="b">
        <f t="shared" si="6"/>
        <v>1</v>
      </c>
      <c r="N250" s="23" t="str">
        <v>10 out of 10</v>
      </c>
      <c r="O250" s="23"/>
      <c r="P250" s="42" t="str">
        <v>10</v>
      </c>
      <c r="Q250" s="42" t="str">
        <v>10</v>
      </c>
      <c r="R250" s="42" t="str">
        <v>10</v>
      </c>
      <c r="S250" s="10" t="str">
        <f t="shared" si="7"/>
        <v>No Change</v>
      </c>
    </row>
    <row r="251" spans="1:19" ht="120" hidden="1">
      <c r="A251" s="8" t="s">
        <v>2326</v>
      </c>
      <c r="B251" s="9" t="s">
        <v>13557</v>
      </c>
      <c r="C251" s="37" t="s">
        <v>7016</v>
      </c>
      <c r="D251" s="24"/>
      <c r="E251" s="24"/>
      <c r="F251" s="24" t="str">
        <v>M007</v>
      </c>
      <c r="G251" s="24" t="str">
        <v>9 out of 10</v>
      </c>
      <c r="H251" s="24" t="str">
        <v>https://nycdoe.sharepoint.com/:w:/s/BAP/EebgCp1LD8lEkyJQdco30ckBlxzVqOLQSSWV2MKoIlrZOA</v>
      </c>
      <c r="I251" s="23">
        <v>236</v>
      </c>
      <c r="J251" s="24" t="str">
        <v>-</v>
      </c>
      <c r="K251" s="24">
        <v>721</v>
      </c>
      <c r="L251" s="24" t="str">
        <v>9 out of 10</v>
      </c>
      <c r="M251" s="23" t="b">
        <f t="shared" si="6"/>
        <v>1</v>
      </c>
      <c r="N251" s="23" t="str">
        <v>9 out of 10</v>
      </c>
      <c r="O251" s="23"/>
      <c r="P251" s="42" t="str">
        <v>9</v>
      </c>
      <c r="Q251" s="42" t="str">
        <v>9</v>
      </c>
      <c r="R251" s="42" t="str">
        <v>9</v>
      </c>
      <c r="S251" s="10" t="str">
        <f t="shared" si="7"/>
        <v>No Change</v>
      </c>
    </row>
    <row r="252" spans="1:19" ht="120" hidden="1">
      <c r="A252" s="8" t="s">
        <v>3026</v>
      </c>
      <c r="B252" s="9" t="s">
        <v>13553</v>
      </c>
      <c r="C252" s="37" t="s">
        <v>7740</v>
      </c>
      <c r="D252" s="24"/>
      <c r="E252" s="24"/>
      <c r="F252" s="24" t="str">
        <v>M008</v>
      </c>
      <c r="G252" s="24" t="str">
        <v>10 out of 10</v>
      </c>
      <c r="H252" s="24" t="str">
        <v>https://nycdoe.sharepoint.com/:w:/s/BAP/EVhrjeakmZ1AoHa_mMKM6vABBX3HSgWNGP6MJG_LbQQcjQ</v>
      </c>
      <c r="I252" s="23">
        <v>237</v>
      </c>
      <c r="J252" s="24" t="str">
        <v>-</v>
      </c>
      <c r="K252" s="24">
        <v>722</v>
      </c>
      <c r="L252" s="24" t="str">
        <v>10 out of 10</v>
      </c>
      <c r="M252" s="23" t="b">
        <f t="shared" si="6"/>
        <v>1</v>
      </c>
      <c r="N252" s="23" t="str">
        <v>10 out of 10</v>
      </c>
      <c r="O252" s="23"/>
      <c r="P252" s="42" t="str">
        <v>10</v>
      </c>
      <c r="Q252" s="42" t="str">
        <v>10</v>
      </c>
      <c r="R252" s="42" t="str">
        <v>10</v>
      </c>
      <c r="S252" s="10" t="str">
        <f t="shared" si="7"/>
        <v>No Change</v>
      </c>
    </row>
    <row r="253" spans="1:19" ht="120" hidden="1">
      <c r="A253" s="8" t="s">
        <v>2866</v>
      </c>
      <c r="B253" s="9" t="s">
        <v>13558</v>
      </c>
      <c r="C253" s="37" t="s">
        <v>7511</v>
      </c>
      <c r="D253" s="24"/>
      <c r="E253" s="24"/>
      <c r="F253" s="24" t="str">
        <v>M009</v>
      </c>
      <c r="G253" s="24" t="str">
        <v>1 out of 10</v>
      </c>
      <c r="H253" s="24" t="str">
        <v>https://nycdoe.sharepoint.com/:w:/s/BAP/ES7rUr8uPoZIquftgzKmXFsBGg5XF_4vcC_5KiG6Hp5u8Q</v>
      </c>
      <c r="I253" s="23">
        <v>238</v>
      </c>
      <c r="J253" s="24" t="str">
        <v>-</v>
      </c>
      <c r="K253" s="24">
        <v>723</v>
      </c>
      <c r="L253" s="24" t="str">
        <v>1 out of 10</v>
      </c>
      <c r="M253" s="23" t="b">
        <f t="shared" si="6"/>
        <v>1</v>
      </c>
      <c r="N253" s="23" t="str">
        <v>1 out of 10</v>
      </c>
      <c r="O253" s="23"/>
      <c r="P253" s="42" t="str">
        <v>1</v>
      </c>
      <c r="Q253" s="42" t="str">
        <v>1</v>
      </c>
      <c r="R253" s="42" t="str">
        <v>1</v>
      </c>
      <c r="S253" s="10" t="str">
        <f t="shared" si="7"/>
        <v>No Change</v>
      </c>
    </row>
    <row r="254" spans="1:19" ht="120" hidden="1">
      <c r="A254" s="8" t="s">
        <v>7372</v>
      </c>
      <c r="B254" s="11" t="s">
        <v>13561</v>
      </c>
      <c r="C254" s="37" t="s">
        <v>7376</v>
      </c>
      <c r="D254" s="24"/>
      <c r="E254" s="24"/>
      <c r="F254" s="24" t="str">
        <v>M010</v>
      </c>
      <c r="G254" s="24" t="str">
        <v>8 out of 10</v>
      </c>
      <c r="H254" s="24" t="str">
        <v>https://nycdoe.sharepoint.com/:w:/s/BAP/Ec9UGhliSY9Pokd8DMlouawBcu4naJACCp6yWc6e6V3UnA</v>
      </c>
      <c r="I254" s="23">
        <v>239</v>
      </c>
      <c r="J254" s="24" t="str">
        <v>-</v>
      </c>
      <c r="K254" s="24">
        <v>725</v>
      </c>
      <c r="L254" s="24" t="str">
        <v>8 out of 10</v>
      </c>
      <c r="M254" s="23" t="b">
        <f t="shared" si="6"/>
        <v>1</v>
      </c>
      <c r="N254" s="23" t="str">
        <v>8 out of 10</v>
      </c>
      <c r="O254" s="23"/>
      <c r="P254" s="42" t="str">
        <v>8</v>
      </c>
      <c r="Q254" s="42" t="str">
        <v>8</v>
      </c>
      <c r="R254" s="42" t="str">
        <v>8</v>
      </c>
      <c r="S254" s="10" t="str">
        <f t="shared" si="7"/>
        <v>No Change</v>
      </c>
    </row>
    <row r="255" spans="1:19" ht="120" hidden="1">
      <c r="A255" s="8" t="s">
        <v>2257</v>
      </c>
      <c r="B255" s="9" t="s">
        <v>13560</v>
      </c>
      <c r="C255" s="37" t="s">
        <v>6930</v>
      </c>
      <c r="D255" s="24"/>
      <c r="E255" s="24"/>
      <c r="F255" s="24" t="str">
        <v>M015</v>
      </c>
      <c r="G255" s="24" t="str">
        <v>4 out of 10</v>
      </c>
      <c r="H255" s="24" t="str">
        <v>https://nycdoe.sharepoint.com/:w:/s/BAP/EWPyV8OOED1BixiuE3P7MKsBfUyt9kxioXQ6sx8fBJTD_A</v>
      </c>
      <c r="I255" s="23">
        <v>240</v>
      </c>
      <c r="J255" s="24" t="str">
        <v>-</v>
      </c>
      <c r="K255" s="24">
        <v>731</v>
      </c>
      <c r="L255" s="24" t="str">
        <v>4 out of 10</v>
      </c>
      <c r="M255" s="23" t="b">
        <f t="shared" si="6"/>
        <v>1</v>
      </c>
      <c r="N255" s="23" t="str">
        <v>4 out of 10</v>
      </c>
      <c r="O255" s="23"/>
      <c r="P255" s="42" t="str">
        <v>4</v>
      </c>
      <c r="Q255" s="42" t="str">
        <v>4</v>
      </c>
      <c r="R255" s="42" t="str">
        <v>4</v>
      </c>
      <c r="S255" s="10" t="str">
        <f t="shared" si="7"/>
        <v>No Change</v>
      </c>
    </row>
    <row r="256" spans="1:19" ht="105" hidden="1">
      <c r="A256" s="8" t="s">
        <v>11018</v>
      </c>
      <c r="B256" s="9" t="s">
        <v>13550</v>
      </c>
      <c r="C256" s="37" t="s">
        <v>13596</v>
      </c>
      <c r="D256" s="24"/>
      <c r="E256" s="24"/>
      <c r="F256" s="24" t="str">
        <v>M019</v>
      </c>
      <c r="G256" s="24" t="str">
        <v>0 out of 10</v>
      </c>
      <c r="H256" s="24" t="str">
        <v>https://nycdoe.sharepoint.com/:w:/s/BAP/EaG27WmkY9NFkw_hUx7l_6UBktBC1g-QFhKRFi1vkBjxLQ</v>
      </c>
      <c r="I256" s="23">
        <v>241</v>
      </c>
      <c r="J256" s="24" t="str">
        <v>-</v>
      </c>
      <c r="K256" s="24">
        <v>735</v>
      </c>
      <c r="L256" s="24" t="str">
        <v>N/A out of 10</v>
      </c>
      <c r="M256" s="23" t="b">
        <f t="shared" si="6"/>
        <v>0</v>
      </c>
      <c r="N256" s="23" t="str">
        <v>0 out of 10</v>
      </c>
      <c r="O256" s="23"/>
      <c r="P256" s="42" t="str">
        <v>0</v>
      </c>
      <c r="Q256" s="42" t="str">
        <v>N/A</v>
      </c>
      <c r="R256" s="42" t="str">
        <v>0</v>
      </c>
      <c r="S256" s="10" t="str">
        <f t="shared" si="7"/>
        <v>No Change</v>
      </c>
    </row>
    <row r="257" spans="1:19" ht="120" hidden="1">
      <c r="A257" s="8" t="s">
        <v>2268</v>
      </c>
      <c r="B257" s="9" t="s">
        <v>13558</v>
      </c>
      <c r="C257" s="37" t="s">
        <v>6938</v>
      </c>
      <c r="D257" s="24"/>
      <c r="E257" s="24"/>
      <c r="F257" s="24" t="str">
        <v>M020</v>
      </c>
      <c r="G257" s="24" t="str">
        <v>4 out of 10</v>
      </c>
      <c r="H257" s="24" t="str">
        <v>https://nycdoe.sharepoint.com/:w:/s/BAP/Edy95kaeXY5BkM6H4YlIfPYBrUyBZwDLrJ-9-Et8LoUTbA</v>
      </c>
      <c r="I257" s="23">
        <v>242</v>
      </c>
      <c r="J257" s="24" t="str">
        <v>-</v>
      </c>
      <c r="K257" s="24">
        <v>736</v>
      </c>
      <c r="L257" s="24" t="str">
        <v>4 out of 10</v>
      </c>
      <c r="M257" s="23" t="b">
        <f t="shared" si="6"/>
        <v>1</v>
      </c>
      <c r="N257" s="23" t="str">
        <v>4 out of 10</v>
      </c>
      <c r="O257" s="23"/>
      <c r="P257" s="42" t="str">
        <v>4</v>
      </c>
      <c r="Q257" s="42" t="str">
        <v>4</v>
      </c>
      <c r="R257" s="42" t="str">
        <v>4</v>
      </c>
      <c r="S257" s="10" t="str">
        <f t="shared" si="7"/>
        <v>No Change</v>
      </c>
    </row>
    <row r="258" spans="1:19" ht="120" hidden="1">
      <c r="A258" s="8" t="s">
        <v>11026</v>
      </c>
      <c r="B258" s="9" t="s">
        <v>13561</v>
      </c>
      <c r="C258" s="37" t="s">
        <v>13597</v>
      </c>
      <c r="D258" s="24"/>
      <c r="E258" s="24"/>
      <c r="F258" s="24" t="str">
        <v>M025</v>
      </c>
      <c r="G258" s="24" t="str">
        <v>9 out of 10</v>
      </c>
      <c r="H258" s="24" t="str">
        <v>https://nycdoe.sharepoint.com/:w:/s/BAP/EfU3EO2__ZdEtWvkxH0LJXgBLVC4scTcbXZ2ip2DC7RxFw</v>
      </c>
      <c r="I258" s="23">
        <v>243</v>
      </c>
      <c r="J258" s="24" t="str">
        <v>-</v>
      </c>
      <c r="K258" s="24">
        <v>738</v>
      </c>
      <c r="L258" s="24" t="str">
        <v>9 out of 10</v>
      </c>
      <c r="M258" s="23" t="b">
        <f t="shared" si="6"/>
        <v>1</v>
      </c>
      <c r="N258" s="23" t="str">
        <v>9 out of 10</v>
      </c>
      <c r="O258" s="23"/>
      <c r="P258" s="42" t="str">
        <v>9</v>
      </c>
      <c r="Q258" s="42" t="str">
        <v>9</v>
      </c>
      <c r="R258" s="42" t="str">
        <v>9</v>
      </c>
      <c r="S258" s="10" t="str">
        <f t="shared" si="7"/>
        <v>No Change</v>
      </c>
    </row>
    <row r="259" spans="1:19" ht="120" hidden="1">
      <c r="A259" s="8" t="s">
        <v>2336</v>
      </c>
      <c r="B259" s="9" t="s">
        <v>13559</v>
      </c>
      <c r="C259" s="37" t="s">
        <v>7024</v>
      </c>
      <c r="D259" s="24"/>
      <c r="E259" s="24"/>
      <c r="F259" s="24" t="str">
        <v>M030</v>
      </c>
      <c r="G259" s="24" t="str">
        <v>4 out of 10</v>
      </c>
      <c r="H259" s="24" t="str">
        <v>https://nycdoe.sharepoint.com/:w:/s/BAP/EWUSh4Ix1QpOhFpNvga5DosBjZA8ptHr1Q6DkoSvVnUPFw</v>
      </c>
      <c r="I259" s="23">
        <v>244</v>
      </c>
      <c r="J259" s="24" t="str">
        <v>-</v>
      </c>
      <c r="K259" s="24">
        <v>742</v>
      </c>
      <c r="L259" s="24" t="str">
        <v>4 out of 10</v>
      </c>
      <c r="M259" s="23" t="b">
        <f t="shared" ref="M259:M322" si="8">G259=L259</f>
        <v>1</v>
      </c>
      <c r="N259" s="23" t="str">
        <v>4 out of 10</v>
      </c>
      <c r="O259" s="23"/>
      <c r="P259" s="42" t="str">
        <v>4</v>
      </c>
      <c r="Q259" s="42" t="str">
        <v>4</v>
      </c>
      <c r="R259" s="42" t="str">
        <v>4</v>
      </c>
      <c r="S259" s="10" t="str">
        <f t="shared" ref="S259:S322" si="9">IFERROR(IF(OR(R259="0+",R259=0,AND(Q259="N/A")),"No Change",IF(R259&lt;&gt;Q259,"Change",IF(R259=Q259,"No Change",))),"Check BAP")</f>
        <v>No Change</v>
      </c>
    </row>
    <row r="260" spans="1:19" ht="120" hidden="1">
      <c r="A260" s="8" t="s">
        <v>2341</v>
      </c>
      <c r="B260" s="9" t="s">
        <v>13555</v>
      </c>
      <c r="C260" s="37" t="s">
        <v>7028</v>
      </c>
      <c r="D260" s="24"/>
      <c r="E260" s="24"/>
      <c r="F260" s="24" t="str">
        <v>M033</v>
      </c>
      <c r="G260" s="24" t="str">
        <v>9 out of 10</v>
      </c>
      <c r="H260" s="24" t="str">
        <v>https://nycdoe.sharepoint.com/:w:/s/BAP/EcAivcOalORBnJBtEoxLJAEBM_UUe1S6DaAm8IRA-5FNVg</v>
      </c>
      <c r="I260" s="23">
        <v>245</v>
      </c>
      <c r="J260" s="24" t="str">
        <v>-</v>
      </c>
      <c r="K260" s="24">
        <v>745</v>
      </c>
      <c r="L260" s="24" t="str">
        <v>9 out of 10</v>
      </c>
      <c r="M260" s="23" t="b">
        <f t="shared" si="8"/>
        <v>1</v>
      </c>
      <c r="N260" s="23" t="str">
        <v>9 out of 10</v>
      </c>
      <c r="O260" s="23"/>
      <c r="P260" s="42" t="str">
        <v>9</v>
      </c>
      <c r="Q260" s="42" t="str">
        <v>9</v>
      </c>
      <c r="R260" s="42" t="str">
        <v>9</v>
      </c>
      <c r="S260" s="10" t="str">
        <f t="shared" si="9"/>
        <v>No Change</v>
      </c>
    </row>
    <row r="261" spans="1:19" ht="120" hidden="1">
      <c r="A261" s="8" t="s">
        <v>2712</v>
      </c>
      <c r="B261" s="9" t="s">
        <v>13560</v>
      </c>
      <c r="C261" s="37" t="s">
        <v>7380</v>
      </c>
      <c r="D261" s="24"/>
      <c r="E261" s="24"/>
      <c r="F261" s="24" t="str">
        <v>M034</v>
      </c>
      <c r="G261" s="24" t="str">
        <v>1 out of 10</v>
      </c>
      <c r="H261" s="24" t="str">
        <v>https://nycdoe.sharepoint.com/:w:/s/BAP/Ea04UwfsWU9EvnVUqZ-q5AIBQank-keUNh8YHkXM8_bOaA</v>
      </c>
      <c r="I261" s="23">
        <v>246</v>
      </c>
      <c r="J261" s="24" t="str">
        <v>-</v>
      </c>
      <c r="K261" s="24">
        <v>747</v>
      </c>
      <c r="L261" s="24" t="str">
        <v>1 out of 10</v>
      </c>
      <c r="M261" s="23" t="b">
        <f t="shared" si="8"/>
        <v>1</v>
      </c>
      <c r="N261" s="23" t="str">
        <v>1 out of 10</v>
      </c>
      <c r="O261" s="23"/>
      <c r="P261" s="42" t="str">
        <v>1</v>
      </c>
      <c r="Q261" s="42" t="str">
        <v>1</v>
      </c>
      <c r="R261" s="42" t="str">
        <v>1</v>
      </c>
      <c r="S261" s="10" t="str">
        <f t="shared" si="9"/>
        <v>No Change</v>
      </c>
    </row>
    <row r="262" spans="1:19" ht="120" hidden="1">
      <c r="A262" s="8" t="s">
        <v>11053</v>
      </c>
      <c r="B262" s="9" t="s">
        <v>13561</v>
      </c>
      <c r="C262" s="37" t="s">
        <v>13598</v>
      </c>
      <c r="D262" s="24"/>
      <c r="E262" s="24"/>
      <c r="F262" s="24" t="str">
        <v>M036</v>
      </c>
      <c r="G262" s="24" t="str">
        <v>3 out of 10</v>
      </c>
      <c r="H262" s="24" t="str">
        <v>https://nycdoe.sharepoint.com/:w:/s/BAP/Eeslhnw0V-5Nu56yxzLvZHkBpz0cHV2NYFiyjwohOsvOiw</v>
      </c>
      <c r="I262" s="23">
        <v>247</v>
      </c>
      <c r="J262" s="24" t="str">
        <v>-</v>
      </c>
      <c r="K262" s="24">
        <v>748</v>
      </c>
      <c r="L262" s="24" t="str">
        <v>3 out of 10</v>
      </c>
      <c r="M262" s="23" t="b">
        <f t="shared" si="8"/>
        <v>1</v>
      </c>
      <c r="N262" s="23" t="str">
        <v>3 out of 10</v>
      </c>
      <c r="O262" s="23"/>
      <c r="P262" s="42" t="str">
        <v>3</v>
      </c>
      <c r="Q262" s="42" t="str">
        <v>3</v>
      </c>
      <c r="R262" s="42" t="str">
        <v>3</v>
      </c>
      <c r="S262" s="10" t="str">
        <f t="shared" si="9"/>
        <v>No Change</v>
      </c>
    </row>
    <row r="263" spans="1:19" ht="120" hidden="1">
      <c r="A263" s="8" t="s">
        <v>2943</v>
      </c>
      <c r="B263" s="9" t="s">
        <v>13557</v>
      </c>
      <c r="C263" s="37" t="s">
        <v>7632</v>
      </c>
      <c r="D263" s="24"/>
      <c r="E263" s="24"/>
      <c r="F263" s="24" t="str">
        <v>M040</v>
      </c>
      <c r="G263" s="24" t="str">
        <v>0 out of 10</v>
      </c>
      <c r="H263" s="24" t="str">
        <v>https://nycdoe.sharepoint.com/:w:/s/BAP/EV1t6jYhcwJEg6UnnZ414JIBiTPbVON79tm7kEiQkfayuQ</v>
      </c>
      <c r="I263" s="23" t="str">
        <v>Was New</v>
      </c>
      <c r="J263" s="24" t="str">
        <v>0 out of 10</v>
      </c>
      <c r="K263" s="24">
        <v>749</v>
      </c>
      <c r="L263" s="24" t="str">
        <v>N/A out of 10</v>
      </c>
      <c r="M263" s="23" t="b">
        <f t="shared" si="8"/>
        <v>0</v>
      </c>
      <c r="N263" s="23" t="str">
        <v>0 out of 10</v>
      </c>
      <c r="O263" s="23"/>
      <c r="P263" s="42" t="str">
        <v>0</v>
      </c>
      <c r="Q263" s="42" t="str">
        <v>N/A</v>
      </c>
      <c r="R263" s="42" t="str">
        <v>0</v>
      </c>
      <c r="S263" s="10" t="str">
        <f t="shared" si="9"/>
        <v>No Change</v>
      </c>
    </row>
    <row r="264" spans="1:19" ht="120" hidden="1">
      <c r="A264" s="8" t="s">
        <v>2877</v>
      </c>
      <c r="B264" s="9" t="s">
        <v>13555</v>
      </c>
      <c r="C264" s="37" t="s">
        <v>7524</v>
      </c>
      <c r="D264" s="24"/>
      <c r="E264" s="24"/>
      <c r="F264" s="24" t="str">
        <v>M041</v>
      </c>
      <c r="G264" s="24" t="str">
        <v>0 out of 10</v>
      </c>
      <c r="H264" s="24" t="str">
        <v>https://nycdoe.sharepoint.com/:w:/s/BAP/EXZ-helRO-NLgacrzZpHFs0B5ZctiQYPTDKEmbYKVaSmFw</v>
      </c>
      <c r="I264" s="23" t="str">
        <v>Was New</v>
      </c>
      <c r="J264" s="24" t="str">
        <v>0 out of 10</v>
      </c>
      <c r="K264" s="24">
        <v>751</v>
      </c>
      <c r="L264" s="24" t="str">
        <v>N/A out of 10</v>
      </c>
      <c r="M264" s="23" t="b">
        <f t="shared" si="8"/>
        <v>0</v>
      </c>
      <c r="N264" s="23" t="str">
        <v>0 out of 10</v>
      </c>
      <c r="O264" s="23"/>
      <c r="P264" s="42" t="str">
        <v>0</v>
      </c>
      <c r="Q264" s="42" t="str">
        <v>N/A</v>
      </c>
      <c r="R264" s="42" t="str">
        <v>0</v>
      </c>
      <c r="S264" s="10" t="str">
        <f t="shared" si="9"/>
        <v>No Change</v>
      </c>
    </row>
    <row r="265" spans="1:19" ht="120" hidden="1">
      <c r="A265" s="8" t="s">
        <v>2719</v>
      </c>
      <c r="B265" s="11" t="s">
        <v>13560</v>
      </c>
      <c r="C265" s="37" t="s">
        <v>7384</v>
      </c>
      <c r="D265" s="24"/>
      <c r="E265" s="24"/>
      <c r="F265" s="24" t="str">
        <v>M043</v>
      </c>
      <c r="G265" s="24" t="str">
        <v>3 out of 10</v>
      </c>
      <c r="H265" s="24" t="str">
        <v>https://nycdoe.sharepoint.com/:w:/s/BAP/ERes5GmSoR1Fgj-HH9hCatUBdJPoAmBlOoPVpBBQDhnpWg</v>
      </c>
      <c r="I265" s="23" t="str">
        <v>Was New</v>
      </c>
      <c r="J265" s="24" t="str">
        <v>3 out of 10</v>
      </c>
      <c r="K265" s="24">
        <v>753</v>
      </c>
      <c r="L265" s="24" t="str">
        <v>3 out of 10</v>
      </c>
      <c r="M265" s="23" t="b">
        <f t="shared" si="8"/>
        <v>1</v>
      </c>
      <c r="N265" s="23" t="str">
        <v>3 out of 10</v>
      </c>
      <c r="O265" s="23"/>
      <c r="P265" s="42" t="str">
        <v>3</v>
      </c>
      <c r="Q265" s="42" t="str">
        <v>3</v>
      </c>
      <c r="R265" s="42" t="str">
        <v>3</v>
      </c>
      <c r="S265" s="10" t="str">
        <f t="shared" si="9"/>
        <v>No Change</v>
      </c>
    </row>
    <row r="266" spans="1:19" ht="120">
      <c r="A266" s="8" t="s">
        <v>2723</v>
      </c>
      <c r="B266" s="9" t="s">
        <v>13555</v>
      </c>
      <c r="C266" s="37" t="s">
        <v>7386</v>
      </c>
      <c r="D266" s="24"/>
      <c r="E266" s="24"/>
      <c r="F266" s="24" t="str">
        <v>M044</v>
      </c>
      <c r="G266" s="24" t="str">
        <v>8 out of 10</v>
      </c>
      <c r="H266" s="24" t="str">
        <v>https://nycdoe.sharepoint.com/:w:/s/BAP/EVWnqe8duKtHu_mlfnmCyHEBjMAgwW3mhAeLk025Fv1kcg</v>
      </c>
      <c r="I266" s="23">
        <v>248</v>
      </c>
      <c r="J266" s="24" t="str">
        <v>8 out of 10</v>
      </c>
      <c r="K266" s="24">
        <v>756</v>
      </c>
      <c r="L266" s="24" t="str">
        <v>5 out of 10</v>
      </c>
      <c r="M266" s="23" t="b">
        <f t="shared" si="8"/>
        <v>0</v>
      </c>
      <c r="N266" s="23" t="str">
        <v>8 out of 10</v>
      </c>
      <c r="O266" s="23"/>
      <c r="P266" s="42" t="str">
        <v>8</v>
      </c>
      <c r="Q266" s="42" t="str">
        <v>5</v>
      </c>
      <c r="R266" s="42" t="str">
        <v>8</v>
      </c>
      <c r="S266" s="10" t="str">
        <f t="shared" si="9"/>
        <v>Change</v>
      </c>
    </row>
    <row r="267" spans="1:19" ht="120" hidden="1">
      <c r="A267" s="8" t="s">
        <v>2352</v>
      </c>
      <c r="B267" s="9" t="s">
        <v>13553</v>
      </c>
      <c r="C267" s="37" t="s">
        <v>7035</v>
      </c>
      <c r="D267" s="24"/>
      <c r="E267" s="24"/>
      <c r="F267" s="24" t="str">
        <v>M045</v>
      </c>
      <c r="G267" s="24" t="str">
        <v>0+ out of 10</v>
      </c>
      <c r="H267" s="24" t="str">
        <v>https://nycdoe.sharepoint.com/:w:/s/BAP/EU4Cj3UPOy1OrrCmNDkGIMUB8RuGCaRD3CzAKnFuKDa71w</v>
      </c>
      <c r="I267" s="23">
        <v>249</v>
      </c>
      <c r="J267" s="24" t="str">
        <v>-</v>
      </c>
      <c r="K267" s="24">
        <v>759</v>
      </c>
      <c r="L267" s="24" t="str">
        <v>N/A out of 10</v>
      </c>
      <c r="M267" s="23" t="b">
        <f t="shared" si="8"/>
        <v>0</v>
      </c>
      <c r="N267" s="23" t="str">
        <v>0+ out of 10</v>
      </c>
      <c r="O267" s="23"/>
      <c r="P267" s="42" t="str">
        <v>0+</v>
      </c>
      <c r="Q267" s="42" t="str">
        <v>N/A</v>
      </c>
      <c r="R267" s="42" t="str">
        <v>0+</v>
      </c>
      <c r="S267" s="10" t="str">
        <f t="shared" si="9"/>
        <v>No Change</v>
      </c>
    </row>
    <row r="268" spans="1:19" ht="120" hidden="1">
      <c r="A268" s="8" t="s">
        <v>3030</v>
      </c>
      <c r="B268" s="9" t="s">
        <v>13553</v>
      </c>
      <c r="C268" s="37" t="s">
        <v>7755</v>
      </c>
      <c r="D268" s="24"/>
      <c r="E268" s="24"/>
      <c r="F268" s="24" t="str">
        <v>M047</v>
      </c>
      <c r="G268" s="24" t="str">
        <v>8 out of 10</v>
      </c>
      <c r="H268" s="24" t="str">
        <v>https://nycdoe.sharepoint.com/:w:/s/BAP/Efc3Gdn6whBNigKZR4Ydre8BSyAE96jcoWJnQeIPzPi1bg</v>
      </c>
      <c r="I268" s="23">
        <v>250</v>
      </c>
      <c r="J268" s="24" t="str">
        <v>-</v>
      </c>
      <c r="K268" s="24">
        <v>762</v>
      </c>
      <c r="L268" s="24" t="str">
        <v>8 out of 10</v>
      </c>
      <c r="M268" s="23" t="b">
        <f t="shared" si="8"/>
        <v>1</v>
      </c>
      <c r="N268" s="23" t="str">
        <v>8 out of 10</v>
      </c>
      <c r="O268" s="23"/>
      <c r="P268" s="42" t="str">
        <v>8</v>
      </c>
      <c r="Q268" s="42" t="str">
        <v>8</v>
      </c>
      <c r="R268" s="42" t="str">
        <v>8</v>
      </c>
      <c r="S268" s="10" t="str">
        <f t="shared" si="9"/>
        <v>No Change</v>
      </c>
    </row>
    <row r="269" spans="1:19" ht="120" hidden="1">
      <c r="A269" s="8" t="s">
        <v>2947</v>
      </c>
      <c r="B269" s="9" t="s">
        <v>13555</v>
      </c>
      <c r="C269" s="37" t="s">
        <v>7636</v>
      </c>
      <c r="D269" s="24"/>
      <c r="E269" s="24"/>
      <c r="F269" s="24" t="str">
        <v>M048</v>
      </c>
      <c r="G269" s="24" t="str">
        <v>10 out of 10</v>
      </c>
      <c r="H269" s="24" t="str">
        <v>https://nycdoe.sharepoint.com/:w:/s/BAP/EbGwZfgi7a1JlBCZCrKhelABJJORmw9nds4_Dxw0zyHERA</v>
      </c>
      <c r="I269" s="23">
        <v>251</v>
      </c>
      <c r="J269" s="24" t="str">
        <v>-</v>
      </c>
      <c r="K269" s="24">
        <v>765</v>
      </c>
      <c r="L269" s="24" t="str">
        <v>10 out of 10</v>
      </c>
      <c r="M269" s="23" t="b">
        <f t="shared" si="8"/>
        <v>1</v>
      </c>
      <c r="N269" s="23" t="str">
        <v>10 out of 10</v>
      </c>
      <c r="O269" s="23"/>
      <c r="P269" s="42" t="str">
        <v>10</v>
      </c>
      <c r="Q269" s="42" t="str">
        <v>10</v>
      </c>
      <c r="R269" s="42" t="str">
        <v>10</v>
      </c>
      <c r="S269" s="10" t="str">
        <f t="shared" si="9"/>
        <v>No Change</v>
      </c>
    </row>
    <row r="270" spans="1:19" ht="120" hidden="1">
      <c r="A270" s="8" t="s">
        <v>3041</v>
      </c>
      <c r="B270" s="9" t="s">
        <v>13553</v>
      </c>
      <c r="C270" s="37" t="s">
        <v>7763</v>
      </c>
      <c r="D270" s="24"/>
      <c r="E270" s="24"/>
      <c r="F270" s="24" t="str">
        <v>M050</v>
      </c>
      <c r="G270" s="24" t="str">
        <v>1 out of 10</v>
      </c>
      <c r="H270" s="24" t="str">
        <v>https://nycdoe.sharepoint.com/:w:/s/BAP/EV8XVYP-3KhEg5WEsqj-LzAB4zrco5eM_UeIK2pQspuTmg</v>
      </c>
      <c r="I270" s="23">
        <v>252</v>
      </c>
      <c r="J270" s="24" t="str">
        <v>-</v>
      </c>
      <c r="K270" s="24">
        <v>767</v>
      </c>
      <c r="L270" s="24" t="str">
        <v>1 out of 10</v>
      </c>
      <c r="M270" s="23" t="b">
        <f t="shared" si="8"/>
        <v>1</v>
      </c>
      <c r="N270" s="23" t="str">
        <v>1 out of 10</v>
      </c>
      <c r="O270" s="23"/>
      <c r="P270" s="42" t="str">
        <v>1</v>
      </c>
      <c r="Q270" s="42" t="str">
        <v>1</v>
      </c>
      <c r="R270" s="42" t="str">
        <v>1</v>
      </c>
      <c r="S270" s="10" t="str">
        <f t="shared" si="9"/>
        <v>No Change</v>
      </c>
    </row>
    <row r="271" spans="1:19" ht="120" hidden="1">
      <c r="A271" s="8" t="s">
        <v>2276</v>
      </c>
      <c r="B271" s="9" t="s">
        <v>13555</v>
      </c>
      <c r="C271" s="37" t="s">
        <v>6950</v>
      </c>
      <c r="D271" s="24"/>
      <c r="E271" s="24"/>
      <c r="F271" s="24" t="str">
        <v>M054</v>
      </c>
      <c r="G271" s="24" t="str">
        <v>0 out of 10</v>
      </c>
      <c r="H271" s="24" t="str">
        <v>https://nycdoe.sharepoint.com/:w:/s/BAP/ERQQa321O6hEogc65URgyR4BaXM0lCifAverinkg_Vqcpw</v>
      </c>
      <c r="I271" s="23">
        <v>253</v>
      </c>
      <c r="J271" s="24" t="str">
        <v>-</v>
      </c>
      <c r="K271" s="24">
        <v>773</v>
      </c>
      <c r="L271" s="24" t="str">
        <v>N/A out of 10</v>
      </c>
      <c r="M271" s="23" t="b">
        <f t="shared" si="8"/>
        <v>0</v>
      </c>
      <c r="N271" s="23" t="str">
        <v>0 out of 10</v>
      </c>
      <c r="O271" s="23"/>
      <c r="P271" s="42" t="str">
        <v>0</v>
      </c>
      <c r="Q271" s="42" t="str">
        <v>N/A</v>
      </c>
      <c r="R271" s="42" t="str">
        <v>0</v>
      </c>
      <c r="S271" s="10" t="str">
        <f t="shared" si="9"/>
        <v>No Change</v>
      </c>
    </row>
    <row r="272" spans="1:19" ht="120" hidden="1">
      <c r="A272" s="8" t="s">
        <v>3046</v>
      </c>
      <c r="B272" s="9" t="s">
        <v>13555</v>
      </c>
      <c r="C272" s="37" t="s">
        <v>7765</v>
      </c>
      <c r="D272" s="24"/>
      <c r="E272" s="24"/>
      <c r="F272" s="24" t="str">
        <v>M056</v>
      </c>
      <c r="G272" s="24" t="str">
        <v>4 out of 10</v>
      </c>
      <c r="H272" s="24" t="str">
        <v>https://nycdoe.sharepoint.com/:w:/s/BAP/EYsQOMxiPYFJjo6WRBNHdC4BQczY_HxOAHJYuPIPxrA_Rw</v>
      </c>
      <c r="I272" s="23">
        <v>254</v>
      </c>
      <c r="J272" s="24" t="str">
        <v>-</v>
      </c>
      <c r="K272" s="24">
        <v>774</v>
      </c>
      <c r="L272" s="24" t="str">
        <v>4 out of 10</v>
      </c>
      <c r="M272" s="23" t="b">
        <f t="shared" si="8"/>
        <v>1</v>
      </c>
      <c r="N272" s="23" t="str">
        <v>4 out of 10</v>
      </c>
      <c r="O272" s="23"/>
      <c r="P272" s="42" t="str">
        <v>4</v>
      </c>
      <c r="Q272" s="42" t="str">
        <v>4</v>
      </c>
      <c r="R272" s="42" t="str">
        <v>4</v>
      </c>
      <c r="S272" s="10" t="str">
        <f t="shared" si="9"/>
        <v>No Change</v>
      </c>
    </row>
    <row r="273" spans="1:19" ht="120" hidden="1">
      <c r="A273" s="8" t="s">
        <v>2884</v>
      </c>
      <c r="B273" s="9" t="s">
        <v>13555</v>
      </c>
      <c r="C273" s="37" t="s">
        <v>7533</v>
      </c>
      <c r="D273" s="24"/>
      <c r="E273" s="24"/>
      <c r="F273" s="24" t="str">
        <v>M058</v>
      </c>
      <c r="G273" s="24" t="str">
        <v>0+ out of 10</v>
      </c>
      <c r="H273" s="24" t="str">
        <v>https://nycdoe.sharepoint.com/:w:/s/BAP/EYX0cfxIhfBPk_rHJc2Srl8BTdvLWjTbCbui-yHPCtBFqA</v>
      </c>
      <c r="I273" s="23">
        <v>255</v>
      </c>
      <c r="J273" s="24" t="str">
        <v>-</v>
      </c>
      <c r="K273" s="24">
        <v>778</v>
      </c>
      <c r="L273" s="24" t="str">
        <v>N/A out of 10</v>
      </c>
      <c r="M273" s="23" t="b">
        <f t="shared" si="8"/>
        <v>0</v>
      </c>
      <c r="N273" s="23" t="str">
        <v>0+ out of 10</v>
      </c>
      <c r="O273" s="23"/>
      <c r="P273" s="42" t="str">
        <v>0+</v>
      </c>
      <c r="Q273" s="42" t="str">
        <v>N/A</v>
      </c>
      <c r="R273" s="42" t="str">
        <v>0+</v>
      </c>
      <c r="S273" s="10" t="str">
        <f t="shared" si="9"/>
        <v>No Change</v>
      </c>
    </row>
    <row r="274" spans="1:19" ht="120" hidden="1">
      <c r="A274" s="8" t="s">
        <v>2892</v>
      </c>
      <c r="B274" s="9" t="s">
        <v>13571</v>
      </c>
      <c r="C274" s="37" t="s">
        <v>7546</v>
      </c>
      <c r="D274" s="24"/>
      <c r="E274" s="24"/>
      <c r="F274" s="24" t="str">
        <v>M060</v>
      </c>
      <c r="G274" s="24" t="str">
        <v>1 out of 10</v>
      </c>
      <c r="H274" s="24" t="str">
        <v>https://nycdoe.sharepoint.com/:w:/s/BAP/EXub58B1zshEnY9tbijAOZMB9gckfbX88iwTn0-UIC5HDg</v>
      </c>
      <c r="I274" s="23">
        <v>256</v>
      </c>
      <c r="J274" s="24" t="str">
        <v>-</v>
      </c>
      <c r="K274" s="24">
        <v>779</v>
      </c>
      <c r="L274" s="24" t="str">
        <v>1 out of 10</v>
      </c>
      <c r="M274" s="23" t="b">
        <f t="shared" si="8"/>
        <v>1</v>
      </c>
      <c r="N274" s="23" t="str">
        <v>1 out of 10</v>
      </c>
      <c r="O274" s="23"/>
      <c r="P274" s="42" t="str">
        <v>1</v>
      </c>
      <c r="Q274" s="42" t="str">
        <v>1</v>
      </c>
      <c r="R274" s="42" t="str">
        <v>1</v>
      </c>
      <c r="S274" s="10" t="str">
        <f t="shared" si="9"/>
        <v>No Change</v>
      </c>
    </row>
    <row r="275" spans="1:19" ht="120" hidden="1">
      <c r="A275" s="8" t="s">
        <v>2731</v>
      </c>
      <c r="B275" s="9" t="s">
        <v>13571</v>
      </c>
      <c r="C275" s="37" t="s">
        <v>7394</v>
      </c>
      <c r="D275" s="24"/>
      <c r="E275" s="24"/>
      <c r="F275" s="24" t="str">
        <v>M061</v>
      </c>
      <c r="G275" s="24" t="str">
        <v>0 out of 10</v>
      </c>
      <c r="H275" s="24" t="str">
        <v>https://nycdoe.sharepoint.com/:w:/s/BAP/ESkMIMFtfJ9Br6kSPG-3ecwBk6lvQSGuCWoZKuUyocS3kQ</v>
      </c>
      <c r="I275" s="23">
        <v>257</v>
      </c>
      <c r="J275" s="24" t="str">
        <v>-</v>
      </c>
      <c r="K275" s="24">
        <v>781</v>
      </c>
      <c r="L275" s="24" t="str">
        <v>N/A out of 10</v>
      </c>
      <c r="M275" s="23" t="b">
        <f t="shared" si="8"/>
        <v>0</v>
      </c>
      <c r="N275" s="23" t="str">
        <v>0 out of 10</v>
      </c>
      <c r="O275" s="23"/>
      <c r="P275" s="42" t="str">
        <v>0</v>
      </c>
      <c r="Q275" s="42" t="str">
        <v>N/A</v>
      </c>
      <c r="R275" s="42" t="str">
        <v>0</v>
      </c>
      <c r="S275" s="10" t="str">
        <f t="shared" si="9"/>
        <v>No Change</v>
      </c>
    </row>
    <row r="276" spans="1:19" ht="120" hidden="1">
      <c r="A276" s="8" t="s">
        <v>2359</v>
      </c>
      <c r="B276" s="9" t="s">
        <v>13553</v>
      </c>
      <c r="C276" s="37" t="s">
        <v>7045</v>
      </c>
      <c r="D276" s="24"/>
      <c r="E276" s="24"/>
      <c r="F276" s="24" t="str">
        <v>M063</v>
      </c>
      <c r="G276" s="24" t="str">
        <v>1 out of 10</v>
      </c>
      <c r="H276" s="24" t="str">
        <v>https://nycdoe.sharepoint.com/:w:/s/BAP/ERskWFMP-mBMoKQHZrvSpP8B7SIBVeokGml0m2mw-9NlIQ</v>
      </c>
      <c r="I276" s="23" t="str">
        <v>Was New</v>
      </c>
      <c r="J276" s="24" t="str">
        <v>1 out of 10</v>
      </c>
      <c r="K276" s="24">
        <v>783</v>
      </c>
      <c r="L276" s="24" t="str">
        <v>1 out of 10</v>
      </c>
      <c r="M276" s="23" t="b">
        <f t="shared" si="8"/>
        <v>1</v>
      </c>
      <c r="N276" s="23" t="str">
        <v>1 out of 10</v>
      </c>
      <c r="O276" s="23"/>
      <c r="P276" s="42" t="str">
        <v>1</v>
      </c>
      <c r="Q276" s="42" t="str">
        <v>1</v>
      </c>
      <c r="R276" s="42" t="str">
        <v>1</v>
      </c>
      <c r="S276" s="10" t="str">
        <f t="shared" si="9"/>
        <v>No Change</v>
      </c>
    </row>
    <row r="277" spans="1:19" ht="120" hidden="1">
      <c r="A277" s="8" t="s">
        <v>2363</v>
      </c>
      <c r="B277" s="9" t="s">
        <v>13558</v>
      </c>
      <c r="C277" s="37" t="s">
        <v>7050</v>
      </c>
      <c r="D277" s="24"/>
      <c r="E277" s="24"/>
      <c r="F277" s="24" t="str">
        <v>M064</v>
      </c>
      <c r="G277" s="24" t="str">
        <v>0 out of 10</v>
      </c>
      <c r="H277" s="24" t="str">
        <v>https://nycdoe.sharepoint.com/:w:/s/BAP/EfBE57hzyJ5ElCcW4f4SHCEBhQsfwv698uofS81hSkTBoA</v>
      </c>
      <c r="I277" s="23" t="str">
        <v>Was New</v>
      </c>
      <c r="J277" s="24" t="str">
        <v>0 out of 10</v>
      </c>
      <c r="K277" s="24">
        <v>785</v>
      </c>
      <c r="L277" s="24" t="str">
        <v>N/A out of 10</v>
      </c>
      <c r="M277" s="23" t="b">
        <f t="shared" si="8"/>
        <v>0</v>
      </c>
      <c r="N277" s="23" t="str">
        <v>0 out of 10</v>
      </c>
      <c r="O277" s="23"/>
      <c r="P277" s="42" t="str">
        <v>0</v>
      </c>
      <c r="Q277" s="42" t="str">
        <v>N/A</v>
      </c>
      <c r="R277" s="42" t="str">
        <v>0</v>
      </c>
      <c r="S277" s="10" t="str">
        <f t="shared" si="9"/>
        <v>No Change</v>
      </c>
    </row>
    <row r="278" spans="1:19" ht="120" hidden="1">
      <c r="A278" s="8" t="s">
        <v>2897</v>
      </c>
      <c r="B278" s="9" t="s">
        <v>13559</v>
      </c>
      <c r="C278" s="37" t="s">
        <v>7555</v>
      </c>
      <c r="D278" s="24"/>
      <c r="E278" s="24"/>
      <c r="F278" s="24" t="str">
        <v>M066</v>
      </c>
      <c r="G278" s="24" t="str">
        <v>3 out of 10</v>
      </c>
      <c r="H278" s="24" t="str">
        <v>https://nycdoe.sharepoint.com/:w:/s/BAP/EddFPlriep5KlhFfT5QozIYBvHC7xnffPpiT-Xyedp_AHw</v>
      </c>
      <c r="I278" s="23">
        <v>258</v>
      </c>
      <c r="J278" s="24" t="str">
        <v>-</v>
      </c>
      <c r="K278" s="24">
        <v>788</v>
      </c>
      <c r="L278" s="24" t="str">
        <v>3 out of 10</v>
      </c>
      <c r="M278" s="23" t="b">
        <f t="shared" si="8"/>
        <v>1</v>
      </c>
      <c r="N278" s="23" t="str">
        <v>3 out of 10</v>
      </c>
      <c r="O278" s="23"/>
      <c r="P278" s="42" t="str">
        <v>3</v>
      </c>
      <c r="Q278" s="42" t="str">
        <v>3</v>
      </c>
      <c r="R278" s="42" t="str">
        <v>3</v>
      </c>
      <c r="S278" s="10" t="str">
        <f t="shared" si="9"/>
        <v>No Change</v>
      </c>
    </row>
    <row r="279" spans="1:19" ht="120" hidden="1">
      <c r="A279" s="8" t="s">
        <v>2742</v>
      </c>
      <c r="B279" s="9" t="s">
        <v>13555</v>
      </c>
      <c r="C279" s="37" t="s">
        <v>7402</v>
      </c>
      <c r="D279" s="24"/>
      <c r="E279" s="24"/>
      <c r="F279" s="24" t="str">
        <v>M070</v>
      </c>
      <c r="G279" s="24" t="str">
        <v>9 out of 10</v>
      </c>
      <c r="H279" s="24" t="str">
        <v>https://nycdoe.sharepoint.com/:w:/s/BAP/EadpZZ75BHRGoBvgGDN_JAABZG0cKfc9Kfb7OI4q9F2LJg</v>
      </c>
      <c r="I279" s="23">
        <v>259</v>
      </c>
      <c r="J279" s="24" t="str">
        <v>-</v>
      </c>
      <c r="K279" s="24">
        <v>789</v>
      </c>
      <c r="L279" s="24" t="str">
        <v>9 out of 10</v>
      </c>
      <c r="M279" s="23" t="b">
        <f t="shared" si="8"/>
        <v>1</v>
      </c>
      <c r="N279" s="23" t="str">
        <v>9 out of 10</v>
      </c>
      <c r="O279" s="23"/>
      <c r="P279" s="42" t="str">
        <v>9</v>
      </c>
      <c r="Q279" s="42" t="str">
        <v>9</v>
      </c>
      <c r="R279" s="42" t="str">
        <v>9</v>
      </c>
      <c r="S279" s="10" t="str">
        <f t="shared" si="9"/>
        <v>No Change</v>
      </c>
    </row>
    <row r="280" spans="1:19" ht="120" hidden="1">
      <c r="A280" s="8" t="s">
        <v>11134</v>
      </c>
      <c r="B280" s="9" t="s">
        <v>13561</v>
      </c>
      <c r="C280" s="37" t="s">
        <v>13599</v>
      </c>
      <c r="D280" s="24"/>
      <c r="E280" s="24"/>
      <c r="F280" s="24" t="str">
        <v>M075</v>
      </c>
      <c r="G280" s="24" t="str">
        <v>4 out of 10</v>
      </c>
      <c r="H280" s="24" t="str">
        <v>https://nycdoe.sharepoint.com/:w:/s/BAP/ESw5mMFMHCRKlLHrgtjHlo0B1NYZPPwwF_Q4oxEVLz4O8Q</v>
      </c>
      <c r="I280" s="23">
        <v>260</v>
      </c>
      <c r="J280" s="24" t="str">
        <v>-</v>
      </c>
      <c r="K280" s="24">
        <v>793</v>
      </c>
      <c r="L280" s="24" t="str">
        <v>4 out of 10</v>
      </c>
      <c r="M280" s="23" t="b">
        <f t="shared" si="8"/>
        <v>1</v>
      </c>
      <c r="N280" s="23" t="str">
        <v>4 out of 10</v>
      </c>
      <c r="O280" s="23"/>
      <c r="P280" s="42" t="str">
        <v>4</v>
      </c>
      <c r="Q280" s="42" t="str">
        <v>4</v>
      </c>
      <c r="R280" s="42" t="str">
        <v>4</v>
      </c>
      <c r="S280" s="10" t="str">
        <f t="shared" si="9"/>
        <v>No Change</v>
      </c>
    </row>
    <row r="281" spans="1:19" ht="120" hidden="1">
      <c r="A281" s="8" t="s">
        <v>2367</v>
      </c>
      <c r="B281" s="9" t="s">
        <v>13559</v>
      </c>
      <c r="C281" s="37" t="s">
        <v>7054</v>
      </c>
      <c r="D281" s="24"/>
      <c r="E281" s="24"/>
      <c r="F281" s="24" t="str">
        <v>M076</v>
      </c>
      <c r="G281" s="24" t="str">
        <v>0 out of 10</v>
      </c>
      <c r="H281" s="24" t="str">
        <v>https://nycdoe.sharepoint.com/:w:/s/BAP/EcJzQ8ZGCyxMmD1n40ddjR8BVgtBaV70yxLJu89vQiugDg</v>
      </c>
      <c r="I281" s="23">
        <v>261</v>
      </c>
      <c r="J281" s="24" t="str">
        <v>-</v>
      </c>
      <c r="K281" s="24">
        <v>794</v>
      </c>
      <c r="L281" s="24" t="str">
        <v>N/A out of 10</v>
      </c>
      <c r="M281" s="23" t="b">
        <f t="shared" si="8"/>
        <v>0</v>
      </c>
      <c r="N281" s="23" t="str">
        <v>0 out of 10</v>
      </c>
      <c r="O281" s="23"/>
      <c r="P281" s="42" t="str">
        <v>0</v>
      </c>
      <c r="Q281" s="42" t="str">
        <v>N/A</v>
      </c>
      <c r="R281" s="42" t="str">
        <v>0</v>
      </c>
      <c r="S281" s="10" t="str">
        <f t="shared" si="9"/>
        <v>No Change</v>
      </c>
    </row>
    <row r="282" spans="1:19" ht="120" hidden="1">
      <c r="A282" s="8" t="s">
        <v>2957</v>
      </c>
      <c r="B282" s="9" t="s">
        <v>13571</v>
      </c>
      <c r="C282" s="37" t="s">
        <v>7644</v>
      </c>
      <c r="D282" s="24"/>
      <c r="E282" s="24"/>
      <c r="F282" s="24" t="str">
        <v>M079</v>
      </c>
      <c r="G282" s="24" t="str">
        <v>8 out of 10</v>
      </c>
      <c r="H282" s="24" t="str">
        <v>https://nycdoe.sharepoint.com/:w:/s/BAP/ERyRkftRKHNJqpb3JnBpFsMBCyyzgdigziADvk13QK5JmA</v>
      </c>
      <c r="I282" s="23">
        <v>262</v>
      </c>
      <c r="J282" s="24" t="str">
        <v>-</v>
      </c>
      <c r="K282" s="24">
        <v>796</v>
      </c>
      <c r="L282" s="24" t="str">
        <v>8 out of 10</v>
      </c>
      <c r="M282" s="23" t="b">
        <f t="shared" si="8"/>
        <v>1</v>
      </c>
      <c r="N282" s="23" t="str">
        <v>8 out of 10</v>
      </c>
      <c r="O282" s="23"/>
      <c r="P282" s="42" t="str">
        <v>8</v>
      </c>
      <c r="Q282" s="42" t="str">
        <v>8</v>
      </c>
      <c r="R282" s="42" t="str">
        <v>8</v>
      </c>
      <c r="S282" s="10" t="str">
        <f t="shared" si="9"/>
        <v>No Change</v>
      </c>
    </row>
    <row r="283" spans="1:19" ht="120" hidden="1">
      <c r="A283" s="8" t="s">
        <v>3053</v>
      </c>
      <c r="B283" s="9" t="s">
        <v>13571</v>
      </c>
      <c r="C283" s="37" t="s">
        <v>7771</v>
      </c>
      <c r="D283" s="24"/>
      <c r="E283" s="24"/>
      <c r="F283" s="24" t="str">
        <v>M083</v>
      </c>
      <c r="G283" s="24" t="str">
        <v>9 out of 10</v>
      </c>
      <c r="H283" s="24" t="str">
        <v>https://nycdoe.sharepoint.com/:w:/s/BAP/ERlYZSeSswJFtxg3jj5lg0cBw9Hw7OzdGbDM0WlYOiv4gQ</v>
      </c>
      <c r="I283" s="23">
        <v>263</v>
      </c>
      <c r="J283" s="24" t="str">
        <v>-</v>
      </c>
      <c r="K283" s="24">
        <v>798</v>
      </c>
      <c r="L283" s="24" t="str">
        <v>9 out of 10</v>
      </c>
      <c r="M283" s="23" t="b">
        <f t="shared" si="8"/>
        <v>1</v>
      </c>
      <c r="N283" s="23" t="str">
        <v>9 out of 10</v>
      </c>
      <c r="O283" s="23"/>
      <c r="P283" s="42" t="str">
        <v>9</v>
      </c>
      <c r="Q283" s="42" t="str">
        <v>9</v>
      </c>
      <c r="R283" s="42" t="str">
        <v>9</v>
      </c>
      <c r="S283" s="10" t="str">
        <f t="shared" si="9"/>
        <v>No Change</v>
      </c>
    </row>
    <row r="284" spans="1:19" ht="120" hidden="1">
      <c r="A284" s="8" t="s">
        <v>2371</v>
      </c>
      <c r="B284" s="9" t="s">
        <v>13555</v>
      </c>
      <c r="C284" s="37" t="s">
        <v>7058</v>
      </c>
      <c r="D284" s="24"/>
      <c r="E284" s="24"/>
      <c r="F284" s="24" t="str">
        <v>M084</v>
      </c>
      <c r="G284" s="24" t="str">
        <v>4 out of 10</v>
      </c>
      <c r="H284" s="24" t="str">
        <v>https://nycdoe.sharepoint.com/:w:/s/BAP/ER79Wl8zFaJPv8csdNJTA60BlG1Ica8sZDH2vJDeMaa2Sw</v>
      </c>
      <c r="I284" s="23">
        <v>264</v>
      </c>
      <c r="J284" s="24" t="str">
        <v>-</v>
      </c>
      <c r="K284" s="24">
        <v>800</v>
      </c>
      <c r="L284" s="24" t="str">
        <v>4 out of 10</v>
      </c>
      <c r="M284" s="23" t="b">
        <f t="shared" si="8"/>
        <v>1</v>
      </c>
      <c r="N284" s="23" t="str">
        <v>4 out of 10</v>
      </c>
      <c r="O284" s="23"/>
      <c r="P284" s="42" t="str">
        <v>4</v>
      </c>
      <c r="Q284" s="42" t="str">
        <v>4</v>
      </c>
      <c r="R284" s="42" t="str">
        <v>4</v>
      </c>
      <c r="S284" s="10" t="str">
        <f t="shared" si="9"/>
        <v>No Change</v>
      </c>
    </row>
    <row r="285" spans="1:19" ht="120" hidden="1">
      <c r="A285" s="8" t="s">
        <v>2375</v>
      </c>
      <c r="B285" s="9" t="s">
        <v>13555</v>
      </c>
      <c r="C285" s="37" t="s">
        <v>7061</v>
      </c>
      <c r="D285" s="24"/>
      <c r="E285" s="24"/>
      <c r="F285" s="24" t="str">
        <v>M088</v>
      </c>
      <c r="G285" s="24" t="str">
        <v>9 out of 10</v>
      </c>
      <c r="H285" s="24" t="str">
        <v>https://nycdoe.sharepoint.com/:w:/s/BAP/EaZypAEBG4dNniMzvSqbOPQBDBrPtKz8azu9DNUvUVj1zQ</v>
      </c>
      <c r="I285" s="23">
        <v>265</v>
      </c>
      <c r="J285" s="24" t="str">
        <v>-</v>
      </c>
      <c r="K285" s="24">
        <v>802</v>
      </c>
      <c r="L285" s="24" t="str">
        <v>9 out of 10</v>
      </c>
      <c r="M285" s="23" t="b">
        <f t="shared" si="8"/>
        <v>1</v>
      </c>
      <c r="N285" s="23" t="str">
        <v>9 out of 10</v>
      </c>
      <c r="O285" s="23"/>
      <c r="P285" s="42" t="str">
        <v>9</v>
      </c>
      <c r="Q285" s="42" t="str">
        <v>9</v>
      </c>
      <c r="R285" s="42" t="str">
        <v>9</v>
      </c>
      <c r="S285" s="10" t="str">
        <f t="shared" si="9"/>
        <v>No Change</v>
      </c>
    </row>
    <row r="286" spans="1:19" ht="120" hidden="1">
      <c r="A286" s="8" t="s">
        <v>2281</v>
      </c>
      <c r="B286" s="9" t="s">
        <v>13555</v>
      </c>
      <c r="C286" s="37" t="s">
        <v>6959</v>
      </c>
      <c r="D286" s="24"/>
      <c r="E286" s="24"/>
      <c r="F286" s="24" t="str">
        <v>M089</v>
      </c>
      <c r="G286" s="24" t="str">
        <v>10 out of 10</v>
      </c>
      <c r="H286" s="24" t="str">
        <v>https://nycdoe.sharepoint.com/:w:/s/BAP/Ed5HIdX3IKBIuB5HWNffx4YBQMou1B-jIb9htJtwZTdgDg</v>
      </c>
      <c r="I286" s="23">
        <v>266</v>
      </c>
      <c r="J286" s="24" t="str">
        <v>-</v>
      </c>
      <c r="K286" s="24">
        <v>805</v>
      </c>
      <c r="L286" s="24" t="str">
        <v>10 out of 10</v>
      </c>
      <c r="M286" s="23" t="b">
        <f t="shared" si="8"/>
        <v>1</v>
      </c>
      <c r="N286" s="23" t="str">
        <v>10 out of 10</v>
      </c>
      <c r="O286" s="23"/>
      <c r="P286" s="42" t="str">
        <v>10</v>
      </c>
      <c r="Q286" s="42" t="str">
        <v>10</v>
      </c>
      <c r="R286" s="42" t="str">
        <v>10</v>
      </c>
      <c r="S286" s="10" t="str">
        <f t="shared" si="9"/>
        <v>No Change</v>
      </c>
    </row>
    <row r="287" spans="1:19" ht="120" hidden="1">
      <c r="A287" s="8" t="s">
        <v>2285</v>
      </c>
      <c r="B287" s="9" t="s">
        <v>13555</v>
      </c>
      <c r="C287" s="37" t="s">
        <v>6963</v>
      </c>
      <c r="D287" s="24"/>
      <c r="E287" s="24"/>
      <c r="F287" s="24" t="str">
        <v>M090</v>
      </c>
      <c r="G287" s="24" t="str">
        <v>10 out of 10</v>
      </c>
      <c r="H287" s="24" t="str">
        <v>https://nycdoe.sharepoint.com/:w:/s/BAP/EU-OkTXMD0JPuc8didKMggEBzfw4Zn3wzs4i4lGL-WP_HQ</v>
      </c>
      <c r="I287" s="23">
        <v>267</v>
      </c>
      <c r="J287" s="24" t="str">
        <v>-</v>
      </c>
      <c r="K287" s="24">
        <v>807</v>
      </c>
      <c r="L287" s="24" t="str">
        <v>10 out of 10</v>
      </c>
      <c r="M287" s="23" t="b">
        <f t="shared" si="8"/>
        <v>1</v>
      </c>
      <c r="N287" s="23" t="str">
        <v>10 out of 10</v>
      </c>
      <c r="O287" s="23"/>
      <c r="P287" s="42" t="str">
        <v>10</v>
      </c>
      <c r="Q287" s="42" t="str">
        <v>10</v>
      </c>
      <c r="R287" s="42" t="str">
        <v>10</v>
      </c>
      <c r="S287" s="10" t="str">
        <f t="shared" si="9"/>
        <v>No Change</v>
      </c>
    </row>
    <row r="288" spans="1:19" ht="120" hidden="1">
      <c r="A288" s="8" t="s">
        <v>2290</v>
      </c>
      <c r="B288" s="9" t="s">
        <v>13564</v>
      </c>
      <c r="C288" s="37" t="s">
        <v>6972</v>
      </c>
      <c r="D288" s="24"/>
      <c r="E288" s="24"/>
      <c r="F288" s="24" t="str">
        <v>M092</v>
      </c>
      <c r="G288" s="24" t="str">
        <v>9 out of 10</v>
      </c>
      <c r="H288" s="24" t="str">
        <v>https://nycdoe.sharepoint.com/:w:/s/BAP/EfBCcVlbb9xArQkBvIo9gokBJW7DY2x5CLIWaFDqms85nA</v>
      </c>
      <c r="I288" s="23">
        <v>268</v>
      </c>
      <c r="J288" s="24" t="str">
        <v>-</v>
      </c>
      <c r="K288" s="24">
        <v>811</v>
      </c>
      <c r="L288" s="24" t="str">
        <v>9 out of 10</v>
      </c>
      <c r="M288" s="23" t="b">
        <f t="shared" si="8"/>
        <v>1</v>
      </c>
      <c r="N288" s="23" t="str">
        <v>9 out of 10</v>
      </c>
      <c r="O288" s="23"/>
      <c r="P288" s="42" t="str">
        <v>9</v>
      </c>
      <c r="Q288" s="42" t="str">
        <v>9</v>
      </c>
      <c r="R288" s="42" t="str">
        <v>9</v>
      </c>
      <c r="S288" s="10" t="str">
        <f t="shared" si="9"/>
        <v>No Change</v>
      </c>
    </row>
    <row r="289" spans="1:19" ht="120" hidden="1">
      <c r="A289" s="8" t="s">
        <v>3060</v>
      </c>
      <c r="B289" s="9" t="s">
        <v>13571</v>
      </c>
      <c r="C289" s="37" t="s">
        <v>7785</v>
      </c>
      <c r="D289" s="24"/>
      <c r="E289" s="24"/>
      <c r="F289" s="24" t="str">
        <v>M093</v>
      </c>
      <c r="G289" s="24" t="str">
        <v>10 out of 10</v>
      </c>
      <c r="H289" s="24" t="str">
        <v>https://nycdoe.sharepoint.com/:w:/s/BAP/EYM3dL4TfRVLuD_GC47qcIQBq3QpzBDD_nO0xuJm86Ix7A</v>
      </c>
      <c r="I289" s="23">
        <v>269</v>
      </c>
      <c r="J289" s="24" t="str">
        <v>-</v>
      </c>
      <c r="K289" s="24">
        <v>814</v>
      </c>
      <c r="L289" s="24" t="str">
        <v>10 out of 10</v>
      </c>
      <c r="M289" s="23" t="b">
        <f t="shared" si="8"/>
        <v>1</v>
      </c>
      <c r="N289" s="23" t="str">
        <v>10 out of 10</v>
      </c>
      <c r="O289" s="23"/>
      <c r="P289" s="42" t="str">
        <v>10</v>
      </c>
      <c r="Q289" s="42" t="str">
        <v>10</v>
      </c>
      <c r="R289" s="42" t="str">
        <v>10</v>
      </c>
      <c r="S289" s="10" t="str">
        <f t="shared" si="9"/>
        <v>No Change</v>
      </c>
    </row>
    <row r="290" spans="1:19" ht="120" hidden="1">
      <c r="A290" s="8" t="s">
        <v>2753</v>
      </c>
      <c r="B290" s="9" t="s">
        <v>13558</v>
      </c>
      <c r="C290" s="37" t="s">
        <v>7410</v>
      </c>
      <c r="D290" s="24"/>
      <c r="E290" s="24"/>
      <c r="F290" s="24" t="str">
        <v>M097</v>
      </c>
      <c r="G290" s="24" t="str">
        <v>9 out of 10</v>
      </c>
      <c r="H290" s="24" t="str">
        <v>https://nycdoe.sharepoint.com/:w:/s/BAP/EbPCVf70LaVKidhJbh3sYiEBikL_lpCA_GVp3m-Nv9hJlw</v>
      </c>
      <c r="I290" s="23">
        <v>270</v>
      </c>
      <c r="J290" s="24" t="str">
        <v>-</v>
      </c>
      <c r="K290" s="24">
        <v>816</v>
      </c>
      <c r="L290" s="24" t="str">
        <v>9 out of 10</v>
      </c>
      <c r="M290" s="23" t="b">
        <f t="shared" si="8"/>
        <v>1</v>
      </c>
      <c r="N290" s="23" t="str">
        <v>9 out of 10</v>
      </c>
      <c r="O290" s="23"/>
      <c r="P290" s="42" t="str">
        <v>9</v>
      </c>
      <c r="Q290" s="42" t="str">
        <v>9</v>
      </c>
      <c r="R290" s="42" t="str">
        <v>9</v>
      </c>
      <c r="S290" s="10" t="str">
        <f t="shared" si="9"/>
        <v>No Change</v>
      </c>
    </row>
    <row r="291" spans="1:19" ht="120" hidden="1">
      <c r="A291" s="8" t="s">
        <v>2761</v>
      </c>
      <c r="B291" s="9" t="s">
        <v>13558</v>
      </c>
      <c r="C291" s="37" t="s">
        <v>7416</v>
      </c>
      <c r="D291" s="24"/>
      <c r="E291" s="24"/>
      <c r="F291" s="24" t="str">
        <v>M098</v>
      </c>
      <c r="G291" s="24" t="str">
        <v>9 out of 10</v>
      </c>
      <c r="H291" s="24" t="str">
        <v>https://nycdoe.sharepoint.com/:w:/s/BAP/EYzKDQwgFhVNjvCMkFtAHaIB8vKiSDuINLs5rC7tLnmF8A</v>
      </c>
      <c r="I291" s="23">
        <v>271</v>
      </c>
      <c r="J291" s="24" t="str">
        <v>-</v>
      </c>
      <c r="K291" s="24">
        <v>817</v>
      </c>
      <c r="L291" s="24" t="str">
        <v>9 out of 10</v>
      </c>
      <c r="M291" s="23" t="b">
        <f t="shared" si="8"/>
        <v>1</v>
      </c>
      <c r="N291" s="23" t="str">
        <v>9 out of 10</v>
      </c>
      <c r="O291" s="23"/>
      <c r="P291" s="42" t="str">
        <v>9</v>
      </c>
      <c r="Q291" s="42" t="str">
        <v>9</v>
      </c>
      <c r="R291" s="42" t="str">
        <v>9</v>
      </c>
      <c r="S291" s="10" t="str">
        <f t="shared" si="9"/>
        <v>No Change</v>
      </c>
    </row>
    <row r="292" spans="1:19" ht="120" hidden="1">
      <c r="A292" s="8" t="s">
        <v>2905</v>
      </c>
      <c r="B292" s="9" t="s">
        <v>13557</v>
      </c>
      <c r="C292" s="37" t="s">
        <v>7567</v>
      </c>
      <c r="D292" s="24"/>
      <c r="E292" s="24"/>
      <c r="F292" s="24" t="str">
        <v>M101</v>
      </c>
      <c r="G292" s="24" t="str">
        <v>9 out of 10</v>
      </c>
      <c r="H292" s="24" t="str">
        <v>https://nycdoe.sharepoint.com/:w:/s/BAP/EcW-PR9wSXJOhHEm0pWOPz0BqlUZOkY3z9FzgoTFh-U11g</v>
      </c>
      <c r="I292" s="23">
        <v>272</v>
      </c>
      <c r="J292" s="24" t="str">
        <v>-</v>
      </c>
      <c r="K292" s="24">
        <v>821</v>
      </c>
      <c r="L292" s="24" t="str">
        <v>9 out of 10</v>
      </c>
      <c r="M292" s="23" t="b">
        <f t="shared" si="8"/>
        <v>1</v>
      </c>
      <c r="N292" s="23" t="str">
        <v>9 out of 10</v>
      </c>
      <c r="O292" s="23"/>
      <c r="P292" s="42" t="str">
        <v>9</v>
      </c>
      <c r="Q292" s="42" t="str">
        <v>9</v>
      </c>
      <c r="R292" s="42" t="str">
        <v>9</v>
      </c>
      <c r="S292" s="10" t="str">
        <f t="shared" si="9"/>
        <v>No Change</v>
      </c>
    </row>
    <row r="293" spans="1:19" ht="105" hidden="1">
      <c r="A293" s="8" t="s">
        <v>2768</v>
      </c>
      <c r="B293" s="9" t="s">
        <v>13559</v>
      </c>
      <c r="C293" s="37" t="s">
        <v>7420</v>
      </c>
      <c r="D293" s="24"/>
      <c r="E293" s="24"/>
      <c r="F293" s="24" t="str">
        <v>M104</v>
      </c>
      <c r="G293" s="24" t="str">
        <v>0 out of 10</v>
      </c>
      <c r="H293" s="24" t="str">
        <v>https://nycdoe.sharepoint.com/:w:/s/BAP/EWU_GnWb615Mrgy4fFwZv90BYgDBaVTqwcSfmEa_dcfKmA</v>
      </c>
      <c r="I293" s="23" t="str">
        <v>Was New</v>
      </c>
      <c r="J293" s="24" t="str">
        <v>0 out of 10</v>
      </c>
      <c r="K293" s="24">
        <v>826</v>
      </c>
      <c r="L293" s="24" t="str">
        <v>N/A out of 10</v>
      </c>
      <c r="M293" s="23" t="b">
        <f t="shared" si="8"/>
        <v>0</v>
      </c>
      <c r="N293" s="23" t="str">
        <v>0 out of 10</v>
      </c>
      <c r="O293" s="23"/>
      <c r="P293" s="42" t="str">
        <v>0</v>
      </c>
      <c r="Q293" s="42" t="str">
        <v>N/A</v>
      </c>
      <c r="R293" s="42" t="str">
        <v>0</v>
      </c>
      <c r="S293" s="10" t="str">
        <f t="shared" si="9"/>
        <v>No Change</v>
      </c>
    </row>
    <row r="294" spans="1:19" ht="120" hidden="1">
      <c r="A294" s="8" t="s">
        <v>3067</v>
      </c>
      <c r="B294" s="9" t="s">
        <v>13557</v>
      </c>
      <c r="C294" s="37" t="s">
        <v>7791</v>
      </c>
      <c r="D294" s="24"/>
      <c r="E294" s="24"/>
      <c r="F294" s="24" t="str">
        <v>M107</v>
      </c>
      <c r="G294" s="24" t="str">
        <v>7 out of 10</v>
      </c>
      <c r="H294" s="24" t="str">
        <v>https://nycdoe.sharepoint.com/:w:/s/BAP/EXSAu4eUmBpOpwH096zhFFABVxrC0gy_xAux7tmX6Xwh_g</v>
      </c>
      <c r="I294" s="23">
        <v>273</v>
      </c>
      <c r="J294" s="24" t="str">
        <v>-</v>
      </c>
      <c r="K294" s="24">
        <v>827</v>
      </c>
      <c r="L294" s="24" t="str">
        <v>7 out of 10</v>
      </c>
      <c r="M294" s="23" t="b">
        <f t="shared" si="8"/>
        <v>1</v>
      </c>
      <c r="N294" s="23" t="str">
        <v>7 out of 10</v>
      </c>
      <c r="O294" s="23"/>
      <c r="P294" s="42" t="str">
        <v>7</v>
      </c>
      <c r="Q294" s="42" t="str">
        <v>7</v>
      </c>
      <c r="R294" s="42" t="str">
        <v>7</v>
      </c>
      <c r="S294" s="10" t="str">
        <f t="shared" si="9"/>
        <v>No Change</v>
      </c>
    </row>
    <row r="295" spans="1:19" ht="120" hidden="1">
      <c r="A295" s="8" t="s">
        <v>3071</v>
      </c>
      <c r="B295" s="9" t="s">
        <v>13565</v>
      </c>
      <c r="C295" s="37" t="s">
        <v>7795</v>
      </c>
      <c r="D295" s="24"/>
      <c r="E295" s="24"/>
      <c r="F295" s="24" t="str">
        <v>M111</v>
      </c>
      <c r="G295" s="24" t="str">
        <v>1 out of 10</v>
      </c>
      <c r="H295" s="24" t="str">
        <v>https://nycdoe.sharepoint.com/:w:/s/BAP/EeE_sIlD_fJCleCYRNSTnEgBP2ldjYPC_xSy3bmKx42RoQ</v>
      </c>
      <c r="I295" s="23" t="str">
        <v>Was New</v>
      </c>
      <c r="J295" s="24" t="str">
        <v>1 out of 10</v>
      </c>
      <c r="K295" s="24">
        <v>831</v>
      </c>
      <c r="L295" s="24" t="str">
        <v>1 out of 10</v>
      </c>
      <c r="M295" s="23" t="b">
        <f t="shared" si="8"/>
        <v>1</v>
      </c>
      <c r="N295" s="23" t="str">
        <v>1 out of 10</v>
      </c>
      <c r="O295" s="23"/>
      <c r="P295" s="42" t="str">
        <v>1</v>
      </c>
      <c r="Q295" s="42" t="str">
        <v>1</v>
      </c>
      <c r="R295" s="42" t="str">
        <v>1</v>
      </c>
      <c r="S295" s="10" t="str">
        <f t="shared" si="9"/>
        <v>No Change</v>
      </c>
    </row>
    <row r="296" spans="1:19" ht="120" hidden="1">
      <c r="A296" s="8" t="s">
        <v>2385</v>
      </c>
      <c r="B296" s="9" t="s">
        <v>13557</v>
      </c>
      <c r="C296" s="37" t="s">
        <v>7069</v>
      </c>
      <c r="D296" s="24"/>
      <c r="E296" s="24"/>
      <c r="F296" s="24" t="str">
        <v>M113</v>
      </c>
      <c r="G296" s="24" t="str">
        <v>7 out of 10</v>
      </c>
      <c r="H296" s="24" t="str">
        <v>https://nycdoe.sharepoint.com/:w:/s/BAP/EXyr8Bdoy6NPisRgB1mL-aMBozJmYtnmgu-V45yilJdfVg</v>
      </c>
      <c r="I296" s="23">
        <v>274</v>
      </c>
      <c r="J296" s="24" t="str">
        <v>-</v>
      </c>
      <c r="K296" s="24">
        <v>834</v>
      </c>
      <c r="L296" s="24" t="str">
        <v>7 out of 10</v>
      </c>
      <c r="M296" s="23" t="b">
        <f t="shared" si="8"/>
        <v>1</v>
      </c>
      <c r="N296" s="23" t="str">
        <v>7 out of 10</v>
      </c>
      <c r="O296" s="23"/>
      <c r="P296" s="42" t="str">
        <v>7</v>
      </c>
      <c r="Q296" s="42" t="str">
        <v>7</v>
      </c>
      <c r="R296" s="42" t="str">
        <v>7</v>
      </c>
      <c r="S296" s="10" t="str">
        <f t="shared" si="9"/>
        <v>No Change</v>
      </c>
    </row>
    <row r="297" spans="1:19" ht="135" hidden="1">
      <c r="A297" s="8" t="s">
        <v>2775</v>
      </c>
      <c r="B297" s="9" t="s">
        <v>13560</v>
      </c>
      <c r="C297" s="37" t="s">
        <v>7426</v>
      </c>
      <c r="D297" s="24"/>
      <c r="E297" s="24"/>
      <c r="F297" s="24" t="str">
        <v>M114</v>
      </c>
      <c r="G297" s="24" t="str">
        <v>10 out of 10</v>
      </c>
      <c r="H297" s="24" t="str">
        <v>https://nycdoe.sharepoint.com/:w:/s/BAP/ETNR9bC8989Jg7jvrMi5macBocoJVh4cMRZ18eSRw7fzkA</v>
      </c>
      <c r="I297" s="23">
        <v>275</v>
      </c>
      <c r="J297" s="24" t="str">
        <v>-</v>
      </c>
      <c r="K297" s="24">
        <v>837</v>
      </c>
      <c r="L297" s="24" t="str">
        <v>10 out of 10</v>
      </c>
      <c r="M297" s="23" t="b">
        <f t="shared" si="8"/>
        <v>1</v>
      </c>
      <c r="N297" s="23" t="str">
        <v>10 out of 10</v>
      </c>
      <c r="O297" s="23"/>
      <c r="P297" s="42" t="str">
        <v>10</v>
      </c>
      <c r="Q297" s="42" t="str">
        <v>10</v>
      </c>
      <c r="R297" s="42" t="str">
        <v>10</v>
      </c>
      <c r="S297" s="10" t="str">
        <f t="shared" si="9"/>
        <v>No Change</v>
      </c>
    </row>
    <row r="298" spans="1:19" ht="120" hidden="1">
      <c r="A298" s="8" t="s">
        <v>2779</v>
      </c>
      <c r="B298" s="9" t="s">
        <v>13563</v>
      </c>
      <c r="C298" s="37" t="s">
        <v>7430</v>
      </c>
      <c r="D298" s="24"/>
      <c r="E298" s="24"/>
      <c r="F298" s="24" t="str">
        <v>M116</v>
      </c>
      <c r="G298" s="24" t="str">
        <v>1 out of 10</v>
      </c>
      <c r="H298" s="24" t="str">
        <v>https://nycdoe.sharepoint.com/:w:/s/BAP/EcFybsDkiVtKn09Jg_LfkCgBsmRMxWHhn4nQwakif6nd4Q</v>
      </c>
      <c r="I298" s="23">
        <v>276</v>
      </c>
      <c r="J298" s="24" t="str">
        <v>-</v>
      </c>
      <c r="K298" s="24">
        <v>841</v>
      </c>
      <c r="L298" s="24" t="str">
        <v>1 out of 10</v>
      </c>
      <c r="M298" s="23" t="b">
        <f t="shared" si="8"/>
        <v>1</v>
      </c>
      <c r="N298" s="23" t="str">
        <v>1 out of 10</v>
      </c>
      <c r="O298" s="23"/>
      <c r="P298" s="42" t="str">
        <v>1</v>
      </c>
      <c r="Q298" s="42" t="str">
        <v>1</v>
      </c>
      <c r="R298" s="42" t="str">
        <v>1</v>
      </c>
      <c r="S298" s="10" t="str">
        <f t="shared" si="9"/>
        <v>No Change</v>
      </c>
    </row>
    <row r="299" spans="1:19" ht="120" hidden="1">
      <c r="A299" s="8" t="s">
        <v>2786</v>
      </c>
      <c r="B299" s="9" t="s">
        <v>13555</v>
      </c>
      <c r="C299" s="37" t="s">
        <v>7434</v>
      </c>
      <c r="D299" s="24"/>
      <c r="E299" s="24"/>
      <c r="F299" s="24" t="str">
        <v>M117</v>
      </c>
      <c r="G299" s="24" t="str">
        <v>3 out of 10</v>
      </c>
      <c r="H299" s="24" t="str">
        <v>https://nycdoe.sharepoint.com/:w:/s/BAP/ES7BZ0tdcHpDi7X4SB_ohAcB1OW__oltd3a-losSqFJxZA</v>
      </c>
      <c r="I299" s="23">
        <v>277</v>
      </c>
      <c r="J299" s="24" t="str">
        <v>-</v>
      </c>
      <c r="K299" s="24">
        <v>842</v>
      </c>
      <c r="L299" s="24" t="str">
        <v>3 out of 10</v>
      </c>
      <c r="M299" s="23" t="b">
        <f t="shared" si="8"/>
        <v>1</v>
      </c>
      <c r="N299" s="23" t="str">
        <v>3 out of 10</v>
      </c>
      <c r="O299" s="23"/>
      <c r="P299" s="42" t="str">
        <v>3</v>
      </c>
      <c r="Q299" s="42" t="str">
        <v>3</v>
      </c>
      <c r="R299" s="42" t="str">
        <v>3</v>
      </c>
      <c r="S299" s="10" t="str">
        <f t="shared" si="9"/>
        <v>No Change</v>
      </c>
    </row>
    <row r="300" spans="1:19" ht="120" hidden="1">
      <c r="A300" s="8" t="s">
        <v>2392</v>
      </c>
      <c r="B300" s="9" t="s">
        <v>13558</v>
      </c>
      <c r="C300" s="37" t="s">
        <v>7080</v>
      </c>
      <c r="D300" s="24"/>
      <c r="E300" s="24"/>
      <c r="F300" s="24" t="str">
        <v>M118</v>
      </c>
      <c r="G300" s="24" t="str">
        <v>9 out of 10</v>
      </c>
      <c r="H300" s="24" t="str">
        <v>https://nycdoe.sharepoint.com/:w:/s/BAP/Eb9hhE4y_JlLtQgLICKNA8YBcI56TUoHBJCpCnMcMAnrXw</v>
      </c>
      <c r="I300" s="23">
        <v>278</v>
      </c>
      <c r="J300" s="24" t="str">
        <v>-</v>
      </c>
      <c r="K300" s="24">
        <v>845</v>
      </c>
      <c r="L300" s="24" t="str">
        <v>9 out of 10</v>
      </c>
      <c r="M300" s="23" t="b">
        <f t="shared" si="8"/>
        <v>1</v>
      </c>
      <c r="N300" s="23" t="str">
        <v>9 out of 10</v>
      </c>
      <c r="O300" s="23"/>
      <c r="P300" s="42" t="str">
        <v>9</v>
      </c>
      <c r="Q300" s="42" t="str">
        <v>9</v>
      </c>
      <c r="R300" s="42" t="str">
        <v>9</v>
      </c>
      <c r="S300" s="10" t="str">
        <f t="shared" si="9"/>
        <v>No Change</v>
      </c>
    </row>
    <row r="301" spans="1:19" ht="135" hidden="1">
      <c r="A301" s="8" t="s">
        <v>3078</v>
      </c>
      <c r="B301" s="9" t="s">
        <v>13564</v>
      </c>
      <c r="C301" s="37" t="s">
        <v>7801</v>
      </c>
      <c r="D301" s="24"/>
      <c r="E301" s="24"/>
      <c r="F301" s="24" t="str">
        <v>M123</v>
      </c>
      <c r="G301" s="24" t="str">
        <v>0 out of 10</v>
      </c>
      <c r="H301" s="24" t="str">
        <v>https://nycdoe.sharepoint.com/:w:/s/BAP/ETnuKt619NVEvbc00b459lEBK9YZ2n3Ifurdqhk3fbnnNQ</v>
      </c>
      <c r="I301" s="23">
        <v>279</v>
      </c>
      <c r="J301" s="24" t="str">
        <v>-</v>
      </c>
      <c r="K301" s="24">
        <v>850</v>
      </c>
      <c r="L301" s="24" t="str">
        <v>N/A out of 10</v>
      </c>
      <c r="M301" s="23" t="b">
        <f t="shared" si="8"/>
        <v>0</v>
      </c>
      <c r="N301" s="23" t="str">
        <v>0 out of 10</v>
      </c>
      <c r="O301" s="23"/>
      <c r="P301" s="42" t="str">
        <v>0</v>
      </c>
      <c r="Q301" s="42" t="str">
        <v>N/A</v>
      </c>
      <c r="R301" s="42" t="str">
        <v>0</v>
      </c>
      <c r="S301" s="10" t="str">
        <f t="shared" si="9"/>
        <v>No Change</v>
      </c>
    </row>
    <row r="302" spans="1:19" ht="120" hidden="1">
      <c r="A302" s="8" t="s">
        <v>2967</v>
      </c>
      <c r="B302" s="9" t="s">
        <v>13559</v>
      </c>
      <c r="C302" s="37" t="s">
        <v>7670</v>
      </c>
      <c r="D302" s="24"/>
      <c r="E302" s="24"/>
      <c r="F302" s="24" t="str">
        <v>M124</v>
      </c>
      <c r="G302" s="24" t="str">
        <v>3 out of 10</v>
      </c>
      <c r="H302" s="24" t="str">
        <v>https://nycdoe.sharepoint.com/:w:/s/BAP/EdRmXj1LXRBBk8TUQZTYO48BD5aOFc3EVZRM5PPR0lsnYw</v>
      </c>
      <c r="I302" s="23">
        <v>280</v>
      </c>
      <c r="J302" s="24" t="str">
        <v>-</v>
      </c>
      <c r="K302" s="24">
        <v>852</v>
      </c>
      <c r="L302" s="24" t="str">
        <v>3 out of 10</v>
      </c>
      <c r="M302" s="23" t="b">
        <f t="shared" si="8"/>
        <v>1</v>
      </c>
      <c r="N302" s="23" t="str">
        <v>3 out of 10</v>
      </c>
      <c r="O302" s="23"/>
      <c r="P302" s="42" t="str">
        <v>3</v>
      </c>
      <c r="Q302" s="42" t="str">
        <v>3</v>
      </c>
      <c r="R302" s="42" t="str">
        <v>3</v>
      </c>
      <c r="S302" s="10" t="str">
        <f t="shared" si="9"/>
        <v>No Change</v>
      </c>
    </row>
    <row r="303" spans="1:19" ht="120" hidden="1">
      <c r="A303" s="8" t="s">
        <v>3085</v>
      </c>
      <c r="B303" s="9" t="s">
        <v>13553</v>
      </c>
      <c r="C303" s="37" t="s">
        <v>7805</v>
      </c>
      <c r="D303" s="24"/>
      <c r="E303" s="24"/>
      <c r="F303" s="24" t="str">
        <v>M125</v>
      </c>
      <c r="G303" s="24" t="str">
        <v>7 out of 10</v>
      </c>
      <c r="H303" s="24" t="str">
        <v>https://nycdoe.sharepoint.com/:w:/s/BAP/ERyfqZTdzENHhBnT8wzhtCABUv1boXWAHB71dT4oilZBCg</v>
      </c>
      <c r="I303" s="23">
        <v>281</v>
      </c>
      <c r="J303" s="24" t="str">
        <v>-</v>
      </c>
      <c r="K303" s="24">
        <v>853</v>
      </c>
      <c r="L303" s="24" t="str">
        <v>7 out of 10</v>
      </c>
      <c r="M303" s="23" t="b">
        <f t="shared" si="8"/>
        <v>1</v>
      </c>
      <c r="N303" s="23" t="str">
        <v>7 out of 10</v>
      </c>
      <c r="O303" s="23"/>
      <c r="P303" s="42" t="str">
        <v>7</v>
      </c>
      <c r="Q303" s="42" t="str">
        <v>7</v>
      </c>
      <c r="R303" s="42" t="str">
        <v>7</v>
      </c>
      <c r="S303" s="10" t="str">
        <f t="shared" si="9"/>
        <v>No Change</v>
      </c>
    </row>
    <row r="304" spans="1:19" ht="120" hidden="1">
      <c r="A304" s="8" t="s">
        <v>3093</v>
      </c>
      <c r="B304" s="9" t="s">
        <v>13553</v>
      </c>
      <c r="C304" s="37" t="s">
        <v>7811</v>
      </c>
      <c r="D304" s="24"/>
      <c r="E304" s="24"/>
      <c r="F304" s="24" t="str">
        <v>M128</v>
      </c>
      <c r="G304" s="24" t="str">
        <v>7 out of 10</v>
      </c>
      <c r="H304" s="24" t="str">
        <v>https://nycdoe.sharepoint.com/:w:/s/BAP/ERIjUybnVLdMkeY__KLJTosBVpD3WtrGMg_Nc7u4KPuoVA</v>
      </c>
      <c r="I304" s="23">
        <v>282</v>
      </c>
      <c r="J304" s="24" t="str">
        <v>-</v>
      </c>
      <c r="K304" s="24">
        <v>857</v>
      </c>
      <c r="L304" s="24" t="str">
        <v>7 out of 10</v>
      </c>
      <c r="M304" s="23" t="b">
        <f t="shared" si="8"/>
        <v>1</v>
      </c>
      <c r="N304" s="23" t="str">
        <v>7 out of 10</v>
      </c>
      <c r="O304" s="23"/>
      <c r="P304" s="42" t="str">
        <v>7</v>
      </c>
      <c r="Q304" s="42" t="str">
        <v>7</v>
      </c>
      <c r="R304" s="42" t="str">
        <v>7</v>
      </c>
      <c r="S304" s="10" t="str">
        <f t="shared" si="9"/>
        <v>No Change</v>
      </c>
    </row>
    <row r="305" spans="1:19" ht="120" hidden="1">
      <c r="A305" s="8" t="s">
        <v>2790</v>
      </c>
      <c r="B305" s="9" t="s">
        <v>13565</v>
      </c>
      <c r="C305" s="37" t="s">
        <v>7438</v>
      </c>
      <c r="D305" s="24"/>
      <c r="E305" s="24"/>
      <c r="F305" s="24" t="str">
        <v>M130</v>
      </c>
      <c r="G305" s="24" t="str">
        <v>9 out of 10</v>
      </c>
      <c r="H305" s="24" t="str">
        <v>https://nycdoe.sharepoint.com/:w:/s/BAP/EappMdua2-5Jnkg6KucCjHEByU4tRQYO1RcM750tAbtymw</v>
      </c>
      <c r="I305" s="23">
        <v>283</v>
      </c>
      <c r="J305" s="24" t="str">
        <v>-</v>
      </c>
      <c r="K305" s="24">
        <v>861</v>
      </c>
      <c r="L305" s="24" t="str">
        <v>9 out of 10</v>
      </c>
      <c r="M305" s="23" t="b">
        <f t="shared" si="8"/>
        <v>1</v>
      </c>
      <c r="N305" s="23" t="str">
        <v>9 out of 10</v>
      </c>
      <c r="O305" s="23"/>
      <c r="P305" s="42" t="str">
        <v>9</v>
      </c>
      <c r="Q305" s="42" t="str">
        <v>9</v>
      </c>
      <c r="R305" s="42" t="str">
        <v>9</v>
      </c>
      <c r="S305" s="10" t="str">
        <f t="shared" si="9"/>
        <v>No Change</v>
      </c>
    </row>
    <row r="306" spans="1:19" ht="120" hidden="1">
      <c r="A306" s="8" t="s">
        <v>2396</v>
      </c>
      <c r="B306" s="9" t="s">
        <v>13560</v>
      </c>
      <c r="C306" s="37" t="s">
        <v>7084</v>
      </c>
      <c r="D306" s="24"/>
      <c r="E306" s="24"/>
      <c r="F306" s="24" t="str">
        <v>M131</v>
      </c>
      <c r="G306" s="24" t="str">
        <v>9 out of 10</v>
      </c>
      <c r="H306" s="24" t="str">
        <v>https://nycdoe.sharepoint.com/:w:/s/BAP/Ef0w4nz9nulJqI_I7UvqncAB2ny_ErTe6-WDfaqudHz7UQ</v>
      </c>
      <c r="I306" s="23">
        <v>284</v>
      </c>
      <c r="J306" s="24" t="str">
        <v>-</v>
      </c>
      <c r="K306" s="24">
        <v>862</v>
      </c>
      <c r="L306" s="24" t="str">
        <v>9 out of 10</v>
      </c>
      <c r="M306" s="23" t="b">
        <f t="shared" si="8"/>
        <v>1</v>
      </c>
      <c r="N306" s="23" t="str">
        <v>9 out of 10</v>
      </c>
      <c r="O306" s="23"/>
      <c r="P306" s="42" t="str">
        <v>9</v>
      </c>
      <c r="Q306" s="42" t="str">
        <v>9</v>
      </c>
      <c r="R306" s="42" t="str">
        <v>9</v>
      </c>
      <c r="S306" s="10" t="str">
        <f t="shared" si="9"/>
        <v>No Change</v>
      </c>
    </row>
    <row r="307" spans="1:19" ht="120" hidden="1">
      <c r="A307" s="8" t="s">
        <v>11224</v>
      </c>
      <c r="B307" s="11" t="s">
        <v>13561</v>
      </c>
      <c r="C307" s="37" t="s">
        <v>13600</v>
      </c>
      <c r="D307" s="24"/>
      <c r="E307" s="24"/>
      <c r="F307" s="24" t="str">
        <v>M134</v>
      </c>
      <c r="G307" s="24" t="str">
        <v>9 out of 10</v>
      </c>
      <c r="H307" s="24" t="str">
        <v>https://nycdoe.sharepoint.com/:w:/s/BAP/EYFjmBHRWcxKuHIr-7T3w9UBrqX6PM2rNIPjWp4YH9CLeg</v>
      </c>
      <c r="I307" s="23">
        <v>285</v>
      </c>
      <c r="J307" s="24" t="str">
        <v>-</v>
      </c>
      <c r="K307" s="24">
        <v>868</v>
      </c>
      <c r="L307" s="24" t="str">
        <v>9 out of 10</v>
      </c>
      <c r="M307" s="23" t="b">
        <f t="shared" si="8"/>
        <v>1</v>
      </c>
      <c r="N307" s="23" t="str">
        <v>9 out of 10</v>
      </c>
      <c r="O307" s="23"/>
      <c r="P307" s="42" t="str">
        <v>9</v>
      </c>
      <c r="Q307" s="42" t="str">
        <v>9</v>
      </c>
      <c r="R307" s="42" t="str">
        <v>9</v>
      </c>
      <c r="S307" s="10" t="str">
        <f t="shared" si="9"/>
        <v>No Change</v>
      </c>
    </row>
    <row r="308" spans="1:19" ht="120" hidden="1">
      <c r="A308" s="8" t="s">
        <v>2297</v>
      </c>
      <c r="B308" s="9" t="s">
        <v>13555</v>
      </c>
      <c r="C308" s="37" t="s">
        <v>6976</v>
      </c>
      <c r="D308" s="24"/>
      <c r="E308" s="24"/>
      <c r="F308" s="24" t="str">
        <v>M137</v>
      </c>
      <c r="G308" s="24" t="str">
        <v>9 out of 10</v>
      </c>
      <c r="H308" s="24" t="str">
        <v>https://nycdoe.sharepoint.com/:w:/s/BAP/EZ635Y7VKUlLitrZuywkIXEBx29RypWHG-2Yw5rNF1Y-7Q</v>
      </c>
      <c r="I308" s="23">
        <v>286</v>
      </c>
      <c r="J308" s="24" t="str">
        <v>-</v>
      </c>
      <c r="K308" s="24">
        <v>871</v>
      </c>
      <c r="L308" s="24" t="str">
        <v>9 out of 10</v>
      </c>
      <c r="M308" s="23" t="b">
        <f t="shared" si="8"/>
        <v>1</v>
      </c>
      <c r="N308" s="23" t="str">
        <v>9 out of 10</v>
      </c>
      <c r="O308" s="23"/>
      <c r="P308" s="42" t="str">
        <v>9</v>
      </c>
      <c r="Q308" s="42" t="str">
        <v>9</v>
      </c>
      <c r="R308" s="42" t="str">
        <v>9</v>
      </c>
      <c r="S308" s="10" t="str">
        <f t="shared" si="9"/>
        <v>No Change</v>
      </c>
    </row>
    <row r="309" spans="1:19" ht="120" hidden="1">
      <c r="A309" s="8" t="s">
        <v>3097</v>
      </c>
      <c r="B309" s="9" t="s">
        <v>13564</v>
      </c>
      <c r="C309" s="37" t="s">
        <v>7818</v>
      </c>
      <c r="D309" s="24"/>
      <c r="E309" s="24"/>
      <c r="F309" s="24" t="str">
        <v>M142</v>
      </c>
      <c r="G309" s="24" t="str">
        <v>6 out of 10</v>
      </c>
      <c r="H309" s="24" t="str">
        <v>https://nycdoe.sharepoint.com/:w:/s/BAP/EcdTY90HLw1FqKNbX_3Wjv8BYxo-Zfyo1LT469OUWNHLbQ</v>
      </c>
      <c r="I309" s="23">
        <v>287</v>
      </c>
      <c r="J309" s="24" t="str">
        <v>-</v>
      </c>
      <c r="K309" s="24">
        <v>873</v>
      </c>
      <c r="L309" s="24" t="str">
        <v>6 out of 10</v>
      </c>
      <c r="M309" s="23" t="b">
        <f t="shared" si="8"/>
        <v>1</v>
      </c>
      <c r="N309" s="23" t="str">
        <v>6 out of 10</v>
      </c>
      <c r="O309" s="23"/>
      <c r="P309" s="42" t="str">
        <v>6</v>
      </c>
      <c r="Q309" s="42" t="str">
        <v>6</v>
      </c>
      <c r="R309" s="42" t="str">
        <v>6</v>
      </c>
      <c r="S309" s="10" t="str">
        <f t="shared" si="9"/>
        <v>No Change</v>
      </c>
    </row>
    <row r="310" spans="1:19" ht="120" hidden="1">
      <c r="A310" s="8" t="s">
        <v>2794</v>
      </c>
      <c r="B310" s="9" t="s">
        <v>13560</v>
      </c>
      <c r="C310" s="37" t="s">
        <v>7441</v>
      </c>
      <c r="D310" s="24"/>
      <c r="E310" s="24"/>
      <c r="F310" s="24" t="str">
        <v>M143</v>
      </c>
      <c r="G310" s="24" t="str">
        <v>7 out of 10</v>
      </c>
      <c r="H310" s="24" t="str">
        <v>https://nycdoe.sharepoint.com/:w:/s/BAP/EWGNioARYrVMjylch3_1Fe0BH5UR7HFOncE8MEXYmlrvSg</v>
      </c>
      <c r="I310" s="23">
        <v>288</v>
      </c>
      <c r="J310" s="24" t="str">
        <v>-</v>
      </c>
      <c r="K310" s="24">
        <v>875</v>
      </c>
      <c r="L310" s="24" t="str">
        <v>7 out of 10</v>
      </c>
      <c r="M310" s="23" t="b">
        <f t="shared" si="8"/>
        <v>1</v>
      </c>
      <c r="N310" s="23" t="str">
        <v>7 out of 10</v>
      </c>
      <c r="O310" s="23"/>
      <c r="P310" s="42" t="str">
        <v>7</v>
      </c>
      <c r="Q310" s="42" t="str">
        <v>7</v>
      </c>
      <c r="R310" s="42" t="str">
        <v>7</v>
      </c>
      <c r="S310" s="10" t="str">
        <f t="shared" si="9"/>
        <v>No Change</v>
      </c>
    </row>
    <row r="311" spans="1:19" ht="120" hidden="1">
      <c r="A311" s="8" t="s">
        <v>11242</v>
      </c>
      <c r="B311" s="9" t="s">
        <v>13561</v>
      </c>
      <c r="C311" s="37" t="s">
        <v>13601</v>
      </c>
      <c r="D311" s="24"/>
      <c r="E311" s="24"/>
      <c r="F311" s="24" t="str">
        <v>M144</v>
      </c>
      <c r="G311" s="24" t="str">
        <v>1 out of 10</v>
      </c>
      <c r="H311" s="24" t="str">
        <v>https://nycdoe.sharepoint.com/:w:/s/BAP/ESe0Ruk3GqJBm9Y-tqQsRAYB3hsC73pKQjna6yZ4TBAZ2g</v>
      </c>
      <c r="I311" s="23">
        <v>289</v>
      </c>
      <c r="J311" s="24" t="str">
        <v>-</v>
      </c>
      <c r="K311" s="24">
        <v>877</v>
      </c>
      <c r="L311" s="24" t="str">
        <v>1 out of 10</v>
      </c>
      <c r="M311" s="23" t="b">
        <f t="shared" si="8"/>
        <v>1</v>
      </c>
      <c r="N311" s="23" t="str">
        <v>1 out of 10</v>
      </c>
      <c r="O311" s="23"/>
      <c r="P311" s="42" t="str">
        <v>1</v>
      </c>
      <c r="Q311" s="42" t="str">
        <v>1</v>
      </c>
      <c r="R311" s="42" t="str">
        <v>1</v>
      </c>
      <c r="S311" s="10" t="str">
        <f t="shared" si="9"/>
        <v>No Change</v>
      </c>
    </row>
    <row r="312" spans="1:19" ht="120" hidden="1">
      <c r="A312" s="8" t="s">
        <v>2974</v>
      </c>
      <c r="B312" s="9" t="s">
        <v>13555</v>
      </c>
      <c r="C312" s="37" t="s">
        <v>7684</v>
      </c>
      <c r="D312" s="24"/>
      <c r="E312" s="24"/>
      <c r="F312" s="24" t="str">
        <v>M145</v>
      </c>
      <c r="G312" s="24" t="str">
        <v>1 out of 10</v>
      </c>
      <c r="H312" s="24" t="str">
        <v>https://nycdoe.sharepoint.com/:w:/s/BAP/ERGCZRcgzJJMu7QFI0C2xw0BlsTn_gDRE_OljnnGJtNH1A</v>
      </c>
      <c r="I312" s="23">
        <v>290</v>
      </c>
      <c r="J312" s="24" t="str">
        <v>-</v>
      </c>
      <c r="K312" s="24">
        <v>879</v>
      </c>
      <c r="L312" s="24" t="str">
        <v>1 out of 10</v>
      </c>
      <c r="M312" s="23" t="b">
        <f t="shared" si="8"/>
        <v>1</v>
      </c>
      <c r="N312" s="23" t="str">
        <v>1 out of 10</v>
      </c>
      <c r="O312" s="23"/>
      <c r="P312" s="42" t="str">
        <v>1</v>
      </c>
      <c r="Q312" s="42" t="str">
        <v>1</v>
      </c>
      <c r="R312" s="42" t="str">
        <v>1</v>
      </c>
      <c r="S312" s="10" t="str">
        <f t="shared" si="9"/>
        <v>No Change</v>
      </c>
    </row>
    <row r="313" spans="1:19" ht="120" hidden="1">
      <c r="A313" s="8" t="s">
        <v>2799</v>
      </c>
      <c r="B313" s="9" t="s">
        <v>13564</v>
      </c>
      <c r="C313" s="37" t="s">
        <v>7445</v>
      </c>
      <c r="D313" s="24"/>
      <c r="E313" s="24"/>
      <c r="F313" s="24" t="str">
        <v>M146</v>
      </c>
      <c r="G313" s="24" t="str">
        <v>8 out of 10</v>
      </c>
      <c r="H313" s="24" t="str">
        <v>https://nycdoe.sharepoint.com/:w:/s/BAP/EelR_tk78BlDgxiTx3YaxlgBlbWiHgr-F9qta4i2wDMb5g</v>
      </c>
      <c r="I313" s="23">
        <v>291</v>
      </c>
      <c r="J313" s="24" t="str">
        <v>-</v>
      </c>
      <c r="K313" s="24">
        <v>881</v>
      </c>
      <c r="L313" s="24" t="str">
        <v>8 out of 10</v>
      </c>
      <c r="M313" s="23" t="b">
        <f t="shared" si="8"/>
        <v>1</v>
      </c>
      <c r="N313" s="23" t="str">
        <v>8 out of 10</v>
      </c>
      <c r="O313" s="23"/>
      <c r="P313" s="42" t="str">
        <v>8</v>
      </c>
      <c r="Q313" s="42" t="str">
        <v>8</v>
      </c>
      <c r="R313" s="42" t="str">
        <v>8</v>
      </c>
      <c r="S313" s="10" t="str">
        <f t="shared" si="9"/>
        <v>No Change</v>
      </c>
    </row>
    <row r="314" spans="1:19" ht="120" hidden="1">
      <c r="A314" s="8" t="s">
        <v>2982</v>
      </c>
      <c r="B314" s="9" t="s">
        <v>13555</v>
      </c>
      <c r="C314" s="37" t="s">
        <v>7688</v>
      </c>
      <c r="D314" s="24"/>
      <c r="E314" s="24"/>
      <c r="F314" s="24" t="str">
        <v>M149</v>
      </c>
      <c r="G314" s="24" t="str">
        <v>3 out of 10</v>
      </c>
      <c r="H314" s="24" t="str">
        <v>https://nycdoe.sharepoint.com/:w:/s/BAP/EcbKHXpvAJxNqSk6XjrimR8BqEiB7qlyEz18RiYt2oZ9jA</v>
      </c>
      <c r="I314" s="23">
        <v>292</v>
      </c>
      <c r="J314" s="24" t="str">
        <v>-</v>
      </c>
      <c r="K314" s="24">
        <v>883</v>
      </c>
      <c r="L314" s="24" t="str">
        <v>3 out of 10</v>
      </c>
      <c r="M314" s="23" t="b">
        <f t="shared" si="8"/>
        <v>1</v>
      </c>
      <c r="N314" s="23" t="str">
        <v>3 out of 10</v>
      </c>
      <c r="O314" s="23"/>
      <c r="P314" s="42" t="str">
        <v>3</v>
      </c>
      <c r="Q314" s="42" t="str">
        <v>3</v>
      </c>
      <c r="R314" s="42" t="str">
        <v>3</v>
      </c>
      <c r="S314" s="10" t="str">
        <f t="shared" si="9"/>
        <v>No Change</v>
      </c>
    </row>
    <row r="315" spans="1:19" ht="120" hidden="1">
      <c r="A315" s="8" t="s">
        <v>2803</v>
      </c>
      <c r="B315" s="9" t="s">
        <v>13559</v>
      </c>
      <c r="C315" s="37" t="s">
        <v>7447</v>
      </c>
      <c r="D315" s="24"/>
      <c r="E315" s="24"/>
      <c r="F315" s="24" t="str">
        <v>M152</v>
      </c>
      <c r="G315" s="24" t="str">
        <v>8 out of 10</v>
      </c>
      <c r="H315" s="24" t="str">
        <v>https://nycdoe.sharepoint.com/:w:/s/BAP/EY2pK3iSa7ZNr_zx317NbKgBTyEaXOOEtcZxMEJXSLmhKQ</v>
      </c>
      <c r="I315" s="23">
        <v>293</v>
      </c>
      <c r="J315" s="24" t="str">
        <v>-</v>
      </c>
      <c r="K315" s="24">
        <v>886</v>
      </c>
      <c r="L315" s="24" t="str">
        <v>8 out of 10</v>
      </c>
      <c r="M315" s="23" t="b">
        <f t="shared" si="8"/>
        <v>1</v>
      </c>
      <c r="N315" s="23" t="str">
        <v>8 out of 10</v>
      </c>
      <c r="O315" s="23"/>
      <c r="P315" s="42" t="str">
        <v>8</v>
      </c>
      <c r="Q315" s="42" t="str">
        <v>8</v>
      </c>
      <c r="R315" s="42" t="str">
        <v>8</v>
      </c>
      <c r="S315" s="10" t="str">
        <f t="shared" si="9"/>
        <v>No Change</v>
      </c>
    </row>
    <row r="316" spans="1:19" ht="120" hidden="1">
      <c r="A316" s="8" t="s">
        <v>11268</v>
      </c>
      <c r="B316" s="11" t="s">
        <v>13561</v>
      </c>
      <c r="C316" s="37" t="s">
        <v>13602</v>
      </c>
      <c r="D316" s="24"/>
      <c r="E316" s="24"/>
      <c r="F316" s="24" t="str">
        <v>M153</v>
      </c>
      <c r="G316" s="24" t="str">
        <v>5 out of 10</v>
      </c>
      <c r="H316" s="24" t="str">
        <v>https://nycdoe.sharepoint.com/:w:/s/BAP/EbWj5y4HET9HjpgtmBFSZU8BfzzS1RLB9MGEkU5jWH9wwA</v>
      </c>
      <c r="I316" s="23">
        <v>294</v>
      </c>
      <c r="J316" s="24" t="str">
        <v>-</v>
      </c>
      <c r="K316" s="24">
        <v>887</v>
      </c>
      <c r="L316" s="24" t="str">
        <v>5 out of 10</v>
      </c>
      <c r="M316" s="23" t="b">
        <f t="shared" si="8"/>
        <v>1</v>
      </c>
      <c r="N316" s="23" t="str">
        <v>5 out of 10</v>
      </c>
      <c r="O316" s="23"/>
      <c r="P316" s="42" t="str">
        <v>5</v>
      </c>
      <c r="Q316" s="42" t="str">
        <v>5</v>
      </c>
      <c r="R316" s="42" t="str">
        <v>5</v>
      </c>
      <c r="S316" s="10" t="str">
        <f t="shared" si="9"/>
        <v>No Change</v>
      </c>
    </row>
    <row r="317" spans="1:19" ht="120" hidden="1">
      <c r="A317" s="8" t="s">
        <v>3101</v>
      </c>
      <c r="B317" s="9" t="s">
        <v>13555</v>
      </c>
      <c r="C317" s="37" t="s">
        <v>7821</v>
      </c>
      <c r="D317" s="24"/>
      <c r="E317" s="24"/>
      <c r="F317" s="24" t="str">
        <v>M158</v>
      </c>
      <c r="G317" s="24" t="str">
        <v>8 out of 10</v>
      </c>
      <c r="H317" s="24" t="str">
        <v>https://nycdoe.sharepoint.com/:w:/s/BAP/EX5B3OoY9E1Kt1xQFgvZD_ABlBJCFGPcGntBGklhkqOqQQ</v>
      </c>
      <c r="I317" s="23">
        <v>295</v>
      </c>
      <c r="J317" s="24" t="str">
        <v>-</v>
      </c>
      <c r="K317" s="24">
        <v>893</v>
      </c>
      <c r="L317" s="24" t="str">
        <v>8 out of 10</v>
      </c>
      <c r="M317" s="23" t="b">
        <f t="shared" si="8"/>
        <v>1</v>
      </c>
      <c r="N317" s="23" t="str">
        <v>8 out of 10</v>
      </c>
      <c r="O317" s="23"/>
      <c r="P317" s="42" t="str">
        <v>8</v>
      </c>
      <c r="Q317" s="42" t="str">
        <v>8</v>
      </c>
      <c r="R317" s="42" t="str">
        <v>8</v>
      </c>
      <c r="S317" s="10" t="str">
        <f t="shared" si="9"/>
        <v>No Change</v>
      </c>
    </row>
    <row r="318" spans="1:19" ht="120" hidden="1">
      <c r="A318" s="8" t="s">
        <v>2986</v>
      </c>
      <c r="B318" s="9" t="s">
        <v>13558</v>
      </c>
      <c r="C318" s="37" t="s">
        <v>7692</v>
      </c>
      <c r="D318" s="24"/>
      <c r="E318" s="24"/>
      <c r="F318" s="24" t="str">
        <v>M161</v>
      </c>
      <c r="G318" s="24" t="str">
        <v>1 out of 10</v>
      </c>
      <c r="H318" s="24" t="str">
        <v>https://nycdoe.sharepoint.com/:w:/s/BAP/EWXrFp2jWhpAqoS_NH2LzGcBI5fKdSR96WuRrWtmkp48xw</v>
      </c>
      <c r="I318" s="23" t="str">
        <v>Was New</v>
      </c>
      <c r="J318" s="24" t="str">
        <v>1 out of 10</v>
      </c>
      <c r="K318" s="24">
        <v>895</v>
      </c>
      <c r="L318" s="24" t="str">
        <v>1 out of 10</v>
      </c>
      <c r="M318" s="23" t="b">
        <f t="shared" si="8"/>
        <v>1</v>
      </c>
      <c r="N318" s="23" t="str">
        <v>1 out of 10</v>
      </c>
      <c r="O318" s="23"/>
      <c r="P318" s="42" t="str">
        <v>1</v>
      </c>
      <c r="Q318" s="42" t="str">
        <v>1</v>
      </c>
      <c r="R318" s="42" t="str">
        <v>1</v>
      </c>
      <c r="S318" s="10" t="str">
        <f t="shared" si="9"/>
        <v>No Change</v>
      </c>
    </row>
    <row r="319" spans="1:19" ht="135" hidden="1">
      <c r="A319" s="8" t="s">
        <v>2400</v>
      </c>
      <c r="B319" s="9" t="s">
        <v>13560</v>
      </c>
      <c r="C319" s="37" t="s">
        <v>7096</v>
      </c>
      <c r="D319" s="24"/>
      <c r="E319" s="24"/>
      <c r="F319" s="24" t="str">
        <v>M163</v>
      </c>
      <c r="G319" s="24" t="str">
        <v>4 out of 10</v>
      </c>
      <c r="H319" s="24" t="str">
        <v>https://nycdoe.sharepoint.com/:w:/s/BAP/ER9ZgodPenNChneTGOQVVmQB6nua9P-n_HXBhAzGSw4U9g</v>
      </c>
      <c r="I319" s="23">
        <v>296</v>
      </c>
      <c r="J319" s="24" t="str">
        <v>-</v>
      </c>
      <c r="K319" s="24">
        <v>896</v>
      </c>
      <c r="L319" s="24" t="str">
        <v>4 out of 10</v>
      </c>
      <c r="M319" s="23" t="b">
        <f t="shared" si="8"/>
        <v>1</v>
      </c>
      <c r="N319" s="23" t="str">
        <v>4 out of 10</v>
      </c>
      <c r="O319" s="23"/>
      <c r="P319" s="42" t="str">
        <v>4</v>
      </c>
      <c r="Q319" s="42" t="str">
        <v>4</v>
      </c>
      <c r="R319" s="42" t="str">
        <v>4</v>
      </c>
      <c r="S319" s="10" t="str">
        <f t="shared" si="9"/>
        <v>No Change</v>
      </c>
    </row>
    <row r="320" spans="1:19" ht="120" hidden="1">
      <c r="A320" s="8" t="s">
        <v>3109</v>
      </c>
      <c r="B320" s="9" t="s">
        <v>13553</v>
      </c>
      <c r="C320" s="37" t="s">
        <v>7829</v>
      </c>
      <c r="D320" s="24"/>
      <c r="E320" s="24"/>
      <c r="F320" s="24" t="str">
        <v>M165</v>
      </c>
      <c r="G320" s="24" t="str">
        <v>2 out of 10</v>
      </c>
      <c r="H320" s="24" t="str">
        <v>https://nycdoe.sharepoint.com/:w:/s/BAP/EZNK322lw9xAqYoocahAjp4B6bpw-ZQKJcYymJ7CTH6ofQ</v>
      </c>
      <c r="I320" s="23">
        <v>297</v>
      </c>
      <c r="J320" s="24" t="str">
        <v>-</v>
      </c>
      <c r="K320" s="24">
        <v>899</v>
      </c>
      <c r="L320" s="24" t="str">
        <v>2 out of 10</v>
      </c>
      <c r="M320" s="23" t="b">
        <f t="shared" si="8"/>
        <v>1</v>
      </c>
      <c r="N320" s="23" t="str">
        <v>2 out of 10</v>
      </c>
      <c r="O320" s="23"/>
      <c r="P320" s="42" t="str">
        <v>2</v>
      </c>
      <c r="Q320" s="42" t="str">
        <v>2</v>
      </c>
      <c r="R320" s="42" t="str">
        <v>2</v>
      </c>
      <c r="S320" s="10" t="str">
        <f t="shared" si="9"/>
        <v>No Change</v>
      </c>
    </row>
    <row r="321" spans="1:19" ht="120" hidden="1">
      <c r="A321" s="8" t="s">
        <v>2404</v>
      </c>
      <c r="B321" s="9" t="s">
        <v>13555</v>
      </c>
      <c r="C321" s="37" t="s">
        <v>7100</v>
      </c>
      <c r="D321" s="24"/>
      <c r="E321" s="24"/>
      <c r="F321" s="24" t="str">
        <v>M166</v>
      </c>
      <c r="G321" s="24" t="str">
        <v>9 out of 10</v>
      </c>
      <c r="H321" s="24" t="str">
        <v>https://nycdoe.sharepoint.com/:w:/s/BAP/EQmoDazO8s1KuVHAxqVq_YEBKUOVYtCj1srcytO_f191yg</v>
      </c>
      <c r="I321" s="23">
        <v>298</v>
      </c>
      <c r="J321" s="24" t="str">
        <v>-</v>
      </c>
      <c r="K321" s="24">
        <v>901</v>
      </c>
      <c r="L321" s="24" t="str">
        <v>9 out of 10</v>
      </c>
      <c r="M321" s="23" t="b">
        <f t="shared" si="8"/>
        <v>1</v>
      </c>
      <c r="N321" s="23" t="str">
        <v>9 out of 10</v>
      </c>
      <c r="O321" s="23"/>
      <c r="P321" s="42" t="str">
        <v>9</v>
      </c>
      <c r="Q321" s="42" t="str">
        <v>9</v>
      </c>
      <c r="R321" s="42" t="str">
        <v>9</v>
      </c>
      <c r="S321" s="10" t="str">
        <f t="shared" si="9"/>
        <v>No Change</v>
      </c>
    </row>
    <row r="322" spans="1:19" ht="120" hidden="1">
      <c r="A322" s="8" t="s">
        <v>2408</v>
      </c>
      <c r="B322" s="9" t="s">
        <v>13553</v>
      </c>
      <c r="C322" s="37" t="s">
        <v>7104</v>
      </c>
      <c r="D322" s="24"/>
      <c r="E322" s="24"/>
      <c r="F322" s="24" t="str">
        <v>M169</v>
      </c>
      <c r="G322" s="24" t="str">
        <v>1 out of 10</v>
      </c>
      <c r="H322" s="24" t="str">
        <v>https://nycdoe.sharepoint.com/:w:/s/BAP/EVUDb0Ejt4BFqggeB2O_koYBtlyy24HeJK4tEqaUi43lGg</v>
      </c>
      <c r="I322" s="23">
        <v>299</v>
      </c>
      <c r="J322" s="24" t="str">
        <v>-</v>
      </c>
      <c r="K322" s="24">
        <v>903</v>
      </c>
      <c r="L322" s="24" t="str">
        <v>1 out of 10</v>
      </c>
      <c r="M322" s="23" t="b">
        <f t="shared" si="8"/>
        <v>1</v>
      </c>
      <c r="N322" s="23" t="str">
        <v>1 out of 10</v>
      </c>
      <c r="O322" s="23"/>
      <c r="P322" s="42" t="str">
        <v>1</v>
      </c>
      <c r="Q322" s="42" t="str">
        <v>1</v>
      </c>
      <c r="R322" s="42" t="str">
        <v>1</v>
      </c>
      <c r="S322" s="10" t="str">
        <f t="shared" si="9"/>
        <v>No Change</v>
      </c>
    </row>
    <row r="323" spans="1:19" ht="120" hidden="1">
      <c r="A323" s="8" t="s">
        <v>2413</v>
      </c>
      <c r="B323" s="9" t="s">
        <v>13553</v>
      </c>
      <c r="C323" s="37" t="s">
        <v>7106</v>
      </c>
      <c r="D323" s="24"/>
      <c r="E323" s="24"/>
      <c r="F323" s="24" t="str">
        <v>M173</v>
      </c>
      <c r="G323" s="24" t="str">
        <v>6 out of 10</v>
      </c>
      <c r="H323" s="24" t="str">
        <v>https://nycdoe.sharepoint.com/:w:/s/BAP/EbjtKjs7hndBkeUdSCfnrSwBMzMPINtB-XHlini8nqJeMg</v>
      </c>
      <c r="I323" s="23">
        <v>300</v>
      </c>
      <c r="J323" s="24" t="str">
        <v>-</v>
      </c>
      <c r="K323" s="24">
        <v>905</v>
      </c>
      <c r="L323" s="24" t="str">
        <v>6 out of 10</v>
      </c>
      <c r="M323" s="23" t="b">
        <f t="shared" ref="M323:M386" si="10">G323=L323</f>
        <v>1</v>
      </c>
      <c r="N323" s="23" t="str">
        <v>6 out of 10</v>
      </c>
      <c r="O323" s="23"/>
      <c r="P323" s="42" t="str">
        <v>6</v>
      </c>
      <c r="Q323" s="42" t="str">
        <v>6</v>
      </c>
      <c r="R323" s="42" t="str">
        <v>6</v>
      </c>
      <c r="S323" s="10" t="str">
        <f t="shared" ref="S323:S386" si="11">IFERROR(IF(OR(R323="0+",R323=0,AND(Q323="N/A")),"No Change",IF(R323&lt;&gt;Q323,"Change",IF(R323=Q323,"No Change",))),"Check BAP")</f>
        <v>No Change</v>
      </c>
    </row>
    <row r="324" spans="1:19" ht="120" hidden="1">
      <c r="A324" s="8" t="s">
        <v>2417</v>
      </c>
      <c r="B324" s="9" t="s">
        <v>13553</v>
      </c>
      <c r="C324" s="37" t="s">
        <v>7110</v>
      </c>
      <c r="D324" s="24"/>
      <c r="E324" s="24"/>
      <c r="F324" s="24" t="str">
        <v>M175</v>
      </c>
      <c r="G324" s="24" t="str">
        <v>3 out of 10</v>
      </c>
      <c r="H324" s="24" t="str">
        <v>https://nycdoe.sharepoint.com/:w:/s/BAP/EYqIFpgINIpOmlUFfex3ExUBFDqConzHukEEJ98AJFw3sA</v>
      </c>
      <c r="I324" s="23">
        <v>301</v>
      </c>
      <c r="J324" s="24" t="str">
        <v>-</v>
      </c>
      <c r="K324" s="24">
        <v>906</v>
      </c>
      <c r="L324" s="24" t="str">
        <v>3 out of 10</v>
      </c>
      <c r="M324" s="23" t="b">
        <f t="shared" si="10"/>
        <v>1</v>
      </c>
      <c r="N324" s="23" t="str">
        <v>3 out of 10</v>
      </c>
      <c r="O324" s="23"/>
      <c r="P324" s="42" t="str">
        <v>3</v>
      </c>
      <c r="Q324" s="42" t="str">
        <v>3</v>
      </c>
      <c r="R324" s="42" t="str">
        <v>3</v>
      </c>
      <c r="S324" s="10" t="str">
        <f t="shared" si="11"/>
        <v>No Change</v>
      </c>
    </row>
    <row r="325" spans="1:19" ht="120" hidden="1">
      <c r="A325" s="8" t="s">
        <v>2421</v>
      </c>
      <c r="B325" s="9" t="s">
        <v>13555</v>
      </c>
      <c r="C325" s="37" t="s">
        <v>7116</v>
      </c>
      <c r="D325" s="24"/>
      <c r="E325" s="24"/>
      <c r="F325" s="24" t="str">
        <v>M176</v>
      </c>
      <c r="G325" s="24" t="str">
        <v>10 out of 10</v>
      </c>
      <c r="H325" s="24" t="str">
        <v>https://nycdoe.sharepoint.com/:w:/s/BAP/EQpUkuuy1PNImYIPwtNb4OUBNgUM79yMgbdJYQvs37DNGw</v>
      </c>
      <c r="I325" s="23">
        <v>302</v>
      </c>
      <c r="J325" s="24" t="str">
        <v>-</v>
      </c>
      <c r="K325" s="24">
        <v>908</v>
      </c>
      <c r="L325" s="24" t="str">
        <v>10 out of 10</v>
      </c>
      <c r="M325" s="23" t="b">
        <f t="shared" si="10"/>
        <v>1</v>
      </c>
      <c r="N325" s="23" t="str">
        <v>10 out of 10</v>
      </c>
      <c r="O325" s="23"/>
      <c r="P325" s="42" t="str">
        <v>10</v>
      </c>
      <c r="Q325" s="42" t="str">
        <v>10</v>
      </c>
      <c r="R325" s="42" t="str">
        <v>10</v>
      </c>
      <c r="S325" s="10" t="str">
        <f t="shared" si="11"/>
        <v>No Change</v>
      </c>
    </row>
    <row r="326" spans="1:19" ht="120" hidden="1">
      <c r="A326" s="8" t="s">
        <v>2432</v>
      </c>
      <c r="B326" s="9" t="s">
        <v>13553</v>
      </c>
      <c r="C326" s="37" t="s">
        <v>7124</v>
      </c>
      <c r="D326" s="24"/>
      <c r="E326" s="24"/>
      <c r="F326" s="24" t="str">
        <v>M178</v>
      </c>
      <c r="G326" s="24" t="str">
        <v>10 out of 10</v>
      </c>
      <c r="H326" s="24" t="str">
        <v>https://nycdoe.sharepoint.com/:w:/s/BAP/ESY_r0ZHzY1NkCt63eysiW4BXb3RcGwIAC6lPp_OdL2g0A</v>
      </c>
      <c r="I326" s="23">
        <v>303</v>
      </c>
      <c r="J326" s="24" t="str">
        <v>-</v>
      </c>
      <c r="K326" s="24">
        <v>910</v>
      </c>
      <c r="L326" s="24" t="str">
        <v>10 out of 10</v>
      </c>
      <c r="M326" s="23" t="b">
        <f t="shared" si="10"/>
        <v>1</v>
      </c>
      <c r="N326" s="23" t="str">
        <v>10 out of 10</v>
      </c>
      <c r="O326" s="23"/>
      <c r="P326" s="42" t="str">
        <v>10</v>
      </c>
      <c r="Q326" s="42" t="str">
        <v>10</v>
      </c>
      <c r="R326" s="42" t="str">
        <v>10</v>
      </c>
      <c r="S326" s="10" t="str">
        <f t="shared" si="11"/>
        <v>No Change</v>
      </c>
    </row>
    <row r="327" spans="1:19" ht="120" hidden="1">
      <c r="A327" s="8" t="s">
        <v>2440</v>
      </c>
      <c r="B327" s="9" t="s">
        <v>13553</v>
      </c>
      <c r="C327" s="37" t="s">
        <v>7130</v>
      </c>
      <c r="D327" s="24"/>
      <c r="E327" s="24"/>
      <c r="F327" s="24" t="str">
        <v>M180</v>
      </c>
      <c r="G327" s="24" t="str">
        <v>5 out of 10</v>
      </c>
      <c r="H327" s="24" t="str">
        <v>https://nycdoe.sharepoint.com/:w:/s/BAP/EViY2KOc26hBl3PDTy0MJBMBZLFSx9r6e7ioJsXNFRVwwA</v>
      </c>
      <c r="I327" s="23">
        <v>304</v>
      </c>
      <c r="J327" s="24" t="str">
        <v>-</v>
      </c>
      <c r="K327" s="24">
        <v>911</v>
      </c>
      <c r="L327" s="24" t="str">
        <v>5 out of 10</v>
      </c>
      <c r="M327" s="23" t="b">
        <f t="shared" si="10"/>
        <v>1</v>
      </c>
      <c r="N327" s="23" t="str">
        <v>5 out of 10</v>
      </c>
      <c r="O327" s="23"/>
      <c r="P327" s="42" t="str">
        <v>5</v>
      </c>
      <c r="Q327" s="42" t="str">
        <v>5</v>
      </c>
      <c r="R327" s="42" t="str">
        <v>5</v>
      </c>
      <c r="S327" s="10" t="str">
        <f t="shared" si="11"/>
        <v>No Change</v>
      </c>
    </row>
    <row r="328" spans="1:19" ht="120" hidden="1">
      <c r="A328" s="8" t="s">
        <v>2445</v>
      </c>
      <c r="B328" s="9" t="s">
        <v>13553</v>
      </c>
      <c r="C328" s="37" t="s">
        <v>7132</v>
      </c>
      <c r="D328" s="24"/>
      <c r="E328" s="24"/>
      <c r="F328" s="24" t="str">
        <v>M183</v>
      </c>
      <c r="G328" s="24" t="str">
        <v>4 out of 10</v>
      </c>
      <c r="H328" s="24" t="str">
        <v>https://nycdoe.sharepoint.com/:w:/s/BAP/EZhCzMJJ0OdBnP8d8aYVLCwB3JFwd_PCCCNWLYbgRoK2EQ</v>
      </c>
      <c r="I328" s="23">
        <v>305</v>
      </c>
      <c r="J328" s="24" t="str">
        <v>-</v>
      </c>
      <c r="K328" s="24">
        <v>912</v>
      </c>
      <c r="L328" s="24" t="str">
        <v>4 out of 10</v>
      </c>
      <c r="M328" s="23" t="b">
        <f t="shared" si="10"/>
        <v>1</v>
      </c>
      <c r="N328" s="23" t="str">
        <v>4 out of 10</v>
      </c>
      <c r="O328" s="23"/>
      <c r="P328" s="42" t="str">
        <v>4</v>
      </c>
      <c r="Q328" s="42" t="str">
        <v>4</v>
      </c>
      <c r="R328" s="42" t="str">
        <v>4</v>
      </c>
      <c r="S328" s="10" t="str">
        <f t="shared" si="11"/>
        <v>No Change</v>
      </c>
    </row>
    <row r="329" spans="1:19" ht="135" hidden="1">
      <c r="A329" s="8" t="s">
        <v>2805</v>
      </c>
      <c r="B329" s="9" t="s">
        <v>13553</v>
      </c>
      <c r="C329" s="37" t="s">
        <v>7451</v>
      </c>
      <c r="D329" s="24"/>
      <c r="E329" s="24"/>
      <c r="F329" s="24" t="str">
        <v>M185</v>
      </c>
      <c r="G329" s="24" t="str">
        <v>0 out of 10</v>
      </c>
      <c r="H329" s="24" t="str">
        <v>https://nycdoe.sharepoint.com/:w:/s/BAP/EdwLcUv_OuBKj1tW93HfGxgB16CyNJN6ajKmHw1DXYj7YQ</v>
      </c>
      <c r="I329" s="23">
        <v>306</v>
      </c>
      <c r="J329" s="24" t="str">
        <v>-</v>
      </c>
      <c r="K329" s="24">
        <v>913</v>
      </c>
      <c r="L329" s="24" t="str">
        <v>N/A out of 10</v>
      </c>
      <c r="M329" s="23" t="b">
        <f t="shared" si="10"/>
        <v>0</v>
      </c>
      <c r="N329" s="23" t="str">
        <v>0 out of 10</v>
      </c>
      <c r="O329" s="23"/>
      <c r="P329" s="42" t="str">
        <v>0</v>
      </c>
      <c r="Q329" s="42" t="str">
        <v>N/A</v>
      </c>
      <c r="R329" s="42" t="str">
        <v>0</v>
      </c>
      <c r="S329" s="10" t="str">
        <f t="shared" si="11"/>
        <v>No Change</v>
      </c>
    </row>
    <row r="330" spans="1:19" ht="120" hidden="1">
      <c r="A330" s="8" t="s">
        <v>2449</v>
      </c>
      <c r="B330" s="9" t="s">
        <v>13553</v>
      </c>
      <c r="C330" s="37" t="s">
        <v>7139</v>
      </c>
      <c r="D330" s="24"/>
      <c r="E330" s="24"/>
      <c r="F330" s="24" t="str">
        <v>M188</v>
      </c>
      <c r="G330" s="24" t="str">
        <v>9 out of 10</v>
      </c>
      <c r="H330" s="24" t="str">
        <v>https://nycdoe.sharepoint.com/:w:/s/BAP/ERmt54KlISFNiXKhKDsdfC0B3YNy_CDGzEj3wrJF_Pwf6A</v>
      </c>
      <c r="I330" s="23">
        <v>307</v>
      </c>
      <c r="J330" s="24" t="str">
        <v>-</v>
      </c>
      <c r="K330" s="24">
        <v>915</v>
      </c>
      <c r="L330" s="24" t="str">
        <v>9 out of 10</v>
      </c>
      <c r="M330" s="23" t="b">
        <f t="shared" si="10"/>
        <v>1</v>
      </c>
      <c r="N330" s="23" t="str">
        <v>9 out of 10</v>
      </c>
      <c r="O330" s="23"/>
      <c r="P330" s="42" t="str">
        <v>9</v>
      </c>
      <c r="Q330" s="42" t="str">
        <v>9</v>
      </c>
      <c r="R330" s="42" t="str">
        <v>9</v>
      </c>
      <c r="S330" s="10" t="str">
        <f t="shared" si="11"/>
        <v>No Change</v>
      </c>
    </row>
    <row r="331" spans="1:19" ht="120" hidden="1">
      <c r="A331" s="8" t="s">
        <v>7830</v>
      </c>
      <c r="B331" s="9" t="s">
        <v>13560</v>
      </c>
      <c r="C331" s="37" t="s">
        <v>7832</v>
      </c>
      <c r="D331" s="24"/>
      <c r="E331" s="24"/>
      <c r="F331" s="24" t="str">
        <v>M189</v>
      </c>
      <c r="G331" s="24" t="str">
        <v>6 out of 10</v>
      </c>
      <c r="H331" s="24" t="str">
        <v>https://nycdoe.sharepoint.com/:w:/s/BAP/EaLWnepRF5ZOsp9bAL5dB_8BZq7-xMtaKVw7MYXPONO-_g</v>
      </c>
      <c r="I331" s="23">
        <v>308</v>
      </c>
      <c r="J331" s="24" t="str">
        <v>-</v>
      </c>
      <c r="K331" s="24">
        <v>917</v>
      </c>
      <c r="L331" s="24" t="str">
        <v>6 out of 10</v>
      </c>
      <c r="M331" s="23" t="b">
        <f t="shared" si="10"/>
        <v>1</v>
      </c>
      <c r="N331" s="23" t="str">
        <v>6 out of 10</v>
      </c>
      <c r="O331" s="23"/>
      <c r="P331" s="42" t="str">
        <v>6</v>
      </c>
      <c r="Q331" s="42" t="str">
        <v>6</v>
      </c>
      <c r="R331" s="42" t="str">
        <v>6</v>
      </c>
      <c r="S331" s="10" t="str">
        <f t="shared" si="11"/>
        <v>No Change</v>
      </c>
    </row>
    <row r="332" spans="1:19" ht="120" hidden="1">
      <c r="A332" s="8" t="s">
        <v>11318</v>
      </c>
      <c r="B332" s="9" t="s">
        <v>13561</v>
      </c>
      <c r="C332" s="37" t="s">
        <v>13603</v>
      </c>
      <c r="D332" s="24"/>
      <c r="E332" s="24"/>
      <c r="F332" s="24" t="str">
        <v>M191</v>
      </c>
      <c r="G332" s="24" t="str">
        <v>4 out of 10</v>
      </c>
      <c r="H332" s="24" t="str">
        <v>https://nycdoe.sharepoint.com/:w:/s/BAP/EY57qSTaWBpKmYOMT3S1l_MBP-EnyRjFsWs3hKk8XUcajw</v>
      </c>
      <c r="I332" s="23">
        <v>309</v>
      </c>
      <c r="J332" s="24" t="str">
        <v>-</v>
      </c>
      <c r="K332" s="24">
        <v>920</v>
      </c>
      <c r="L332" s="24" t="str">
        <v>4 out of 10</v>
      </c>
      <c r="M332" s="23" t="b">
        <f t="shared" si="10"/>
        <v>1</v>
      </c>
      <c r="N332" s="23" t="str">
        <v>4 out of 10</v>
      </c>
      <c r="O332" s="23"/>
      <c r="P332" s="42" t="str">
        <v>4</v>
      </c>
      <c r="Q332" s="42" t="str">
        <v>4</v>
      </c>
      <c r="R332" s="42" t="str">
        <v>4</v>
      </c>
      <c r="S332" s="10" t="str">
        <f t="shared" si="11"/>
        <v>No Change</v>
      </c>
    </row>
    <row r="333" spans="1:19" ht="120" hidden="1">
      <c r="A333" s="8" t="s">
        <v>7140</v>
      </c>
      <c r="B333" s="9" t="s">
        <v>13555</v>
      </c>
      <c r="C333" s="37" t="s">
        <v>7142</v>
      </c>
      <c r="D333" s="24"/>
      <c r="E333" s="24"/>
      <c r="F333" s="24" t="str">
        <v>M192</v>
      </c>
      <c r="G333" s="24" t="str">
        <v>0 out of 10</v>
      </c>
      <c r="H333" s="24" t="str">
        <v>https://nycdoe.sharepoint.com/:w:/s/BAP/EcH3coqS7UFFgfHPK-aacbYBLDfKVPxW0SYkovuVxcrnug</v>
      </c>
      <c r="I333" s="23">
        <v>310</v>
      </c>
      <c r="J333" s="24" t="str">
        <v>-</v>
      </c>
      <c r="K333" s="24">
        <v>921</v>
      </c>
      <c r="L333" s="24" t="str">
        <v>N/A out of 10</v>
      </c>
      <c r="M333" s="23" t="b">
        <f t="shared" si="10"/>
        <v>0</v>
      </c>
      <c r="N333" s="23" t="str">
        <v>0 out of 10</v>
      </c>
      <c r="O333" s="23"/>
      <c r="P333" s="42" t="str">
        <v>0</v>
      </c>
      <c r="Q333" s="42" t="str">
        <v>N/A</v>
      </c>
      <c r="R333" s="42" t="str">
        <v>0</v>
      </c>
      <c r="S333" s="10" t="str">
        <f t="shared" si="11"/>
        <v>No Change</v>
      </c>
    </row>
    <row r="334" spans="1:19" ht="120" hidden="1">
      <c r="A334" s="8" t="s">
        <v>2909</v>
      </c>
      <c r="B334" s="9" t="s">
        <v>13571</v>
      </c>
      <c r="C334" s="37" t="s">
        <v>7587</v>
      </c>
      <c r="D334" s="24"/>
      <c r="E334" s="24"/>
      <c r="F334" s="24" t="str">
        <v>M195</v>
      </c>
      <c r="G334" s="24" t="str">
        <v>9 out of 10</v>
      </c>
      <c r="H334" s="24" t="str">
        <v>https://nycdoe.sharepoint.com/:w:/s/BAP/Ed3oXdgdlLJDlq4QtQN1d_MBcrwdoQTRtJVT8ZSpYzOE6w</v>
      </c>
      <c r="I334" s="23">
        <v>311</v>
      </c>
      <c r="J334" s="24" t="str">
        <v>-</v>
      </c>
      <c r="K334" s="24">
        <v>925</v>
      </c>
      <c r="L334" s="24" t="str">
        <v>9 out of 10</v>
      </c>
      <c r="M334" s="23" t="b">
        <f t="shared" si="10"/>
        <v>1</v>
      </c>
      <c r="N334" s="23" t="str">
        <v>9 out of 10</v>
      </c>
      <c r="O334" s="23"/>
      <c r="P334" s="42" t="str">
        <v>9</v>
      </c>
      <c r="Q334" s="42" t="str">
        <v>9</v>
      </c>
      <c r="R334" s="42" t="str">
        <v>9</v>
      </c>
      <c r="S334" s="10" t="str">
        <f t="shared" si="11"/>
        <v>No Change</v>
      </c>
    </row>
    <row r="335" spans="1:19" ht="120" hidden="1">
      <c r="A335" s="8" t="s">
        <v>2453</v>
      </c>
      <c r="B335" s="9" t="s">
        <v>13571</v>
      </c>
      <c r="C335" s="37" t="s">
        <v>7146</v>
      </c>
      <c r="D335" s="24"/>
      <c r="E335" s="24"/>
      <c r="F335" s="24" t="str">
        <v>M199</v>
      </c>
      <c r="G335" s="24" t="str">
        <v>6 out of 10</v>
      </c>
      <c r="H335" s="24" t="str">
        <v>https://nycdoe.sharepoint.com/:w:/s/BAP/EbnmrNWnxi9Khbbqz76tvskBtRZSt752aBtoUtNdtowj2A</v>
      </c>
      <c r="I335" s="23">
        <v>312</v>
      </c>
      <c r="J335" s="24" t="str">
        <v>-</v>
      </c>
      <c r="K335" s="24">
        <v>932</v>
      </c>
      <c r="L335" s="24" t="str">
        <v>6 out of 10</v>
      </c>
      <c r="M335" s="23" t="b">
        <f t="shared" si="10"/>
        <v>1</v>
      </c>
      <c r="N335" s="23" t="str">
        <v>6 out of 10</v>
      </c>
      <c r="O335" s="23"/>
      <c r="P335" s="42" t="str">
        <v>6</v>
      </c>
      <c r="Q335" s="42" t="str">
        <v>6</v>
      </c>
      <c r="R335" s="42" t="str">
        <v>6</v>
      </c>
      <c r="S335" s="10" t="str">
        <f t="shared" si="11"/>
        <v>No Change</v>
      </c>
    </row>
    <row r="336" spans="1:19" ht="135" hidden="1">
      <c r="A336" s="8" t="s">
        <v>11333</v>
      </c>
      <c r="B336" s="9" t="s">
        <v>13553</v>
      </c>
      <c r="C336" s="37" t="s">
        <v>13604</v>
      </c>
      <c r="D336" s="24"/>
      <c r="E336" s="24"/>
      <c r="F336" s="24" t="str">
        <v>M200</v>
      </c>
      <c r="G336" s="24" t="str">
        <v>9 out of 10</v>
      </c>
      <c r="H336" s="24" t="str">
        <v>https://nycdoe.sharepoint.com/:w:/s/BAP/ETcithU_vR9IvGZO-zNazB0BRX7jUq09rXJGqBltLZy9ww</v>
      </c>
      <c r="I336" s="23">
        <v>313</v>
      </c>
      <c r="J336" s="24" t="str">
        <v>-</v>
      </c>
      <c r="K336" s="24">
        <v>933</v>
      </c>
      <c r="L336" s="24" t="str">
        <v>9 out of 10</v>
      </c>
      <c r="M336" s="23" t="b">
        <f t="shared" si="10"/>
        <v>1</v>
      </c>
      <c r="N336" s="23" t="str">
        <v>9 out of 10</v>
      </c>
      <c r="O336" s="23"/>
      <c r="P336" s="42" t="str">
        <v>9</v>
      </c>
      <c r="Q336" s="42" t="str">
        <v>9</v>
      </c>
      <c r="R336" s="42" t="str">
        <v>9</v>
      </c>
      <c r="S336" s="10" t="str">
        <f t="shared" si="11"/>
        <v>No Change</v>
      </c>
    </row>
    <row r="337" spans="1:19" ht="120" hidden="1">
      <c r="A337" s="8" t="s">
        <v>2301</v>
      </c>
      <c r="B337" s="9" t="s">
        <v>13559</v>
      </c>
      <c r="C337" s="37" t="s">
        <v>6982</v>
      </c>
      <c r="D337" s="24"/>
      <c r="E337" s="24"/>
      <c r="F337" s="24" t="str">
        <v>M207</v>
      </c>
      <c r="G337" s="24" t="str">
        <v>3 out of 10</v>
      </c>
      <c r="H337" s="24" t="str">
        <v>https://nycdoe.sharepoint.com/:w:/s/BAP/EYvA6QcLeSpFv06CWjl8hiUBoBA9sVqvdTFeUe_myIoABw</v>
      </c>
      <c r="I337" s="23">
        <v>314</v>
      </c>
      <c r="J337" s="24" t="str">
        <v>-</v>
      </c>
      <c r="K337" s="24">
        <v>936</v>
      </c>
      <c r="L337" s="24" t="str">
        <v>3 out of 10</v>
      </c>
      <c r="M337" s="23" t="b">
        <f t="shared" si="10"/>
        <v>1</v>
      </c>
      <c r="N337" s="23" t="str">
        <v>3 out of 10</v>
      </c>
      <c r="O337" s="23"/>
      <c r="P337" s="42" t="str">
        <v>3</v>
      </c>
      <c r="Q337" s="42" t="str">
        <v>3</v>
      </c>
      <c r="R337" s="42" t="str">
        <v>3</v>
      </c>
      <c r="S337" s="10" t="str">
        <f t="shared" si="11"/>
        <v>No Change</v>
      </c>
    </row>
    <row r="338" spans="1:19" ht="120" hidden="1">
      <c r="A338" s="8" t="s">
        <v>2473</v>
      </c>
      <c r="B338" s="9" t="s">
        <v>13555</v>
      </c>
      <c r="C338" s="37" t="s">
        <v>7178</v>
      </c>
      <c r="D338" s="24"/>
      <c r="E338" s="24"/>
      <c r="F338" s="24" t="str">
        <v>M208</v>
      </c>
      <c r="G338" s="24" t="str">
        <v>0 out of 10</v>
      </c>
      <c r="H338" s="24" t="str">
        <v>https://nycdoe.sharepoint.com/:w:/s/BAP/EYAwRAa_yj5Jr6GFf_twR2oBFW2gx1I0GS-CTY9kO0pdvQ</v>
      </c>
      <c r="I338" s="23">
        <v>315</v>
      </c>
      <c r="J338" s="24" t="str">
        <v>-</v>
      </c>
      <c r="K338" s="24">
        <v>937</v>
      </c>
      <c r="L338" s="24" t="str">
        <v>N/A out of 10</v>
      </c>
      <c r="M338" s="23" t="b">
        <f t="shared" si="10"/>
        <v>0</v>
      </c>
      <c r="N338" s="23" t="str">
        <v>0 out of 10</v>
      </c>
      <c r="O338" s="23"/>
      <c r="P338" s="42" t="str">
        <v>0</v>
      </c>
      <c r="Q338" s="42" t="str">
        <v>N/A</v>
      </c>
      <c r="R338" s="42" t="str">
        <v>0</v>
      </c>
      <c r="S338" s="10" t="str">
        <f t="shared" si="11"/>
        <v>No Change</v>
      </c>
    </row>
    <row r="339" spans="1:19" ht="120" hidden="1">
      <c r="A339" s="8" t="s">
        <v>2478</v>
      </c>
      <c r="B339" s="9" t="s">
        <v>13559</v>
      </c>
      <c r="C339" s="37" t="s">
        <v>7182</v>
      </c>
      <c r="D339" s="24"/>
      <c r="E339" s="24"/>
      <c r="F339" s="24" t="str">
        <v>M218</v>
      </c>
      <c r="G339" s="24" t="str">
        <v>9 out of 10</v>
      </c>
      <c r="H339" s="24" t="str">
        <v>https://nycdoe.sharepoint.com/:w:/s/BAP/ESQgqgRi7clLhmVA64xCvAUBnZhJI8wWCvUdytyUXI7H8g</v>
      </c>
      <c r="I339" s="23">
        <v>316</v>
      </c>
      <c r="J339" s="24" t="str">
        <v>-</v>
      </c>
      <c r="K339" s="24">
        <v>939</v>
      </c>
      <c r="L339" s="24" t="str">
        <v>9 out of 10</v>
      </c>
      <c r="M339" s="23" t="b">
        <f t="shared" si="10"/>
        <v>1</v>
      </c>
      <c r="N339" s="23" t="str">
        <v>9 out of 10</v>
      </c>
      <c r="O339" s="23"/>
      <c r="P339" s="42" t="str">
        <v>9</v>
      </c>
      <c r="Q339" s="42" t="str">
        <v>9</v>
      </c>
      <c r="R339" s="42" t="str">
        <v>9</v>
      </c>
      <c r="S339" s="10" t="str">
        <f t="shared" si="11"/>
        <v>No Change</v>
      </c>
    </row>
    <row r="340" spans="1:19" ht="105" hidden="1">
      <c r="A340" s="8" t="s">
        <v>2498</v>
      </c>
      <c r="B340" s="11" t="s">
        <v>13553</v>
      </c>
      <c r="C340" s="37" t="s">
        <v>7195</v>
      </c>
      <c r="D340" s="24"/>
      <c r="E340" s="24"/>
      <c r="F340" s="24" t="str">
        <v>M223</v>
      </c>
      <c r="G340" s="24" t="str">
        <v>1 out of 10</v>
      </c>
      <c r="H340" s="24" t="str">
        <v>https://nycdoe.sharepoint.com/:w:/s/BAP/EVTBcRXQVO1JpnPMDdeCVxgBpihOxYALQYgIT76VHgECiQ</v>
      </c>
      <c r="I340" s="23">
        <v>317</v>
      </c>
      <c r="J340" s="24" t="str">
        <v>-</v>
      </c>
      <c r="K340" s="24">
        <v>942</v>
      </c>
      <c r="L340" s="24" t="str">
        <v>1 out of 10</v>
      </c>
      <c r="M340" s="23" t="b">
        <f t="shared" si="10"/>
        <v>1</v>
      </c>
      <c r="N340" s="23" t="str">
        <v>1 out of 10</v>
      </c>
      <c r="O340" s="23"/>
      <c r="P340" s="42" t="str">
        <v>1</v>
      </c>
      <c r="Q340" s="42" t="str">
        <v>1</v>
      </c>
      <c r="R340" s="42" t="str">
        <v>1</v>
      </c>
      <c r="S340" s="10" t="str">
        <f t="shared" si="11"/>
        <v>No Change</v>
      </c>
    </row>
    <row r="341" spans="1:19" ht="120" hidden="1">
      <c r="A341" s="8" t="s">
        <v>3114</v>
      </c>
      <c r="B341" s="9" t="s">
        <v>13571</v>
      </c>
      <c r="C341" s="37" t="s">
        <v>7836</v>
      </c>
      <c r="D341" s="24"/>
      <c r="E341" s="24"/>
      <c r="F341" s="24" t="str">
        <v>M234</v>
      </c>
      <c r="G341" s="24" t="str">
        <v>4 out of 10</v>
      </c>
      <c r="H341" s="24" t="str">
        <v>https://nycdoe.sharepoint.com/:w:/s/BAP/ETvZgY803vVPj5kxeHwO5IwBudIG4oxVgk-IwhtLOaGOGw</v>
      </c>
      <c r="I341" s="23">
        <v>318</v>
      </c>
      <c r="J341" s="24" t="str">
        <v>-</v>
      </c>
      <c r="K341" s="24">
        <v>943</v>
      </c>
      <c r="L341" s="24" t="str">
        <v>4 out of 10</v>
      </c>
      <c r="M341" s="23" t="b">
        <f t="shared" si="10"/>
        <v>1</v>
      </c>
      <c r="N341" s="23" t="str">
        <v>4 out of 10</v>
      </c>
      <c r="O341" s="23"/>
      <c r="P341" s="42" t="str">
        <v>4</v>
      </c>
      <c r="Q341" s="42" t="str">
        <v>4</v>
      </c>
      <c r="R341" s="42" t="str">
        <v>4</v>
      </c>
      <c r="S341" s="10" t="str">
        <f t="shared" si="11"/>
        <v>No Change</v>
      </c>
    </row>
    <row r="342" spans="1:19" ht="120" hidden="1">
      <c r="A342" s="8" t="s">
        <v>2809</v>
      </c>
      <c r="B342" s="9" t="s">
        <v>13555</v>
      </c>
      <c r="C342" s="37" t="s">
        <v>7455</v>
      </c>
      <c r="D342" s="24"/>
      <c r="E342" s="24"/>
      <c r="F342" s="24" t="str">
        <v>M263</v>
      </c>
      <c r="G342" s="24" t="str">
        <v>10 out of 10</v>
      </c>
      <c r="H342" s="24" t="str">
        <v>https://nycdoe.sharepoint.com/:w:/s/BAP/EUGMP12WDF1Evx35JVwmRJ0BFuhquOakBAD30ZwhYTYhtg</v>
      </c>
      <c r="I342" s="23">
        <v>319</v>
      </c>
      <c r="J342" s="24" t="str">
        <v>-</v>
      </c>
      <c r="K342" s="24">
        <v>944</v>
      </c>
      <c r="L342" s="24" t="str">
        <v>10 out of 10</v>
      </c>
      <c r="M342" s="23" t="b">
        <f t="shared" si="10"/>
        <v>1</v>
      </c>
      <c r="N342" s="23" t="str">
        <v>10 out of 10</v>
      </c>
      <c r="O342" s="23"/>
      <c r="P342" s="42" t="str">
        <v>10</v>
      </c>
      <c r="Q342" s="42" t="str">
        <v>10</v>
      </c>
      <c r="R342" s="42" t="str">
        <v>10</v>
      </c>
      <c r="S342" s="10" t="str">
        <f t="shared" si="11"/>
        <v>No Change</v>
      </c>
    </row>
    <row r="343" spans="1:19" ht="120" hidden="1">
      <c r="A343" s="8" t="s">
        <v>2508</v>
      </c>
      <c r="B343" s="9" t="s">
        <v>13561</v>
      </c>
      <c r="C343" s="37" t="s">
        <v>13605</v>
      </c>
      <c r="D343" s="24"/>
      <c r="E343" s="24"/>
      <c r="F343" s="24" t="str">
        <v>M267</v>
      </c>
      <c r="G343" s="24" t="str">
        <v>9 out of 10</v>
      </c>
      <c r="H343" s="24" t="str">
        <v>https://nycdoe.sharepoint.com/:w:/s/BAP/EYnFlXRQo1ZJtHK9btiG7IgBGrzAIBOuN9WOyu4BPmo-Jw</v>
      </c>
      <c r="I343" s="23">
        <v>320</v>
      </c>
      <c r="J343" s="24" t="str">
        <v>-</v>
      </c>
      <c r="K343" s="24">
        <v>945</v>
      </c>
      <c r="L343" s="24" t="str">
        <v>9 out of 10</v>
      </c>
      <c r="M343" s="23" t="b">
        <f t="shared" si="10"/>
        <v>1</v>
      </c>
      <c r="N343" s="23" t="str">
        <v>9 out of 10</v>
      </c>
      <c r="O343" s="23"/>
      <c r="P343" s="42" t="str">
        <v>9</v>
      </c>
      <c r="Q343" s="42" t="str">
        <v>9</v>
      </c>
      <c r="R343" s="42" t="str">
        <v>9</v>
      </c>
      <c r="S343" s="10" t="str">
        <f t="shared" si="11"/>
        <v>No Change</v>
      </c>
    </row>
    <row r="344" spans="1:19" ht="120" hidden="1">
      <c r="A344" s="8" t="s">
        <v>2503</v>
      </c>
      <c r="B344" s="9" t="s">
        <v>13553</v>
      </c>
      <c r="C344" s="37" t="s">
        <v>7197</v>
      </c>
      <c r="D344" s="24"/>
      <c r="E344" s="24"/>
      <c r="F344" s="24" t="str">
        <v>M271</v>
      </c>
      <c r="G344" s="24" t="str">
        <v>10 out of 10</v>
      </c>
      <c r="H344" s="24" t="str">
        <v>https://nycdoe.sharepoint.com/:w:/s/BAP/EXhKZeUYyX9Ama0ZEzrqxsgBY6fDOIipA2v_GFOK-qTcdg</v>
      </c>
      <c r="I344" s="23">
        <v>321</v>
      </c>
      <c r="J344" s="24" t="str">
        <v>-</v>
      </c>
      <c r="K344" s="24">
        <v>946</v>
      </c>
      <c r="L344" s="24" t="str">
        <v>10 out of 10</v>
      </c>
      <c r="M344" s="23" t="b">
        <f t="shared" si="10"/>
        <v>1</v>
      </c>
      <c r="N344" s="23" t="str">
        <v>10 out of 10</v>
      </c>
      <c r="O344" s="23"/>
      <c r="P344" s="42" t="str">
        <v>10</v>
      </c>
      <c r="Q344" s="42" t="str">
        <v>10</v>
      </c>
      <c r="R344" s="42" t="str">
        <v>10</v>
      </c>
      <c r="S344" s="10" t="str">
        <f t="shared" si="11"/>
        <v>No Change</v>
      </c>
    </row>
    <row r="345" spans="1:19" ht="120" hidden="1">
      <c r="A345" s="8" t="s">
        <v>2511</v>
      </c>
      <c r="B345" s="9" t="s">
        <v>13560</v>
      </c>
      <c r="C345" s="37" t="s">
        <v>7203</v>
      </c>
      <c r="D345" s="24"/>
      <c r="E345" s="24"/>
      <c r="F345" s="24" t="str">
        <v>M276</v>
      </c>
      <c r="G345" s="24" t="str">
        <v>10 out of 10</v>
      </c>
      <c r="H345" s="24" t="str">
        <v>https://nycdoe.sharepoint.com/:w:/s/BAP/EQZZzgho_DVAm95CGgONaOMBLElkRf_a9E_0G-xF9FWR7w</v>
      </c>
      <c r="I345" s="23">
        <v>322</v>
      </c>
      <c r="J345" s="24" t="str">
        <v>-</v>
      </c>
      <c r="K345" s="24">
        <v>947</v>
      </c>
      <c r="L345" s="24" t="str">
        <v>10 out of 10</v>
      </c>
      <c r="M345" s="23" t="b">
        <f t="shared" si="10"/>
        <v>1</v>
      </c>
      <c r="N345" s="23" t="str">
        <v>10 out of 10</v>
      </c>
      <c r="O345" s="23"/>
      <c r="P345" s="42" t="str">
        <v>10</v>
      </c>
      <c r="Q345" s="42" t="str">
        <v>10</v>
      </c>
      <c r="R345" s="42" t="str">
        <v>10</v>
      </c>
      <c r="S345" s="10" t="str">
        <f t="shared" si="11"/>
        <v>No Change</v>
      </c>
    </row>
    <row r="346" spans="1:19" ht="120" hidden="1">
      <c r="A346" s="8" t="s">
        <v>7693</v>
      </c>
      <c r="B346" s="9" t="s">
        <v>13553</v>
      </c>
      <c r="C346" s="38" t="s">
        <v>7698</v>
      </c>
      <c r="D346" s="24"/>
      <c r="E346" s="24"/>
      <c r="F346" s="24" t="str">
        <v>M281</v>
      </c>
      <c r="G346" s="24" t="str">
        <v>10 out of 10</v>
      </c>
      <c r="H346" s="24" t="str">
        <v>https://nycdoe.sharepoint.com/:w:/s/BAP/EaA4ejYlg3tDlTWoQgCY6kIB5K3PD1-t2j2NmVyHF0KE7g</v>
      </c>
      <c r="I346" s="23">
        <v>323</v>
      </c>
      <c r="J346" s="24" t="str">
        <v>-</v>
      </c>
      <c r="K346" s="24">
        <v>951</v>
      </c>
      <c r="L346" s="24" t="str">
        <v>10 out of 10</v>
      </c>
      <c r="M346" s="23" t="b">
        <f t="shared" si="10"/>
        <v>1</v>
      </c>
      <c r="N346" s="23" t="str">
        <v>10 out of 10</v>
      </c>
      <c r="O346" s="23"/>
      <c r="P346" s="42" t="str">
        <v>10</v>
      </c>
      <c r="Q346" s="42" t="str">
        <v>10</v>
      </c>
      <c r="R346" s="42" t="str">
        <v>10</v>
      </c>
      <c r="S346" s="10" t="str">
        <f t="shared" si="11"/>
        <v>No Change</v>
      </c>
    </row>
    <row r="347" spans="1:19" ht="120" hidden="1">
      <c r="A347" s="8" t="s">
        <v>2823</v>
      </c>
      <c r="B347" s="9" t="s">
        <v>13555</v>
      </c>
      <c r="C347" s="38" t="s">
        <v>7467</v>
      </c>
      <c r="D347" s="24"/>
      <c r="E347" s="24"/>
      <c r="F347" s="24" t="str">
        <v>M282</v>
      </c>
      <c r="G347" s="24" t="str">
        <v>9 out of 10</v>
      </c>
      <c r="H347" s="24" t="str">
        <v>https://nycdoe.sharepoint.com/:w:/s/BAP/EXmm6dwj5VdJkLvyMmFOyQQBCgDAKYQw9_IyEJgz3f9FHQ</v>
      </c>
      <c r="I347" s="23">
        <v>324</v>
      </c>
      <c r="J347" s="24" t="str">
        <v>-</v>
      </c>
      <c r="K347" s="24">
        <v>953</v>
      </c>
      <c r="L347" s="24" t="str">
        <v>9 out of 10</v>
      </c>
      <c r="M347" s="23" t="b">
        <f t="shared" si="10"/>
        <v>1</v>
      </c>
      <c r="N347" s="23" t="str">
        <v>9 out of 10</v>
      </c>
      <c r="O347" s="23"/>
      <c r="P347" s="42" t="str">
        <v>9</v>
      </c>
      <c r="Q347" s="42" t="str">
        <v>9</v>
      </c>
      <c r="R347" s="42" t="str">
        <v>9</v>
      </c>
      <c r="S347" s="10" t="str">
        <f t="shared" si="11"/>
        <v>No Change</v>
      </c>
    </row>
    <row r="348" spans="1:19" ht="120" hidden="1">
      <c r="A348" s="8" t="s">
        <v>2528</v>
      </c>
      <c r="B348" s="9" t="s">
        <v>13558</v>
      </c>
      <c r="C348" s="37" t="s">
        <v>7215</v>
      </c>
      <c r="D348" s="24"/>
      <c r="E348" s="24"/>
      <c r="F348" s="24" t="str">
        <v>M323</v>
      </c>
      <c r="G348" s="24" t="str">
        <v>10 out of 10</v>
      </c>
      <c r="H348" s="24" t="str">
        <v>https://nycdoe.sharepoint.com/:w:/s/BAP/EX-JhhCly-FKu4lkxWUYe6wBHB9JDvDq_9JQFKdBDADeIw</v>
      </c>
      <c r="I348" s="23">
        <v>325</v>
      </c>
      <c r="J348" s="24" t="str">
        <v>-</v>
      </c>
      <c r="K348" s="24">
        <v>956</v>
      </c>
      <c r="L348" s="24" t="str">
        <v>10 out of 10</v>
      </c>
      <c r="M348" s="23" t="b">
        <f t="shared" si="10"/>
        <v>1</v>
      </c>
      <c r="N348" s="23" t="str">
        <v>10 out of 10</v>
      </c>
      <c r="O348" s="23"/>
      <c r="P348" s="42" t="str">
        <v>10</v>
      </c>
      <c r="Q348" s="42" t="str">
        <v>10</v>
      </c>
      <c r="R348" s="42" t="str">
        <v>10</v>
      </c>
      <c r="S348" s="10" t="str">
        <f t="shared" si="11"/>
        <v>No Change</v>
      </c>
    </row>
    <row r="349" spans="1:19" ht="120" hidden="1">
      <c r="A349" s="8" t="s">
        <v>2533</v>
      </c>
      <c r="B349" s="9" t="s">
        <v>13553</v>
      </c>
      <c r="C349" s="37" t="s">
        <v>7219</v>
      </c>
      <c r="D349" s="24"/>
      <c r="E349" s="24"/>
      <c r="F349" s="24" t="str">
        <v>M338</v>
      </c>
      <c r="G349" s="24" t="str">
        <v>10 out of 10</v>
      </c>
      <c r="H349" s="24" t="str">
        <v>https://nycdoe.sharepoint.com/:w:/s/BAP/EStrrievQIRJouDS30xOmPQBVYjdr6mTnh6L2cSZZCjJ1g</v>
      </c>
      <c r="I349" s="23">
        <v>326</v>
      </c>
      <c r="J349" s="24" t="str">
        <v>-</v>
      </c>
      <c r="K349" s="24">
        <v>958</v>
      </c>
      <c r="L349" s="24" t="str">
        <v>10 out of 10</v>
      </c>
      <c r="M349" s="23" t="b">
        <f t="shared" si="10"/>
        <v>1</v>
      </c>
      <c r="N349" s="23" t="str">
        <v>10 out of 10</v>
      </c>
      <c r="O349" s="23"/>
      <c r="P349" s="42" t="str">
        <v>10</v>
      </c>
      <c r="Q349" s="42" t="str">
        <v>10</v>
      </c>
      <c r="R349" s="42" t="str">
        <v>10</v>
      </c>
      <c r="S349" s="10" t="str">
        <f t="shared" si="11"/>
        <v>No Change</v>
      </c>
    </row>
    <row r="350" spans="1:19" ht="120" hidden="1">
      <c r="A350" s="8" t="s">
        <v>2827</v>
      </c>
      <c r="B350" s="9" t="s">
        <v>13557</v>
      </c>
      <c r="C350" s="37" t="s">
        <v>7471</v>
      </c>
      <c r="D350" s="24"/>
      <c r="E350" s="24"/>
      <c r="F350" s="24" t="str">
        <v>M340</v>
      </c>
      <c r="G350" s="24" t="str">
        <v>10 out of 10</v>
      </c>
      <c r="H350" s="24" t="str">
        <v>https://nycdoe.sharepoint.com/:w:/s/BAP/EebWffIBe2BBnaLa5WhRpCYBRSoas5-vOX_JWzI8YyAQGg</v>
      </c>
      <c r="I350" s="23">
        <v>327</v>
      </c>
      <c r="J350" s="24" t="str">
        <v>-</v>
      </c>
      <c r="K350" s="24">
        <v>960</v>
      </c>
      <c r="L350" s="24" t="str">
        <v>10 out of 10</v>
      </c>
      <c r="M350" s="23" t="b">
        <f t="shared" si="10"/>
        <v>1</v>
      </c>
      <c r="N350" s="23" t="str">
        <v>10 out of 10</v>
      </c>
      <c r="O350" s="23"/>
      <c r="P350" s="42" t="str">
        <v>10</v>
      </c>
      <c r="Q350" s="42" t="str">
        <v>10</v>
      </c>
      <c r="R350" s="42" t="str">
        <v>10</v>
      </c>
      <c r="S350" s="10" t="str">
        <f t="shared" si="11"/>
        <v>No Change</v>
      </c>
    </row>
    <row r="351" spans="1:19" ht="120" hidden="1">
      <c r="A351" s="8" t="s">
        <v>11382</v>
      </c>
      <c r="B351" s="9" t="s">
        <v>13550</v>
      </c>
      <c r="C351" s="37" t="s">
        <v>13606</v>
      </c>
      <c r="D351" s="24"/>
      <c r="E351" s="24"/>
      <c r="F351" s="24" t="str">
        <v>M342</v>
      </c>
      <c r="G351" s="24" t="str">
        <v>10 out of 10</v>
      </c>
      <c r="H351" s="24" t="str">
        <v>https://nycdoe.sharepoint.com/:w:/s/BAP/EXzqHVJVAyJFiNG4H1IEw-UBJN6bk52Y9u2b-fLu7UslBA</v>
      </c>
      <c r="I351" s="23">
        <v>328</v>
      </c>
      <c r="J351" s="24" t="str">
        <v>-</v>
      </c>
      <c r="K351" s="24">
        <v>962</v>
      </c>
      <c r="L351" s="24" t="str">
        <v>10 out of 10</v>
      </c>
      <c r="M351" s="23" t="b">
        <f t="shared" si="10"/>
        <v>1</v>
      </c>
      <c r="N351" s="23" t="str">
        <v>10 out of 10</v>
      </c>
      <c r="O351" s="23"/>
      <c r="P351" s="42" t="str">
        <v>10</v>
      </c>
      <c r="Q351" s="42" t="str">
        <v>10</v>
      </c>
      <c r="R351" s="42" t="str">
        <v>10</v>
      </c>
      <c r="S351" s="10" t="str">
        <f t="shared" si="11"/>
        <v>No Change</v>
      </c>
    </row>
    <row r="352" spans="1:19" ht="120" hidden="1">
      <c r="A352" s="8" t="s">
        <v>2606</v>
      </c>
      <c r="B352" s="9" t="s">
        <v>13555</v>
      </c>
      <c r="C352" s="37" t="s">
        <v>7702</v>
      </c>
      <c r="D352" s="24"/>
      <c r="E352" s="24"/>
      <c r="F352" s="24" t="str">
        <v>M343</v>
      </c>
      <c r="G352" s="24" t="str">
        <v>10 out of 10</v>
      </c>
      <c r="H352" s="24" t="str">
        <v>https://nycdoe.sharepoint.com/:w:/s/BAP/EXRzI6U8omdBmCheSaj7zJIB69BVPeHjX7uu9SxTvs-x1w</v>
      </c>
      <c r="I352" s="23">
        <v>329</v>
      </c>
      <c r="J352" s="24" t="str">
        <v>-</v>
      </c>
      <c r="K352" s="24">
        <v>963</v>
      </c>
      <c r="L352" s="24" t="str">
        <v>10 out of 10</v>
      </c>
      <c r="M352" s="23" t="b">
        <f t="shared" si="10"/>
        <v>1</v>
      </c>
      <c r="N352" s="23" t="str">
        <v>10 out of 10</v>
      </c>
      <c r="O352" s="23"/>
      <c r="P352" s="42" t="str">
        <v>10</v>
      </c>
      <c r="Q352" s="42" t="str">
        <v>10</v>
      </c>
      <c r="R352" s="42" t="str">
        <v>10</v>
      </c>
      <c r="S352" s="10" t="str">
        <f t="shared" si="11"/>
        <v>No Change</v>
      </c>
    </row>
    <row r="353" spans="1:19" ht="120" hidden="1">
      <c r="A353" s="8" t="s">
        <v>2847</v>
      </c>
      <c r="B353" s="9" t="s">
        <v>13553</v>
      </c>
      <c r="C353" s="37" t="s">
        <v>7483</v>
      </c>
      <c r="D353" s="24"/>
      <c r="E353" s="24"/>
      <c r="F353" s="24" t="str">
        <v>M380</v>
      </c>
      <c r="G353" s="24" t="str">
        <v>4 out of 10</v>
      </c>
      <c r="H353" s="24" t="str">
        <v>https://nycdoe.sharepoint.com/:w:/s/BAP/EZ_31RdbEexFsMF0n8HfS_wB3KZQBx92gou10yrVyi_T6A</v>
      </c>
      <c r="I353" s="23">
        <v>330</v>
      </c>
      <c r="J353" s="24" t="str">
        <v>-</v>
      </c>
      <c r="K353" s="24">
        <v>966</v>
      </c>
      <c r="L353" s="24" t="str">
        <v>4 out of 10</v>
      </c>
      <c r="M353" s="23" t="b">
        <f t="shared" si="10"/>
        <v>1</v>
      </c>
      <c r="N353" s="23" t="str">
        <v>4 out of 10</v>
      </c>
      <c r="O353" s="23"/>
      <c r="P353" s="42" t="str">
        <v>4</v>
      </c>
      <c r="Q353" s="42" t="str">
        <v>4</v>
      </c>
      <c r="R353" s="42" t="str">
        <v>4</v>
      </c>
      <c r="S353" s="10" t="str">
        <f t="shared" si="11"/>
        <v>No Change</v>
      </c>
    </row>
    <row r="354" spans="1:19" ht="120" hidden="1">
      <c r="A354" s="8" t="s">
        <v>2306</v>
      </c>
      <c r="B354" s="9" t="s">
        <v>13560</v>
      </c>
      <c r="C354" s="37" t="s">
        <v>6986</v>
      </c>
      <c r="D354" s="24"/>
      <c r="E354" s="24"/>
      <c r="F354" s="24" t="str">
        <v>M389</v>
      </c>
      <c r="G354" s="24" t="str">
        <v>0 out of 10</v>
      </c>
      <c r="H354" s="24" t="str">
        <v>https://nycdoe.sharepoint.com/:w:/s/BAP/EeP_TIjXBb1Goq7fZ7-TC98B1zfxms_wH3i7nGO1SkNgKA</v>
      </c>
      <c r="I354" s="23">
        <v>331</v>
      </c>
      <c r="J354" s="24" t="str">
        <v>-</v>
      </c>
      <c r="K354" s="24">
        <v>968</v>
      </c>
      <c r="L354" s="24" t="str">
        <v>N/A out of 10</v>
      </c>
      <c r="M354" s="23" t="b">
        <f t="shared" si="10"/>
        <v>0</v>
      </c>
      <c r="N354" s="23" t="str">
        <v>0 out of 10</v>
      </c>
      <c r="O354" s="23"/>
      <c r="P354" s="42" t="str">
        <v>0</v>
      </c>
      <c r="Q354" s="42" t="str">
        <v>N/A</v>
      </c>
      <c r="R354" s="42" t="str">
        <v>0</v>
      </c>
      <c r="S354" s="10" t="str">
        <f t="shared" si="11"/>
        <v>No Change</v>
      </c>
    </row>
    <row r="355" spans="1:19" ht="120" hidden="1">
      <c r="A355" s="8" t="s">
        <v>2541</v>
      </c>
      <c r="B355" s="9" t="s">
        <v>13555</v>
      </c>
      <c r="C355" s="37" t="s">
        <v>7225</v>
      </c>
      <c r="D355" s="24"/>
      <c r="E355" s="24"/>
      <c r="F355" s="24" t="str">
        <v>M390</v>
      </c>
      <c r="G355" s="24" t="str">
        <v>9 out of 10</v>
      </c>
      <c r="H355" s="24" t="str">
        <v>https://nycdoe.sharepoint.com/:w:/s/BAP/EaZWsVX_gPxMmiOKqoe6JvwBADdq4UgIK1HwWyjZiYgHmw</v>
      </c>
      <c r="I355" s="23">
        <v>332</v>
      </c>
      <c r="J355" s="24" t="str">
        <v>-</v>
      </c>
      <c r="K355" s="24">
        <v>970</v>
      </c>
      <c r="L355" s="24" t="str">
        <v>9 out of 10</v>
      </c>
      <c r="M355" s="23" t="b">
        <f t="shared" si="10"/>
        <v>1</v>
      </c>
      <c r="N355" s="23" t="str">
        <v>9 out of 10</v>
      </c>
      <c r="O355" s="23"/>
      <c r="P355" s="42" t="str">
        <v>9</v>
      </c>
      <c r="Q355" s="42" t="str">
        <v>9</v>
      </c>
      <c r="R355" s="42" t="str">
        <v>9</v>
      </c>
      <c r="S355" s="10" t="str">
        <f t="shared" si="11"/>
        <v>No Change</v>
      </c>
    </row>
    <row r="356" spans="1:19" ht="120" hidden="1">
      <c r="A356" s="8" t="s">
        <v>13607</v>
      </c>
      <c r="B356" s="9" t="s">
        <v>13561</v>
      </c>
      <c r="C356" s="37" t="s">
        <v>13608</v>
      </c>
      <c r="D356" s="24"/>
      <c r="E356" s="24"/>
      <c r="F356" s="24" t="str">
        <v>M435</v>
      </c>
      <c r="G356" s="24" t="str">
        <v>7 out of 10</v>
      </c>
      <c r="H356" s="24" t="str">
        <v>https://nycdoe.sharepoint.com/:w:/s/BAP/Ec0k_FRdHWZAqiqcRCCq2E0BAn3yxJudwnvgkZKw7FKBZQ</v>
      </c>
      <c r="I356" s="23">
        <v>333</v>
      </c>
      <c r="J356" s="24" t="str">
        <v>-</v>
      </c>
      <c r="K356" s="24">
        <v>972</v>
      </c>
      <c r="L356" s="24" t="str">
        <v>7 out of 10</v>
      </c>
      <c r="M356" s="23" t="b">
        <f t="shared" si="10"/>
        <v>1</v>
      </c>
      <c r="N356" s="23" t="str">
        <v>7 out of 10</v>
      </c>
      <c r="O356" s="23"/>
      <c r="P356" s="42" t="str">
        <v>7</v>
      </c>
      <c r="Q356" s="42" t="str">
        <v>7</v>
      </c>
      <c r="R356" s="42" t="str">
        <v>7</v>
      </c>
      <c r="S356" s="10" t="str">
        <f t="shared" si="11"/>
        <v>No Change</v>
      </c>
    </row>
    <row r="357" spans="1:19" ht="120" hidden="1">
      <c r="A357" s="8" t="s">
        <v>13609</v>
      </c>
      <c r="B357" s="9" t="s">
        <v>13561</v>
      </c>
      <c r="C357" s="37" t="s">
        <v>13610</v>
      </c>
      <c r="D357" s="24"/>
      <c r="E357" s="24"/>
      <c r="F357" s="24" t="str">
        <v>M440</v>
      </c>
      <c r="G357" s="24" t="str">
        <v>7 out of 10</v>
      </c>
      <c r="H357" s="24" t="str">
        <v>https://nycdoe.sharepoint.com/:w:/s/BAP/EaxI8uO78wBGn4Z1xrKUV38B44e-j4JrqTacJUy0IMI9og</v>
      </c>
      <c r="I357" s="23">
        <v>334</v>
      </c>
      <c r="J357" s="24" t="str">
        <v>-</v>
      </c>
      <c r="K357" s="24">
        <v>975</v>
      </c>
      <c r="L357" s="24" t="str">
        <v>7 out of 10</v>
      </c>
      <c r="M357" s="23" t="b">
        <f t="shared" si="10"/>
        <v>1</v>
      </c>
      <c r="N357" s="23" t="str">
        <v>7 out of 10</v>
      </c>
      <c r="O357" s="23"/>
      <c r="P357" s="42" t="str">
        <v>7</v>
      </c>
      <c r="Q357" s="42" t="str">
        <v>7</v>
      </c>
      <c r="R357" s="42" t="str">
        <v>7</v>
      </c>
      <c r="S357" s="10" t="str">
        <f t="shared" si="11"/>
        <v>No Change</v>
      </c>
    </row>
    <row r="358" spans="1:19" ht="120" hidden="1">
      <c r="A358" s="8" t="s">
        <v>3128</v>
      </c>
      <c r="B358" s="9" t="s">
        <v>13571</v>
      </c>
      <c r="C358" s="37" t="s">
        <v>7853</v>
      </c>
      <c r="D358" s="24"/>
      <c r="E358" s="24"/>
      <c r="F358" s="24" t="str">
        <v>M444</v>
      </c>
      <c r="G358" s="24" t="str">
        <v>10 out of 10</v>
      </c>
      <c r="H358" s="24" t="str">
        <v>https://nycdoe.sharepoint.com/:w:/s/BAP/EQD5TwMs0XlMtptTcXJOH6UB9VPS1pH-IDhZucjJY7DtiA</v>
      </c>
      <c r="I358" s="23">
        <v>335</v>
      </c>
      <c r="J358" s="24" t="str">
        <v>-</v>
      </c>
      <c r="K358" s="24">
        <v>982</v>
      </c>
      <c r="L358" s="24" t="str">
        <v>10 out of 10</v>
      </c>
      <c r="M358" s="23" t="b">
        <f t="shared" si="10"/>
        <v>1</v>
      </c>
      <c r="N358" s="23" t="str">
        <v>10 out of 10</v>
      </c>
      <c r="O358" s="23"/>
      <c r="P358" s="42" t="str">
        <v>10</v>
      </c>
      <c r="Q358" s="42" t="str">
        <v>10</v>
      </c>
      <c r="R358" s="42" t="str">
        <v>10</v>
      </c>
      <c r="S358" s="10" t="str">
        <f t="shared" si="11"/>
        <v>No Change</v>
      </c>
    </row>
    <row r="359" spans="1:19" ht="120" hidden="1">
      <c r="A359" s="8" t="s">
        <v>2553</v>
      </c>
      <c r="B359" s="9" t="s">
        <v>13558</v>
      </c>
      <c r="C359" s="37" t="s">
        <v>7233</v>
      </c>
      <c r="D359" s="24"/>
      <c r="E359" s="24"/>
      <c r="F359" s="24" t="str">
        <v>M446</v>
      </c>
      <c r="G359" s="24" t="str">
        <v>3 out of 10</v>
      </c>
      <c r="H359" s="24" t="str">
        <v>https://nycdoe.sharepoint.com/:w:/s/BAP/EXLU2NctRo9BmJph6JFy6bcBZGh0T5DY0oobN6kXFv0Vow</v>
      </c>
      <c r="I359" s="23">
        <v>336</v>
      </c>
      <c r="J359" s="24" t="str">
        <v>-</v>
      </c>
      <c r="K359" s="24">
        <v>988</v>
      </c>
      <c r="L359" s="24" t="str">
        <v>3 out of 10</v>
      </c>
      <c r="M359" s="23" t="b">
        <f t="shared" si="10"/>
        <v>1</v>
      </c>
      <c r="N359" s="23" t="str">
        <v>3 out of 10</v>
      </c>
      <c r="O359" s="23"/>
      <c r="P359" s="42" t="str">
        <v>3</v>
      </c>
      <c r="Q359" s="42" t="str">
        <v>3</v>
      </c>
      <c r="R359" s="42" t="str">
        <v>3</v>
      </c>
      <c r="S359" s="10" t="str">
        <f t="shared" si="11"/>
        <v>No Change</v>
      </c>
    </row>
    <row r="360" spans="1:19" ht="120" hidden="1">
      <c r="A360" s="8" t="s">
        <v>3132</v>
      </c>
      <c r="B360" s="9" t="s">
        <v>13564</v>
      </c>
      <c r="C360" s="37" t="s">
        <v>7857</v>
      </c>
      <c r="D360" s="24"/>
      <c r="E360" s="24"/>
      <c r="F360" s="24" t="str">
        <v>M451</v>
      </c>
      <c r="G360" s="24" t="str">
        <v>9 out of 10</v>
      </c>
      <c r="H360" s="24" t="str">
        <v>https://nycdoe.sharepoint.com/:w:/s/BAP/EdvbWeQtsCNMoI8B7A91XWQB89E3_ryGS78DhO0ExMW2_w</v>
      </c>
      <c r="I360" s="23">
        <v>337</v>
      </c>
      <c r="J360" s="24" t="str">
        <v>-</v>
      </c>
      <c r="K360" s="24">
        <v>989</v>
      </c>
      <c r="L360" s="24" t="str">
        <v>9 out of 10</v>
      </c>
      <c r="M360" s="23" t="b">
        <f t="shared" si="10"/>
        <v>1</v>
      </c>
      <c r="N360" s="23" t="str">
        <v>9 out of 10</v>
      </c>
      <c r="O360" s="23"/>
      <c r="P360" s="42" t="str">
        <v>9</v>
      </c>
      <c r="Q360" s="42" t="str">
        <v>9</v>
      </c>
      <c r="R360" s="42" t="str">
        <v>9</v>
      </c>
      <c r="S360" s="10" t="str">
        <f t="shared" si="11"/>
        <v>No Change</v>
      </c>
    </row>
    <row r="361" spans="1:19" ht="120" hidden="1">
      <c r="A361" s="8" t="s">
        <v>2570</v>
      </c>
      <c r="B361" s="9" t="s">
        <v>13555</v>
      </c>
      <c r="C361" s="37" t="s">
        <v>7247</v>
      </c>
      <c r="D361" s="24"/>
      <c r="E361" s="24"/>
      <c r="F361" s="24" t="str">
        <v>M460</v>
      </c>
      <c r="G361" s="24" t="str">
        <v>3 out of 10</v>
      </c>
      <c r="H361" s="24" t="str">
        <v>https://nycdoe.sharepoint.com/:w:/s/BAP/ERxY8nzMbvBCmpehbTYuvwwBAWjFCZHNXflvWb-qkCDLBQ</v>
      </c>
      <c r="I361" s="23">
        <v>338</v>
      </c>
      <c r="J361" s="24" t="str">
        <v>-</v>
      </c>
      <c r="K361" s="24">
        <v>991</v>
      </c>
      <c r="L361" s="24" t="str">
        <v>3 out of 10</v>
      </c>
      <c r="M361" s="23" t="b">
        <f t="shared" si="10"/>
        <v>1</v>
      </c>
      <c r="N361" s="23" t="str">
        <v>3 out of 10</v>
      </c>
      <c r="O361" s="23"/>
      <c r="P361" s="42" t="str">
        <v>3</v>
      </c>
      <c r="Q361" s="42" t="str">
        <v>3</v>
      </c>
      <c r="R361" s="42" t="str">
        <v>3</v>
      </c>
      <c r="S361" s="10" t="str">
        <f t="shared" si="11"/>
        <v>No Change</v>
      </c>
    </row>
    <row r="362" spans="1:19" ht="120" hidden="1">
      <c r="A362" s="8" t="s">
        <v>11397</v>
      </c>
      <c r="B362" s="11" t="s">
        <v>13561</v>
      </c>
      <c r="C362" s="37" t="s">
        <v>13611</v>
      </c>
      <c r="D362" s="24"/>
      <c r="E362" s="24"/>
      <c r="F362" s="24" t="str">
        <v>M464</v>
      </c>
      <c r="G362" s="24" t="str">
        <v>10 out of 10</v>
      </c>
      <c r="H362" s="24" t="str">
        <v>https://nycdoe.sharepoint.com/:w:/s/BAP/EehELiS40LtEooGiFnU4BDYBjYUtGGEk4pS3fpIBjalpkA</v>
      </c>
      <c r="I362" s="23">
        <v>339</v>
      </c>
      <c r="J362" s="24" t="str">
        <v>-</v>
      </c>
      <c r="K362" s="24">
        <v>997</v>
      </c>
      <c r="L362" s="24" t="str">
        <v>10 out of 10</v>
      </c>
      <c r="M362" s="23" t="b">
        <f t="shared" si="10"/>
        <v>1</v>
      </c>
      <c r="N362" s="23" t="str">
        <v>10 out of 10</v>
      </c>
      <c r="O362" s="23"/>
      <c r="P362" s="42" t="str">
        <v>10</v>
      </c>
      <c r="Q362" s="42" t="str">
        <v>10</v>
      </c>
      <c r="R362" s="42" t="str">
        <v>10</v>
      </c>
      <c r="S362" s="10" t="str">
        <f t="shared" si="11"/>
        <v>No Change</v>
      </c>
    </row>
    <row r="363" spans="1:19" ht="120" hidden="1">
      <c r="A363" s="8" t="s">
        <v>2574</v>
      </c>
      <c r="B363" s="9" t="s">
        <v>13559</v>
      </c>
      <c r="C363" s="37" t="s">
        <v>7251</v>
      </c>
      <c r="D363" s="24"/>
      <c r="E363" s="24"/>
      <c r="F363" s="24" t="str">
        <v>M465</v>
      </c>
      <c r="G363" s="24" t="str">
        <v>7 out of 10</v>
      </c>
      <c r="H363" s="24" t="str">
        <v>https://nycdoe.sharepoint.com/:w:/s/BAP/EbtH51paTO9Ck-sqWfHqSqABuZcnIAPqWvCuKmVOLLlTcA</v>
      </c>
      <c r="I363" s="23">
        <v>340</v>
      </c>
      <c r="J363" s="24" t="str">
        <v>-</v>
      </c>
      <c r="K363" s="24">
        <v>998</v>
      </c>
      <c r="L363" s="24" t="str">
        <v>7 out of 10</v>
      </c>
      <c r="M363" s="23" t="b">
        <f t="shared" si="10"/>
        <v>1</v>
      </c>
      <c r="N363" s="23" t="str">
        <v>7 out of 10</v>
      </c>
      <c r="O363" s="23"/>
      <c r="P363" s="42" t="str">
        <v>7</v>
      </c>
      <c r="Q363" s="42" t="str">
        <v>7</v>
      </c>
      <c r="R363" s="42" t="str">
        <v>7</v>
      </c>
      <c r="S363" s="10" t="str">
        <f t="shared" si="11"/>
        <v>No Change</v>
      </c>
    </row>
    <row r="364" spans="1:19" ht="120" hidden="1">
      <c r="A364" s="8" t="s">
        <v>2588</v>
      </c>
      <c r="B364" s="9" t="s">
        <v>13557</v>
      </c>
      <c r="C364" s="37" t="s">
        <v>7261</v>
      </c>
      <c r="D364" s="24"/>
      <c r="E364" s="24"/>
      <c r="F364" s="24" t="str">
        <v>M470</v>
      </c>
      <c r="G364" s="24" t="str">
        <v>9 out of 10</v>
      </c>
      <c r="H364" s="24" t="str">
        <v>https://nycdoe.sharepoint.com/:w:/s/BAP/EYylwdWVzZRBmOwGLQXQI5QBdRbk9Uyn7JSB57uV_dUtvg</v>
      </c>
      <c r="I364" s="23">
        <v>341</v>
      </c>
      <c r="J364" s="24" t="str">
        <v>-</v>
      </c>
      <c r="K364" s="24">
        <v>1002</v>
      </c>
      <c r="L364" s="24" t="str">
        <v>9 out of 10</v>
      </c>
      <c r="M364" s="23" t="b">
        <f t="shared" si="10"/>
        <v>1</v>
      </c>
      <c r="N364" s="23" t="str">
        <v>9 out of 10</v>
      </c>
      <c r="O364" s="23"/>
      <c r="P364" s="42" t="str">
        <v>9</v>
      </c>
      <c r="Q364" s="42" t="str">
        <v>9</v>
      </c>
      <c r="R364" s="42" t="str">
        <v>9</v>
      </c>
      <c r="S364" s="10" t="str">
        <f t="shared" si="11"/>
        <v>No Change</v>
      </c>
    </row>
    <row r="365" spans="1:19" ht="120" hidden="1">
      <c r="A365" s="8" t="s">
        <v>2605</v>
      </c>
      <c r="B365" s="9" t="s">
        <v>13557</v>
      </c>
      <c r="C365" s="37" t="s">
        <v>7271</v>
      </c>
      <c r="D365" s="24"/>
      <c r="E365" s="24"/>
      <c r="F365" s="24" t="str">
        <v>M475</v>
      </c>
      <c r="G365" s="24" t="str">
        <v>0 out of 10</v>
      </c>
      <c r="H365" s="24" t="str">
        <v>https://nycdoe.sharepoint.com/:w:/s/BAP/Ef7Lm7314kZJipSBQNobc-UBSOWdWyKN9uG0aKqdKkdvYw</v>
      </c>
      <c r="I365" s="23">
        <v>342</v>
      </c>
      <c r="J365" s="24" t="str">
        <v>-</v>
      </c>
      <c r="K365" s="24">
        <v>1009</v>
      </c>
      <c r="L365" s="24" t="str">
        <v>N/A out of 10</v>
      </c>
      <c r="M365" s="23" t="b">
        <f t="shared" si="10"/>
        <v>0</v>
      </c>
      <c r="N365" s="23" t="str">
        <v>0 out of 10</v>
      </c>
      <c r="O365" s="23"/>
      <c r="P365" s="42" t="str">
        <v>0</v>
      </c>
      <c r="Q365" s="42" t="str">
        <v>N/A</v>
      </c>
      <c r="R365" s="42" t="str">
        <v>0</v>
      </c>
      <c r="S365" s="10" t="str">
        <f t="shared" si="11"/>
        <v>No Change</v>
      </c>
    </row>
    <row r="366" spans="1:19" ht="135" hidden="1">
      <c r="A366" s="8" t="s">
        <v>2916</v>
      </c>
      <c r="B366" s="9" t="s">
        <v>13555</v>
      </c>
      <c r="C366" s="37" t="s">
        <v>7595</v>
      </c>
      <c r="D366" s="24"/>
      <c r="E366" s="24"/>
      <c r="F366" s="24" t="str">
        <v>M477</v>
      </c>
      <c r="G366" s="24" t="str">
        <v>10 out of 10</v>
      </c>
      <c r="H366" s="24" t="str">
        <v>https://nycdoe.sharepoint.com/:w:/s/BAP/EVCT_3NBxINAvXp0fD6w_S8BRZJcLYISmzxK5N6hewsSFA</v>
      </c>
      <c r="I366" s="23">
        <v>343</v>
      </c>
      <c r="J366" s="24" t="str">
        <v>-</v>
      </c>
      <c r="K366" s="24">
        <v>1012</v>
      </c>
      <c r="L366" s="24" t="str">
        <v>10 out of 10</v>
      </c>
      <c r="M366" s="23" t="b">
        <f t="shared" si="10"/>
        <v>1</v>
      </c>
      <c r="N366" s="23" t="str">
        <v>10 out of 10</v>
      </c>
      <c r="O366" s="23"/>
      <c r="P366" s="42" t="str">
        <v>10</v>
      </c>
      <c r="Q366" s="42" t="str">
        <v>10</v>
      </c>
      <c r="R366" s="42" t="str">
        <v>10</v>
      </c>
      <c r="S366" s="10" t="str">
        <f t="shared" si="11"/>
        <v>No Change</v>
      </c>
    </row>
    <row r="367" spans="1:19" ht="120" hidden="1">
      <c r="A367" s="8" t="s">
        <v>2613</v>
      </c>
      <c r="B367" s="9" t="s">
        <v>13564</v>
      </c>
      <c r="C367" s="37" t="s">
        <v>7274</v>
      </c>
      <c r="D367" s="24"/>
      <c r="E367" s="24"/>
      <c r="F367" s="24" t="str">
        <v>M480</v>
      </c>
      <c r="G367" s="24" t="str">
        <v>4 out of 10</v>
      </c>
      <c r="H367" s="24" t="str">
        <v>https://nycdoe.sharepoint.com/:w:/s/BAP/EWIk72gNpWBImgzqmZ_bngIBq_7mFEdvHyO-UyX72sCQcA</v>
      </c>
      <c r="I367" s="23">
        <v>344</v>
      </c>
      <c r="J367" s="24" t="str">
        <v>-</v>
      </c>
      <c r="K367" s="24">
        <v>1014</v>
      </c>
      <c r="L367" s="24" t="str">
        <v>4 out of 10</v>
      </c>
      <c r="M367" s="23" t="b">
        <f t="shared" si="10"/>
        <v>1</v>
      </c>
      <c r="N367" s="23" t="str">
        <v>4 out of 10</v>
      </c>
      <c r="O367" s="23"/>
      <c r="P367" s="42" t="str">
        <v>4</v>
      </c>
      <c r="Q367" s="42" t="str">
        <v>4</v>
      </c>
      <c r="R367" s="42" t="str">
        <v>4</v>
      </c>
      <c r="S367" s="10" t="str">
        <f t="shared" si="11"/>
        <v>No Change</v>
      </c>
    </row>
    <row r="368" spans="1:19" ht="135" hidden="1">
      <c r="A368" s="8" t="s">
        <v>2618</v>
      </c>
      <c r="B368" s="9" t="s">
        <v>13558</v>
      </c>
      <c r="C368" s="37" t="s">
        <v>7280</v>
      </c>
      <c r="D368" s="24"/>
      <c r="E368" s="24"/>
      <c r="F368" s="24" t="str">
        <v>M484</v>
      </c>
      <c r="G368" s="24" t="str">
        <v>10 out of 10</v>
      </c>
      <c r="H368" s="24" t="str">
        <v>https://nycdoe.sharepoint.com/:w:/s/BAP/ES6_V32bCSxBhzidb_KMM1oBMUqeusLX6xcno7A06YMQ2g</v>
      </c>
      <c r="I368" s="23">
        <v>345</v>
      </c>
      <c r="J368" s="24" t="str">
        <v>-</v>
      </c>
      <c r="K368" s="24">
        <v>1020</v>
      </c>
      <c r="L368" s="24" t="str">
        <v>10 out of 10</v>
      </c>
      <c r="M368" s="23" t="b">
        <f t="shared" si="10"/>
        <v>1</v>
      </c>
      <c r="N368" s="23" t="str">
        <v>10 out of 10</v>
      </c>
      <c r="O368" s="23"/>
      <c r="P368" s="42" t="str">
        <v>10</v>
      </c>
      <c r="Q368" s="42" t="str">
        <v>10</v>
      </c>
      <c r="R368" s="42" t="str">
        <v>10</v>
      </c>
      <c r="S368" s="10" t="str">
        <f t="shared" si="11"/>
        <v>No Change</v>
      </c>
    </row>
    <row r="369" spans="1:19" ht="120" hidden="1">
      <c r="A369" s="8" t="s">
        <v>2437</v>
      </c>
      <c r="B369" s="9" t="s">
        <v>13561</v>
      </c>
      <c r="C369" s="37" t="s">
        <v>13612</v>
      </c>
      <c r="D369" s="24"/>
      <c r="E369" s="24"/>
      <c r="F369" s="24" t="str">
        <v>M485</v>
      </c>
      <c r="G369" s="24" t="str">
        <v>9 out of 10</v>
      </c>
      <c r="H369" s="24" t="str">
        <v>https://nycdoe.sharepoint.com/:w:/s/BAP/EV_gUrEwXg9AjySjLTyS3nMB8HaozPzjUxgsacOcviKEKQ</v>
      </c>
      <c r="I369" s="23">
        <v>346</v>
      </c>
      <c r="J369" s="24" t="str">
        <v>-</v>
      </c>
      <c r="K369" s="24">
        <v>1021</v>
      </c>
      <c r="L369" s="24" t="str">
        <v>9 out of 10</v>
      </c>
      <c r="M369" s="23" t="b">
        <f t="shared" si="10"/>
        <v>1</v>
      </c>
      <c r="N369" s="23" t="str">
        <v>9 out of 10</v>
      </c>
      <c r="O369" s="23"/>
      <c r="P369" s="42" t="str">
        <v>9</v>
      </c>
      <c r="Q369" s="42" t="str">
        <v>9</v>
      </c>
      <c r="R369" s="42" t="str">
        <v>9</v>
      </c>
      <c r="S369" s="10" t="str">
        <f t="shared" si="11"/>
        <v>No Change</v>
      </c>
    </row>
    <row r="370" spans="1:19" ht="120" hidden="1">
      <c r="A370" s="8" t="s">
        <v>2623</v>
      </c>
      <c r="B370" s="9" t="s">
        <v>13555</v>
      </c>
      <c r="C370" s="37" t="s">
        <v>7284</v>
      </c>
      <c r="D370" s="24"/>
      <c r="E370" s="24"/>
      <c r="F370" s="24" t="str">
        <v>M486</v>
      </c>
      <c r="G370" s="24" t="str">
        <v>1 out of 10</v>
      </c>
      <c r="H370" s="24" t="str">
        <v>https://nycdoe.sharepoint.com/:w:/s/BAP/Eciupx0BAC1Hnk5Z7PFVhZEBOgAEUxFGcDqgpH_B0ZPhMA</v>
      </c>
      <c r="I370" s="23">
        <v>347</v>
      </c>
      <c r="J370" s="24" t="str">
        <v>-</v>
      </c>
      <c r="K370" s="24">
        <v>1022</v>
      </c>
      <c r="L370" s="24" t="str">
        <v>1 out of 10</v>
      </c>
      <c r="M370" s="23" t="b">
        <f t="shared" si="10"/>
        <v>1</v>
      </c>
      <c r="N370" s="23" t="str">
        <v>1 out of 10</v>
      </c>
      <c r="O370" s="23"/>
      <c r="P370" s="42" t="str">
        <v>1</v>
      </c>
      <c r="Q370" s="42" t="str">
        <v>1</v>
      </c>
      <c r="R370" s="42" t="str">
        <v>1</v>
      </c>
      <c r="S370" s="10" t="str">
        <f t="shared" si="11"/>
        <v>No Change</v>
      </c>
    </row>
    <row r="371" spans="1:19" ht="120" hidden="1">
      <c r="A371" s="8" t="s">
        <v>3136</v>
      </c>
      <c r="B371" s="9" t="s">
        <v>13560</v>
      </c>
      <c r="C371" s="37" t="s">
        <v>7861</v>
      </c>
      <c r="D371" s="24"/>
      <c r="E371" s="24"/>
      <c r="F371" s="24" t="str">
        <v>M488</v>
      </c>
      <c r="G371" s="24" t="str">
        <v>10 out of 10</v>
      </c>
      <c r="H371" s="24" t="str">
        <v>https://nycdoe.sharepoint.com/:w:/s/BAP/Edy02w4b-s1MvvE2oTytzOcBfjLDP5284p4oIh1XNAkUPQ</v>
      </c>
      <c r="I371" s="23">
        <v>348</v>
      </c>
      <c r="J371" s="24" t="str">
        <v>-</v>
      </c>
      <c r="K371" s="24">
        <v>1023</v>
      </c>
      <c r="L371" s="24" t="str">
        <v>10 out of 10</v>
      </c>
      <c r="M371" s="23" t="b">
        <f t="shared" si="10"/>
        <v>1</v>
      </c>
      <c r="N371" s="23" t="str">
        <v>10 out of 10</v>
      </c>
      <c r="O371" s="23"/>
      <c r="P371" s="42" t="str">
        <v>10</v>
      </c>
      <c r="Q371" s="42" t="str">
        <v>10</v>
      </c>
      <c r="R371" s="42" t="str">
        <v>10</v>
      </c>
      <c r="S371" s="10" t="str">
        <f t="shared" si="11"/>
        <v>No Change</v>
      </c>
    </row>
    <row r="372" spans="1:19" ht="120" hidden="1">
      <c r="A372" s="8" t="s">
        <v>3141</v>
      </c>
      <c r="B372" s="9" t="s">
        <v>13553</v>
      </c>
      <c r="C372" s="37" t="s">
        <v>7865</v>
      </c>
      <c r="D372" s="24"/>
      <c r="E372" s="24"/>
      <c r="F372" s="24" t="str">
        <v>M490</v>
      </c>
      <c r="G372" s="24" t="str">
        <v>8 out of 10</v>
      </c>
      <c r="H372" s="24" t="str">
        <v>https://nycdoe.sharepoint.com/:w:/s/BAP/ETbYk3FdqY9Ctu4P4T2BeFEBWU2swvs2NtpUu_YmB5aB1g</v>
      </c>
      <c r="I372" s="23">
        <v>349</v>
      </c>
      <c r="J372" s="24" t="str">
        <v>-</v>
      </c>
      <c r="K372" s="24">
        <v>1026</v>
      </c>
      <c r="L372" s="24" t="str">
        <v>8 out of 10</v>
      </c>
      <c r="M372" s="23" t="b">
        <f t="shared" si="10"/>
        <v>1</v>
      </c>
      <c r="N372" s="23" t="str">
        <v>8 out of 10</v>
      </c>
      <c r="O372" s="23"/>
      <c r="P372" s="42" t="str">
        <v>8</v>
      </c>
      <c r="Q372" s="42" t="str">
        <v>8</v>
      </c>
      <c r="R372" s="42" t="str">
        <v>8</v>
      </c>
      <c r="S372" s="10" t="str">
        <f t="shared" si="11"/>
        <v>No Change</v>
      </c>
    </row>
    <row r="373" spans="1:19" ht="120" hidden="1">
      <c r="A373" s="8" t="s">
        <v>2628</v>
      </c>
      <c r="B373" s="9" t="s">
        <v>13555</v>
      </c>
      <c r="C373" s="37" t="s">
        <v>7286</v>
      </c>
      <c r="D373" s="24"/>
      <c r="E373" s="24"/>
      <c r="F373" s="24" t="str">
        <v>M495</v>
      </c>
      <c r="G373" s="24" t="str">
        <v>0+ out of 10</v>
      </c>
      <c r="H373" s="24" t="str">
        <v>https://nycdoe.sharepoint.com/:w:/s/BAP/EX8BvG_poupClcVisOF6gjUB-K6uP25YsF0wCr-G1n76bQ</v>
      </c>
      <c r="I373" s="23">
        <v>350</v>
      </c>
      <c r="J373" s="24" t="str">
        <v>-</v>
      </c>
      <c r="K373" s="24">
        <v>1033</v>
      </c>
      <c r="L373" s="24" t="str">
        <v>N/A out of 10</v>
      </c>
      <c r="M373" s="23" t="b">
        <f t="shared" si="10"/>
        <v>0</v>
      </c>
      <c r="N373" s="23" t="str">
        <v>0+ out of 10</v>
      </c>
      <c r="O373" s="23"/>
      <c r="P373" s="42" t="str">
        <v>0+</v>
      </c>
      <c r="Q373" s="42" t="str">
        <v>N/A</v>
      </c>
      <c r="R373" s="42" t="str">
        <v>0+</v>
      </c>
      <c r="S373" s="10" t="str">
        <f t="shared" si="11"/>
        <v>No Change</v>
      </c>
    </row>
    <row r="374" spans="1:19" ht="120" hidden="1">
      <c r="A374" s="8" t="s">
        <v>7289</v>
      </c>
      <c r="B374" s="11" t="s">
        <v>13555</v>
      </c>
      <c r="C374" s="37" t="s">
        <v>7291</v>
      </c>
      <c r="D374" s="24"/>
      <c r="E374" s="24"/>
      <c r="F374" s="24" t="str">
        <v>M501</v>
      </c>
      <c r="G374" s="24" t="str">
        <v>9 out of 10</v>
      </c>
      <c r="H374" s="24" t="str">
        <v>https://nycdoe.sharepoint.com/:w:/s/BAP/ERDcNQ9U-fdBm-kGXCUuLYwBUGrJHfia8aQ2xe2-kOsFnQ</v>
      </c>
      <c r="I374" s="23">
        <v>351</v>
      </c>
      <c r="J374" s="24" t="str">
        <v>-</v>
      </c>
      <c r="K374" s="24">
        <v>1034</v>
      </c>
      <c r="L374" s="24" t="str">
        <v>9 out of 10</v>
      </c>
      <c r="M374" s="23" t="b">
        <f t="shared" si="10"/>
        <v>1</v>
      </c>
      <c r="N374" s="23" t="str">
        <v>9 out of 10</v>
      </c>
      <c r="O374" s="23"/>
      <c r="P374" s="42" t="str">
        <v>9</v>
      </c>
      <c r="Q374" s="42" t="str">
        <v>9</v>
      </c>
      <c r="R374" s="42" t="str">
        <v>9</v>
      </c>
      <c r="S374" s="10" t="str">
        <f t="shared" si="11"/>
        <v>No Change</v>
      </c>
    </row>
    <row r="375" spans="1:19" ht="120" hidden="1">
      <c r="A375" s="8" t="s">
        <v>2633</v>
      </c>
      <c r="B375" s="9" t="s">
        <v>13558</v>
      </c>
      <c r="C375" s="37" t="s">
        <v>7295</v>
      </c>
      <c r="D375" s="24"/>
      <c r="E375" s="24"/>
      <c r="F375" s="24" t="str">
        <v>M506</v>
      </c>
      <c r="G375" s="24" t="str">
        <v>10 out of 10</v>
      </c>
      <c r="H375" s="24" t="str">
        <v>https://nycdoe.sharepoint.com/:w:/s/BAP/EXR7jVIHh3ZKum4j-FPumvMBTKKHXD1JVk4Ta_wPERXeoQ</v>
      </c>
      <c r="I375" s="23">
        <v>352</v>
      </c>
      <c r="J375" s="24" t="str">
        <v>-</v>
      </c>
      <c r="K375" s="24">
        <v>1036</v>
      </c>
      <c r="L375" s="24" t="str">
        <v>10 out of 10</v>
      </c>
      <c r="M375" s="23" t="b">
        <f t="shared" si="10"/>
        <v>1</v>
      </c>
      <c r="N375" s="23" t="str">
        <v>10 out of 10</v>
      </c>
      <c r="O375" s="23"/>
      <c r="P375" s="42" t="str">
        <v>10</v>
      </c>
      <c r="Q375" s="42" t="str">
        <v>10</v>
      </c>
      <c r="R375" s="42" t="str">
        <v>10</v>
      </c>
      <c r="S375" s="10" t="str">
        <f t="shared" si="11"/>
        <v>No Change</v>
      </c>
    </row>
    <row r="376" spans="1:19" ht="120" hidden="1">
      <c r="A376" s="8" t="s">
        <v>2638</v>
      </c>
      <c r="B376" s="9" t="s">
        <v>13557</v>
      </c>
      <c r="C376" s="37" t="s">
        <v>7299</v>
      </c>
      <c r="D376" s="24"/>
      <c r="E376" s="24"/>
      <c r="F376" s="24" t="str">
        <v>M510</v>
      </c>
      <c r="G376" s="24" t="str">
        <v>4 out of 10</v>
      </c>
      <c r="H376" s="24" t="str">
        <v>https://nycdoe.sharepoint.com/:w:/s/BAP/EZXLbjD47gRDuWA4hcN_NQ8BXL540crn_mFxg8Tv8KXR9A</v>
      </c>
      <c r="I376" s="23">
        <v>353</v>
      </c>
      <c r="J376" s="24" t="str">
        <v>-</v>
      </c>
      <c r="K376" s="24">
        <v>1037</v>
      </c>
      <c r="L376" s="24" t="str">
        <v>4 out of 10</v>
      </c>
      <c r="M376" s="23" t="b">
        <f t="shared" si="10"/>
        <v>1</v>
      </c>
      <c r="N376" s="23" t="str">
        <v>4 out of 10</v>
      </c>
      <c r="O376" s="23"/>
      <c r="P376" s="42" t="str">
        <v>4</v>
      </c>
      <c r="Q376" s="42" t="str">
        <v>4</v>
      </c>
      <c r="R376" s="42" t="str">
        <v>4</v>
      </c>
      <c r="S376" s="10" t="str">
        <f t="shared" si="11"/>
        <v>No Change</v>
      </c>
    </row>
    <row r="377" spans="1:19" ht="120" hidden="1">
      <c r="A377" s="8" t="s">
        <v>2852</v>
      </c>
      <c r="B377" s="9" t="s">
        <v>13553</v>
      </c>
      <c r="C377" s="37" t="s">
        <v>7487</v>
      </c>
      <c r="D377" s="24"/>
      <c r="E377" s="24"/>
      <c r="F377" s="24" t="str">
        <v>M520</v>
      </c>
      <c r="G377" s="24" t="str">
        <v>9 out of 10</v>
      </c>
      <c r="H377" s="24" t="str">
        <v>https://nycdoe.sharepoint.com/:w:/s/BAP/EbWeo5AXbcNJv_h8rPS5OK8BQEsefca4_DgA7qIfusGMJw</v>
      </c>
      <c r="I377" s="23">
        <v>354</v>
      </c>
      <c r="J377" s="24" t="str">
        <v>-</v>
      </c>
      <c r="K377" s="24">
        <v>1039</v>
      </c>
      <c r="L377" s="24" t="str">
        <v>9 out of 10</v>
      </c>
      <c r="M377" s="23" t="b">
        <f t="shared" si="10"/>
        <v>1</v>
      </c>
      <c r="N377" s="23" t="str">
        <v>9 out of 10</v>
      </c>
      <c r="O377" s="23"/>
      <c r="P377" s="42" t="str">
        <v>9</v>
      </c>
      <c r="Q377" s="42" t="str">
        <v>9</v>
      </c>
      <c r="R377" s="42" t="str">
        <v>9</v>
      </c>
      <c r="S377" s="10" t="str">
        <f t="shared" si="11"/>
        <v>No Change</v>
      </c>
    </row>
    <row r="378" spans="1:19" ht="120" hidden="1">
      <c r="A378" s="8" t="s">
        <v>2857</v>
      </c>
      <c r="B378" s="9" t="s">
        <v>13555</v>
      </c>
      <c r="C378" s="37" t="s">
        <v>7489</v>
      </c>
      <c r="D378" s="24"/>
      <c r="E378" s="24"/>
      <c r="F378" s="24" t="str">
        <v>M521</v>
      </c>
      <c r="G378" s="24" t="str">
        <v>0 out of 10</v>
      </c>
      <c r="H378" s="24" t="str">
        <v>https://nycdoe.sharepoint.com/:w:/s/BAP/ER2_lD54_F1OsYF441NHAkkBCWRX8ybCBEEqtzwwDLyAcQ</v>
      </c>
      <c r="I378" s="23">
        <v>355</v>
      </c>
      <c r="J378" s="24" t="str">
        <v>-</v>
      </c>
      <c r="K378" s="24" t="str">
        <v>Possible Change</v>
      </c>
      <c r="L378" s="24" t="str">
        <v>- out of 10</v>
      </c>
      <c r="M378" s="23" t="b">
        <f t="shared" si="10"/>
        <v>0</v>
      </c>
      <c r="N378" s="23" t="str">
        <v>0 out of 10</v>
      </c>
      <c r="O378" s="23"/>
      <c r="P378" s="42" t="str">
        <v>0</v>
      </c>
      <c r="Q378" s="42" t="str">
        <v>Not Found</v>
      </c>
      <c r="R378" s="42" t="str">
        <v>0</v>
      </c>
      <c r="S378" s="10" t="str">
        <f t="shared" si="11"/>
        <v>Change</v>
      </c>
    </row>
    <row r="379" spans="1:19" ht="120" hidden="1">
      <c r="A379" s="8" t="s">
        <v>7303</v>
      </c>
      <c r="B379" s="9" t="s">
        <v>13555</v>
      </c>
      <c r="C379" s="37" t="s">
        <v>7305</v>
      </c>
      <c r="D379" s="24"/>
      <c r="E379" s="24"/>
      <c r="F379" s="24" t="str">
        <v>M522</v>
      </c>
      <c r="G379" s="24" t="str">
        <v>0 out of 10</v>
      </c>
      <c r="H379" s="24" t="str">
        <v>https://nycdoe.sharepoint.com/:w:/s/BAP/Ec7dMmPcF09IobyYrTJ9esgB5VEt2DuyxE6ywwHL9rhyKg</v>
      </c>
      <c r="I379" s="23">
        <v>356</v>
      </c>
      <c r="J379" s="24" t="str">
        <v>-</v>
      </c>
      <c r="K379" s="24" t="str">
        <v>Possible Change</v>
      </c>
      <c r="L379" s="24" t="str">
        <v>- out of 10</v>
      </c>
      <c r="M379" s="23" t="b">
        <f t="shared" si="10"/>
        <v>0</v>
      </c>
      <c r="N379" s="23" t="str">
        <v>0 out of 10</v>
      </c>
      <c r="O379" s="23"/>
      <c r="P379" s="42" t="str">
        <v>0</v>
      </c>
      <c r="Q379" s="42" t="str">
        <v>Not Found</v>
      </c>
      <c r="R379" s="42" t="str">
        <v>0</v>
      </c>
      <c r="S379" s="10" t="str">
        <f t="shared" si="11"/>
        <v>Change</v>
      </c>
    </row>
    <row r="380" spans="1:19" ht="120" hidden="1">
      <c r="A380" s="8" t="s">
        <v>7306</v>
      </c>
      <c r="B380" s="9" t="s">
        <v>13555</v>
      </c>
      <c r="C380" s="37" t="s">
        <v>7308</v>
      </c>
      <c r="D380" s="24"/>
      <c r="E380" s="24"/>
      <c r="F380" s="24" t="str">
        <v>M528</v>
      </c>
      <c r="G380" s="24" t="str">
        <v>7 out of 10</v>
      </c>
      <c r="H380" s="24" t="str">
        <v>https://nycdoe.sharepoint.com/:w:/s/BAP/EWrEYBHT7hFDt4Ncmyk-nRsBJXqoj-OgaiwR3WNlEwW86w</v>
      </c>
      <c r="I380" s="23">
        <v>357</v>
      </c>
      <c r="J380" s="24" t="str">
        <v>-</v>
      </c>
      <c r="K380" s="24">
        <v>1043</v>
      </c>
      <c r="L380" s="24" t="str">
        <v>7 out of 10</v>
      </c>
      <c r="M380" s="23" t="b">
        <f t="shared" si="10"/>
        <v>1</v>
      </c>
      <c r="N380" s="23" t="str">
        <v>7 out of 10</v>
      </c>
      <c r="O380" s="23"/>
      <c r="P380" s="42" t="str">
        <v>7</v>
      </c>
      <c r="Q380" s="42" t="str">
        <v>7</v>
      </c>
      <c r="R380" s="42" t="str">
        <v>7</v>
      </c>
      <c r="S380" s="10" t="str">
        <f t="shared" si="11"/>
        <v>No Change</v>
      </c>
    </row>
    <row r="381" spans="1:19" ht="135" hidden="1">
      <c r="A381" s="8" t="s">
        <v>2646</v>
      </c>
      <c r="B381" s="9" t="s">
        <v>13557</v>
      </c>
      <c r="C381" s="37" t="s">
        <v>7312</v>
      </c>
      <c r="D381" s="24"/>
      <c r="E381" s="24"/>
      <c r="F381" s="24" t="str">
        <v>M535</v>
      </c>
      <c r="G381" s="24" t="str">
        <v>4 out of 10</v>
      </c>
      <c r="H381" s="24" t="str">
        <v>https://nycdoe.sharepoint.com/:w:/s/BAP/ERa-F16YollNgbeYqpgjwaABwdmt9Kz_Fo6R77bEqV2I2w</v>
      </c>
      <c r="I381" s="23">
        <v>358</v>
      </c>
      <c r="J381" s="24" t="str">
        <v>4 out of 10</v>
      </c>
      <c r="K381" s="24">
        <v>1044</v>
      </c>
      <c r="L381" s="24" t="str">
        <v>4 out of 10</v>
      </c>
      <c r="M381" s="23" t="b">
        <f t="shared" si="10"/>
        <v>1</v>
      </c>
      <c r="N381" s="23" t="str">
        <v>4 out of 10</v>
      </c>
      <c r="O381" s="23"/>
      <c r="P381" s="42" t="str">
        <v>4</v>
      </c>
      <c r="Q381" s="42" t="str">
        <v>4</v>
      </c>
      <c r="R381" s="42" t="str">
        <v>4</v>
      </c>
      <c r="S381" s="10" t="str">
        <f t="shared" si="11"/>
        <v>No Change</v>
      </c>
    </row>
    <row r="382" spans="1:19" ht="120" hidden="1">
      <c r="A382" s="8" t="s">
        <v>2651</v>
      </c>
      <c r="B382" s="9" t="s">
        <v>13555</v>
      </c>
      <c r="C382" s="37" t="s">
        <v>7314</v>
      </c>
      <c r="D382" s="24"/>
      <c r="E382" s="24"/>
      <c r="F382" s="24" t="str">
        <v>M540</v>
      </c>
      <c r="G382" s="24" t="str">
        <v>6 out of 10</v>
      </c>
      <c r="H382" s="24" t="str">
        <v>https://nycdoe.sharepoint.com/:w:/s/BAP/EfbUy86om65PlldM1qFZ0E0BkgW3QxcMQ2YRC-8GyLwgyg</v>
      </c>
      <c r="I382" s="23">
        <v>359</v>
      </c>
      <c r="J382" s="24" t="str">
        <v>-</v>
      </c>
      <c r="K382" s="24">
        <v>1050</v>
      </c>
      <c r="L382" s="24" t="str">
        <v>6 out of 10</v>
      </c>
      <c r="M382" s="23" t="b">
        <f t="shared" si="10"/>
        <v>1</v>
      </c>
      <c r="N382" s="23" t="str">
        <v>6 out of 10</v>
      </c>
      <c r="O382" s="23"/>
      <c r="P382" s="42" t="str">
        <v>6</v>
      </c>
      <c r="Q382" s="42" t="str">
        <v>6</v>
      </c>
      <c r="R382" s="42" t="str">
        <v>6</v>
      </c>
      <c r="S382" s="10" t="str">
        <f t="shared" si="11"/>
        <v>No Change</v>
      </c>
    </row>
    <row r="383" spans="1:19" ht="120" hidden="1">
      <c r="A383" s="8" t="s">
        <v>11455</v>
      </c>
      <c r="B383" s="9" t="s">
        <v>13561</v>
      </c>
      <c r="C383" s="37" t="s">
        <v>13613</v>
      </c>
      <c r="D383" s="24"/>
      <c r="E383" s="24"/>
      <c r="F383" s="24" t="str">
        <v>M600</v>
      </c>
      <c r="G383" s="24" t="str">
        <v>9 out of 10</v>
      </c>
      <c r="H383" s="24" t="str">
        <v>https://nycdoe.sharepoint.com/:w:/s/BAP/ETNekfGXCM1EihXe_QlKbQQBvh6mOr7yZKeeTShH-A42AA</v>
      </c>
      <c r="I383" s="23">
        <v>360</v>
      </c>
      <c r="J383" s="24" t="str">
        <v>-</v>
      </c>
      <c r="K383" s="24">
        <v>1051</v>
      </c>
      <c r="L383" s="24" t="str">
        <v>9 out of 10</v>
      </c>
      <c r="M383" s="23" t="b">
        <f t="shared" si="10"/>
        <v>1</v>
      </c>
      <c r="N383" s="23" t="str">
        <v>9 out of 10</v>
      </c>
      <c r="O383" s="23"/>
      <c r="P383" s="42" t="str">
        <v>9</v>
      </c>
      <c r="Q383" s="42" t="str">
        <v>9</v>
      </c>
      <c r="R383" s="42" t="str">
        <v>9</v>
      </c>
      <c r="S383" s="10" t="str">
        <f t="shared" si="11"/>
        <v>No Change</v>
      </c>
    </row>
    <row r="384" spans="1:19" ht="135" hidden="1">
      <c r="A384" s="8" t="s">
        <v>11458</v>
      </c>
      <c r="B384" s="9" t="s">
        <v>13561</v>
      </c>
      <c r="C384" s="37" t="s">
        <v>13614</v>
      </c>
      <c r="D384" s="24"/>
      <c r="E384" s="24"/>
      <c r="F384" s="24" t="str">
        <v>M615</v>
      </c>
      <c r="G384" s="24" t="str">
        <v>0 out of 10</v>
      </c>
      <c r="H384" s="24" t="str">
        <v>https://nycdoe.sharepoint.com/:w:/s/BAP/EYgW5UsxZfBOl9cmMzz5R78BqPEkSkrjpBS4kPWywXvfMQ</v>
      </c>
      <c r="I384" s="23">
        <v>361</v>
      </c>
      <c r="J384" s="24" t="str">
        <v>-</v>
      </c>
      <c r="K384" s="24">
        <v>1053</v>
      </c>
      <c r="L384" s="24" t="str">
        <v>N/A out of 10</v>
      </c>
      <c r="M384" s="23" t="b">
        <f t="shared" si="10"/>
        <v>0</v>
      </c>
      <c r="N384" s="23" t="str">
        <v>0 out of 10</v>
      </c>
      <c r="O384" s="23"/>
      <c r="P384" s="42" t="str">
        <v>0</v>
      </c>
      <c r="Q384" s="42" t="str">
        <v>N/A</v>
      </c>
      <c r="R384" s="42" t="str">
        <v>0</v>
      </c>
      <c r="S384" s="10" t="str">
        <f t="shared" si="11"/>
        <v>No Change</v>
      </c>
    </row>
    <row r="385" spans="1:19" ht="120" hidden="1">
      <c r="A385" s="8" t="s">
        <v>2656</v>
      </c>
      <c r="B385" s="9" t="s">
        <v>13555</v>
      </c>
      <c r="C385" s="37" t="s">
        <v>7320</v>
      </c>
      <c r="D385" s="24"/>
      <c r="E385" s="24"/>
      <c r="F385" s="24" t="str">
        <v>M620</v>
      </c>
      <c r="G385" s="24" t="str">
        <v>3 out of 10</v>
      </c>
      <c r="H385" s="24" t="str">
        <v>https://nycdoe.sharepoint.com/:w:/s/BAP/ESI7H0DXe6dCjL53dJrnLq0BOpd4i3ce3gZjDpiA-8_y4w</v>
      </c>
      <c r="I385" s="23">
        <v>362</v>
      </c>
      <c r="J385" s="24" t="str">
        <v>-</v>
      </c>
      <c r="K385" s="24">
        <v>1056</v>
      </c>
      <c r="L385" s="24" t="str">
        <v>3 out of 10</v>
      </c>
      <c r="M385" s="23" t="b">
        <f t="shared" si="10"/>
        <v>1</v>
      </c>
      <c r="N385" s="23" t="str">
        <v>3 out of 10</v>
      </c>
      <c r="O385" s="23"/>
      <c r="P385" s="42" t="str">
        <v>3</v>
      </c>
      <c r="Q385" s="42" t="str">
        <v>3</v>
      </c>
      <c r="R385" s="42" t="str">
        <v>3</v>
      </c>
      <c r="S385" s="10" t="str">
        <f t="shared" si="11"/>
        <v>No Change</v>
      </c>
    </row>
    <row r="386" spans="1:19" ht="120" hidden="1">
      <c r="A386" s="8" t="s">
        <v>7321</v>
      </c>
      <c r="B386" s="9" t="s">
        <v>13558</v>
      </c>
      <c r="C386" s="37" t="s">
        <v>7323</v>
      </c>
      <c r="D386" s="24"/>
      <c r="E386" s="24"/>
      <c r="F386" s="24" t="str">
        <v>M625</v>
      </c>
      <c r="G386" s="24" t="str">
        <v>8 out of 10</v>
      </c>
      <c r="H386" s="24" t="str">
        <v>https://nycdoe.sharepoint.com/:w:/s/BAP/EfkMShLrzOdMgwfY-FoERXgBNwACijrwk7d59zy43P2asg</v>
      </c>
      <c r="I386" s="23">
        <v>363</v>
      </c>
      <c r="J386" s="24" t="str">
        <v>-</v>
      </c>
      <c r="K386" s="24">
        <v>1060</v>
      </c>
      <c r="L386" s="24" t="str">
        <v>8 out of 10</v>
      </c>
      <c r="M386" s="23" t="b">
        <f t="shared" si="10"/>
        <v>1</v>
      </c>
      <c r="N386" s="23" t="str">
        <v>8 out of 10</v>
      </c>
      <c r="O386" s="23"/>
      <c r="P386" s="42" t="str">
        <v>8</v>
      </c>
      <c r="Q386" s="42" t="str">
        <v>8</v>
      </c>
      <c r="R386" s="42" t="str">
        <v>8</v>
      </c>
      <c r="S386" s="10" t="str">
        <f t="shared" si="11"/>
        <v>No Change</v>
      </c>
    </row>
    <row r="387" spans="1:19" ht="120" hidden="1">
      <c r="A387" s="8" t="s">
        <v>3146</v>
      </c>
      <c r="B387" s="9" t="s">
        <v>13553</v>
      </c>
      <c r="C387" s="37" t="s">
        <v>7869</v>
      </c>
      <c r="D387" s="24"/>
      <c r="E387" s="24"/>
      <c r="F387" s="24" t="str">
        <v>M641</v>
      </c>
      <c r="G387" s="24" t="str">
        <v>8 out of 10</v>
      </c>
      <c r="H387" s="24" t="str">
        <v>https://nycdoe.sharepoint.com/:w:/s/BAP/EQF50cw7vk5KrRv03qQmW8UBLo-gXTdIz4F2N4T5OJGHhw</v>
      </c>
      <c r="I387" s="23">
        <v>364</v>
      </c>
      <c r="J387" s="24" t="str">
        <v>-</v>
      </c>
      <c r="K387" s="24">
        <v>1065</v>
      </c>
      <c r="L387" s="24" t="str">
        <v>8 out of 10</v>
      </c>
      <c r="M387" s="23" t="b">
        <f t="shared" ref="M387:M450" si="12">G387=L387</f>
        <v>1</v>
      </c>
      <c r="N387" s="23" t="str">
        <v>8 out of 10</v>
      </c>
      <c r="O387" s="23"/>
      <c r="P387" s="42" t="str">
        <v>8</v>
      </c>
      <c r="Q387" s="42" t="str">
        <v>8</v>
      </c>
      <c r="R387" s="42" t="str">
        <v>8</v>
      </c>
      <c r="S387" s="10" t="str">
        <f t="shared" ref="S387:S450" si="13">IFERROR(IF(OR(R387="0+",R387=0,AND(Q387="N/A")),"No Change",IF(R387&lt;&gt;Q387,"Change",IF(R387=Q387,"No Change",))),"Check BAP")</f>
        <v>No Change</v>
      </c>
    </row>
    <row r="388" spans="1:19" ht="120" hidden="1">
      <c r="A388" s="8" t="s">
        <v>2661</v>
      </c>
      <c r="B388" s="9" t="s">
        <v>13553</v>
      </c>
      <c r="C388" s="37" t="s">
        <v>7327</v>
      </c>
      <c r="D388" s="24"/>
      <c r="E388" s="24"/>
      <c r="F388" s="24" t="str">
        <v>M646</v>
      </c>
      <c r="G388" s="24" t="str">
        <v>9 out of 10</v>
      </c>
      <c r="H388" s="24" t="str">
        <v>https://nycdoe.sharepoint.com/:w:/s/BAP/EZnH4Q4rMDlDvydg9oVcjcUBX-WynXWGeIDMqcBnqLuW1Q</v>
      </c>
      <c r="I388" s="23">
        <v>365</v>
      </c>
      <c r="J388" s="24" t="str">
        <v>-</v>
      </c>
      <c r="K388" s="24">
        <v>1069</v>
      </c>
      <c r="L388" s="24" t="str">
        <v>9 out of 10</v>
      </c>
      <c r="M388" s="23" t="b">
        <f t="shared" si="12"/>
        <v>1</v>
      </c>
      <c r="N388" s="23" t="str">
        <v>9 out of 10</v>
      </c>
      <c r="O388" s="23"/>
      <c r="P388" s="42" t="str">
        <v>9</v>
      </c>
      <c r="Q388" s="42" t="str">
        <v>9</v>
      </c>
      <c r="R388" s="42" t="str">
        <v>9</v>
      </c>
      <c r="S388" s="10" t="str">
        <f t="shared" si="13"/>
        <v>No Change</v>
      </c>
    </row>
    <row r="389" spans="1:19" ht="120" hidden="1">
      <c r="A389" s="8" t="s">
        <v>11471</v>
      </c>
      <c r="B389" s="9" t="s">
        <v>13555</v>
      </c>
      <c r="C389" s="37" t="s">
        <v>13615</v>
      </c>
      <c r="D389" s="24"/>
      <c r="E389" s="24"/>
      <c r="F389" s="24" t="str">
        <v>M660</v>
      </c>
      <c r="G389" s="24" t="str">
        <v>6 out of 10</v>
      </c>
      <c r="H389" s="24" t="str">
        <v>https://nycdoe.sharepoint.com/:w:/s/BAP/EaZTl-sg-vRAkiuPWL6zcloBqXfiRVjj5E6fwrtD42E7PA</v>
      </c>
      <c r="I389" s="23">
        <v>366</v>
      </c>
      <c r="J389" s="24" t="str">
        <v>-</v>
      </c>
      <c r="K389" s="24">
        <v>1070</v>
      </c>
      <c r="L389" s="24" t="str">
        <v>6 out of 10</v>
      </c>
      <c r="M389" s="23" t="b">
        <f t="shared" si="12"/>
        <v>1</v>
      </c>
      <c r="N389" s="23" t="str">
        <v>6 out of 10</v>
      </c>
      <c r="O389" s="23"/>
      <c r="P389" s="42" t="str">
        <v>6</v>
      </c>
      <c r="Q389" s="42" t="str">
        <v>6</v>
      </c>
      <c r="R389" s="42" t="str">
        <v>6</v>
      </c>
      <c r="S389" s="10" t="str">
        <f t="shared" si="13"/>
        <v>No Change</v>
      </c>
    </row>
    <row r="390" spans="1:19" ht="120" hidden="1">
      <c r="A390" s="8" t="s">
        <v>2666</v>
      </c>
      <c r="B390" s="9" t="s">
        <v>13555</v>
      </c>
      <c r="C390" s="37" t="s">
        <v>7338</v>
      </c>
      <c r="D390" s="24"/>
      <c r="E390" s="24"/>
      <c r="F390" s="24" t="str">
        <v>M661</v>
      </c>
      <c r="G390" s="24" t="str">
        <v>1 out of 10</v>
      </c>
      <c r="H390" s="24" t="str">
        <v>https://nycdoe.sharepoint.com/:w:/s/BAP/ERY-QANGQCpPjG0XOHHIZqQB6XROXfUimHb0wDCDJYXfRw</v>
      </c>
      <c r="I390" s="23">
        <v>367</v>
      </c>
      <c r="J390" s="24" t="str">
        <v>-</v>
      </c>
      <c r="K390" s="24">
        <v>1072</v>
      </c>
      <c r="L390" s="24" t="str">
        <v>1 out of 10</v>
      </c>
      <c r="M390" s="23" t="b">
        <f t="shared" si="12"/>
        <v>1</v>
      </c>
      <c r="N390" s="23" t="str">
        <v>1 out of 10</v>
      </c>
      <c r="O390" s="23"/>
      <c r="P390" s="42" t="str">
        <v>1</v>
      </c>
      <c r="Q390" s="42" t="str">
        <v>1</v>
      </c>
      <c r="R390" s="42" t="str">
        <v>1</v>
      </c>
      <c r="S390" s="10" t="str">
        <f t="shared" si="13"/>
        <v>No Change</v>
      </c>
    </row>
    <row r="391" spans="1:19" ht="120" hidden="1">
      <c r="A391" s="8" t="s">
        <v>2921</v>
      </c>
      <c r="B391" s="9" t="s">
        <v>13555</v>
      </c>
      <c r="C391" s="37" t="s">
        <v>7602</v>
      </c>
      <c r="D391" s="24"/>
      <c r="E391" s="24"/>
      <c r="F391" s="24" t="str">
        <v>M751</v>
      </c>
      <c r="G391" s="24" t="str">
        <v>0 out of 10</v>
      </c>
      <c r="H391" s="24" t="str">
        <v>https://nycdoe.sharepoint.com/:w:/s/BAP/EZ_jNa7847xNjwgtb20byFcB6lGSl40ruLRtXvWWorKETw</v>
      </c>
      <c r="I391" s="23">
        <v>368</v>
      </c>
      <c r="J391" s="24" t="str">
        <v>-</v>
      </c>
      <c r="K391" s="24">
        <v>1073</v>
      </c>
      <c r="L391" s="24" t="str">
        <v>N/A out of 10</v>
      </c>
      <c r="M391" s="23" t="b">
        <f t="shared" si="12"/>
        <v>0</v>
      </c>
      <c r="N391" s="23" t="str">
        <v>0 out of 10</v>
      </c>
      <c r="O391" s="23"/>
      <c r="P391" s="42" t="str">
        <v>0</v>
      </c>
      <c r="Q391" s="42" t="str">
        <v>N/A</v>
      </c>
      <c r="R391" s="42" t="str">
        <v>0</v>
      </c>
      <c r="S391" s="10" t="str">
        <f t="shared" si="13"/>
        <v>No Change</v>
      </c>
    </row>
    <row r="392" spans="1:19" ht="120" hidden="1">
      <c r="A392" s="8" t="s">
        <v>2429</v>
      </c>
      <c r="B392" s="9" t="s">
        <v>13564</v>
      </c>
      <c r="C392" s="37" t="s">
        <v>7344</v>
      </c>
      <c r="D392" s="24"/>
      <c r="E392" s="24"/>
      <c r="F392" s="24" t="str">
        <v>M807</v>
      </c>
      <c r="G392" s="24" t="str">
        <v>9 out of 10</v>
      </c>
      <c r="H392" s="24" t="str">
        <v>https://nycdoe.sharepoint.com/:w:/s/BAP/EQHZenEtLChCsGssbAIgq6sBnXbgNMqAYEtZrzk-usLWCA</v>
      </c>
      <c r="I392" s="23">
        <v>369</v>
      </c>
      <c r="J392" s="24" t="str">
        <v>-</v>
      </c>
      <c r="K392" s="24">
        <v>1074</v>
      </c>
      <c r="L392" s="24" t="str">
        <v>9 out of 10</v>
      </c>
      <c r="M392" s="23" t="b">
        <f t="shared" si="12"/>
        <v>1</v>
      </c>
      <c r="N392" s="23" t="str">
        <v>9 out of 10</v>
      </c>
      <c r="O392" s="23"/>
      <c r="P392" s="42" t="str">
        <v>9</v>
      </c>
      <c r="Q392" s="42" t="str">
        <v>9</v>
      </c>
      <c r="R392" s="42" t="str">
        <v>9</v>
      </c>
      <c r="S392" s="10" t="str">
        <f t="shared" si="13"/>
        <v>No Change</v>
      </c>
    </row>
    <row r="393" spans="1:19" ht="120" hidden="1">
      <c r="A393" s="8" t="s">
        <v>3151</v>
      </c>
      <c r="B393" s="9" t="s">
        <v>13555</v>
      </c>
      <c r="C393" s="37" t="s">
        <v>13616</v>
      </c>
      <c r="D393" s="24"/>
      <c r="E393" s="24"/>
      <c r="F393" s="24" t="str">
        <v>M812</v>
      </c>
      <c r="G393" s="24" t="str">
        <v>4 out of 10</v>
      </c>
      <c r="H393" s="24" t="str">
        <v>https://nycdoe.sharepoint.com/:w:/s/BAP/EXrthidTivNMnTKSXc2xdncBvKX-em7OpfFPhSnp6oLIgA</v>
      </c>
      <c r="I393" s="23">
        <v>370</v>
      </c>
      <c r="J393" s="24" t="str">
        <v>-</v>
      </c>
      <c r="K393" s="24">
        <v>1076</v>
      </c>
      <c r="L393" s="24" t="str">
        <v>4 out of 10</v>
      </c>
      <c r="M393" s="23" t="b">
        <f t="shared" si="12"/>
        <v>1</v>
      </c>
      <c r="N393" s="23" t="str">
        <v>4 out of 10</v>
      </c>
      <c r="O393" s="23"/>
      <c r="P393" s="42" t="str">
        <v>4</v>
      </c>
      <c r="Q393" s="42" t="str">
        <v>4</v>
      </c>
      <c r="R393" s="42" t="str">
        <v>4</v>
      </c>
      <c r="S393" s="10" t="str">
        <f t="shared" si="13"/>
        <v>No Change</v>
      </c>
    </row>
    <row r="394" spans="1:19" ht="120" hidden="1">
      <c r="A394" s="8" t="s">
        <v>11480</v>
      </c>
      <c r="B394" s="9" t="s">
        <v>13550</v>
      </c>
      <c r="C394" s="37" t="s">
        <v>13617</v>
      </c>
      <c r="D394" s="24"/>
      <c r="E394" s="24"/>
      <c r="F394" s="24" t="str">
        <v>M814</v>
      </c>
      <c r="G394" s="24" t="str">
        <v>10 out of 10</v>
      </c>
      <c r="H394" s="24" t="str">
        <v>https://nycdoe.sharepoint.com/:w:/s/BAP/Ed5egoYDrN9CuWERre1nx1wBBT7WR9ejojOOVcy3GVhyzw</v>
      </c>
      <c r="I394" s="23">
        <v>371</v>
      </c>
      <c r="J394" s="24" t="str">
        <v>-</v>
      </c>
      <c r="K394" s="24">
        <v>1077</v>
      </c>
      <c r="L394" s="24" t="str">
        <v>10 out of 10</v>
      </c>
      <c r="M394" s="23" t="b">
        <f t="shared" si="12"/>
        <v>1</v>
      </c>
      <c r="N394" s="23" t="str">
        <v>10 out of 10</v>
      </c>
      <c r="O394" s="23"/>
      <c r="P394" s="42" t="str">
        <v>10</v>
      </c>
      <c r="Q394" s="42" t="str">
        <v>10</v>
      </c>
      <c r="R394" s="42" t="str">
        <v>10</v>
      </c>
      <c r="S394" s="10" t="str">
        <f t="shared" si="13"/>
        <v>No Change</v>
      </c>
    </row>
    <row r="395" spans="1:19" ht="120" hidden="1">
      <c r="A395" s="8" t="s">
        <v>2998</v>
      </c>
      <c r="B395" s="9" t="s">
        <v>13553</v>
      </c>
      <c r="C395" s="37" t="s">
        <v>7708</v>
      </c>
      <c r="D395" s="24"/>
      <c r="E395" s="24"/>
      <c r="F395" s="24" t="str">
        <v>M824</v>
      </c>
      <c r="G395" s="24" t="str">
        <v>9 out of 10</v>
      </c>
      <c r="H395" s="24" t="str">
        <v>https://nycdoe.sharepoint.com/:w:/s/BAP/EQGwaC1rIoJDgL-ct5WUYUcBbsfdVVYJhp6-qBcOTyHQ5A</v>
      </c>
      <c r="I395" s="23">
        <v>372</v>
      </c>
      <c r="J395" s="24" t="str">
        <v>-</v>
      </c>
      <c r="K395" s="24">
        <v>1079</v>
      </c>
      <c r="L395" s="24" t="str">
        <v>9 out of 10</v>
      </c>
      <c r="M395" s="23" t="b">
        <f t="shared" si="12"/>
        <v>1</v>
      </c>
      <c r="N395" s="23" t="str">
        <v>9 out of 10</v>
      </c>
      <c r="O395" s="23"/>
      <c r="P395" s="42" t="str">
        <v>9</v>
      </c>
      <c r="Q395" s="42" t="str">
        <v>9</v>
      </c>
      <c r="R395" s="42" t="str">
        <v>9</v>
      </c>
      <c r="S395" s="10" t="str">
        <f t="shared" si="13"/>
        <v>No Change</v>
      </c>
    </row>
    <row r="396" spans="1:19" ht="120" hidden="1">
      <c r="A396" s="8" t="s">
        <v>3003</v>
      </c>
      <c r="B396" s="9" t="s">
        <v>13558</v>
      </c>
      <c r="C396" s="37" t="s">
        <v>7712</v>
      </c>
      <c r="D396" s="24"/>
      <c r="E396" s="24"/>
      <c r="F396" s="24" t="str">
        <v>M827</v>
      </c>
      <c r="G396" s="24" t="str">
        <v>9 out of 10</v>
      </c>
      <c r="H396" s="24" t="str">
        <v>https://nycdoe.sharepoint.com/:w:/s/BAP/EUDcW2rO0g5Bm1SMxOLS9I8BRx-Tky5dUKIfevPj4tS21Q</v>
      </c>
      <c r="I396" s="23">
        <v>373</v>
      </c>
      <c r="J396" s="24" t="str">
        <v>-</v>
      </c>
      <c r="K396" s="24" t="str">
        <v>Possible Change</v>
      </c>
      <c r="L396" s="24" t="str">
        <v>- out of 10</v>
      </c>
      <c r="M396" s="23" t="b">
        <f t="shared" si="12"/>
        <v>0</v>
      </c>
      <c r="N396" s="23" t="str">
        <v>9 out of 10</v>
      </c>
      <c r="O396" s="23"/>
      <c r="P396" s="42" t="str">
        <v>9</v>
      </c>
      <c r="Q396" s="42" t="str">
        <v>Not Found</v>
      </c>
      <c r="R396" s="42" t="str">
        <v>9</v>
      </c>
      <c r="S396" s="10" t="str">
        <f t="shared" si="13"/>
        <v>Change</v>
      </c>
    </row>
    <row r="397" spans="1:19" ht="120" hidden="1">
      <c r="A397" s="8" t="s">
        <v>2675</v>
      </c>
      <c r="B397" s="9" t="s">
        <v>13553</v>
      </c>
      <c r="C397" s="37" t="s">
        <v>7347</v>
      </c>
      <c r="D397" s="24"/>
      <c r="E397" s="24"/>
      <c r="F397" s="24" t="str">
        <v>M833</v>
      </c>
      <c r="G397" s="24" t="str">
        <v>1 out of 10</v>
      </c>
      <c r="H397" s="24" t="str">
        <v>https://nycdoe.sharepoint.com/:w:/s/BAP/EcYznEmTMKhHqx_Tu4cWhrABDgFkFrFBKm13_pDoRmS4vw</v>
      </c>
      <c r="I397" s="23">
        <v>374</v>
      </c>
      <c r="J397" s="24" t="str">
        <v>-</v>
      </c>
      <c r="K397" s="24">
        <v>1081</v>
      </c>
      <c r="L397" s="24" t="str">
        <v>1 out of 10</v>
      </c>
      <c r="M397" s="23" t="b">
        <f t="shared" si="12"/>
        <v>1</v>
      </c>
      <c r="N397" s="23" t="str">
        <v>1 out of 10</v>
      </c>
      <c r="O397" s="23"/>
      <c r="P397" s="42" t="str">
        <v>1</v>
      </c>
      <c r="Q397" s="42" t="str">
        <v>1</v>
      </c>
      <c r="R397" s="42" t="str">
        <v>1</v>
      </c>
      <c r="S397" s="10" t="str">
        <f t="shared" si="13"/>
        <v>No Change</v>
      </c>
    </row>
    <row r="398" spans="1:19" ht="120" hidden="1">
      <c r="A398" s="8" t="s">
        <v>11492</v>
      </c>
      <c r="B398" s="9" t="s">
        <v>13553</v>
      </c>
      <c r="C398" s="37" t="s">
        <v>13618</v>
      </c>
      <c r="D398" s="24"/>
      <c r="E398" s="24"/>
      <c r="F398" s="24" t="str">
        <v>M834</v>
      </c>
      <c r="G398" s="24" t="str">
        <v>8 out of 10</v>
      </c>
      <c r="H398" s="24" t="str">
        <v>https://nycdoe.sharepoint.com/:w:/s/BAP/ERz9JjDQ5DZNpmNA4VO91MQBAVQKKULHcBVTX0GTeGCo5Q</v>
      </c>
      <c r="I398" s="23">
        <v>375</v>
      </c>
      <c r="J398" s="24" t="str">
        <v>-</v>
      </c>
      <c r="K398" s="24">
        <v>1082</v>
      </c>
      <c r="L398" s="24" t="str">
        <v>8 out of 10</v>
      </c>
      <c r="M398" s="23" t="b">
        <f t="shared" si="12"/>
        <v>1</v>
      </c>
      <c r="N398" s="23" t="str">
        <v>8 out of 10</v>
      </c>
      <c r="O398" s="23"/>
      <c r="P398" s="42" t="str">
        <v>8</v>
      </c>
      <c r="Q398" s="42" t="str">
        <v>8</v>
      </c>
      <c r="R398" s="42" t="str">
        <v>8</v>
      </c>
      <c r="S398" s="10" t="str">
        <f t="shared" si="13"/>
        <v>No Change</v>
      </c>
    </row>
    <row r="399" spans="1:19" ht="120" hidden="1">
      <c r="A399" s="8" t="s">
        <v>3156</v>
      </c>
      <c r="B399" s="9" t="s">
        <v>13555</v>
      </c>
      <c r="C399" s="37" t="s">
        <v>13619</v>
      </c>
      <c r="D399" s="24"/>
      <c r="E399" s="24"/>
      <c r="F399" s="24" t="str">
        <v>M837</v>
      </c>
      <c r="G399" s="24" t="str">
        <v>10 out of 10</v>
      </c>
      <c r="H399" s="24" t="str">
        <v>https://nycdoe.sharepoint.com/:w:/s/BAP/Ebn1GTr4gjFOr-hWqK9ofwoBgo2L6k5Ty4rxorcl_tTTpw</v>
      </c>
      <c r="I399" s="23">
        <v>376</v>
      </c>
      <c r="J399" s="24" t="str">
        <v>-</v>
      </c>
      <c r="K399" s="24">
        <v>1084</v>
      </c>
      <c r="L399" s="24" t="str">
        <v>10 out of 10</v>
      </c>
      <c r="M399" s="23" t="b">
        <f t="shared" si="12"/>
        <v>1</v>
      </c>
      <c r="N399" s="23" t="str">
        <v>10 out of 10</v>
      </c>
      <c r="O399" s="23"/>
      <c r="P399" s="42" t="str">
        <v>10</v>
      </c>
      <c r="Q399" s="42" t="str">
        <v>10</v>
      </c>
      <c r="R399" s="42" t="str">
        <v>10</v>
      </c>
      <c r="S399" s="10" t="str">
        <f t="shared" si="13"/>
        <v>No Change</v>
      </c>
    </row>
    <row r="400" spans="1:19" ht="120" hidden="1">
      <c r="A400" s="8" t="s">
        <v>2683</v>
      </c>
      <c r="B400" s="9" t="s">
        <v>13557</v>
      </c>
      <c r="C400" s="37" t="s">
        <v>7353</v>
      </c>
      <c r="D400" s="24"/>
      <c r="E400" s="24"/>
      <c r="F400" s="24" t="str">
        <v>M841</v>
      </c>
      <c r="G400" s="24" t="str">
        <v>9 out of 10</v>
      </c>
      <c r="H400" s="24" t="str">
        <v>https://nycdoe.sharepoint.com/:w:/s/BAP/EdGKCG8Z2mBGrFtkl-uA9i8B5Jm3dMCVMq8t1zi8OlekUg</v>
      </c>
      <c r="I400" s="23">
        <v>377</v>
      </c>
      <c r="J400" s="24" t="str">
        <v>-</v>
      </c>
      <c r="K400" s="24">
        <v>1085</v>
      </c>
      <c r="L400" s="24" t="str">
        <v>9 out of 10</v>
      </c>
      <c r="M400" s="23" t="b">
        <f t="shared" si="12"/>
        <v>1</v>
      </c>
      <c r="N400" s="23" t="str">
        <v>9 out of 10</v>
      </c>
      <c r="O400" s="23"/>
      <c r="P400" s="42" t="str">
        <v>9</v>
      </c>
      <c r="Q400" s="42" t="str">
        <v>9</v>
      </c>
      <c r="R400" s="42" t="str">
        <v>9</v>
      </c>
      <c r="S400" s="10" t="str">
        <f t="shared" si="13"/>
        <v>No Change</v>
      </c>
    </row>
    <row r="401" spans="1:19" ht="120" hidden="1">
      <c r="A401" s="8" t="s">
        <v>2859</v>
      </c>
      <c r="B401" s="9" t="s">
        <v>13564</v>
      </c>
      <c r="C401" s="37" t="s">
        <v>7491</v>
      </c>
      <c r="D401" s="24"/>
      <c r="E401" s="24"/>
      <c r="F401" s="24" t="str">
        <v>M843</v>
      </c>
      <c r="G401" s="24" t="str">
        <v>9 out of 10</v>
      </c>
      <c r="H401" s="24" t="str">
        <v>https://nycdoe.sharepoint.com/:w:/s/BAP/EWCDsTDotVNFnUa5WlyHUOsBPkC9oI1PawzougrK5OhFjg</v>
      </c>
      <c r="I401" s="23">
        <v>378</v>
      </c>
      <c r="J401" s="24" t="str">
        <v>-</v>
      </c>
      <c r="K401" s="24">
        <v>1086</v>
      </c>
      <c r="L401" s="24" t="str">
        <v>9 out of 10</v>
      </c>
      <c r="M401" s="23" t="b">
        <f t="shared" si="12"/>
        <v>1</v>
      </c>
      <c r="N401" s="23" t="str">
        <v>9 out of 10</v>
      </c>
      <c r="O401" s="23"/>
      <c r="P401" s="42" t="str">
        <v>9</v>
      </c>
      <c r="Q401" s="42" t="str">
        <v>9</v>
      </c>
      <c r="R401" s="42" t="str">
        <v>9</v>
      </c>
      <c r="S401" s="10" t="str">
        <f t="shared" si="13"/>
        <v>No Change</v>
      </c>
    </row>
    <row r="402" spans="1:19" ht="120" hidden="1">
      <c r="A402" s="8" t="s">
        <v>3008</v>
      </c>
      <c r="B402" s="9" t="s">
        <v>13553</v>
      </c>
      <c r="C402" s="37" t="s">
        <v>7719</v>
      </c>
      <c r="D402" s="24"/>
      <c r="E402" s="24"/>
      <c r="F402" s="24" t="str">
        <v>M844</v>
      </c>
      <c r="G402" s="24" t="str">
        <v>9 out of 10</v>
      </c>
      <c r="H402" s="24" t="str">
        <v>https://nycdoe.sharepoint.com/:w:/s/BAP/EU5uvq6s5GpPrkp0u12guxoBMoagWOABki5-Blw5XjQMZA</v>
      </c>
      <c r="I402" s="23">
        <v>379</v>
      </c>
      <c r="J402" s="24" t="str">
        <v>-</v>
      </c>
      <c r="K402" s="24">
        <v>1087</v>
      </c>
      <c r="L402" s="24" t="str">
        <v>9 out of 10</v>
      </c>
      <c r="M402" s="23" t="b">
        <f t="shared" si="12"/>
        <v>1</v>
      </c>
      <c r="N402" s="23" t="str">
        <v>9 out of 10</v>
      </c>
      <c r="O402" s="23"/>
      <c r="P402" s="42" t="str">
        <v>9</v>
      </c>
      <c r="Q402" s="42" t="str">
        <v>9</v>
      </c>
      <c r="R402" s="42" t="str">
        <v>9</v>
      </c>
      <c r="S402" s="10" t="str">
        <f t="shared" si="13"/>
        <v>No Change</v>
      </c>
    </row>
    <row r="403" spans="1:19" ht="120" hidden="1">
      <c r="A403" s="8" t="s">
        <v>2688</v>
      </c>
      <c r="B403" s="9" t="s">
        <v>13553</v>
      </c>
      <c r="C403" s="37" t="s">
        <v>7355</v>
      </c>
      <c r="D403" s="24"/>
      <c r="E403" s="24"/>
      <c r="F403" s="24" t="str">
        <v>M855</v>
      </c>
      <c r="G403" s="24" t="str">
        <v>8 out of 10</v>
      </c>
      <c r="H403" s="24" t="str">
        <v>https://nycdoe.sharepoint.com/:w:/s/BAP/EfY-QZTKtahFnIsLFaax-40BBoZQn9xqXYkCyhoACEYneg</v>
      </c>
      <c r="I403" s="23">
        <v>380</v>
      </c>
      <c r="J403" s="24" t="str">
        <v>-</v>
      </c>
      <c r="K403" s="24">
        <v>1090</v>
      </c>
      <c r="L403" s="24" t="str">
        <v>8 out of 10</v>
      </c>
      <c r="M403" s="23" t="b">
        <f t="shared" si="12"/>
        <v>1</v>
      </c>
      <c r="N403" s="23" t="str">
        <v>8 out of 10</v>
      </c>
      <c r="O403" s="23"/>
      <c r="P403" s="42" t="str">
        <v>8</v>
      </c>
      <c r="Q403" s="42" t="str">
        <v>8</v>
      </c>
      <c r="R403" s="42" t="str">
        <v>8</v>
      </c>
      <c r="S403" s="10" t="str">
        <f t="shared" si="13"/>
        <v>No Change</v>
      </c>
    </row>
    <row r="404" spans="1:19" ht="120" hidden="1">
      <c r="A404" s="8" t="s">
        <v>4052</v>
      </c>
      <c r="B404" s="9" t="s">
        <v>13555</v>
      </c>
      <c r="C404" s="37" t="s">
        <v>8895</v>
      </c>
      <c r="D404" s="24"/>
      <c r="E404" s="24"/>
      <c r="F404" s="24" t="str">
        <v>M868</v>
      </c>
      <c r="G404" s="24" t="str">
        <v>9 out of 10</v>
      </c>
      <c r="H404" s="24" t="str">
        <v>https://nycdoe.sharepoint.com/:w:/s/BAP/Ef28dzH94pROs4gcZ4gWMr8B2heMffuyEr-HJCvU17N2sw</v>
      </c>
      <c r="I404" s="23">
        <v>381</v>
      </c>
      <c r="J404" s="24" t="str">
        <v>-</v>
      </c>
      <c r="K404" s="24">
        <v>1093</v>
      </c>
      <c r="L404" s="24" t="str">
        <v>9 out of 10</v>
      </c>
      <c r="M404" s="23" t="b">
        <f t="shared" si="12"/>
        <v>1</v>
      </c>
      <c r="N404" s="23" t="str">
        <v>9 out of 10</v>
      </c>
      <c r="O404" s="23"/>
      <c r="P404" s="42" t="str">
        <v>9</v>
      </c>
      <c r="Q404" s="42" t="str">
        <v>9</v>
      </c>
      <c r="R404" s="42" t="str">
        <v>9</v>
      </c>
      <c r="S404" s="10" t="str">
        <f t="shared" si="13"/>
        <v>No Change</v>
      </c>
    </row>
    <row r="405" spans="1:19" ht="120" hidden="1">
      <c r="A405" s="8" t="s">
        <v>3809</v>
      </c>
      <c r="B405" s="9" t="s">
        <v>13553</v>
      </c>
      <c r="C405" s="37" t="s">
        <v>8607</v>
      </c>
      <c r="D405" s="24"/>
      <c r="E405" s="24"/>
      <c r="F405" s="24" t="str">
        <v>M871</v>
      </c>
      <c r="G405" s="24" t="str">
        <v>0 out of 10</v>
      </c>
      <c r="H405" s="24" t="str">
        <v>https://nycdoe.sharepoint.com/:w:/s/BAP/EVNfjimbI-9Ml_EsV3ORbpwBnByrO9hfJX8dEtzGTlsbDg</v>
      </c>
      <c r="I405" s="23">
        <v>382</v>
      </c>
      <c r="J405" s="24" t="str">
        <v>-</v>
      </c>
      <c r="K405" s="24">
        <v>1095</v>
      </c>
      <c r="L405" s="24" t="str">
        <v>N/A out of 10</v>
      </c>
      <c r="M405" s="23" t="b">
        <f t="shared" si="12"/>
        <v>0</v>
      </c>
      <c r="N405" s="23" t="str">
        <v>0 out of 10</v>
      </c>
      <c r="O405" s="23"/>
      <c r="P405" s="42" t="str">
        <v>0</v>
      </c>
      <c r="Q405" s="42" t="str">
        <v>N/A</v>
      </c>
      <c r="R405" s="42" t="str">
        <v>0</v>
      </c>
      <c r="S405" s="10" t="str">
        <f t="shared" si="13"/>
        <v>No Change</v>
      </c>
    </row>
    <row r="406" spans="1:19" ht="120" hidden="1">
      <c r="A406" s="8" t="s">
        <v>3163</v>
      </c>
      <c r="B406" s="9" t="s">
        <v>13553</v>
      </c>
      <c r="C406" s="37" t="s">
        <v>7871</v>
      </c>
      <c r="D406" s="24"/>
      <c r="E406" s="24"/>
      <c r="F406" s="24" t="str">
        <v>M873</v>
      </c>
      <c r="G406" s="24" t="str">
        <v>0 out of 10</v>
      </c>
      <c r="H406" s="24" t="str">
        <v>https://nycdoe.sharepoint.com/:w:/s/BAP/EepOUdmwcDFNvO1ucBvkrnwBVWKJso-GjVXnPm7EDC4ebg</v>
      </c>
      <c r="I406" s="23">
        <v>383</v>
      </c>
      <c r="J406" s="24" t="str">
        <v>-</v>
      </c>
      <c r="K406" s="24">
        <v>1096</v>
      </c>
      <c r="L406" s="24" t="str">
        <v>N/A out of 10</v>
      </c>
      <c r="M406" s="23" t="b">
        <f t="shared" si="12"/>
        <v>0</v>
      </c>
      <c r="N406" s="23" t="str">
        <v>0 out of 10</v>
      </c>
      <c r="O406" s="23"/>
      <c r="P406" s="42" t="str">
        <v>0</v>
      </c>
      <c r="Q406" s="42" t="str">
        <v>N/A</v>
      </c>
      <c r="R406" s="42" t="str">
        <v>0</v>
      </c>
      <c r="S406" s="10" t="str">
        <f t="shared" si="13"/>
        <v>No Change</v>
      </c>
    </row>
    <row r="407" spans="1:19" ht="120" hidden="1">
      <c r="A407" s="8" t="s">
        <v>3170</v>
      </c>
      <c r="B407" s="9" t="s">
        <v>13553</v>
      </c>
      <c r="C407" s="37" t="s">
        <v>7878</v>
      </c>
      <c r="D407" s="24"/>
      <c r="E407" s="24"/>
      <c r="F407" s="24" t="str">
        <v>M874</v>
      </c>
      <c r="G407" s="24" t="str">
        <v>9 out of 10</v>
      </c>
      <c r="H407" s="24" t="str">
        <v>https://nycdoe.sharepoint.com/:w:/s/BAP/ERTB5JllCVRKrywK2drf6KoBVqJms-UBJ73-DGgyDEK8lQ</v>
      </c>
      <c r="I407" s="23">
        <v>384</v>
      </c>
      <c r="J407" s="24" t="str">
        <v>-</v>
      </c>
      <c r="K407" s="24">
        <v>1097</v>
      </c>
      <c r="L407" s="24" t="str">
        <v>9 out of 10</v>
      </c>
      <c r="M407" s="23" t="b">
        <f t="shared" si="12"/>
        <v>1</v>
      </c>
      <c r="N407" s="23" t="str">
        <v>9 out of 10</v>
      </c>
      <c r="O407" s="23"/>
      <c r="P407" s="42" t="str">
        <v>9</v>
      </c>
      <c r="Q407" s="42" t="str">
        <v>9</v>
      </c>
      <c r="R407" s="42" t="str">
        <v>9</v>
      </c>
      <c r="S407" s="10" t="str">
        <f t="shared" si="13"/>
        <v>No Change</v>
      </c>
    </row>
    <row r="408" spans="1:19" ht="120" hidden="1">
      <c r="A408" s="8" t="s">
        <v>3814</v>
      </c>
      <c r="B408" s="9" t="s">
        <v>13559</v>
      </c>
      <c r="C408" s="37" t="s">
        <v>8611</v>
      </c>
      <c r="D408" s="24"/>
      <c r="E408" s="24"/>
      <c r="F408" s="24" t="str">
        <v>M875</v>
      </c>
      <c r="G408" s="24" t="str">
        <v>1 out of 10</v>
      </c>
      <c r="H408" s="24" t="str">
        <v>https://nycdoe.sharepoint.com/:w:/s/BAP/EYwXVjQOcyJEg17s56eMPRAB_nuf-mP8_2T0hUoMicuYqg</v>
      </c>
      <c r="I408" s="23">
        <v>385</v>
      </c>
      <c r="J408" s="24" t="str">
        <v>-</v>
      </c>
      <c r="K408" s="24">
        <v>1098</v>
      </c>
      <c r="L408" s="24" t="str">
        <v>1 out of 10</v>
      </c>
      <c r="M408" s="23" t="b">
        <f t="shared" si="12"/>
        <v>1</v>
      </c>
      <c r="N408" s="23" t="str">
        <v>1 out of 10</v>
      </c>
      <c r="O408" s="23"/>
      <c r="P408" s="42" t="str">
        <v>1</v>
      </c>
      <c r="Q408" s="42" t="str">
        <v>1</v>
      </c>
      <c r="R408" s="42" t="str">
        <v>1</v>
      </c>
      <c r="S408" s="10" t="str">
        <f t="shared" si="13"/>
        <v>No Change</v>
      </c>
    </row>
    <row r="409" spans="1:19" ht="120" hidden="1">
      <c r="A409" s="8" t="s">
        <v>4056</v>
      </c>
      <c r="B409" s="9" t="s">
        <v>13559</v>
      </c>
      <c r="C409" s="37" t="s">
        <v>8899</v>
      </c>
      <c r="D409" s="24"/>
      <c r="E409" s="24"/>
      <c r="F409" s="24" t="str">
        <v>M876</v>
      </c>
      <c r="G409" s="24" t="str">
        <v>10 out of 10</v>
      </c>
      <c r="H409" s="24" t="str">
        <v>https://nycdoe.sharepoint.com/:w:/s/BAP/Ed3g-rP3-XZCi5vVHsprlisBTTMDv_p9JNAmjix_jDzXcA</v>
      </c>
      <c r="I409" s="23">
        <v>386</v>
      </c>
      <c r="J409" s="24" t="str">
        <v>-</v>
      </c>
      <c r="K409" s="24">
        <v>1099</v>
      </c>
      <c r="L409" s="24" t="str">
        <v>10 out of 10</v>
      </c>
      <c r="M409" s="23" t="b">
        <f t="shared" si="12"/>
        <v>1</v>
      </c>
      <c r="N409" s="23" t="str">
        <v>10 out of 10</v>
      </c>
      <c r="O409" s="23"/>
      <c r="P409" s="42" t="str">
        <v>10</v>
      </c>
      <c r="Q409" s="42" t="str">
        <v>10</v>
      </c>
      <c r="R409" s="42" t="str">
        <v>10</v>
      </c>
      <c r="S409" s="10" t="str">
        <f t="shared" si="13"/>
        <v>No Change</v>
      </c>
    </row>
    <row r="410" spans="1:19" ht="120" hidden="1">
      <c r="A410" s="8" t="s">
        <v>4060</v>
      </c>
      <c r="B410" s="9" t="s">
        <v>13553</v>
      </c>
      <c r="C410" s="37" t="s">
        <v>8903</v>
      </c>
      <c r="D410" s="24"/>
      <c r="E410" s="24"/>
      <c r="F410" s="24" t="str">
        <v>M877</v>
      </c>
      <c r="G410" s="24" t="str">
        <v>10 out of 10</v>
      </c>
      <c r="H410" s="24" t="str">
        <v>https://nycdoe.sharepoint.com/:w:/s/BAP/EcJPkHod9gVIgU089B1Od0MBzJkbm0xPKxey5cIezAs3og</v>
      </c>
      <c r="I410" s="23">
        <v>387</v>
      </c>
      <c r="J410" s="24" t="str">
        <v>-</v>
      </c>
      <c r="K410" s="24">
        <v>1100</v>
      </c>
      <c r="L410" s="24" t="str">
        <v>10 out of 10</v>
      </c>
      <c r="M410" s="23" t="b">
        <f t="shared" si="12"/>
        <v>1</v>
      </c>
      <c r="N410" s="23" t="str">
        <v>10 out of 10</v>
      </c>
      <c r="O410" s="23"/>
      <c r="P410" s="42" t="str">
        <v>10</v>
      </c>
      <c r="Q410" s="42" t="str">
        <v>10</v>
      </c>
      <c r="R410" s="42" t="str">
        <v>10</v>
      </c>
      <c r="S410" s="10" t="str">
        <f t="shared" si="13"/>
        <v>No Change</v>
      </c>
    </row>
    <row r="411" spans="1:19" ht="105" hidden="1">
      <c r="A411" s="8" t="s">
        <v>3177</v>
      </c>
      <c r="B411" s="9" t="s">
        <v>13555</v>
      </c>
      <c r="C411" s="37" t="s">
        <v>7885</v>
      </c>
      <c r="D411" s="24"/>
      <c r="E411" s="24"/>
      <c r="F411" s="24" t="str">
        <v>M884</v>
      </c>
      <c r="G411" s="24" t="str">
        <v>9 out of 10</v>
      </c>
      <c r="H411" s="24" t="str">
        <v>https://nycdoe.sharepoint.com/:w:/s/BAP/EW9y53DifgNDijOwHD0gWu0BXom--y14O4TmUdC81oQgBw</v>
      </c>
      <c r="I411" s="23">
        <v>388</v>
      </c>
      <c r="J411" s="24" t="str">
        <v>-</v>
      </c>
      <c r="K411" s="24">
        <v>1103</v>
      </c>
      <c r="L411" s="24" t="str">
        <v>9 out of 10</v>
      </c>
      <c r="M411" s="23" t="b">
        <f t="shared" si="12"/>
        <v>1</v>
      </c>
      <c r="N411" s="23" t="str">
        <v>9 out of 10</v>
      </c>
      <c r="O411" s="23"/>
      <c r="P411" s="42" t="str">
        <v>9</v>
      </c>
      <c r="Q411" s="42" t="str">
        <v>9</v>
      </c>
      <c r="R411" s="42" t="str">
        <v>9</v>
      </c>
      <c r="S411" s="10" t="str">
        <f t="shared" si="13"/>
        <v>No Change</v>
      </c>
    </row>
    <row r="412" spans="1:19" ht="120" hidden="1">
      <c r="A412" s="8" t="s">
        <v>3181</v>
      </c>
      <c r="B412" s="9" t="s">
        <v>13555</v>
      </c>
      <c r="C412" s="37" t="s">
        <v>7889</v>
      </c>
      <c r="D412" s="24"/>
      <c r="E412" s="24"/>
      <c r="F412" s="24" t="str">
        <v>M894</v>
      </c>
      <c r="G412" s="24" t="str">
        <v>9 out of 10</v>
      </c>
      <c r="H412" s="24" t="str">
        <v>https://nycdoe.sharepoint.com/:w:/s/BAP/Ebxyvgqs42ZDlmbQumoXKO4BE5b_P_r3pVaSlYic1DQTpw</v>
      </c>
      <c r="I412" s="23">
        <v>389</v>
      </c>
      <c r="J412" s="24" t="str">
        <v>-</v>
      </c>
      <c r="K412" s="24">
        <v>1104</v>
      </c>
      <c r="L412" s="24" t="str">
        <v>9 out of 10</v>
      </c>
      <c r="M412" s="23" t="b">
        <f t="shared" si="12"/>
        <v>1</v>
      </c>
      <c r="N412" s="23" t="str">
        <v>9 out of 10</v>
      </c>
      <c r="O412" s="23"/>
      <c r="P412" s="42" t="str">
        <v>9</v>
      </c>
      <c r="Q412" s="42" t="str">
        <v>9</v>
      </c>
      <c r="R412" s="42" t="str">
        <v>9</v>
      </c>
      <c r="S412" s="10" t="str">
        <f t="shared" si="13"/>
        <v>No Change</v>
      </c>
    </row>
    <row r="413" spans="1:19" ht="120" hidden="1">
      <c r="A413" s="8" t="s">
        <v>3185</v>
      </c>
      <c r="B413" s="9" t="s">
        <v>13555</v>
      </c>
      <c r="C413" s="37" t="s">
        <v>7893</v>
      </c>
      <c r="D413" s="24"/>
      <c r="E413" s="24"/>
      <c r="F413" s="24" t="str">
        <v>M895</v>
      </c>
      <c r="G413" s="24" t="str">
        <v>9 out of 10</v>
      </c>
      <c r="H413" s="24" t="str">
        <v>https://nycdoe.sharepoint.com/:w:/s/BAP/Ee1VIRC88jFIu9PjiKWnjJsBZ9aCGZP8KJdMUaiD_oXNkg</v>
      </c>
      <c r="I413" s="23">
        <v>390</v>
      </c>
      <c r="J413" s="24" t="str">
        <v>-</v>
      </c>
      <c r="K413" s="24">
        <v>1106</v>
      </c>
      <c r="L413" s="24" t="str">
        <v>9 out of 10</v>
      </c>
      <c r="M413" s="23" t="b">
        <f t="shared" si="12"/>
        <v>1</v>
      </c>
      <c r="N413" s="23" t="str">
        <v>9 out of 10</v>
      </c>
      <c r="O413" s="23"/>
      <c r="P413" s="42" t="str">
        <v>9</v>
      </c>
      <c r="Q413" s="42" t="str">
        <v>9</v>
      </c>
      <c r="R413" s="42" t="str">
        <v>9</v>
      </c>
      <c r="S413" s="10" t="str">
        <f t="shared" si="13"/>
        <v>No Change</v>
      </c>
    </row>
    <row r="414" spans="1:19" ht="120" hidden="1">
      <c r="A414" s="8" t="s">
        <v>3940</v>
      </c>
      <c r="B414" s="9" t="s">
        <v>13557</v>
      </c>
      <c r="C414" s="37" t="s">
        <v>8766</v>
      </c>
      <c r="D414" s="24"/>
      <c r="E414" s="24"/>
      <c r="F414" s="24" t="str">
        <v>M896</v>
      </c>
      <c r="G414" s="24" t="str">
        <v>6 out of 10</v>
      </c>
      <c r="H414" s="24" t="str">
        <v>https://nycdoe.sharepoint.com/:w:/s/BAP/EdusnGs7a_BPkMeiFMUoYhgBpCUBcjbJE-2NI4lStbbcSw</v>
      </c>
      <c r="I414" s="23">
        <v>391</v>
      </c>
      <c r="J414" s="24" t="str">
        <v>-</v>
      </c>
      <c r="K414" s="24">
        <v>1107</v>
      </c>
      <c r="L414" s="24" t="str">
        <v>6 out of 10</v>
      </c>
      <c r="M414" s="23" t="b">
        <f t="shared" si="12"/>
        <v>1</v>
      </c>
      <c r="N414" s="23" t="str">
        <v>6 out of 10</v>
      </c>
      <c r="O414" s="23"/>
      <c r="P414" s="42" t="str">
        <v>6</v>
      </c>
      <c r="Q414" s="42" t="str">
        <v>6</v>
      </c>
      <c r="R414" s="42" t="str">
        <v>6</v>
      </c>
      <c r="S414" s="10" t="str">
        <f t="shared" si="13"/>
        <v>No Change</v>
      </c>
    </row>
    <row r="415" spans="1:19" ht="120" hidden="1">
      <c r="A415" s="8" t="s">
        <v>4064</v>
      </c>
      <c r="B415" s="9" t="s">
        <v>13558</v>
      </c>
      <c r="C415" s="37" t="s">
        <v>8907</v>
      </c>
      <c r="D415" s="24"/>
      <c r="E415" s="24"/>
      <c r="F415" s="24" t="str">
        <v>M898</v>
      </c>
      <c r="G415" s="24" t="str">
        <v>9 out of 10</v>
      </c>
      <c r="H415" s="24" t="str">
        <v>https://nycdoe.sharepoint.com/:w:/s/BAP/Eeav0fxYBJdFo6VbxXqeRlIB-ARoS7IWhVxKAeYcVwIfTg</v>
      </c>
      <c r="I415" s="23">
        <v>392</v>
      </c>
      <c r="J415" s="24" t="str">
        <v>-</v>
      </c>
      <c r="K415" s="24">
        <v>1108</v>
      </c>
      <c r="L415" s="24" t="str">
        <v>9 out of 10</v>
      </c>
      <c r="M415" s="23" t="b">
        <f t="shared" si="12"/>
        <v>1</v>
      </c>
      <c r="N415" s="23" t="str">
        <v>9 out of 10</v>
      </c>
      <c r="O415" s="23"/>
      <c r="P415" s="42" t="str">
        <v>9</v>
      </c>
      <c r="Q415" s="42" t="str">
        <v>9</v>
      </c>
      <c r="R415" s="42" t="str">
        <v>9</v>
      </c>
      <c r="S415" s="10" t="str">
        <f t="shared" si="13"/>
        <v>No Change</v>
      </c>
    </row>
    <row r="416" spans="1:19" ht="120" hidden="1">
      <c r="A416" s="8" t="s">
        <v>3189</v>
      </c>
      <c r="B416" s="9" t="s">
        <v>13555</v>
      </c>
      <c r="C416" s="37" t="s">
        <v>7897</v>
      </c>
      <c r="D416" s="24"/>
      <c r="E416" s="24"/>
      <c r="F416" s="24" t="str">
        <v>M905</v>
      </c>
      <c r="G416" s="24" t="str">
        <v>0+ out of 10</v>
      </c>
      <c r="H416" s="24" t="str">
        <v>https://nycdoe.sharepoint.com/:w:/s/BAP/EZLzGNApO25Iq1xF69viMcgBX1S2uFeCJKKrCKx6Ev4aDA</v>
      </c>
      <c r="I416" s="23">
        <v>393</v>
      </c>
      <c r="J416" s="24" t="str">
        <v>-</v>
      </c>
      <c r="K416" s="24">
        <v>1109</v>
      </c>
      <c r="L416" s="24" t="str">
        <v>N/A out of 10</v>
      </c>
      <c r="M416" s="23" t="b">
        <f t="shared" si="12"/>
        <v>0</v>
      </c>
      <c r="N416" s="23" t="str">
        <v>0+ out of 10</v>
      </c>
      <c r="O416" s="23"/>
      <c r="P416" s="42" t="str">
        <v>0+</v>
      </c>
      <c r="Q416" s="42" t="str">
        <v>N/A</v>
      </c>
      <c r="R416" s="42" t="str">
        <v>0+</v>
      </c>
      <c r="S416" s="10" t="str">
        <f t="shared" si="13"/>
        <v>No Change</v>
      </c>
    </row>
    <row r="417" spans="1:19" ht="120" hidden="1">
      <c r="A417" s="8" t="s">
        <v>3400</v>
      </c>
      <c r="B417" s="9" t="s">
        <v>13555</v>
      </c>
      <c r="C417" s="37" t="s">
        <v>8110</v>
      </c>
      <c r="D417" s="24"/>
      <c r="E417" s="24"/>
      <c r="F417" s="24" t="str">
        <v>M908</v>
      </c>
      <c r="G417" s="24" t="str">
        <v>10 out of 10</v>
      </c>
      <c r="H417" s="24" t="str">
        <v>https://nycdoe.sharepoint.com/:w:/s/BAP/ETGVbkhHFlpDq7LoSN0tvM8BlH0hIgYBUClZfrAryFzlfQ</v>
      </c>
      <c r="I417" s="23">
        <v>394</v>
      </c>
      <c r="J417" s="24" t="str">
        <v>-</v>
      </c>
      <c r="K417" s="24">
        <v>1110</v>
      </c>
      <c r="L417" s="24" t="str">
        <v>10 out of 10</v>
      </c>
      <c r="M417" s="23" t="b">
        <f t="shared" si="12"/>
        <v>1</v>
      </c>
      <c r="N417" s="23" t="str">
        <v>10 out of 10</v>
      </c>
      <c r="O417" s="23"/>
      <c r="P417" s="42" t="str">
        <v>10</v>
      </c>
      <c r="Q417" s="42" t="str">
        <v>10</v>
      </c>
      <c r="R417" s="42" t="str">
        <v>10</v>
      </c>
      <c r="S417" s="10" t="str">
        <f t="shared" si="13"/>
        <v>No Change</v>
      </c>
    </row>
    <row r="418" spans="1:19" ht="120" hidden="1">
      <c r="A418" s="8" t="s">
        <v>3404</v>
      </c>
      <c r="B418" s="9" t="s">
        <v>13555</v>
      </c>
      <c r="C418" s="37" t="s">
        <v>8114</v>
      </c>
      <c r="D418" s="24"/>
      <c r="E418" s="24"/>
      <c r="F418" s="24" t="str">
        <v>M911</v>
      </c>
      <c r="G418" s="24" t="str">
        <v>1 out of 10</v>
      </c>
      <c r="H418" s="24" t="str">
        <v>https://nycdoe.sharepoint.com/:w:/s/BAP/Ee9sgp0JHONIp3qhe7QsykgBmXRNCOBL6rrosDcAdMsglQ</v>
      </c>
      <c r="I418" s="23">
        <v>395</v>
      </c>
      <c r="J418" s="24" t="str">
        <v>-</v>
      </c>
      <c r="K418" s="24">
        <v>1111</v>
      </c>
      <c r="L418" s="24" t="str">
        <v>1 out of 10</v>
      </c>
      <c r="M418" s="23" t="b">
        <f t="shared" si="12"/>
        <v>1</v>
      </c>
      <c r="N418" s="23" t="str">
        <v>1 out of 10</v>
      </c>
      <c r="O418" s="23"/>
      <c r="P418" s="42" t="str">
        <v>1</v>
      </c>
      <c r="Q418" s="42" t="str">
        <v>1</v>
      </c>
      <c r="R418" s="42" t="str">
        <v>1</v>
      </c>
      <c r="S418" s="10" t="str">
        <f t="shared" si="13"/>
        <v>No Change</v>
      </c>
    </row>
    <row r="419" spans="1:19" ht="120" hidden="1">
      <c r="A419" s="8" t="s">
        <v>3408</v>
      </c>
      <c r="B419" s="9" t="s">
        <v>13557</v>
      </c>
      <c r="C419" s="37" t="s">
        <v>8123</v>
      </c>
      <c r="D419" s="24"/>
      <c r="E419" s="24"/>
      <c r="F419" s="24" t="str">
        <v>M912</v>
      </c>
      <c r="G419" s="24" t="str">
        <v>10 out of 10</v>
      </c>
      <c r="H419" s="24" t="str">
        <v>https://nycdoe.sharepoint.com/:w:/s/BAP/ES-s0S3qCFtAqlNQ5L3sZjwBX-ous7XsvNaNehfcpt_8-g</v>
      </c>
      <c r="I419" s="23">
        <v>396</v>
      </c>
      <c r="J419" s="24" t="str">
        <v>-</v>
      </c>
      <c r="K419" s="24">
        <v>1112</v>
      </c>
      <c r="L419" s="24" t="str">
        <v>10 out of 10</v>
      </c>
      <c r="M419" s="23" t="b">
        <f t="shared" si="12"/>
        <v>1</v>
      </c>
      <c r="N419" s="23" t="str">
        <v>10 out of 10</v>
      </c>
      <c r="O419" s="23"/>
      <c r="P419" s="42" t="str">
        <v>10</v>
      </c>
      <c r="Q419" s="42" t="str">
        <v>10</v>
      </c>
      <c r="R419" s="42" t="str">
        <v>10</v>
      </c>
      <c r="S419" s="10" t="str">
        <f t="shared" si="13"/>
        <v>No Change</v>
      </c>
    </row>
    <row r="420" spans="1:19" ht="120" hidden="1">
      <c r="A420" s="8" t="s">
        <v>3412</v>
      </c>
      <c r="B420" s="9" t="s">
        <v>13555</v>
      </c>
      <c r="C420" s="37" t="s">
        <v>8127</v>
      </c>
      <c r="D420" s="24"/>
      <c r="E420" s="24"/>
      <c r="F420" s="24" t="str">
        <v>M913</v>
      </c>
      <c r="G420" s="24" t="str">
        <v>10 out of 10</v>
      </c>
      <c r="H420" s="24" t="str">
        <v>https://nycdoe.sharepoint.com/:w:/s/BAP/Ef1SDtOUVjBBrJBXY0ZJ-nIB-9NIvKuHTiVKw_eRLYCMew</v>
      </c>
      <c r="I420" s="23">
        <v>397</v>
      </c>
      <c r="J420" s="24" t="str">
        <v>-</v>
      </c>
      <c r="K420" s="24">
        <v>1114</v>
      </c>
      <c r="L420" s="24" t="str">
        <v>10 out of 10</v>
      </c>
      <c r="M420" s="23" t="b">
        <f t="shared" si="12"/>
        <v>1</v>
      </c>
      <c r="N420" s="23" t="str">
        <v>10 out of 10</v>
      </c>
      <c r="O420" s="23"/>
      <c r="P420" s="42" t="str">
        <v>10</v>
      </c>
      <c r="Q420" s="42" t="str">
        <v>10</v>
      </c>
      <c r="R420" s="42" t="str">
        <v>10</v>
      </c>
      <c r="S420" s="10" t="str">
        <f t="shared" si="13"/>
        <v>No Change</v>
      </c>
    </row>
    <row r="421" spans="1:19" ht="120" hidden="1">
      <c r="A421" s="8" t="s">
        <v>3193</v>
      </c>
      <c r="B421" s="9" t="s">
        <v>13553</v>
      </c>
      <c r="C421" s="37" t="s">
        <v>7901</v>
      </c>
      <c r="D421" s="24"/>
      <c r="E421" s="24"/>
      <c r="F421" s="24" t="str">
        <v>M918</v>
      </c>
      <c r="G421" s="24" t="str">
        <v>9 out of 10</v>
      </c>
      <c r="H421" s="24" t="str">
        <v>https://nycdoe.sharepoint.com/:w:/s/BAP/EYh-hEigGUtDpq8t4E2hmXsBoEYagzdwbutkTdGBPXeiPw</v>
      </c>
      <c r="I421" s="23">
        <v>398</v>
      </c>
      <c r="J421" s="24" t="str">
        <v>-</v>
      </c>
      <c r="K421" s="24">
        <v>1116</v>
      </c>
      <c r="L421" s="24" t="str">
        <v>9 out of 10</v>
      </c>
      <c r="M421" s="23" t="b">
        <f t="shared" si="12"/>
        <v>1</v>
      </c>
      <c r="N421" s="23" t="str">
        <v>9 out of 10</v>
      </c>
      <c r="O421" s="23"/>
      <c r="P421" s="42" t="str">
        <v>9</v>
      </c>
      <c r="Q421" s="42" t="str">
        <v>9</v>
      </c>
      <c r="R421" s="42" t="str">
        <v>9</v>
      </c>
      <c r="S421" s="10" t="str">
        <f t="shared" si="13"/>
        <v>No Change</v>
      </c>
    </row>
    <row r="422" spans="1:19" ht="120" hidden="1">
      <c r="A422" s="8" t="s">
        <v>3422</v>
      </c>
      <c r="B422" s="9" t="s">
        <v>13555</v>
      </c>
      <c r="C422" s="37" t="s">
        <v>8134</v>
      </c>
      <c r="D422" s="24"/>
      <c r="E422" s="24"/>
      <c r="F422" s="24" t="str">
        <v>M920</v>
      </c>
      <c r="G422" s="24" t="str">
        <v>8 out of 10</v>
      </c>
      <c r="H422" s="24" t="str">
        <v>https://nycdoe.sharepoint.com/:w:/s/BAP/EUGQJUPBZfRHp1kGTBRwQaUBc51Rw94dh6GWWv779CuXnQ</v>
      </c>
      <c r="I422" s="23">
        <v>399</v>
      </c>
      <c r="J422" s="24" t="str">
        <v>-</v>
      </c>
      <c r="K422" s="24">
        <v>1117</v>
      </c>
      <c r="L422" s="24" t="str">
        <v>8 out of 10</v>
      </c>
      <c r="M422" s="23" t="b">
        <f t="shared" si="12"/>
        <v>1</v>
      </c>
      <c r="N422" s="23" t="str">
        <v>8 out of 10</v>
      </c>
      <c r="O422" s="23"/>
      <c r="P422" s="42" t="str">
        <v>8</v>
      </c>
      <c r="Q422" s="42" t="str">
        <v>8</v>
      </c>
      <c r="R422" s="42" t="str">
        <v>8</v>
      </c>
      <c r="S422" s="10" t="str">
        <f t="shared" si="13"/>
        <v>No Change</v>
      </c>
    </row>
    <row r="423" spans="1:19" ht="120" hidden="1">
      <c r="A423" s="8" t="s">
        <v>3944</v>
      </c>
      <c r="B423" s="9" t="s">
        <v>13564</v>
      </c>
      <c r="C423" s="37" t="s">
        <v>8770</v>
      </c>
      <c r="D423" s="24"/>
      <c r="E423" s="24"/>
      <c r="F423" s="24" t="str">
        <v>M932</v>
      </c>
      <c r="G423" s="24" t="str">
        <v>6 out of 10</v>
      </c>
      <c r="H423" s="24" t="str">
        <v>https://nycdoe.sharepoint.com/:w:/s/BAP/EVisNvos1TlBtR_qnASSWZMBu0G-3cAlKf8Y8kuMHn21rg</v>
      </c>
      <c r="I423" s="23">
        <v>400</v>
      </c>
      <c r="J423" s="24" t="str">
        <v>-</v>
      </c>
      <c r="K423" s="24">
        <v>1118</v>
      </c>
      <c r="L423" s="24" t="str">
        <v>6 out of 10</v>
      </c>
      <c r="M423" s="23" t="b">
        <f t="shared" si="12"/>
        <v>1</v>
      </c>
      <c r="N423" s="23" t="str">
        <v>6 out of 10</v>
      </c>
      <c r="O423" s="23"/>
      <c r="P423" s="42" t="str">
        <v>6</v>
      </c>
      <c r="Q423" s="42" t="str">
        <v>6</v>
      </c>
      <c r="R423" s="42" t="str">
        <v>6</v>
      </c>
      <c r="S423" s="10" t="str">
        <f t="shared" si="13"/>
        <v>No Change</v>
      </c>
    </row>
    <row r="424" spans="1:19" ht="120" hidden="1">
      <c r="A424" s="8" t="s">
        <v>3948</v>
      </c>
      <c r="B424" s="9" t="s">
        <v>13553</v>
      </c>
      <c r="C424" s="37" t="s">
        <v>8779</v>
      </c>
      <c r="D424" s="24"/>
      <c r="E424" s="24"/>
      <c r="F424" s="24" t="str">
        <v>M970</v>
      </c>
      <c r="G424" s="24" t="str">
        <v>10 out of 10</v>
      </c>
      <c r="H424" s="24" t="str">
        <v>https://nycdoe.sharepoint.com/:w:/s/BAP/EXSl0oSHufhLnK2tr_2fvWsBHSSGpBx-4d6VzXqQqfZXvw</v>
      </c>
      <c r="I424" s="23">
        <v>401</v>
      </c>
      <c r="J424" s="24" t="str">
        <v>-</v>
      </c>
      <c r="K424" s="24">
        <v>1119</v>
      </c>
      <c r="L424" s="24" t="str">
        <v>10 out of 10</v>
      </c>
      <c r="M424" s="23" t="b">
        <f t="shared" si="12"/>
        <v>1</v>
      </c>
      <c r="N424" s="23" t="str">
        <v>10 out of 10</v>
      </c>
      <c r="O424" s="23"/>
      <c r="P424" s="42" t="str">
        <v>10</v>
      </c>
      <c r="Q424" s="42" t="str">
        <v>10</v>
      </c>
      <c r="R424" s="42" t="str">
        <v>10</v>
      </c>
      <c r="S424" s="10" t="str">
        <f t="shared" si="13"/>
        <v>No Change</v>
      </c>
    </row>
    <row r="425" spans="1:19" ht="120" hidden="1">
      <c r="A425" s="8" t="s">
        <v>3955</v>
      </c>
      <c r="B425" s="9" t="s">
        <v>13558</v>
      </c>
      <c r="C425" s="37" t="s">
        <v>8788</v>
      </c>
      <c r="D425" s="24"/>
      <c r="E425" s="24"/>
      <c r="F425" s="24" t="str">
        <v>M971</v>
      </c>
      <c r="G425" s="24" t="str">
        <v>10 out of 10</v>
      </c>
      <c r="H425" s="24" t="str">
        <v>https://nycdoe.sharepoint.com/:w:/s/BAP/Eai2c0eLgeZMj1ELAqlnnDUBmfLYi3_CmzNymL2oV3g9Aw</v>
      </c>
      <c r="I425" s="23">
        <v>402</v>
      </c>
      <c r="J425" s="24" t="str">
        <v>-</v>
      </c>
      <c r="K425" s="24">
        <v>1120</v>
      </c>
      <c r="L425" s="24" t="str">
        <v>10 out of 10</v>
      </c>
      <c r="M425" s="23" t="b">
        <f t="shared" si="12"/>
        <v>1</v>
      </c>
      <c r="N425" s="23" t="str">
        <v>10 out of 10</v>
      </c>
      <c r="O425" s="23"/>
      <c r="P425" s="42" t="str">
        <v>10</v>
      </c>
      <c r="Q425" s="42" t="str">
        <v>10</v>
      </c>
      <c r="R425" s="42" t="str">
        <v>10</v>
      </c>
      <c r="S425" s="10" t="str">
        <f t="shared" si="13"/>
        <v>No Change</v>
      </c>
    </row>
    <row r="426" spans="1:19" ht="120" hidden="1">
      <c r="A426" s="8" t="s">
        <v>3823</v>
      </c>
      <c r="B426" s="9" t="s">
        <v>13560</v>
      </c>
      <c r="C426" s="37" t="s">
        <v>8619</v>
      </c>
      <c r="D426" s="24"/>
      <c r="E426" s="24"/>
      <c r="F426" s="24" t="str">
        <v>Q002</v>
      </c>
      <c r="G426" s="24" t="str">
        <v>9 out of 10</v>
      </c>
      <c r="H426" s="24" t="str">
        <v>https://nycdoe.sharepoint.com/:w:/s/BAP/EbJLPNoJsINHo7XB75pcAhMBnDv0SpQcRasbyNfOyWWnzA</v>
      </c>
      <c r="I426" s="23">
        <v>403</v>
      </c>
      <c r="J426" s="24" t="str">
        <v>-</v>
      </c>
      <c r="K426" s="24">
        <v>1122</v>
      </c>
      <c r="L426" s="24" t="str">
        <v>9 out of 10</v>
      </c>
      <c r="M426" s="23" t="b">
        <f t="shared" si="12"/>
        <v>1</v>
      </c>
      <c r="N426" s="23" t="str">
        <v>9 out of 10</v>
      </c>
      <c r="O426" s="23"/>
      <c r="P426" s="42" t="str">
        <v>9</v>
      </c>
      <c r="Q426" s="42" t="str">
        <v>9</v>
      </c>
      <c r="R426" s="42" t="str">
        <v>9</v>
      </c>
      <c r="S426" s="10" t="str">
        <f t="shared" si="13"/>
        <v>No Change</v>
      </c>
    </row>
    <row r="427" spans="1:19" ht="135" hidden="1">
      <c r="A427" s="8" t="s">
        <v>3585</v>
      </c>
      <c r="B427" s="9" t="s">
        <v>13550</v>
      </c>
      <c r="C427" s="37" t="s">
        <v>13620</v>
      </c>
      <c r="D427" s="24"/>
      <c r="E427" s="24"/>
      <c r="F427" s="24" t="str">
        <v>Q003</v>
      </c>
      <c r="G427" s="24" t="str">
        <v>10 out of 10</v>
      </c>
      <c r="H427" s="24" t="str">
        <v>https://nycdoe.sharepoint.com/:w:/s/BAP/Ee4XXoERG3xGsNqbcX9gySsBSUXB5AR-_MTkqOboMtoa-w</v>
      </c>
      <c r="I427" s="23">
        <v>404</v>
      </c>
      <c r="J427" s="24" t="str">
        <v>-</v>
      </c>
      <c r="K427" s="24">
        <v>1123</v>
      </c>
      <c r="L427" s="24" t="str">
        <v>10 out of 10</v>
      </c>
      <c r="M427" s="23" t="b">
        <f t="shared" si="12"/>
        <v>1</v>
      </c>
      <c r="N427" s="23" t="str">
        <v>10 out of 10</v>
      </c>
      <c r="O427" s="23"/>
      <c r="P427" s="42" t="str">
        <v>10</v>
      </c>
      <c r="Q427" s="42" t="str">
        <v>10</v>
      </c>
      <c r="R427" s="42" t="str">
        <v>10</v>
      </c>
      <c r="S427" s="10" t="str">
        <f t="shared" si="13"/>
        <v>No Change</v>
      </c>
    </row>
    <row r="428" spans="1:19" ht="120" hidden="1">
      <c r="A428" s="8" t="s">
        <v>3620</v>
      </c>
      <c r="B428" s="9" t="s">
        <v>13555</v>
      </c>
      <c r="C428" s="37" t="s">
        <v>8407</v>
      </c>
      <c r="D428" s="24"/>
      <c r="E428" s="24"/>
      <c r="F428" s="24" t="str">
        <v>Q005</v>
      </c>
      <c r="G428" s="24" t="str">
        <v>10 out of 10</v>
      </c>
      <c r="H428" s="24" t="str">
        <v>https://nycdoe.sharepoint.com/:w:/s/BAP/EdTPhLQTXZNErK3fVt-RP5MBBU8XUcNPqEFti0GnpMnoqQ</v>
      </c>
      <c r="I428" s="23">
        <v>405</v>
      </c>
      <c r="J428" s="24" t="str">
        <v>-</v>
      </c>
      <c r="K428" s="24">
        <v>1124</v>
      </c>
      <c r="L428" s="24" t="str">
        <v>10 out of 10</v>
      </c>
      <c r="M428" s="23" t="b">
        <f t="shared" si="12"/>
        <v>1</v>
      </c>
      <c r="N428" s="23" t="str">
        <v>10 out of 10</v>
      </c>
      <c r="O428" s="23"/>
      <c r="P428" s="42" t="str">
        <v>10</v>
      </c>
      <c r="Q428" s="42" t="str">
        <v>10</v>
      </c>
      <c r="R428" s="42" t="str">
        <v>10</v>
      </c>
      <c r="S428" s="10" t="str">
        <f t="shared" si="13"/>
        <v>No Change</v>
      </c>
    </row>
    <row r="429" spans="1:19" ht="120" hidden="1">
      <c r="A429" s="8" t="s">
        <v>3624</v>
      </c>
      <c r="B429" s="9" t="s">
        <v>13553</v>
      </c>
      <c r="C429" s="37" t="s">
        <v>8410</v>
      </c>
      <c r="D429" s="24"/>
      <c r="E429" s="24"/>
      <c r="F429" s="24" t="str">
        <v>Q007</v>
      </c>
      <c r="G429" s="24" t="str">
        <v>10 out of 10</v>
      </c>
      <c r="H429" s="24" t="str">
        <v>https://nycdoe.sharepoint.com/:w:/s/BAP/ETwpTGz2NfNCkWVjvHpxFCwBMicG1H95HJr-LnY7SVZj9g</v>
      </c>
      <c r="I429" s="23">
        <v>406</v>
      </c>
      <c r="J429" s="24" t="str">
        <v>-</v>
      </c>
      <c r="K429" s="24">
        <v>1126</v>
      </c>
      <c r="L429" s="24" t="str">
        <v>10 out of 10</v>
      </c>
      <c r="M429" s="23" t="b">
        <f t="shared" si="12"/>
        <v>1</v>
      </c>
      <c r="N429" s="23" t="str">
        <v>10 out of 10</v>
      </c>
      <c r="O429" s="23"/>
      <c r="P429" s="42" t="str">
        <v>10</v>
      </c>
      <c r="Q429" s="42" t="str">
        <v>10</v>
      </c>
      <c r="R429" s="42" t="str">
        <v>10</v>
      </c>
      <c r="S429" s="10" t="str">
        <f t="shared" si="13"/>
        <v>No Change</v>
      </c>
    </row>
    <row r="430" spans="1:19" ht="120" hidden="1">
      <c r="A430" s="8" t="s">
        <v>3507</v>
      </c>
      <c r="B430" s="9" t="s">
        <v>13565</v>
      </c>
      <c r="C430" s="37" t="s">
        <v>8275</v>
      </c>
      <c r="D430" s="24"/>
      <c r="E430" s="24"/>
      <c r="F430" s="24" t="str">
        <v>Q008</v>
      </c>
      <c r="G430" s="24" t="str">
        <v>3 out of 10</v>
      </c>
      <c r="H430" s="24" t="str">
        <v>https://nycdoe.sharepoint.com/:w:/s/BAP/ERSeoYw7s55Il_tm_9-lA60BsnLJn-W2evOzF8nVujR2dA</v>
      </c>
      <c r="I430" s="23">
        <v>407</v>
      </c>
      <c r="J430" s="24" t="str">
        <v>-</v>
      </c>
      <c r="K430" s="24">
        <v>1128</v>
      </c>
      <c r="L430" s="24" t="str">
        <v>3 out of 10</v>
      </c>
      <c r="M430" s="23" t="b">
        <f t="shared" si="12"/>
        <v>1</v>
      </c>
      <c r="N430" s="23" t="str">
        <v>3 out of 10</v>
      </c>
      <c r="O430" s="23"/>
      <c r="P430" s="42" t="str">
        <v>3</v>
      </c>
      <c r="Q430" s="42" t="str">
        <v>3</v>
      </c>
      <c r="R430" s="42" t="str">
        <v>3</v>
      </c>
      <c r="S430" s="10" t="str">
        <f t="shared" si="13"/>
        <v>No Change</v>
      </c>
    </row>
    <row r="431" spans="1:19" ht="135" hidden="1">
      <c r="A431" s="8" t="s">
        <v>3795</v>
      </c>
      <c r="B431" s="9" t="s">
        <v>13557</v>
      </c>
      <c r="C431" s="37" t="s">
        <v>13621</v>
      </c>
      <c r="D431" s="24"/>
      <c r="E431" s="24"/>
      <c r="F431" s="24" t="str">
        <v>Q010</v>
      </c>
      <c r="G431" s="24" t="str">
        <v>3 out of 10</v>
      </c>
      <c r="H431" s="24" t="str">
        <v>https://nycdoe.sharepoint.com/:w:/s/BAP/ESwi_ilxP65IlhZpyQQtzdIB6E0WV9aD4fXAVQoIRVG8Ow</v>
      </c>
      <c r="I431" s="23">
        <v>408</v>
      </c>
      <c r="J431" s="24" t="str">
        <v>-</v>
      </c>
      <c r="K431" s="24">
        <v>1132</v>
      </c>
      <c r="L431" s="24" t="str">
        <v>3 out of 10</v>
      </c>
      <c r="M431" s="23" t="b">
        <f t="shared" si="12"/>
        <v>1</v>
      </c>
      <c r="N431" s="23" t="str">
        <v>3 out of 10</v>
      </c>
      <c r="O431" s="23"/>
      <c r="P431" s="42" t="str">
        <v>3</v>
      </c>
      <c r="Q431" s="42" t="str">
        <v>3</v>
      </c>
      <c r="R431" s="42" t="str">
        <v>3</v>
      </c>
      <c r="S431" s="10" t="str">
        <f t="shared" si="13"/>
        <v>No Change</v>
      </c>
    </row>
    <row r="432" spans="1:19" ht="120" hidden="1">
      <c r="A432" s="8" t="s">
        <v>3887</v>
      </c>
      <c r="B432" s="9" t="s">
        <v>13561</v>
      </c>
      <c r="C432" s="37" t="s">
        <v>13622</v>
      </c>
      <c r="D432" s="24"/>
      <c r="E432" s="24"/>
      <c r="F432" s="24" t="str">
        <v>Q011</v>
      </c>
      <c r="G432" s="24" t="str">
        <v>10 out of 10</v>
      </c>
      <c r="H432" s="24" t="str">
        <v>https://nycdoe.sharepoint.com/:w:/s/BAP/EblqKEZloLRKtMdJaXmVln4BEeiIoS1wcP1VqfuFS1Nw4w</v>
      </c>
      <c r="I432" s="23">
        <v>409</v>
      </c>
      <c r="J432" s="24" t="str">
        <v>-</v>
      </c>
      <c r="K432" s="24">
        <v>1133</v>
      </c>
      <c r="L432" s="24" t="str">
        <v>10 out of 10</v>
      </c>
      <c r="M432" s="23" t="b">
        <f t="shared" si="12"/>
        <v>1</v>
      </c>
      <c r="N432" s="23" t="str">
        <v>10 out of 10</v>
      </c>
      <c r="O432" s="23"/>
      <c r="P432" s="42" t="str">
        <v>10</v>
      </c>
      <c r="Q432" s="42" t="str">
        <v>10</v>
      </c>
      <c r="R432" s="42" t="str">
        <v>10</v>
      </c>
      <c r="S432" s="10" t="str">
        <f t="shared" si="13"/>
        <v>No Change</v>
      </c>
    </row>
    <row r="433" spans="1:19" ht="120" hidden="1">
      <c r="A433" s="8" t="s">
        <v>3197</v>
      </c>
      <c r="B433" s="9" t="s">
        <v>13555</v>
      </c>
      <c r="C433" s="37" t="s">
        <v>7905</v>
      </c>
      <c r="D433" s="24"/>
      <c r="E433" s="24"/>
      <c r="F433" s="24" t="str">
        <v>Q012</v>
      </c>
      <c r="G433" s="24" t="str">
        <v>9 out of 10</v>
      </c>
      <c r="H433" s="24" t="str">
        <v>https://nycdoe.sharepoint.com/:w:/s/BAP/ERS2agjJZJxPoV9hMcr4BPsBtKs0xGDcid1aRstLiaPNcg</v>
      </c>
      <c r="I433" s="23">
        <v>410</v>
      </c>
      <c r="J433" s="24" t="str">
        <v>-</v>
      </c>
      <c r="K433" s="24">
        <v>1135</v>
      </c>
      <c r="L433" s="24" t="str">
        <v>9 out of 10</v>
      </c>
      <c r="M433" s="23" t="b">
        <f t="shared" si="12"/>
        <v>1</v>
      </c>
      <c r="N433" s="23" t="str">
        <v>9 out of 10</v>
      </c>
      <c r="O433" s="23"/>
      <c r="P433" s="42" t="str">
        <v>9</v>
      </c>
      <c r="Q433" s="42" t="str">
        <v>9</v>
      </c>
      <c r="R433" s="42" t="str">
        <v>9</v>
      </c>
      <c r="S433" s="10" t="str">
        <f t="shared" si="13"/>
        <v>No Change</v>
      </c>
    </row>
    <row r="434" spans="1:19" ht="120" hidden="1">
      <c r="A434" s="8" t="s">
        <v>3830</v>
      </c>
      <c r="B434" s="9" t="s">
        <v>13555</v>
      </c>
      <c r="C434" s="37" t="s">
        <v>8625</v>
      </c>
      <c r="D434" s="24"/>
      <c r="E434" s="24"/>
      <c r="F434" s="24" t="str">
        <v>Q013</v>
      </c>
      <c r="G434" s="24" t="str">
        <v>9 out of 10</v>
      </c>
      <c r="H434" s="24" t="str">
        <v>https://nycdoe.sharepoint.com/:w:/s/BAP/Ef7_FpXKSQFIuC2xMs70X1UBRD6pe_YUv7VuBpCRalk02w</v>
      </c>
      <c r="I434" s="23">
        <v>411</v>
      </c>
      <c r="J434" s="24" t="str">
        <v>-</v>
      </c>
      <c r="K434" s="24">
        <v>1136</v>
      </c>
      <c r="L434" s="24" t="str">
        <v>9 out of 10</v>
      </c>
      <c r="M434" s="23" t="b">
        <f t="shared" si="12"/>
        <v>1</v>
      </c>
      <c r="N434" s="23" t="str">
        <v>9 out of 10</v>
      </c>
      <c r="O434" s="23"/>
      <c r="P434" s="42" t="str">
        <v>9</v>
      </c>
      <c r="Q434" s="42" t="str">
        <v>9</v>
      </c>
      <c r="R434" s="42" t="str">
        <v>9</v>
      </c>
      <c r="S434" s="10" t="str">
        <f t="shared" si="13"/>
        <v>No Change</v>
      </c>
    </row>
    <row r="435" spans="1:19" ht="120" hidden="1">
      <c r="A435" s="8" t="s">
        <v>3631</v>
      </c>
      <c r="B435" s="9" t="s">
        <v>13553</v>
      </c>
      <c r="C435" s="37" t="s">
        <v>8414</v>
      </c>
      <c r="D435" s="24"/>
      <c r="E435" s="24"/>
      <c r="F435" s="24" t="str">
        <v>Q014</v>
      </c>
      <c r="G435" s="24" t="str">
        <v>9 out of 10</v>
      </c>
      <c r="H435" s="24" t="str">
        <v>https://nycdoe.sharepoint.com/:w:/s/BAP/EXwuFQjNuf5Ggel6VqlbPrEB8z_n-j5Pg9ccD57GT1qhgQ</v>
      </c>
      <c r="I435" s="23">
        <v>412</v>
      </c>
      <c r="J435" s="24" t="str">
        <v>-</v>
      </c>
      <c r="K435" s="24">
        <v>1137</v>
      </c>
      <c r="L435" s="24" t="str">
        <v>9 out of 10</v>
      </c>
      <c r="M435" s="23" t="b">
        <f t="shared" si="12"/>
        <v>1</v>
      </c>
      <c r="N435" s="23" t="str">
        <v>9 out of 10</v>
      </c>
      <c r="O435" s="23"/>
      <c r="P435" s="42" t="str">
        <v>9</v>
      </c>
      <c r="Q435" s="42" t="str">
        <v>9</v>
      </c>
      <c r="R435" s="42" t="str">
        <v>9</v>
      </c>
      <c r="S435" s="10" t="str">
        <f t="shared" si="13"/>
        <v>No Change</v>
      </c>
    </row>
    <row r="436" spans="1:19" ht="120" hidden="1">
      <c r="A436" s="8" t="s">
        <v>3635</v>
      </c>
      <c r="B436" s="9" t="s">
        <v>13557</v>
      </c>
      <c r="C436" s="37" t="s">
        <v>8418</v>
      </c>
      <c r="D436" s="24"/>
      <c r="E436" s="24"/>
      <c r="F436" s="24" t="str">
        <v>Q015</v>
      </c>
      <c r="G436" s="24" t="str">
        <v>8 out of 10</v>
      </c>
      <c r="H436" s="24" t="str">
        <v>https://nycdoe.sharepoint.com/:w:/s/BAP/EUltlQV0w61Km6MDegeCy34BFkXXcjQK6M49hPCUB_rKew</v>
      </c>
      <c r="I436" s="23">
        <v>413</v>
      </c>
      <c r="J436" s="24" t="str">
        <v>-</v>
      </c>
      <c r="K436" s="24">
        <v>1138</v>
      </c>
      <c r="L436" s="24" t="str">
        <v>8 out of 10</v>
      </c>
      <c r="M436" s="23" t="b">
        <f t="shared" si="12"/>
        <v>1</v>
      </c>
      <c r="N436" s="23" t="str">
        <v>8 out of 10</v>
      </c>
      <c r="O436" s="23"/>
      <c r="P436" s="42" t="str">
        <v>8</v>
      </c>
      <c r="Q436" s="42" t="str">
        <v>8</v>
      </c>
      <c r="R436" s="42" t="str">
        <v>8</v>
      </c>
      <c r="S436" s="10" t="str">
        <f t="shared" si="13"/>
        <v>No Change</v>
      </c>
    </row>
    <row r="437" spans="1:19" ht="120" hidden="1">
      <c r="A437" s="8" t="s">
        <v>3834</v>
      </c>
      <c r="B437" s="9" t="s">
        <v>13558</v>
      </c>
      <c r="C437" s="37" t="s">
        <v>8629</v>
      </c>
      <c r="D437" s="24"/>
      <c r="E437" s="24"/>
      <c r="F437" s="24" t="str">
        <v>Q017</v>
      </c>
      <c r="G437" s="24" t="str">
        <v>1 out of 10</v>
      </c>
      <c r="H437" s="24" t="str">
        <v>https://nycdoe.sharepoint.com/:w:/s/BAP/Edf0Szt854FMmcDfwhUguDkBF-I8ZoCnr9sbmt_O53oBpA</v>
      </c>
      <c r="I437" s="23">
        <v>414</v>
      </c>
      <c r="J437" s="24" t="str">
        <v>-</v>
      </c>
      <c r="K437" s="24">
        <v>1139</v>
      </c>
      <c r="L437" s="24" t="str">
        <v>1 out of 10</v>
      </c>
      <c r="M437" s="23" t="b">
        <f t="shared" si="12"/>
        <v>1</v>
      </c>
      <c r="N437" s="23" t="str">
        <v>1 out of 10</v>
      </c>
      <c r="O437" s="23"/>
      <c r="P437" s="42" t="str">
        <v>1</v>
      </c>
      <c r="Q437" s="42" t="str">
        <v>1</v>
      </c>
      <c r="R437" s="42" t="str">
        <v>1</v>
      </c>
      <c r="S437" s="10" t="str">
        <f t="shared" si="13"/>
        <v>No Change</v>
      </c>
    </row>
    <row r="438" spans="1:19" ht="120" hidden="1">
      <c r="A438" s="8" t="s">
        <v>3201</v>
      </c>
      <c r="B438" s="9" t="s">
        <v>13553</v>
      </c>
      <c r="C438" s="37" t="s">
        <v>7907</v>
      </c>
      <c r="D438" s="24"/>
      <c r="E438" s="24"/>
      <c r="F438" s="24" t="str">
        <v>Q019</v>
      </c>
      <c r="G438" s="24" t="str">
        <v>9 out of 10</v>
      </c>
      <c r="H438" s="24" t="str">
        <v>https://nycdoe.sharepoint.com/:w:/s/BAP/ETwafC1SmVpOp_eS8n0ctusBtGcA6uFyW7y-MT4s7-d_lA</v>
      </c>
      <c r="I438" s="23">
        <v>415</v>
      </c>
      <c r="J438" s="24" t="str">
        <v>-</v>
      </c>
      <c r="K438" s="24">
        <v>1142</v>
      </c>
      <c r="L438" s="24" t="str">
        <v>9 out of 10</v>
      </c>
      <c r="M438" s="23" t="b">
        <f t="shared" si="12"/>
        <v>1</v>
      </c>
      <c r="N438" s="23" t="str">
        <v>9 out of 10</v>
      </c>
      <c r="O438" s="23"/>
      <c r="P438" s="42" t="str">
        <v>9</v>
      </c>
      <c r="Q438" s="42" t="str">
        <v>9</v>
      </c>
      <c r="R438" s="42" t="str">
        <v>9</v>
      </c>
      <c r="S438" s="10" t="str">
        <f t="shared" si="13"/>
        <v>No Change</v>
      </c>
    </row>
    <row r="439" spans="1:19" ht="120" hidden="1">
      <c r="A439" s="8" t="s">
        <v>3959</v>
      </c>
      <c r="B439" s="9" t="s">
        <v>13555</v>
      </c>
      <c r="C439" s="37" t="s">
        <v>8792</v>
      </c>
      <c r="D439" s="24"/>
      <c r="E439" s="24"/>
      <c r="F439" s="24" t="str">
        <v>Q020</v>
      </c>
      <c r="G439" s="24" t="str">
        <v>9 out of 10</v>
      </c>
      <c r="H439" s="24" t="str">
        <v>https://nycdoe.sharepoint.com/:w:/s/BAP/EamGaRq-aiRAmIKidnWiaDYBQ0bo1IcxiN3HSurf5Gr5ng</v>
      </c>
      <c r="I439" s="23">
        <v>416</v>
      </c>
      <c r="J439" s="24" t="str">
        <v>-</v>
      </c>
      <c r="K439" s="24">
        <v>1143</v>
      </c>
      <c r="L439" s="24" t="str">
        <v>9 out of 10</v>
      </c>
      <c r="M439" s="23" t="b">
        <f t="shared" si="12"/>
        <v>1</v>
      </c>
      <c r="N439" s="23" t="str">
        <v>9 out of 10</v>
      </c>
      <c r="O439" s="23"/>
      <c r="P439" s="42" t="str">
        <v>9</v>
      </c>
      <c r="Q439" s="42" t="str">
        <v>9</v>
      </c>
      <c r="R439" s="42" t="str">
        <v>9</v>
      </c>
      <c r="S439" s="10" t="str">
        <f t="shared" si="13"/>
        <v>No Change</v>
      </c>
    </row>
    <row r="440" spans="1:19" ht="120" hidden="1">
      <c r="A440" s="8" t="s">
        <v>3645</v>
      </c>
      <c r="B440" s="9" t="s">
        <v>13560</v>
      </c>
      <c r="C440" s="37" t="s">
        <v>8426</v>
      </c>
      <c r="D440" s="24"/>
      <c r="E440" s="24"/>
      <c r="F440" s="24" t="str">
        <v>Q021</v>
      </c>
      <c r="G440" s="24" t="str">
        <v>9 out of 10</v>
      </c>
      <c r="H440" s="24" t="str">
        <v>https://nycdoe.sharepoint.com/:w:/s/BAP/EZbv61cFoLhKgBawcDTXvrYBp04CztbJxD5NGHV0wlPIKQ</v>
      </c>
      <c r="I440" s="23">
        <v>417</v>
      </c>
      <c r="J440" s="24" t="str">
        <v>-</v>
      </c>
      <c r="K440" s="24">
        <v>1144</v>
      </c>
      <c r="L440" s="24" t="str">
        <v>9 out of 10</v>
      </c>
      <c r="M440" s="23" t="b">
        <f t="shared" si="12"/>
        <v>1</v>
      </c>
      <c r="N440" s="23" t="str">
        <v>9 out of 10</v>
      </c>
      <c r="O440" s="23"/>
      <c r="P440" s="42" t="str">
        <v>9</v>
      </c>
      <c r="Q440" s="42" t="str">
        <v>9</v>
      </c>
      <c r="R440" s="42" t="str">
        <v>9</v>
      </c>
      <c r="S440" s="10" t="str">
        <f t="shared" si="13"/>
        <v>No Change</v>
      </c>
    </row>
    <row r="441" spans="1:19" ht="120" hidden="1">
      <c r="A441" s="8" t="s">
        <v>3205</v>
      </c>
      <c r="B441" s="9" t="s">
        <v>13555</v>
      </c>
      <c r="C441" s="37" t="s">
        <v>7913</v>
      </c>
      <c r="D441" s="24"/>
      <c r="E441" s="24"/>
      <c r="F441" s="24" t="str">
        <v>Q024</v>
      </c>
      <c r="G441" s="24" t="str">
        <v>9 out of 10</v>
      </c>
      <c r="H441" s="24" t="str">
        <v>https://nycdoe.sharepoint.com/:w:/s/BAP/EWQZ72IPRmNKq78FSoQXqDUBzuXzDgCup9Uz-3NxKoKyZA</v>
      </c>
      <c r="I441" s="23">
        <v>418</v>
      </c>
      <c r="J441" s="24" t="str">
        <v>9 out of 10</v>
      </c>
      <c r="K441" s="24">
        <v>1147</v>
      </c>
      <c r="L441" s="24" t="str">
        <v>9 out of 10</v>
      </c>
      <c r="M441" s="23" t="b">
        <f t="shared" si="12"/>
        <v>1</v>
      </c>
      <c r="N441" s="23" t="str">
        <v>9 out of 10</v>
      </c>
      <c r="O441" s="23"/>
      <c r="P441" s="42" t="str">
        <v>9</v>
      </c>
      <c r="Q441" s="42" t="str">
        <v>9</v>
      </c>
      <c r="R441" s="42" t="str">
        <v>9</v>
      </c>
      <c r="S441" s="10" t="str">
        <f t="shared" si="13"/>
        <v>No Change</v>
      </c>
    </row>
    <row r="442" spans="1:19" ht="120" hidden="1">
      <c r="A442" s="8" t="s">
        <v>3649</v>
      </c>
      <c r="B442" s="9" t="s">
        <v>13555</v>
      </c>
      <c r="C442" s="37" t="s">
        <v>8430</v>
      </c>
      <c r="D442" s="24"/>
      <c r="E442" s="24"/>
      <c r="F442" s="24" t="str">
        <v>Q025</v>
      </c>
      <c r="G442" s="24" t="str">
        <v>9 out of 10</v>
      </c>
      <c r="H442" s="24" t="str">
        <v>https://nycdoe.sharepoint.com/:w:/s/BAP/ETyXvMb-vrZCj1ltfucZGD4BKVGt6Tr821mlPCQelh6SMw</v>
      </c>
      <c r="I442" s="23">
        <v>419</v>
      </c>
      <c r="J442" s="24" t="str">
        <v>-</v>
      </c>
      <c r="K442" s="24">
        <v>1148</v>
      </c>
      <c r="L442" s="24" t="str">
        <v>9 out of 10</v>
      </c>
      <c r="M442" s="23" t="b">
        <f t="shared" si="12"/>
        <v>1</v>
      </c>
      <c r="N442" s="23" t="str">
        <v>9 out of 10</v>
      </c>
      <c r="O442" s="23"/>
      <c r="P442" s="42" t="str">
        <v>9</v>
      </c>
      <c r="Q442" s="42" t="str">
        <v>9</v>
      </c>
      <c r="R442" s="42" t="str">
        <v>9</v>
      </c>
      <c r="S442" s="10" t="str">
        <f t="shared" si="13"/>
        <v>No Change</v>
      </c>
    </row>
    <row r="443" spans="1:19" ht="120" hidden="1">
      <c r="A443" s="8" t="s">
        <v>3653</v>
      </c>
      <c r="B443" s="9" t="s">
        <v>13557</v>
      </c>
      <c r="C443" s="37" t="s">
        <v>8434</v>
      </c>
      <c r="D443" s="24"/>
      <c r="E443" s="24"/>
      <c r="F443" s="24" t="str">
        <v>Q028</v>
      </c>
      <c r="G443" s="24" t="str">
        <v>10 out of 10</v>
      </c>
      <c r="H443" s="24" t="str">
        <v>https://nycdoe.sharepoint.com/:w:/s/BAP/EchRNqpWnvJBpY1kj89Sj50BGTzqu39rhykdtAiXWBjC1w</v>
      </c>
      <c r="I443" s="23">
        <v>420</v>
      </c>
      <c r="J443" s="24" t="str">
        <v>-</v>
      </c>
      <c r="K443" s="24">
        <v>1153</v>
      </c>
      <c r="L443" s="24" t="str">
        <v>10 out of 10</v>
      </c>
      <c r="M443" s="23" t="b">
        <f t="shared" si="12"/>
        <v>1</v>
      </c>
      <c r="N443" s="23" t="str">
        <v>10 out of 10</v>
      </c>
      <c r="O443" s="23"/>
      <c r="P443" s="42" t="str">
        <v>10</v>
      </c>
      <c r="Q443" s="42" t="str">
        <v>10</v>
      </c>
      <c r="R443" s="42" t="str">
        <v>10</v>
      </c>
      <c r="S443" s="10" t="str">
        <f t="shared" si="13"/>
        <v>No Change</v>
      </c>
    </row>
    <row r="444" spans="1:19" ht="135" hidden="1">
      <c r="A444" s="8" t="s">
        <v>3657</v>
      </c>
      <c r="B444" s="9" t="s">
        <v>13555</v>
      </c>
      <c r="C444" s="37" t="s">
        <v>8438</v>
      </c>
      <c r="D444" s="24"/>
      <c r="E444" s="24"/>
      <c r="F444" s="24" t="str">
        <v>Q029</v>
      </c>
      <c r="G444" s="24" t="str">
        <v>9 out of 10</v>
      </c>
      <c r="H444" s="24" t="str">
        <v>https://nycdoe.sharepoint.com/:w:/s/BAP/EVwDrsfUZYVOtNk71i09BdcBCO8ijPW394ZhoadAyfiYMg</v>
      </c>
      <c r="I444" s="23">
        <v>421</v>
      </c>
      <c r="J444" s="24" t="str">
        <v>-</v>
      </c>
      <c r="K444" s="24">
        <v>1154</v>
      </c>
      <c r="L444" s="24" t="str">
        <v>9 out of 10</v>
      </c>
      <c r="M444" s="23" t="b">
        <f t="shared" si="12"/>
        <v>1</v>
      </c>
      <c r="N444" s="23" t="str">
        <v>9 out of 10</v>
      </c>
      <c r="O444" s="23"/>
      <c r="P444" s="42" t="str">
        <v>9</v>
      </c>
      <c r="Q444" s="42" t="str">
        <v>9</v>
      </c>
      <c r="R444" s="42" t="str">
        <v>9</v>
      </c>
      <c r="S444" s="10" t="str">
        <f t="shared" si="13"/>
        <v>No Change</v>
      </c>
    </row>
    <row r="445" spans="1:19" ht="120" hidden="1">
      <c r="A445" s="8" t="s">
        <v>3661</v>
      </c>
      <c r="B445" s="9" t="s">
        <v>13555</v>
      </c>
      <c r="C445" s="37" t="s">
        <v>8442</v>
      </c>
      <c r="D445" s="24"/>
      <c r="E445" s="24"/>
      <c r="F445" s="24" t="str">
        <v>Q033</v>
      </c>
      <c r="G445" s="24" t="str">
        <v>6 out of 10</v>
      </c>
      <c r="H445" s="24" t="str">
        <v>https://nycdoe.sharepoint.com/:w:/s/BAP/EUR50u8vtJFHglUmNP6y8kABR_Q10Jn6rGk5nUnHjgod-w</v>
      </c>
      <c r="I445" s="23">
        <v>422</v>
      </c>
      <c r="J445" s="24" t="str">
        <v>-</v>
      </c>
      <c r="K445" s="24">
        <v>1158</v>
      </c>
      <c r="L445" s="24" t="str">
        <v>6 out of 10</v>
      </c>
      <c r="M445" s="23" t="b">
        <f t="shared" si="12"/>
        <v>1</v>
      </c>
      <c r="N445" s="23" t="str">
        <v>6 out of 10</v>
      </c>
      <c r="O445" s="23"/>
      <c r="P445" s="42" t="str">
        <v>6</v>
      </c>
      <c r="Q445" s="42" t="str">
        <v>6</v>
      </c>
      <c r="R445" s="42" t="str">
        <v>6</v>
      </c>
      <c r="S445" s="10" t="str">
        <f t="shared" si="13"/>
        <v>No Change</v>
      </c>
    </row>
    <row r="446" spans="1:19" ht="120" hidden="1">
      <c r="A446" s="8" t="s">
        <v>3511</v>
      </c>
      <c r="B446" s="9" t="s">
        <v>13555</v>
      </c>
      <c r="C446" s="37" t="s">
        <v>8279</v>
      </c>
      <c r="D446" s="24"/>
      <c r="E446" s="24"/>
      <c r="F446" s="24" t="str">
        <v>Q035</v>
      </c>
      <c r="G446" s="24" t="str">
        <v>10 out of 10</v>
      </c>
      <c r="H446" s="24" t="str">
        <v>https://nycdoe.sharepoint.com/:w:/s/BAP/EcUrEKIBGCNPsxh1PCdR6OsBKDYDF4cDd1yrBfZ1VNjZgQ</v>
      </c>
      <c r="I446" s="23">
        <v>423</v>
      </c>
      <c r="J446" s="24" t="str">
        <v>-</v>
      </c>
      <c r="K446" s="24">
        <v>1160</v>
      </c>
      <c r="L446" s="24" t="str">
        <v>10 out of 10</v>
      </c>
      <c r="M446" s="23" t="b">
        <f t="shared" si="12"/>
        <v>1</v>
      </c>
      <c r="N446" s="23" t="str">
        <v>10 out of 10</v>
      </c>
      <c r="O446" s="23"/>
      <c r="P446" s="42" t="str">
        <v>10</v>
      </c>
      <c r="Q446" s="42" t="str">
        <v>10</v>
      </c>
      <c r="R446" s="42" t="str">
        <v>10</v>
      </c>
      <c r="S446" s="10" t="str">
        <f t="shared" si="13"/>
        <v>No Change</v>
      </c>
    </row>
    <row r="447" spans="1:19" ht="120" hidden="1">
      <c r="A447" s="8" t="s">
        <v>3209</v>
      </c>
      <c r="B447" s="9" t="s">
        <v>13557</v>
      </c>
      <c r="C447" s="37" t="s">
        <v>7917</v>
      </c>
      <c r="D447" s="24"/>
      <c r="E447" s="24"/>
      <c r="F447" s="24" t="str">
        <v>Q037</v>
      </c>
      <c r="G447" s="24" t="str">
        <v>1 out of 10</v>
      </c>
      <c r="H447" s="24" t="str">
        <v>https://nycdoe.sharepoint.com/:w:/s/BAP/Ee45Wj0GWaxDuQgXvVMevjYBjjoIXMqfCo0ywrZjQGPd6A</v>
      </c>
      <c r="I447" s="23">
        <v>424</v>
      </c>
      <c r="J447" s="24" t="str">
        <v>-</v>
      </c>
      <c r="K447" s="24">
        <v>1163</v>
      </c>
      <c r="L447" s="24" t="str">
        <v>1 out of 10</v>
      </c>
      <c r="M447" s="23" t="b">
        <f t="shared" si="12"/>
        <v>1</v>
      </c>
      <c r="N447" s="23" t="str">
        <v>1 out of 10</v>
      </c>
      <c r="O447" s="23"/>
      <c r="P447" s="42" t="str">
        <v>1</v>
      </c>
      <c r="Q447" s="42" t="str">
        <v>1</v>
      </c>
      <c r="R447" s="42" t="str">
        <v>1</v>
      </c>
      <c r="S447" s="10" t="str">
        <f t="shared" si="13"/>
        <v>No Change</v>
      </c>
    </row>
    <row r="448" spans="1:19" ht="120" hidden="1">
      <c r="A448" s="8" t="s">
        <v>4071</v>
      </c>
      <c r="B448" s="9" t="s">
        <v>13555</v>
      </c>
      <c r="C448" s="37" t="s">
        <v>8913</v>
      </c>
      <c r="D448" s="24"/>
      <c r="E448" s="24"/>
      <c r="F448" s="24" t="str">
        <v>Q040</v>
      </c>
      <c r="G448" s="24" t="str">
        <v>4 out of 10</v>
      </c>
      <c r="H448" s="24" t="str">
        <v>https://nycdoe.sharepoint.com/:w:/s/BAP/Ef4FekrPSYVAknr6fZWPb5AB9PStKGkcrXiVh_-zdhGVmg</v>
      </c>
      <c r="I448" s="23">
        <v>425</v>
      </c>
      <c r="J448" s="24" t="str">
        <v>-</v>
      </c>
      <c r="K448" s="24">
        <v>1166</v>
      </c>
      <c r="L448" s="24" t="str">
        <v>4 out of 10</v>
      </c>
      <c r="M448" s="23" t="b">
        <f t="shared" si="12"/>
        <v>1</v>
      </c>
      <c r="N448" s="23" t="str">
        <v>4 out of 10</v>
      </c>
      <c r="O448" s="23"/>
      <c r="P448" s="42" t="str">
        <v>4</v>
      </c>
      <c r="Q448" s="42" t="str">
        <v>4</v>
      </c>
      <c r="R448" s="42" t="str">
        <v>4</v>
      </c>
      <c r="S448" s="10" t="str">
        <f t="shared" si="13"/>
        <v>No Change</v>
      </c>
    </row>
    <row r="449" spans="1:19" ht="120" hidden="1">
      <c r="A449" s="8" t="s">
        <v>4075</v>
      </c>
      <c r="B449" s="9" t="s">
        <v>13555</v>
      </c>
      <c r="C449" s="37" t="s">
        <v>8915</v>
      </c>
      <c r="D449" s="24"/>
      <c r="E449" s="24"/>
      <c r="F449" s="24" t="str">
        <v>Q041</v>
      </c>
      <c r="G449" s="24" t="str">
        <v>0+ out of 10</v>
      </c>
      <c r="H449" s="24" t="str">
        <v xml:space="preserve">
https://nycdoe.sharepoint.com/:w:/s/BAP/ESTGPUiiHqpPt5TwjsGznZkBo8m1yQEYO3UpfhudQg-R6A</v>
      </c>
      <c r="I449" s="23">
        <v>426</v>
      </c>
      <c r="J449" s="24" t="str">
        <v>-</v>
      </c>
      <c r="K449" s="24">
        <v>1168</v>
      </c>
      <c r="L449" s="24" t="str">
        <v>N/A out of 10</v>
      </c>
      <c r="M449" s="23" t="b">
        <f t="shared" si="12"/>
        <v>0</v>
      </c>
      <c r="N449" s="23" t="str">
        <v>0+ out of 10</v>
      </c>
      <c r="O449" s="23"/>
      <c r="P449" s="42" t="str">
        <v>0+</v>
      </c>
      <c r="Q449" s="42" t="str">
        <v>N/A</v>
      </c>
      <c r="R449" s="42" t="str">
        <v>0+</v>
      </c>
      <c r="S449" s="10" t="str">
        <f t="shared" si="13"/>
        <v>No Change</v>
      </c>
    </row>
    <row r="450" spans="1:19" ht="120" hidden="1">
      <c r="A450" s="8" t="s">
        <v>3213</v>
      </c>
      <c r="B450" s="9" t="s">
        <v>13558</v>
      </c>
      <c r="C450" s="37" t="s">
        <v>7921</v>
      </c>
      <c r="D450" s="24"/>
      <c r="E450" s="24"/>
      <c r="F450" s="24" t="str">
        <v>Q042</v>
      </c>
      <c r="G450" s="24" t="str">
        <v>9 out of 10</v>
      </c>
      <c r="H450" s="24" t="str">
        <v>https://nycdoe.sharepoint.com/:w:/s/BAP/EYfakg99jLBCuQEZcci0VuEBldnzGGO52qrgrf0HVHeY5g</v>
      </c>
      <c r="I450" s="23">
        <v>427</v>
      </c>
      <c r="J450" s="24" t="str">
        <v>-</v>
      </c>
      <c r="K450" s="24">
        <v>1170</v>
      </c>
      <c r="L450" s="24" t="str">
        <v>9 out of 10</v>
      </c>
      <c r="M450" s="23" t="b">
        <f t="shared" si="12"/>
        <v>1</v>
      </c>
      <c r="N450" s="23" t="str">
        <v>9 out of 10</v>
      </c>
      <c r="O450" s="23"/>
      <c r="P450" s="42" t="str">
        <v>9</v>
      </c>
      <c r="Q450" s="42" t="str">
        <v>9</v>
      </c>
      <c r="R450" s="42" t="str">
        <v>9</v>
      </c>
      <c r="S450" s="10" t="str">
        <f t="shared" si="13"/>
        <v>No Change</v>
      </c>
    </row>
    <row r="451" spans="1:19" ht="120" hidden="1">
      <c r="A451" s="8" t="s">
        <v>3838</v>
      </c>
      <c r="B451" s="9" t="s">
        <v>13555</v>
      </c>
      <c r="C451" s="37" t="s">
        <v>8633</v>
      </c>
      <c r="D451" s="24"/>
      <c r="E451" s="24"/>
      <c r="F451" s="24" t="str">
        <v>Q043</v>
      </c>
      <c r="G451" s="24" t="str">
        <v>10 out of 10</v>
      </c>
      <c r="H451" s="24" t="str">
        <v>https://nycdoe.sharepoint.com/:w:/s/BAP/ETwZnuz8wMRJq_FRIPPywZYBK9QckqGJvmtUG0SYWN9-lA</v>
      </c>
      <c r="I451" s="23">
        <v>428</v>
      </c>
      <c r="J451" s="24" t="str">
        <v>-</v>
      </c>
      <c r="K451" s="24">
        <v>1172</v>
      </c>
      <c r="L451" s="24" t="str">
        <v>10 out of 10</v>
      </c>
      <c r="M451" s="23" t="b">
        <f t="shared" ref="M451:M514" si="14">G451=L451</f>
        <v>1</v>
      </c>
      <c r="N451" s="23" t="str">
        <v>10 out of 10</v>
      </c>
      <c r="O451" s="23"/>
      <c r="P451" s="42" t="str">
        <v>10</v>
      </c>
      <c r="Q451" s="42" t="str">
        <v>10</v>
      </c>
      <c r="R451" s="42" t="str">
        <v>10</v>
      </c>
      <c r="S451" s="10" t="str">
        <f t="shared" ref="S451:S514" si="15">IFERROR(IF(OR(R451="0+",R451=0,AND(Q451="N/A")),"No Change",IF(R451&lt;&gt;Q451,"Change",IF(R451=Q451,"No Change",))),"Check BAP")</f>
        <v>No Change</v>
      </c>
    </row>
    <row r="452" spans="1:19" ht="120" hidden="1">
      <c r="A452" s="8" t="s">
        <v>3217</v>
      </c>
      <c r="B452" s="9" t="s">
        <v>13565</v>
      </c>
      <c r="C452" s="37" t="s">
        <v>7927</v>
      </c>
      <c r="D452" s="24"/>
      <c r="E452" s="24"/>
      <c r="F452" s="24" t="str">
        <v>Q046</v>
      </c>
      <c r="G452" s="24" t="str">
        <v>5 out of 10</v>
      </c>
      <c r="H452" s="24" t="str">
        <v>https://nycdoe.sharepoint.com/:w:/s/BAP/EaeWW1pcXWJBiVlr5s21jqgB7E_HvkfuzLcSFVzaDTXOzA</v>
      </c>
      <c r="I452" s="23">
        <v>429</v>
      </c>
      <c r="J452" s="24" t="str">
        <v>-</v>
      </c>
      <c r="K452" s="24">
        <v>1175</v>
      </c>
      <c r="L452" s="24" t="str">
        <v>5 out of 10</v>
      </c>
      <c r="M452" s="23" t="b">
        <f t="shared" si="14"/>
        <v>1</v>
      </c>
      <c r="N452" s="23" t="str">
        <v>5 out of 10</v>
      </c>
      <c r="O452" s="23"/>
      <c r="P452" s="42" t="str">
        <v>5</v>
      </c>
      <c r="Q452" s="42" t="str">
        <v>5</v>
      </c>
      <c r="R452" s="42" t="str">
        <v>5</v>
      </c>
      <c r="S452" s="10" t="str">
        <f t="shared" si="15"/>
        <v>No Change</v>
      </c>
    </row>
    <row r="453" spans="1:19" ht="120" hidden="1">
      <c r="A453" s="8" t="s">
        <v>3515</v>
      </c>
      <c r="B453" s="9" t="s">
        <v>13555</v>
      </c>
      <c r="C453" s="37" t="s">
        <v>8283</v>
      </c>
      <c r="D453" s="24"/>
      <c r="E453" s="24"/>
      <c r="F453" s="24" t="str">
        <v>Q047</v>
      </c>
      <c r="G453" s="24" t="str">
        <v>8 out of 10</v>
      </c>
      <c r="H453" s="24" t="str">
        <v>https://nycdoe.sharepoint.com/:w:/s/BAP/EUt6orAwRFpIsOW--evuUhkBQMz3yOmf-2bXZgw2rQjrCA</v>
      </c>
      <c r="I453" s="23">
        <v>430</v>
      </c>
      <c r="J453" s="24" t="str">
        <v>-</v>
      </c>
      <c r="K453" s="24" t="str">
        <v>Possible Change</v>
      </c>
      <c r="L453" s="24" t="str">
        <v>- out of 10</v>
      </c>
      <c r="M453" s="23" t="b">
        <f t="shared" si="14"/>
        <v>0</v>
      </c>
      <c r="N453" s="23" t="str">
        <v>8 out of 10</v>
      </c>
      <c r="O453" s="23"/>
      <c r="P453" s="42" t="str">
        <v>8</v>
      </c>
      <c r="Q453" s="42" t="str">
        <v>Not Found</v>
      </c>
      <c r="R453" s="42" t="str">
        <v>8</v>
      </c>
      <c r="S453" s="10" t="str">
        <f t="shared" si="15"/>
        <v>Change</v>
      </c>
    </row>
    <row r="454" spans="1:19" ht="120" hidden="1">
      <c r="A454" s="8" t="s">
        <v>3238</v>
      </c>
      <c r="B454" s="9" t="s">
        <v>13561</v>
      </c>
      <c r="C454" s="37" t="s">
        <v>13623</v>
      </c>
      <c r="D454" s="24"/>
      <c r="E454" s="24"/>
      <c r="F454" s="24" t="str">
        <v>Q048</v>
      </c>
      <c r="G454" s="24" t="str">
        <v>0 out of 10</v>
      </c>
      <c r="H454" s="24" t="str">
        <v>https://nycdoe.sharepoint.com/:w:/s/BAP/EW29Yb2untVBt_hn90f2ZCMBfY36NVPwN95u1wNBsSXF7Q</v>
      </c>
      <c r="I454" s="23">
        <v>431</v>
      </c>
      <c r="J454" s="24" t="str">
        <v>-</v>
      </c>
      <c r="K454" s="24">
        <v>1176</v>
      </c>
      <c r="L454" s="24" t="str">
        <v>N/A out of 10</v>
      </c>
      <c r="M454" s="23" t="b">
        <f t="shared" si="14"/>
        <v>0</v>
      </c>
      <c r="N454" s="23" t="str">
        <v>0 out of 10</v>
      </c>
      <c r="O454" s="23"/>
      <c r="P454" s="42" t="str">
        <v>0</v>
      </c>
      <c r="Q454" s="42" t="str">
        <v>N/A</v>
      </c>
      <c r="R454" s="42" t="str">
        <v>0</v>
      </c>
      <c r="S454" s="10" t="str">
        <f t="shared" si="15"/>
        <v>No Change</v>
      </c>
    </row>
    <row r="455" spans="1:19" ht="120" hidden="1">
      <c r="A455" s="8" t="s">
        <v>4079</v>
      </c>
      <c r="B455" s="9" t="s">
        <v>13560</v>
      </c>
      <c r="C455" s="37" t="s">
        <v>8920</v>
      </c>
      <c r="D455" s="24"/>
      <c r="E455" s="24"/>
      <c r="F455" s="24" t="str">
        <v>Q049</v>
      </c>
      <c r="G455" s="24" t="str">
        <v>9 out of 10</v>
      </c>
      <c r="H455" s="24" t="str">
        <v>https://nycdoe.sharepoint.com/:w:/s/BAP/EXJ9KSQDIbxMpWocDnb6i28BkyILO0uohSqiTm4AQ2_vbw</v>
      </c>
      <c r="I455" s="23">
        <v>432</v>
      </c>
      <c r="J455" s="24" t="str">
        <v>-</v>
      </c>
      <c r="K455" s="24">
        <v>1177</v>
      </c>
      <c r="L455" s="24" t="str">
        <v>9 out of 10</v>
      </c>
      <c r="M455" s="23" t="b">
        <f t="shared" si="14"/>
        <v>1</v>
      </c>
      <c r="N455" s="23" t="str">
        <v>9 out of 10</v>
      </c>
      <c r="O455" s="23"/>
      <c r="P455" s="42" t="str">
        <v>9</v>
      </c>
      <c r="Q455" s="42" t="str">
        <v>9</v>
      </c>
      <c r="R455" s="42" t="str">
        <v>9</v>
      </c>
      <c r="S455" s="10" t="str">
        <f t="shared" si="15"/>
        <v>No Change</v>
      </c>
    </row>
    <row r="456" spans="1:19" ht="120" hidden="1">
      <c r="A456" s="8" t="s">
        <v>3426</v>
      </c>
      <c r="B456" s="9" t="s">
        <v>13558</v>
      </c>
      <c r="C456" s="37" t="s">
        <v>8143</v>
      </c>
      <c r="D456" s="24"/>
      <c r="E456" s="24"/>
      <c r="F456" s="24" t="str">
        <v>Q050</v>
      </c>
      <c r="G456" s="24" t="str">
        <v>9 out of 10</v>
      </c>
      <c r="H456" s="24" t="str">
        <v>https://nycdoe.sharepoint.com/:w:/s/BAP/ETKz86ZrRmpNjMuOu89blU4BrLBgolh0py2ZU6xJ6HW-0g</v>
      </c>
      <c r="I456" s="23">
        <v>433</v>
      </c>
      <c r="J456" s="24" t="str">
        <v>-</v>
      </c>
      <c r="K456" s="24">
        <v>1178</v>
      </c>
      <c r="L456" s="24" t="str">
        <v>9 out of 10</v>
      </c>
      <c r="M456" s="23" t="b">
        <f t="shared" si="14"/>
        <v>1</v>
      </c>
      <c r="N456" s="23" t="str">
        <v>9 out of 10</v>
      </c>
      <c r="O456" s="23"/>
      <c r="P456" s="42" t="str">
        <v>9</v>
      </c>
      <c r="Q456" s="42" t="str">
        <v>9</v>
      </c>
      <c r="R456" s="42" t="str">
        <v>9</v>
      </c>
      <c r="S456" s="10" t="str">
        <f t="shared" si="15"/>
        <v>No Change</v>
      </c>
    </row>
    <row r="457" spans="1:19" ht="120" hidden="1">
      <c r="A457" s="8" t="s">
        <v>3844</v>
      </c>
      <c r="B457" s="9" t="s">
        <v>13563</v>
      </c>
      <c r="C457" s="37" t="s">
        <v>8639</v>
      </c>
      <c r="D457" s="24"/>
      <c r="E457" s="24"/>
      <c r="F457" s="24" t="str">
        <v>Q051</v>
      </c>
      <c r="G457" s="24" t="str">
        <v>10 out of 10</v>
      </c>
      <c r="H457" s="24" t="str">
        <v>https://nycdoe.sharepoint.com/:w:/s/BAP/EW5kW4q5pJ1Fv41g3YAgQ_4BK1GuEoc9etGOEWIlO-fwoA</v>
      </c>
      <c r="I457" s="23">
        <v>434</v>
      </c>
      <c r="J457" s="24" t="str">
        <v>-</v>
      </c>
      <c r="K457" s="24">
        <v>1179</v>
      </c>
      <c r="L457" s="24" t="str">
        <v>10 out of 10</v>
      </c>
      <c r="M457" s="23" t="b">
        <f t="shared" si="14"/>
        <v>1</v>
      </c>
      <c r="N457" s="23" t="str">
        <v>10 out of 10</v>
      </c>
      <c r="O457" s="23"/>
      <c r="P457" s="42" t="str">
        <v>10</v>
      </c>
      <c r="Q457" s="42" t="str">
        <v>10</v>
      </c>
      <c r="R457" s="42" t="str">
        <v>10</v>
      </c>
      <c r="S457" s="10" t="str">
        <f t="shared" si="15"/>
        <v>No Change</v>
      </c>
    </row>
    <row r="458" spans="1:19" ht="120" hidden="1">
      <c r="A458" s="8" t="s">
        <v>3848</v>
      </c>
      <c r="B458" s="9" t="s">
        <v>13555</v>
      </c>
      <c r="C458" s="37" t="s">
        <v>8643</v>
      </c>
      <c r="D458" s="24"/>
      <c r="E458" s="24"/>
      <c r="F458" s="24" t="str">
        <v>Q053</v>
      </c>
      <c r="G458" s="24" t="str">
        <v>8 out of 10</v>
      </c>
      <c r="H458" s="24" t="str">
        <v>https://nycdoe.sharepoint.com/:w:/s/BAP/Eb4wJ0O4mAlMpYOyNx0mmfcBvn34Vn2elQuiPOBaUscXBw</v>
      </c>
      <c r="I458" s="23">
        <v>435</v>
      </c>
      <c r="J458" s="24" t="str">
        <v>-</v>
      </c>
      <c r="K458" s="24">
        <v>1181</v>
      </c>
      <c r="L458" s="24" t="str">
        <v>8 out of 10</v>
      </c>
      <c r="M458" s="23" t="b">
        <f t="shared" si="14"/>
        <v>1</v>
      </c>
      <c r="N458" s="23" t="str">
        <v>8 out of 10</v>
      </c>
      <c r="O458" s="23"/>
      <c r="P458" s="42" t="str">
        <v>8</v>
      </c>
      <c r="Q458" s="42" t="str">
        <v>8</v>
      </c>
      <c r="R458" s="42" t="str">
        <v>8</v>
      </c>
      <c r="S458" s="10" t="str">
        <f t="shared" si="15"/>
        <v>No Change</v>
      </c>
    </row>
    <row r="459" spans="1:19" ht="120" hidden="1">
      <c r="A459" s="8" t="s">
        <v>3221</v>
      </c>
      <c r="B459" s="9" t="s">
        <v>13555</v>
      </c>
      <c r="C459" s="37" t="s">
        <v>7936</v>
      </c>
      <c r="D459" s="24"/>
      <c r="E459" s="24"/>
      <c r="F459" s="24" t="str">
        <v>Q055</v>
      </c>
      <c r="G459" s="24" t="str">
        <v>1 out of 10</v>
      </c>
      <c r="H459" s="24" t="str">
        <v>https://nycdoe.sharepoint.com/:w:/s/BAP/ERjlg33rJDRAhxm4_O3sUNcBrC1S6oo_A3dROqu9FHhdZQ</v>
      </c>
      <c r="I459" s="23">
        <v>436</v>
      </c>
      <c r="J459" s="24" t="str">
        <v>-</v>
      </c>
      <c r="K459" s="24">
        <v>1185</v>
      </c>
      <c r="L459" s="24" t="str">
        <v>1 out of 10</v>
      </c>
      <c r="M459" s="23" t="b">
        <f t="shared" si="14"/>
        <v>1</v>
      </c>
      <c r="N459" s="23" t="str">
        <v>1 out of 10</v>
      </c>
      <c r="O459" s="23"/>
      <c r="P459" s="42" t="str">
        <v>1</v>
      </c>
      <c r="Q459" s="42" t="str">
        <v>1</v>
      </c>
      <c r="R459" s="42" t="str">
        <v>1</v>
      </c>
      <c r="S459" s="10" t="str">
        <f t="shared" si="15"/>
        <v>No Change</v>
      </c>
    </row>
    <row r="460" spans="1:19" ht="120" hidden="1">
      <c r="A460" s="8" t="s">
        <v>3225</v>
      </c>
      <c r="B460" s="9" t="s">
        <v>13571</v>
      </c>
      <c r="C460" s="37" t="s">
        <v>7940</v>
      </c>
      <c r="D460" s="24"/>
      <c r="E460" s="24"/>
      <c r="F460" s="24" t="str">
        <v>Q058</v>
      </c>
      <c r="G460" s="24" t="str">
        <v>10 out of 10</v>
      </c>
      <c r="H460" s="24" t="str">
        <v>https://nycdoe.sharepoint.com/:w:/s/BAP/EcYA6t1lKD9FliQ2P7Zp7icBDFNGrriEvaHYKX3fhoX6_g</v>
      </c>
      <c r="I460" s="23">
        <v>437</v>
      </c>
      <c r="J460" s="24" t="str">
        <v>-</v>
      </c>
      <c r="K460" s="24">
        <v>1187</v>
      </c>
      <c r="L460" s="24" t="str">
        <v>10 out of 10</v>
      </c>
      <c r="M460" s="23" t="b">
        <f t="shared" si="14"/>
        <v>1</v>
      </c>
      <c r="N460" s="23" t="str">
        <v>10 out of 10</v>
      </c>
      <c r="O460" s="23"/>
      <c r="P460" s="42" t="str">
        <v>10</v>
      </c>
      <c r="Q460" s="42" t="str">
        <v>10</v>
      </c>
      <c r="R460" s="42" t="str">
        <v>10</v>
      </c>
      <c r="S460" s="10" t="str">
        <f t="shared" si="15"/>
        <v>No Change</v>
      </c>
    </row>
    <row r="461" spans="1:19" ht="120" hidden="1">
      <c r="A461" s="8" t="s">
        <v>3229</v>
      </c>
      <c r="B461" s="9" t="s">
        <v>13555</v>
      </c>
      <c r="C461" s="37" t="s">
        <v>7944</v>
      </c>
      <c r="D461" s="24"/>
      <c r="E461" s="24"/>
      <c r="F461" s="24" t="str">
        <v>Q059</v>
      </c>
      <c r="G461" s="24" t="str">
        <v>9 out of 10</v>
      </c>
      <c r="H461" s="24" t="str">
        <v>https://nycdoe.sharepoint.com/:w:/s/BAP/EX-43zjrI1dAu_P8XJN5GioB4WJ2vSrsoFobre6QUsswxg</v>
      </c>
      <c r="I461" s="23">
        <v>438</v>
      </c>
      <c r="J461" s="24" t="str">
        <v>-</v>
      </c>
      <c r="K461" s="24">
        <v>1189</v>
      </c>
      <c r="L461" s="24" t="str">
        <v>9 out of 10</v>
      </c>
      <c r="M461" s="23" t="b">
        <f t="shared" si="14"/>
        <v>1</v>
      </c>
      <c r="N461" s="23" t="str">
        <v>9 out of 10</v>
      </c>
      <c r="O461" s="23"/>
      <c r="P461" s="42" t="str">
        <v>9</v>
      </c>
      <c r="Q461" s="42" t="str">
        <v>9</v>
      </c>
      <c r="R461" s="42" t="str">
        <v>9</v>
      </c>
      <c r="S461" s="10" t="str">
        <f t="shared" si="15"/>
        <v>No Change</v>
      </c>
    </row>
    <row r="462" spans="1:19" ht="120" hidden="1">
      <c r="A462" s="8" t="s">
        <v>11690</v>
      </c>
      <c r="B462" s="9" t="s">
        <v>13561</v>
      </c>
      <c r="C462" s="37" t="s">
        <v>13624</v>
      </c>
      <c r="D462" s="24"/>
      <c r="E462" s="24"/>
      <c r="F462" s="24" t="str">
        <v>Q060</v>
      </c>
      <c r="G462" s="24" t="str">
        <v>4 out of 10</v>
      </c>
      <c r="H462" s="24" t="str">
        <v>https://nycdoe.sharepoint.com/:w:/s/BAP/ETmnwbJ-coxBppW1DftSg0sBvu0d-xzve34krnagRGQkgQ</v>
      </c>
      <c r="I462" s="23">
        <v>439</v>
      </c>
      <c r="J462" s="24" t="str">
        <v>-</v>
      </c>
      <c r="K462" s="24">
        <v>1191</v>
      </c>
      <c r="L462" s="24" t="str">
        <v>4 out of 10</v>
      </c>
      <c r="M462" s="23" t="b">
        <f t="shared" si="14"/>
        <v>1</v>
      </c>
      <c r="N462" s="23" t="str">
        <v>4 out of 10</v>
      </c>
      <c r="O462" s="23"/>
      <c r="P462" s="42" t="str">
        <v>4</v>
      </c>
      <c r="Q462" s="42" t="str">
        <v>4</v>
      </c>
      <c r="R462" s="42" t="str">
        <v>4</v>
      </c>
      <c r="S462" s="10" t="str">
        <f t="shared" si="15"/>
        <v>No Change</v>
      </c>
    </row>
    <row r="463" spans="1:19" ht="120" hidden="1">
      <c r="A463" s="8" t="s">
        <v>3233</v>
      </c>
      <c r="B463" s="9" t="s">
        <v>13555</v>
      </c>
      <c r="C463" s="37" t="s">
        <v>7948</v>
      </c>
      <c r="D463" s="24"/>
      <c r="E463" s="24"/>
      <c r="F463" s="24" t="str">
        <v>Q061</v>
      </c>
      <c r="G463" s="24" t="str">
        <v>9 out of 10</v>
      </c>
      <c r="H463" s="24" t="str">
        <v>https://nycdoe.sharepoint.com/:w:/s/BAP/EZ5HzOof1mBOoOSNZpXNjOgBJ78I4L8Zjl1wn5_McZ_psA</v>
      </c>
      <c r="I463" s="23">
        <v>440</v>
      </c>
      <c r="J463" s="24" t="str">
        <v>-</v>
      </c>
      <c r="K463" s="24">
        <v>1192</v>
      </c>
      <c r="L463" s="24" t="str">
        <v>9 out of 10</v>
      </c>
      <c r="M463" s="23" t="b">
        <f t="shared" si="14"/>
        <v>1</v>
      </c>
      <c r="N463" s="23" t="str">
        <v>9 out of 10</v>
      </c>
      <c r="O463" s="23"/>
      <c r="P463" s="42" t="str">
        <v>9</v>
      </c>
      <c r="Q463" s="42" t="str">
        <v>9</v>
      </c>
      <c r="R463" s="42" t="str">
        <v>9</v>
      </c>
      <c r="S463" s="10" t="str">
        <f t="shared" si="15"/>
        <v>No Change</v>
      </c>
    </row>
    <row r="464" spans="1:19" ht="120" hidden="1">
      <c r="A464" s="8" t="s">
        <v>3237</v>
      </c>
      <c r="B464" s="9" t="s">
        <v>13565</v>
      </c>
      <c r="C464" s="37" t="s">
        <v>7950</v>
      </c>
      <c r="D464" s="24"/>
      <c r="E464" s="24"/>
      <c r="F464" s="24" t="str">
        <v>Q062</v>
      </c>
      <c r="G464" s="24" t="str">
        <v>9 out of 10</v>
      </c>
      <c r="H464" s="24" t="str">
        <v>https://nycdoe.sharepoint.com/:w:/s/BAP/ESNMbntqmvBBnePSYctGkGEBocFY016N8PtcrUaTeRg1tQ</v>
      </c>
      <c r="I464" s="23">
        <v>441</v>
      </c>
      <c r="J464" s="24" t="str">
        <v>-</v>
      </c>
      <c r="K464" s="24">
        <v>1193</v>
      </c>
      <c r="L464" s="24" t="str">
        <v>9 out of 10</v>
      </c>
      <c r="M464" s="23" t="b">
        <f t="shared" si="14"/>
        <v>1</v>
      </c>
      <c r="N464" s="23" t="str">
        <v>9 out of 10</v>
      </c>
      <c r="O464" s="23"/>
      <c r="P464" s="42" t="str">
        <v>9</v>
      </c>
      <c r="Q464" s="42" t="str">
        <v>9</v>
      </c>
      <c r="R464" s="42" t="str">
        <v>9</v>
      </c>
      <c r="S464" s="10" t="str">
        <f t="shared" si="15"/>
        <v>No Change</v>
      </c>
    </row>
    <row r="465" spans="1:19" ht="120" hidden="1">
      <c r="A465" s="8" t="s">
        <v>3519</v>
      </c>
      <c r="B465" s="9" t="s">
        <v>13558</v>
      </c>
      <c r="C465" s="37" t="s">
        <v>8287</v>
      </c>
      <c r="D465" s="24"/>
      <c r="E465" s="24"/>
      <c r="F465" s="24" t="str">
        <v>Q063</v>
      </c>
      <c r="G465" s="24" t="str">
        <v>8 out of 10</v>
      </c>
      <c r="H465" s="24" t="str">
        <v>https://nycdoe.sharepoint.com/:w:/s/BAP/EWnowobswOVHpmHpClOXyBsBt8yJ6Vsg0DNj3rcL_i5g9w</v>
      </c>
      <c r="I465" s="23">
        <v>442</v>
      </c>
      <c r="J465" s="24" t="str">
        <v>-</v>
      </c>
      <c r="K465" s="24">
        <v>1194</v>
      </c>
      <c r="L465" s="24" t="str">
        <v>8 out of 10</v>
      </c>
      <c r="M465" s="23" t="b">
        <f t="shared" si="14"/>
        <v>1</v>
      </c>
      <c r="N465" s="23" t="str">
        <v>8 out of 10</v>
      </c>
      <c r="O465" s="23"/>
      <c r="P465" s="42" t="str">
        <v>8</v>
      </c>
      <c r="Q465" s="42" t="str">
        <v>8</v>
      </c>
      <c r="R465" s="42" t="str">
        <v>8</v>
      </c>
      <c r="S465" s="10" t="str">
        <f t="shared" si="15"/>
        <v>No Change</v>
      </c>
    </row>
    <row r="466" spans="1:19" ht="120" hidden="1">
      <c r="A466" s="8" t="s">
        <v>3665</v>
      </c>
      <c r="B466" s="9" t="s">
        <v>13557</v>
      </c>
      <c r="C466" s="37" t="s">
        <v>8451</v>
      </c>
      <c r="D466" s="24"/>
      <c r="E466" s="24"/>
      <c r="F466" s="24" t="str">
        <v>Q064</v>
      </c>
      <c r="G466" s="24" t="str">
        <v>9 out of 10</v>
      </c>
      <c r="H466" s="24" t="str">
        <v>https://nycdoe.sharepoint.com/:w:/s/BAP/Ee-6RdPT4x1KuBeqS-6wIjUBmS_kriJALnth0eOtKwBlKg</v>
      </c>
      <c r="I466" s="23">
        <v>443</v>
      </c>
      <c r="J466" s="24" t="str">
        <v>-</v>
      </c>
      <c r="K466" s="24">
        <v>1195</v>
      </c>
      <c r="L466" s="24" t="str">
        <v>9 out of 10</v>
      </c>
      <c r="M466" s="23" t="b">
        <f t="shared" si="14"/>
        <v>1</v>
      </c>
      <c r="N466" s="23" t="str">
        <v>9 out of 10</v>
      </c>
      <c r="O466" s="23"/>
      <c r="P466" s="42" t="str">
        <v>9</v>
      </c>
      <c r="Q466" s="42" t="str">
        <v>9</v>
      </c>
      <c r="R466" s="42" t="str">
        <v>9</v>
      </c>
      <c r="S466" s="10" t="str">
        <f t="shared" si="15"/>
        <v>No Change</v>
      </c>
    </row>
    <row r="467" spans="1:19" ht="120" hidden="1">
      <c r="A467" s="8" t="s">
        <v>3669</v>
      </c>
      <c r="B467" s="9" t="s">
        <v>13555</v>
      </c>
      <c r="C467" s="37" t="s">
        <v>8455</v>
      </c>
      <c r="D467" s="24"/>
      <c r="E467" s="24"/>
      <c r="F467" s="24" t="str">
        <v>Q066</v>
      </c>
      <c r="G467" s="24" t="str">
        <v>9 out of 10</v>
      </c>
      <c r="H467" s="24" t="str">
        <v>https://nycdoe.sharepoint.com/:w:/s/BAP/EaAK01XLADtAn-_Ux0Row8IBAjcucKOI2SfweqakRsG-0A</v>
      </c>
      <c r="I467" s="23">
        <v>444</v>
      </c>
      <c r="J467" s="24" t="str">
        <v>-</v>
      </c>
      <c r="K467" s="24">
        <v>1196</v>
      </c>
      <c r="L467" s="24" t="str">
        <v>9 out of 10</v>
      </c>
      <c r="M467" s="23" t="b">
        <f t="shared" si="14"/>
        <v>1</v>
      </c>
      <c r="N467" s="23" t="str">
        <v>9 out of 10</v>
      </c>
      <c r="O467" s="23"/>
      <c r="P467" s="42" t="str">
        <v>9</v>
      </c>
      <c r="Q467" s="42" t="str">
        <v>9</v>
      </c>
      <c r="R467" s="42" t="str">
        <v>9</v>
      </c>
      <c r="S467" s="10" t="str">
        <f t="shared" si="15"/>
        <v>No Change</v>
      </c>
    </row>
    <row r="468" spans="1:19" ht="120" hidden="1">
      <c r="A468" s="8" t="s">
        <v>3244</v>
      </c>
      <c r="B468" s="9" t="s">
        <v>13555</v>
      </c>
      <c r="C468" s="37" t="s">
        <v>7956</v>
      </c>
      <c r="D468" s="24"/>
      <c r="E468" s="24"/>
      <c r="F468" s="24" t="str">
        <v>Q067</v>
      </c>
      <c r="G468" s="24" t="str">
        <v>9 out of 10</v>
      </c>
      <c r="H468" s="24" t="str">
        <v>https://nycdoe.sharepoint.com/:w:/s/BAP/ETlV4tHwG9xDl3NRbqrddPMBG5K8z8JtUtfYpS8RxMlqqQ</v>
      </c>
      <c r="I468" s="23">
        <v>445</v>
      </c>
      <c r="J468" s="24" t="str">
        <v>-</v>
      </c>
      <c r="K468" s="24">
        <v>1197</v>
      </c>
      <c r="L468" s="24" t="str">
        <v>9 out of 10</v>
      </c>
      <c r="M468" s="23" t="b">
        <f t="shared" si="14"/>
        <v>1</v>
      </c>
      <c r="N468" s="23" t="str">
        <v>9 out of 10</v>
      </c>
      <c r="O468" s="23"/>
      <c r="P468" s="42" t="str">
        <v>9</v>
      </c>
      <c r="Q468" s="42" t="str">
        <v>9</v>
      </c>
      <c r="R468" s="42" t="str">
        <v>9</v>
      </c>
      <c r="S468" s="10" t="str">
        <f t="shared" si="15"/>
        <v>No Change</v>
      </c>
    </row>
    <row r="469" spans="1:19" ht="120" hidden="1">
      <c r="A469" s="8" t="s">
        <v>3430</v>
      </c>
      <c r="B469" s="9" t="s">
        <v>13555</v>
      </c>
      <c r="C469" s="37" t="s">
        <v>8147</v>
      </c>
      <c r="D469" s="24"/>
      <c r="E469" s="24"/>
      <c r="F469" s="24" t="str">
        <v>Q068</v>
      </c>
      <c r="G469" s="24" t="str">
        <v>8 out of 10</v>
      </c>
      <c r="H469" s="24" t="str">
        <v>https://nycdoe.sharepoint.com/:w:/s/BAP/Edy0dNzEvPlJv1YnoFhR-0EBCrS3vC3Fs1Un1QPk0jJpEg</v>
      </c>
      <c r="I469" s="23">
        <v>446</v>
      </c>
      <c r="J469" s="24" t="str">
        <v>-</v>
      </c>
      <c r="K469" s="24">
        <v>1198</v>
      </c>
      <c r="L469" s="24" t="str">
        <v>8 out of 10</v>
      </c>
      <c r="M469" s="23" t="b">
        <f t="shared" si="14"/>
        <v>1</v>
      </c>
      <c r="N469" s="23" t="str">
        <v>8 out of 10</v>
      </c>
      <c r="O469" s="23"/>
      <c r="P469" s="42" t="str">
        <v>8</v>
      </c>
      <c r="Q469" s="42" t="str">
        <v>8</v>
      </c>
      <c r="R469" s="42" t="str">
        <v>8</v>
      </c>
      <c r="S469" s="10" t="str">
        <f t="shared" si="15"/>
        <v>No Change</v>
      </c>
    </row>
    <row r="470" spans="1:19" ht="120" hidden="1">
      <c r="A470" s="8" t="s">
        <v>3673</v>
      </c>
      <c r="B470" s="9" t="s">
        <v>13557</v>
      </c>
      <c r="C470" s="37" t="s">
        <v>8459</v>
      </c>
      <c r="D470" s="24"/>
      <c r="E470" s="24"/>
      <c r="F470" s="24" t="str">
        <v>Q069</v>
      </c>
      <c r="G470" s="24" t="str">
        <v>9 out of 10</v>
      </c>
      <c r="H470" s="24" t="str">
        <v>https://nycdoe.sharepoint.com/:w:/s/BAP/EeWO8jqiN5hLl6Kjj35K2jcB7qrvMMYAyehd4u-5bpHHXw</v>
      </c>
      <c r="I470" s="23">
        <v>447</v>
      </c>
      <c r="J470" s="24" t="str">
        <v>-</v>
      </c>
      <c r="K470" s="24">
        <v>1199</v>
      </c>
      <c r="L470" s="24" t="str">
        <v>9 out of 10</v>
      </c>
      <c r="M470" s="23" t="b">
        <f t="shared" si="14"/>
        <v>1</v>
      </c>
      <c r="N470" s="23" t="str">
        <v>9 out of 10</v>
      </c>
      <c r="O470" s="23"/>
      <c r="P470" s="42" t="str">
        <v>9</v>
      </c>
      <c r="Q470" s="42" t="str">
        <v>9</v>
      </c>
      <c r="R470" s="42" t="str">
        <v>9</v>
      </c>
      <c r="S470" s="10" t="str">
        <f t="shared" si="15"/>
        <v>No Change</v>
      </c>
    </row>
    <row r="471" spans="1:19" ht="120" hidden="1">
      <c r="A471" s="8" t="s">
        <v>4083</v>
      </c>
      <c r="B471" s="9" t="s">
        <v>13557</v>
      </c>
      <c r="C471" s="37" t="s">
        <v>8929</v>
      </c>
      <c r="D471" s="24"/>
      <c r="E471" s="24"/>
      <c r="F471" s="24" t="str">
        <v>Q070</v>
      </c>
      <c r="G471" s="24" t="str">
        <v>9 out of 10</v>
      </c>
      <c r="H471" s="24" t="str">
        <v>https://nycdoe.sharepoint.com/:w:/s/BAP/EdCCTYcArsJCjxtz_WrjmgYB18-dg8Oj90Ffvd6DnYpAJw</v>
      </c>
      <c r="I471" s="23">
        <v>448</v>
      </c>
      <c r="J471" s="24" t="str">
        <v>-</v>
      </c>
      <c r="K471" s="24">
        <v>1200</v>
      </c>
      <c r="L471" s="24" t="str">
        <v>9 out of 10</v>
      </c>
      <c r="M471" s="23" t="b">
        <f t="shared" si="14"/>
        <v>1</v>
      </c>
      <c r="N471" s="23" t="str">
        <v>9 out of 10</v>
      </c>
      <c r="O471" s="23"/>
      <c r="P471" s="42" t="str">
        <v>9</v>
      </c>
      <c r="Q471" s="42" t="str">
        <v>9</v>
      </c>
      <c r="R471" s="42" t="str">
        <v>9</v>
      </c>
      <c r="S471" s="10" t="str">
        <f t="shared" si="15"/>
        <v>No Change</v>
      </c>
    </row>
    <row r="472" spans="1:19" ht="120" hidden="1">
      <c r="A472" s="8" t="s">
        <v>3248</v>
      </c>
      <c r="B472" s="9" t="s">
        <v>13555</v>
      </c>
      <c r="C472" s="37" t="s">
        <v>7960</v>
      </c>
      <c r="D472" s="24"/>
      <c r="E472" s="24"/>
      <c r="F472" s="24" t="str">
        <v>Q071</v>
      </c>
      <c r="G472" s="24" t="str">
        <v>1 out of 10</v>
      </c>
      <c r="H472" s="24" t="str">
        <v>https://nycdoe.sharepoint.com/:w:/s/BAP/EczElrcegb9GhV9geUKWjboB-3iWa27ijeuSpaRLE304nw</v>
      </c>
      <c r="I472" s="23">
        <v>449</v>
      </c>
      <c r="J472" s="24" t="str">
        <v>-</v>
      </c>
      <c r="K472" s="24">
        <v>1202</v>
      </c>
      <c r="L472" s="24" t="str">
        <v>1 out of 10</v>
      </c>
      <c r="M472" s="23" t="b">
        <f t="shared" si="14"/>
        <v>1</v>
      </c>
      <c r="N472" s="23" t="str">
        <v>1 out of 10</v>
      </c>
      <c r="O472" s="23"/>
      <c r="P472" s="42" t="str">
        <v>1</v>
      </c>
      <c r="Q472" s="42" t="str">
        <v>1</v>
      </c>
      <c r="R472" s="42" t="str">
        <v>1</v>
      </c>
      <c r="S472" s="10" t="str">
        <f t="shared" si="15"/>
        <v>No Change</v>
      </c>
    </row>
    <row r="473" spans="1:19" ht="120" hidden="1">
      <c r="A473" s="8" t="s">
        <v>3677</v>
      </c>
      <c r="B473" s="9" t="s">
        <v>13558</v>
      </c>
      <c r="C473" s="37" t="s">
        <v>8463</v>
      </c>
      <c r="D473" s="24"/>
      <c r="E473" s="24"/>
      <c r="F473" s="24" t="str">
        <v>Q072</v>
      </c>
      <c r="G473" s="24" t="str">
        <v>9 out of 10</v>
      </c>
      <c r="H473" s="24" t="str">
        <v>https://nycdoe.sharepoint.com/:w:/s/BAP/EdX2gUQYPLBIuOyvlFvxf98B54NMKq5mdfuRcnUlf1yAPw</v>
      </c>
      <c r="I473" s="23">
        <v>450</v>
      </c>
      <c r="J473" s="24" t="str">
        <v>-</v>
      </c>
      <c r="K473" s="24">
        <v>1203</v>
      </c>
      <c r="L473" s="24" t="str">
        <v>9 out of 10</v>
      </c>
      <c r="M473" s="23" t="b">
        <f t="shared" si="14"/>
        <v>1</v>
      </c>
      <c r="N473" s="23" t="str">
        <v>9 out of 10</v>
      </c>
      <c r="O473" s="23"/>
      <c r="P473" s="42" t="str">
        <v>9</v>
      </c>
      <c r="Q473" s="42" t="str">
        <v>9</v>
      </c>
      <c r="R473" s="42" t="str">
        <v>9</v>
      </c>
      <c r="S473" s="10" t="str">
        <f t="shared" si="15"/>
        <v>No Change</v>
      </c>
    </row>
    <row r="474" spans="1:19" ht="120" hidden="1">
      <c r="A474" s="8" t="s">
        <v>3523</v>
      </c>
      <c r="B474" s="9" t="s">
        <v>13560</v>
      </c>
      <c r="C474" s="37" t="s">
        <v>8296</v>
      </c>
      <c r="D474" s="24"/>
      <c r="E474" s="24"/>
      <c r="F474" s="24" t="str">
        <v>Q073</v>
      </c>
      <c r="G474" s="24" t="str">
        <v>5 out of 10</v>
      </c>
      <c r="H474" s="24" t="str">
        <v>https://nycdoe.sharepoint.com/:w:/s/BAP/EZ6DEerOXItBinWIgih3lzABCPTExEdI9epXSBCC7GUvmw</v>
      </c>
      <c r="I474" s="23">
        <v>451</v>
      </c>
      <c r="J474" s="24" t="str">
        <v>-</v>
      </c>
      <c r="K474" s="24">
        <v>1206</v>
      </c>
      <c r="L474" s="24" t="str">
        <v>5 out of 10</v>
      </c>
      <c r="M474" s="23" t="b">
        <f t="shared" si="14"/>
        <v>1</v>
      </c>
      <c r="N474" s="23" t="str">
        <v>5 out of 10</v>
      </c>
      <c r="O474" s="23"/>
      <c r="P474" s="42" t="str">
        <v>5</v>
      </c>
      <c r="Q474" s="42" t="str">
        <v>5</v>
      </c>
      <c r="R474" s="42" t="str">
        <v>5</v>
      </c>
      <c r="S474" s="10" t="str">
        <f t="shared" si="15"/>
        <v>No Change</v>
      </c>
    </row>
    <row r="475" spans="1:19" ht="120" hidden="1">
      <c r="A475" s="8" t="s">
        <v>3852</v>
      </c>
      <c r="B475" s="9" t="s">
        <v>13555</v>
      </c>
      <c r="C475" s="37" t="s">
        <v>8652</v>
      </c>
      <c r="D475" s="24"/>
      <c r="E475" s="24"/>
      <c r="F475" s="24" t="str">
        <v>Q074</v>
      </c>
      <c r="G475" s="24" t="str">
        <v>9 out of 10</v>
      </c>
      <c r="H475" s="24" t="str">
        <v>https://nycdoe.sharepoint.com/:w:/s/BAP/EaQzBjwQSaRGq6HXzABtHcoB8eIERLMWPOShQ8Ji9arL_g</v>
      </c>
      <c r="I475" s="23">
        <v>452</v>
      </c>
      <c r="J475" s="24" t="str">
        <v>-</v>
      </c>
      <c r="K475" s="24">
        <v>1207</v>
      </c>
      <c r="L475" s="24" t="str">
        <v>9 out of 10</v>
      </c>
      <c r="M475" s="23" t="b">
        <f t="shared" si="14"/>
        <v>1</v>
      </c>
      <c r="N475" s="23" t="str">
        <v>9 out of 10</v>
      </c>
      <c r="O475" s="23"/>
      <c r="P475" s="42" t="str">
        <v>9</v>
      </c>
      <c r="Q475" s="42" t="str">
        <v>9</v>
      </c>
      <c r="R475" s="42" t="str">
        <v>9</v>
      </c>
      <c r="S475" s="10" t="str">
        <f t="shared" si="15"/>
        <v>No Change</v>
      </c>
    </row>
    <row r="476" spans="1:19" ht="120" hidden="1">
      <c r="A476" s="8" t="s">
        <v>3966</v>
      </c>
      <c r="B476" s="11" t="s">
        <v>13560</v>
      </c>
      <c r="C476" s="38" t="s">
        <v>8802</v>
      </c>
      <c r="D476" s="24"/>
      <c r="E476" s="24"/>
      <c r="F476" s="24" t="str">
        <v>Q075</v>
      </c>
      <c r="G476" s="24" t="str">
        <v>0 out of 10</v>
      </c>
      <c r="H476" s="24" t="str">
        <v>https://nycdoe.sharepoint.com/:w:/s/BAP/ETd3YjZ-cDhMijPrsHndP98BVeeCvEfDmw5YXgUwctziKw</v>
      </c>
      <c r="I476" s="23">
        <v>453</v>
      </c>
      <c r="J476" s="24" t="str">
        <v>-</v>
      </c>
      <c r="K476" s="24">
        <v>1208</v>
      </c>
      <c r="L476" s="24" t="str">
        <v>N/A out of 10</v>
      </c>
      <c r="M476" s="23" t="b">
        <f t="shared" si="14"/>
        <v>0</v>
      </c>
      <c r="N476" s="23" t="str">
        <v>0 out of 10</v>
      </c>
      <c r="O476" s="23"/>
      <c r="P476" s="42" t="str">
        <v>0</v>
      </c>
      <c r="Q476" s="42" t="str">
        <v>N/A</v>
      </c>
      <c r="R476" s="42" t="str">
        <v>0</v>
      </c>
      <c r="S476" s="10" t="str">
        <f t="shared" si="15"/>
        <v>No Change</v>
      </c>
    </row>
    <row r="477" spans="1:19" ht="120" hidden="1">
      <c r="A477" s="8" t="s">
        <v>3252</v>
      </c>
      <c r="B477" s="9" t="s">
        <v>13555</v>
      </c>
      <c r="C477" s="37" t="s">
        <v>7964</v>
      </c>
      <c r="D477" s="24"/>
      <c r="E477" s="24"/>
      <c r="F477" s="24" t="str">
        <v>Q076</v>
      </c>
      <c r="G477" s="24" t="str">
        <v>4 out of 10</v>
      </c>
      <c r="H477" s="24" t="str">
        <v>https://nycdoe.sharepoint.com/:w:/s/BAP/Eb9l_-80SeBCuslliehBAGkBsQ6eawTeXnoBNRndYk0ycA</v>
      </c>
      <c r="I477" s="23">
        <v>454</v>
      </c>
      <c r="J477" s="24" t="str">
        <v>-</v>
      </c>
      <c r="K477" s="24">
        <v>1209</v>
      </c>
      <c r="L477" s="24" t="str">
        <v>4 out of 10</v>
      </c>
      <c r="M477" s="23" t="b">
        <f t="shared" si="14"/>
        <v>1</v>
      </c>
      <c r="N477" s="23" t="str">
        <v>4 out of 10</v>
      </c>
      <c r="O477" s="23"/>
      <c r="P477" s="42" t="str">
        <v>4</v>
      </c>
      <c r="Q477" s="42" t="str">
        <v>4</v>
      </c>
      <c r="R477" s="42" t="str">
        <v>4</v>
      </c>
      <c r="S477" s="10" t="str">
        <f t="shared" si="15"/>
        <v>No Change</v>
      </c>
    </row>
    <row r="478" spans="1:19" ht="120" hidden="1">
      <c r="A478" s="8" t="s">
        <v>3434</v>
      </c>
      <c r="B478" s="9" t="s">
        <v>13571</v>
      </c>
      <c r="C478" s="37" t="s">
        <v>8151</v>
      </c>
      <c r="D478" s="24"/>
      <c r="E478" s="24"/>
      <c r="F478" s="24" t="str">
        <v>Q079</v>
      </c>
      <c r="G478" s="24" t="str">
        <v>1 out of 10</v>
      </c>
      <c r="H478" s="24" t="str">
        <v>https://nycdoe.sharepoint.com/:w:/s/BAP/EQv9aFLruzpNua9cccw3qfkB98_M_kICMhabK3ufbBvAXQ</v>
      </c>
      <c r="I478" s="23">
        <v>455</v>
      </c>
      <c r="J478" s="24" t="str">
        <v>-</v>
      </c>
      <c r="K478" s="24">
        <v>1211</v>
      </c>
      <c r="L478" s="24" t="str">
        <v>1 out of 10</v>
      </c>
      <c r="M478" s="23" t="b">
        <f t="shared" si="14"/>
        <v>1</v>
      </c>
      <c r="N478" s="23" t="str">
        <v>1 out of 10</v>
      </c>
      <c r="O478" s="23"/>
      <c r="P478" s="42" t="str">
        <v>1</v>
      </c>
      <c r="Q478" s="42" t="str">
        <v>1</v>
      </c>
      <c r="R478" s="42" t="str">
        <v>1</v>
      </c>
      <c r="S478" s="10" t="str">
        <f t="shared" si="15"/>
        <v>No Change</v>
      </c>
    </row>
    <row r="479" spans="1:19" ht="120" hidden="1">
      <c r="A479" s="8" t="s">
        <v>11768</v>
      </c>
      <c r="B479" s="11" t="s">
        <v>13561</v>
      </c>
      <c r="C479" s="37" t="s">
        <v>13625</v>
      </c>
      <c r="D479" s="24"/>
      <c r="E479" s="24"/>
      <c r="F479" s="24" t="str">
        <v>Q080</v>
      </c>
      <c r="G479" s="24" t="str">
        <v>2 out of 10</v>
      </c>
      <c r="H479" s="24" t="str">
        <v>https://nycdoe.sharepoint.com/:w:/s/BAP/EdLzghrHGfhKklyV_y7FV10BkD-12iCCkeB68Szr1W3JSg</v>
      </c>
      <c r="I479" s="23">
        <v>456</v>
      </c>
      <c r="J479" s="24" t="str">
        <v>-</v>
      </c>
      <c r="K479" s="24">
        <v>1212</v>
      </c>
      <c r="L479" s="24" t="str">
        <v>2 out of 10</v>
      </c>
      <c r="M479" s="23" t="b">
        <f t="shared" si="14"/>
        <v>1</v>
      </c>
      <c r="N479" s="23" t="str">
        <v>2 out of 10</v>
      </c>
      <c r="O479" s="23"/>
      <c r="P479" s="42" t="str">
        <v>2</v>
      </c>
      <c r="Q479" s="42" t="str">
        <v>2</v>
      </c>
      <c r="R479" s="42" t="str">
        <v>2</v>
      </c>
      <c r="S479" s="10" t="str">
        <f t="shared" si="15"/>
        <v>No Change</v>
      </c>
    </row>
    <row r="480" spans="1:19" ht="135" hidden="1">
      <c r="A480" s="8" t="s">
        <v>3681</v>
      </c>
      <c r="B480" s="9" t="s">
        <v>13557</v>
      </c>
      <c r="C480" s="37" t="s">
        <v>8467</v>
      </c>
      <c r="D480" s="24"/>
      <c r="E480" s="24"/>
      <c r="F480" s="24" t="str">
        <v>Q082</v>
      </c>
      <c r="G480" s="24" t="str">
        <v>9 out of 10</v>
      </c>
      <c r="H480" s="24" t="str">
        <v>https://nycdoe.sharepoint.com/:w:/s/BAP/EdKChtSp_RVAm5487cGqpI8BH6cVv5aWrcnLZtTCT0CKxw</v>
      </c>
      <c r="I480" s="23">
        <v>457</v>
      </c>
      <c r="J480" s="24" t="str">
        <v>-</v>
      </c>
      <c r="K480" s="24">
        <v>1214</v>
      </c>
      <c r="L480" s="24" t="str">
        <v>9 out of 10</v>
      </c>
      <c r="M480" s="23" t="b">
        <f t="shared" si="14"/>
        <v>1</v>
      </c>
      <c r="N480" s="23" t="str">
        <v>9 out of 10</v>
      </c>
      <c r="O480" s="23"/>
      <c r="P480" s="42" t="str">
        <v>9</v>
      </c>
      <c r="Q480" s="42" t="str">
        <v>9</v>
      </c>
      <c r="R480" s="42" t="str">
        <v>9</v>
      </c>
      <c r="S480" s="10" t="str">
        <f t="shared" si="15"/>
        <v>No Change</v>
      </c>
    </row>
    <row r="481" spans="1:19" ht="120" hidden="1">
      <c r="A481" s="8" t="s">
        <v>3256</v>
      </c>
      <c r="B481" s="9" t="s">
        <v>13555</v>
      </c>
      <c r="C481" s="37" t="s">
        <v>7968</v>
      </c>
      <c r="D481" s="24"/>
      <c r="E481" s="24"/>
      <c r="F481" s="24" t="str">
        <v>Q087</v>
      </c>
      <c r="G481" s="24" t="str">
        <v>9 out of 10</v>
      </c>
      <c r="H481" s="24" t="str">
        <v>https://nycdoe.sharepoint.com/:w:/s/BAP/EZjqjRvb0oRHl0Hy_jOOMpcBDjjemgC5dQ7V1zrHtFmN9Q</v>
      </c>
      <c r="I481" s="23">
        <v>458</v>
      </c>
      <c r="J481" s="24" t="str">
        <v>-</v>
      </c>
      <c r="K481" s="24">
        <v>1218</v>
      </c>
      <c r="L481" s="24" t="str">
        <v>9 out of 10</v>
      </c>
      <c r="M481" s="23" t="b">
        <f t="shared" si="14"/>
        <v>1</v>
      </c>
      <c r="N481" s="23" t="str">
        <v>9 out of 10</v>
      </c>
      <c r="O481" s="23"/>
      <c r="P481" s="42" t="str">
        <v>9</v>
      </c>
      <c r="Q481" s="42" t="str">
        <v>9</v>
      </c>
      <c r="R481" s="42" t="str">
        <v>9</v>
      </c>
      <c r="S481" s="10" t="str">
        <f t="shared" si="15"/>
        <v>No Change</v>
      </c>
    </row>
    <row r="482" spans="1:19" ht="120" hidden="1">
      <c r="A482" s="8" t="s">
        <v>3438</v>
      </c>
      <c r="B482" s="9" t="s">
        <v>13555</v>
      </c>
      <c r="C482" s="37" t="s">
        <v>8155</v>
      </c>
      <c r="D482" s="24"/>
      <c r="E482" s="24"/>
      <c r="F482" s="24" t="str">
        <v>Q088</v>
      </c>
      <c r="G482" s="24" t="str">
        <v>7 out of 10</v>
      </c>
      <c r="H482" s="24" t="str">
        <v>https://nycdoe.sharepoint.com/:w:/s/BAP/ERnlwI6ZruBJvMbX-A7LrSIBJPYNiErP5WSepolzxlMR3g</v>
      </c>
      <c r="I482" s="23">
        <v>459</v>
      </c>
      <c r="J482" s="24" t="str">
        <v>-</v>
      </c>
      <c r="K482" s="24">
        <v>1219</v>
      </c>
      <c r="L482" s="24" t="str">
        <v>7 out of 10</v>
      </c>
      <c r="M482" s="23" t="b">
        <f t="shared" si="14"/>
        <v>1</v>
      </c>
      <c r="N482" s="23" t="str">
        <v>7 out of 10</v>
      </c>
      <c r="O482" s="23"/>
      <c r="P482" s="42" t="str">
        <v>7</v>
      </c>
      <c r="Q482" s="42" t="str">
        <v>7</v>
      </c>
      <c r="R482" s="42" t="str">
        <v>7</v>
      </c>
      <c r="S482" s="10" t="str">
        <f t="shared" si="15"/>
        <v>No Change</v>
      </c>
    </row>
    <row r="483" spans="1:19" ht="120" hidden="1">
      <c r="A483" s="8" t="s">
        <v>3527</v>
      </c>
      <c r="B483" s="9" t="s">
        <v>13560</v>
      </c>
      <c r="C483" s="37" t="s">
        <v>8299</v>
      </c>
      <c r="D483" s="24"/>
      <c r="E483" s="24"/>
      <c r="F483" s="24" t="str">
        <v>Q089</v>
      </c>
      <c r="G483" s="24" t="str">
        <v>9 out of 10</v>
      </c>
      <c r="H483" s="24" t="str">
        <v>https://nycdoe.sharepoint.com/:w:/s/BAP/EX63Z0GZXT1CuMKpjn06mQwB1N4qRW4XKl2wEf7zgx7f4Q</v>
      </c>
      <c r="I483" s="23">
        <v>460</v>
      </c>
      <c r="J483" s="24" t="str">
        <v>-</v>
      </c>
      <c r="K483" s="24">
        <v>1220</v>
      </c>
      <c r="L483" s="24" t="str">
        <v>9 out of 10</v>
      </c>
      <c r="M483" s="23" t="b">
        <f t="shared" si="14"/>
        <v>1</v>
      </c>
      <c r="N483" s="23" t="str">
        <v>9 out of 10</v>
      </c>
      <c r="O483" s="23"/>
      <c r="P483" s="42" t="str">
        <v>9</v>
      </c>
      <c r="Q483" s="42" t="str">
        <v>9</v>
      </c>
      <c r="R483" s="42" t="str">
        <v>9</v>
      </c>
      <c r="S483" s="10" t="str">
        <f t="shared" si="15"/>
        <v>No Change</v>
      </c>
    </row>
    <row r="484" spans="1:19" ht="135" hidden="1">
      <c r="A484" s="8" t="s">
        <v>3970</v>
      </c>
      <c r="B484" s="9" t="s">
        <v>13555</v>
      </c>
      <c r="C484" s="37" t="s">
        <v>8806</v>
      </c>
      <c r="D484" s="24"/>
      <c r="E484" s="24"/>
      <c r="F484" s="24" t="str">
        <v>Q090</v>
      </c>
      <c r="G484" s="24" t="str">
        <v>0 out of 10</v>
      </c>
      <c r="H484" s="24" t="str">
        <v>https://nycdoe.sharepoint.com/:w:/s/BAP/EWgooee1_g1LllmD_BTGggkBywGIW3QytdP5ul2khZo5Zg</v>
      </c>
      <c r="I484" s="23">
        <v>461</v>
      </c>
      <c r="J484" s="24" t="str">
        <v>-</v>
      </c>
      <c r="K484" s="24">
        <v>1221</v>
      </c>
      <c r="L484" s="24" t="str">
        <v>N/A out of 10</v>
      </c>
      <c r="M484" s="23" t="b">
        <f t="shared" si="14"/>
        <v>0</v>
      </c>
      <c r="N484" s="23" t="str">
        <v>0 out of 10</v>
      </c>
      <c r="O484" s="23"/>
      <c r="P484" s="42" t="str">
        <v>0</v>
      </c>
      <c r="Q484" s="42" t="str">
        <v>N/A</v>
      </c>
      <c r="R484" s="42" t="str">
        <v>0</v>
      </c>
      <c r="S484" s="10" t="str">
        <f t="shared" si="15"/>
        <v>No Change</v>
      </c>
    </row>
    <row r="485" spans="1:19" ht="120" hidden="1">
      <c r="A485" s="8" t="s">
        <v>3974</v>
      </c>
      <c r="B485" s="9" t="s">
        <v>13559</v>
      </c>
      <c r="C485" s="37" t="s">
        <v>8810</v>
      </c>
      <c r="D485" s="24"/>
      <c r="E485" s="24"/>
      <c r="F485" s="24" t="str">
        <v>Q091</v>
      </c>
      <c r="G485" s="24" t="str">
        <v>9 out of 10</v>
      </c>
      <c r="H485" s="24" t="str">
        <v>https://nycdoe.sharepoint.com/:w:/s/BAP/EXt51caEbXJFoV1qcX1LOV4B9tP5sgNLpkXRrXATTD1WvA</v>
      </c>
      <c r="I485" s="23">
        <v>462</v>
      </c>
      <c r="J485" s="24" t="str">
        <v>-</v>
      </c>
      <c r="K485" s="24">
        <v>1222</v>
      </c>
      <c r="L485" s="24" t="str">
        <v>9 out of 10</v>
      </c>
      <c r="M485" s="23" t="b">
        <f t="shared" si="14"/>
        <v>1</v>
      </c>
      <c r="N485" s="23" t="str">
        <v>9 out of 10</v>
      </c>
      <c r="O485" s="23"/>
      <c r="P485" s="42" t="str">
        <v>9</v>
      </c>
      <c r="Q485" s="42" t="str">
        <v>9</v>
      </c>
      <c r="R485" s="42" t="str">
        <v>9</v>
      </c>
      <c r="S485" s="10" t="str">
        <f t="shared" si="15"/>
        <v>No Change</v>
      </c>
    </row>
    <row r="486" spans="1:19" ht="120" hidden="1">
      <c r="A486" s="8" t="s">
        <v>3978</v>
      </c>
      <c r="B486" s="9" t="s">
        <v>13557</v>
      </c>
      <c r="C486" s="37" t="s">
        <v>8814</v>
      </c>
      <c r="D486" s="24"/>
      <c r="E486" s="24"/>
      <c r="F486" s="24" t="str">
        <v>Q093</v>
      </c>
      <c r="G486" s="24" t="str">
        <v>5 out of 10</v>
      </c>
      <c r="H486" s="24" t="str">
        <v>https://nycdoe.sharepoint.com/:w:/s/BAP/Ea0hBcq628xLvweX6AwYCmUBs1HYpdd0CDsG7EFqx0E3DQ</v>
      </c>
      <c r="I486" s="23">
        <v>463</v>
      </c>
      <c r="J486" s="24" t="str">
        <v>-</v>
      </c>
      <c r="K486" s="24">
        <v>1223</v>
      </c>
      <c r="L486" s="24" t="str">
        <v>5 out of 10</v>
      </c>
      <c r="M486" s="23" t="b">
        <f t="shared" si="14"/>
        <v>1</v>
      </c>
      <c r="N486" s="23" t="str">
        <v>5 out of 10</v>
      </c>
      <c r="O486" s="23"/>
      <c r="P486" s="42" t="str">
        <v>5</v>
      </c>
      <c r="Q486" s="42" t="str">
        <v>5</v>
      </c>
      <c r="R486" s="42" t="str">
        <v>5</v>
      </c>
      <c r="S486" s="10" t="str">
        <f t="shared" si="15"/>
        <v>No Change</v>
      </c>
    </row>
    <row r="487" spans="1:19" ht="120" hidden="1">
      <c r="A487" s="8" t="s">
        <v>3685</v>
      </c>
      <c r="B487" s="9" t="s">
        <v>13553</v>
      </c>
      <c r="C487" s="37" t="s">
        <v>8471</v>
      </c>
      <c r="D487" s="24"/>
      <c r="E487" s="24"/>
      <c r="F487" s="24" t="str">
        <v>Q094</v>
      </c>
      <c r="G487" s="24" t="str">
        <v>1 out of 10</v>
      </c>
      <c r="H487" s="24" t="str">
        <v>https://nycdoe.sharepoint.com/:w:/s/BAP/EQqvny2VsfNMiZuBrVV35JwBsvfpuWVtQB_4B4jiFjP53Q</v>
      </c>
      <c r="I487" s="23">
        <v>464</v>
      </c>
      <c r="J487" s="24" t="str">
        <v>-</v>
      </c>
      <c r="K487" s="24">
        <v>1225</v>
      </c>
      <c r="L487" s="24" t="str">
        <v>1 out of 10</v>
      </c>
      <c r="M487" s="23" t="b">
        <f t="shared" si="14"/>
        <v>1</v>
      </c>
      <c r="N487" s="23" t="str">
        <v>1 out of 10</v>
      </c>
      <c r="O487" s="23"/>
      <c r="P487" s="42" t="str">
        <v>1</v>
      </c>
      <c r="Q487" s="42" t="str">
        <v>1</v>
      </c>
      <c r="R487" s="42" t="str">
        <v>1</v>
      </c>
      <c r="S487" s="10" t="str">
        <f t="shared" si="15"/>
        <v>No Change</v>
      </c>
    </row>
    <row r="488" spans="1:19" ht="120" hidden="1">
      <c r="A488" s="8" t="s">
        <v>3982</v>
      </c>
      <c r="B488" s="9" t="s">
        <v>13571</v>
      </c>
      <c r="C488" s="37" t="s">
        <v>8821</v>
      </c>
      <c r="D488" s="24"/>
      <c r="E488" s="24"/>
      <c r="F488" s="24" t="str">
        <v>Q097</v>
      </c>
      <c r="G488" s="24" t="str">
        <v>8 out of 10</v>
      </c>
      <c r="H488" s="24" t="str">
        <v>https://nycdoe.sharepoint.com/:w:/s/BAP/EQHwTBcYKChFpjsX57xa9vsBrAk2mXleBKaHUsXVGyEX7w</v>
      </c>
      <c r="I488" s="23">
        <v>465</v>
      </c>
      <c r="J488" s="24" t="str">
        <v>-</v>
      </c>
      <c r="K488" s="24">
        <v>1228</v>
      </c>
      <c r="L488" s="24" t="str">
        <v>8 out of 10</v>
      </c>
      <c r="M488" s="23" t="b">
        <f t="shared" si="14"/>
        <v>1</v>
      </c>
      <c r="N488" s="23" t="str">
        <v>8 out of 10</v>
      </c>
      <c r="O488" s="23"/>
      <c r="P488" s="42" t="str">
        <v>8</v>
      </c>
      <c r="Q488" s="42" t="str">
        <v>8</v>
      </c>
      <c r="R488" s="42" t="str">
        <v>8</v>
      </c>
      <c r="S488" s="10" t="str">
        <f t="shared" si="15"/>
        <v>No Change</v>
      </c>
    </row>
    <row r="489" spans="1:19" ht="120" hidden="1">
      <c r="A489" s="8" t="s">
        <v>3856</v>
      </c>
      <c r="B489" s="9" t="s">
        <v>13571</v>
      </c>
      <c r="C489" s="37" t="s">
        <v>8661</v>
      </c>
      <c r="D489" s="24"/>
      <c r="E489" s="24"/>
      <c r="F489" s="24" t="str">
        <v>Q100</v>
      </c>
      <c r="G489" s="24" t="str">
        <v>9 out of 10</v>
      </c>
      <c r="H489" s="24" t="str">
        <v>https://nycdoe.sharepoint.com/:w:/s/BAP/EQTOmVnzsOVGnXizJ9oGBWMBNpz1IWVTuCnb_En_kJWb9g</v>
      </c>
      <c r="I489" s="23">
        <v>466</v>
      </c>
      <c r="J489" s="24" t="str">
        <v>-</v>
      </c>
      <c r="K489" s="24">
        <v>1231</v>
      </c>
      <c r="L489" s="24" t="str">
        <v>9 out of 10</v>
      </c>
      <c r="M489" s="23" t="b">
        <f t="shared" si="14"/>
        <v>1</v>
      </c>
      <c r="N489" s="23" t="str">
        <v>9 out of 10</v>
      </c>
      <c r="O489" s="23"/>
      <c r="P489" s="42" t="str">
        <v>9</v>
      </c>
      <c r="Q489" s="42" t="str">
        <v>9</v>
      </c>
      <c r="R489" s="42" t="str">
        <v>9</v>
      </c>
      <c r="S489" s="10" t="str">
        <f t="shared" si="15"/>
        <v>No Change</v>
      </c>
    </row>
    <row r="490" spans="1:19" ht="150" hidden="1">
      <c r="A490" s="8" t="s">
        <v>11807</v>
      </c>
      <c r="B490" s="9" t="s">
        <v>13561</v>
      </c>
      <c r="C490" s="37" t="s">
        <v>13626</v>
      </c>
      <c r="D490" s="24"/>
      <c r="E490" s="24"/>
      <c r="F490" s="24" t="str">
        <v>Q102</v>
      </c>
      <c r="G490" s="24" t="str">
        <v>9 out of 10</v>
      </c>
      <c r="H490" s="24" t="str">
        <v>https://nycdoe.sharepoint.com/:w:/s/BAP/EUX3_BaL9HdPmKztJNNZSHUBP37jjId7fEKzFMH_iCeCTg</v>
      </c>
      <c r="I490" s="23">
        <v>467</v>
      </c>
      <c r="J490" s="24" t="str">
        <v>-</v>
      </c>
      <c r="K490" s="24">
        <v>1233</v>
      </c>
      <c r="L490" s="24" t="str">
        <v>9 out of 10</v>
      </c>
      <c r="M490" s="23" t="b">
        <f t="shared" si="14"/>
        <v>1</v>
      </c>
      <c r="N490" s="23" t="str">
        <v>9 out of 10</v>
      </c>
      <c r="O490" s="23"/>
      <c r="P490" s="42" t="str">
        <v>9</v>
      </c>
      <c r="Q490" s="42" t="str">
        <v>9</v>
      </c>
      <c r="R490" s="42" t="str">
        <v>9</v>
      </c>
      <c r="S490" s="10" t="str">
        <f t="shared" si="15"/>
        <v>No Change</v>
      </c>
    </row>
    <row r="491" spans="1:19" ht="120" hidden="1">
      <c r="A491" s="8" t="s">
        <v>3860</v>
      </c>
      <c r="B491" s="9" t="s">
        <v>13571</v>
      </c>
      <c r="C491" s="37" t="s">
        <v>8668</v>
      </c>
      <c r="D491" s="24"/>
      <c r="E491" s="24"/>
      <c r="F491" s="24" t="str">
        <v>Q107</v>
      </c>
      <c r="G491" s="24" t="str">
        <v>9 out of 10</v>
      </c>
      <c r="H491" s="24" t="str">
        <v>https://nycdoe.sharepoint.com/:w:/s/BAP/EUAONiTvcYdNoowe4b9abP0BLW2IUU0GBe_yNyRV43FlSA</v>
      </c>
      <c r="I491" s="23">
        <v>468</v>
      </c>
      <c r="J491" s="24" t="str">
        <v>-</v>
      </c>
      <c r="K491" s="24">
        <v>1237</v>
      </c>
      <c r="L491" s="24" t="str">
        <v>9 out of 10</v>
      </c>
      <c r="M491" s="23" t="b">
        <f t="shared" si="14"/>
        <v>1</v>
      </c>
      <c r="N491" s="23" t="str">
        <v>9 out of 10</v>
      </c>
      <c r="O491" s="23"/>
      <c r="P491" s="42" t="str">
        <v>9</v>
      </c>
      <c r="Q491" s="42" t="str">
        <v>9</v>
      </c>
      <c r="R491" s="42" t="str">
        <v>9</v>
      </c>
      <c r="S491" s="10" t="str">
        <f t="shared" si="15"/>
        <v>No Change</v>
      </c>
    </row>
    <row r="492" spans="1:19" ht="120" hidden="1">
      <c r="A492" s="8" t="s">
        <v>3260</v>
      </c>
      <c r="B492" s="9" t="s">
        <v>13555</v>
      </c>
      <c r="C492" s="37" t="s">
        <v>7972</v>
      </c>
      <c r="D492" s="24"/>
      <c r="E492" s="24"/>
      <c r="F492" s="24" t="str">
        <v>Q108</v>
      </c>
      <c r="G492" s="24" t="str">
        <v>8 out of 10</v>
      </c>
      <c r="H492" s="24" t="str">
        <v>https://nycdoe.sharepoint.com/:w:/s/BAP/EVZtd-GThm9IrFgesZwOt6YB9MjePu9dsaiXbCDpvYKbFw</v>
      </c>
      <c r="I492" s="23">
        <v>469</v>
      </c>
      <c r="J492" s="24" t="str">
        <v>-</v>
      </c>
      <c r="K492" s="24">
        <v>1238</v>
      </c>
      <c r="L492" s="24" t="str">
        <v>8 out of 10</v>
      </c>
      <c r="M492" s="23" t="b">
        <f t="shared" si="14"/>
        <v>1</v>
      </c>
      <c r="N492" s="23" t="str">
        <v>8 out of 10</v>
      </c>
      <c r="O492" s="23"/>
      <c r="P492" s="42" t="str">
        <v>8</v>
      </c>
      <c r="Q492" s="42" t="str">
        <v>8</v>
      </c>
      <c r="R492" s="42" t="str">
        <v>8</v>
      </c>
      <c r="S492" s="10" t="str">
        <f t="shared" si="15"/>
        <v>No Change</v>
      </c>
    </row>
    <row r="493" spans="1:19" ht="120" hidden="1">
      <c r="A493" s="8" t="s">
        <v>3862</v>
      </c>
      <c r="B493" s="9" t="s">
        <v>13555</v>
      </c>
      <c r="C493" s="37" t="s">
        <v>8672</v>
      </c>
      <c r="D493" s="24"/>
      <c r="E493" s="24"/>
      <c r="F493" s="24" t="str">
        <v>Q112</v>
      </c>
      <c r="G493" s="24" t="str">
        <v>8 out of 10</v>
      </c>
      <c r="H493" s="24" t="str">
        <v>https://nycdoe.sharepoint.com/:w:/s/BAP/Ed7C9IN9wptNgOaEcMn1jRcBiRzqQSz7Su8wq1A3yQD8fw</v>
      </c>
      <c r="I493" s="23">
        <v>470</v>
      </c>
      <c r="J493" s="24" t="str">
        <v>-</v>
      </c>
      <c r="K493" s="24">
        <v>1242</v>
      </c>
      <c r="L493" s="24" t="str">
        <v>8 out of 10</v>
      </c>
      <c r="M493" s="23" t="b">
        <f t="shared" si="14"/>
        <v>1</v>
      </c>
      <c r="N493" s="23" t="str">
        <v>8 out of 10</v>
      </c>
      <c r="O493" s="23"/>
      <c r="P493" s="42" t="str">
        <v>8</v>
      </c>
      <c r="Q493" s="42" t="str">
        <v>8</v>
      </c>
      <c r="R493" s="42" t="str">
        <v>8</v>
      </c>
      <c r="S493" s="10" t="str">
        <f t="shared" si="15"/>
        <v>No Change</v>
      </c>
    </row>
    <row r="494" spans="1:19" ht="120" hidden="1">
      <c r="A494" s="8" t="s">
        <v>4087</v>
      </c>
      <c r="B494" s="9" t="s">
        <v>13555</v>
      </c>
      <c r="C494" s="37" t="s">
        <v>8943</v>
      </c>
      <c r="D494" s="24"/>
      <c r="E494" s="24"/>
      <c r="F494" s="24" t="str">
        <v>Q113</v>
      </c>
      <c r="G494" s="24" t="str">
        <v>9 out of 10</v>
      </c>
      <c r="H494" s="24" t="str">
        <v>https://nycdoe.sharepoint.com/:w:/s/BAP/EfvRvx5oTpdEgoKcqU3btCgBOaIfbegnFj7MLKjhX9L-3g</v>
      </c>
      <c r="I494" s="23">
        <v>471</v>
      </c>
      <c r="J494" s="24" t="str">
        <v>-</v>
      </c>
      <c r="K494" s="24">
        <v>1243</v>
      </c>
      <c r="L494" s="24" t="str">
        <v>9 out of 10</v>
      </c>
      <c r="M494" s="23" t="b">
        <f t="shared" si="14"/>
        <v>1</v>
      </c>
      <c r="N494" s="23" t="str">
        <v>9 out of 10</v>
      </c>
      <c r="O494" s="23"/>
      <c r="P494" s="42" t="str">
        <v>9</v>
      </c>
      <c r="Q494" s="42" t="str">
        <v>9</v>
      </c>
      <c r="R494" s="42" t="str">
        <v>9</v>
      </c>
      <c r="S494" s="10" t="str">
        <f t="shared" si="15"/>
        <v>No Change</v>
      </c>
    </row>
    <row r="495" spans="1:19" ht="120" hidden="1">
      <c r="A495" s="8" t="s">
        <v>11819</v>
      </c>
      <c r="B495" s="9" t="s">
        <v>13561</v>
      </c>
      <c r="C495" s="37" t="s">
        <v>13627</v>
      </c>
      <c r="D495" s="24"/>
      <c r="E495" s="24"/>
      <c r="F495" s="24" t="str">
        <v>Q114</v>
      </c>
      <c r="G495" s="24" t="str">
        <v>1 out of 10</v>
      </c>
      <c r="H495" s="24" t="str">
        <v>https://nycdoe.sharepoint.com/:w:/s/BAP/ERzCtEobw4RFsV1esNh8FtwBWdbPQ9-iZXlU3ipFiyTmRw</v>
      </c>
      <c r="I495" s="23">
        <v>472</v>
      </c>
      <c r="J495" s="24" t="str">
        <v>-</v>
      </c>
      <c r="K495" s="24">
        <v>1244</v>
      </c>
      <c r="L495" s="24" t="str">
        <v>1 out of 10</v>
      </c>
      <c r="M495" s="23" t="b">
        <f t="shared" si="14"/>
        <v>1</v>
      </c>
      <c r="N495" s="23" t="str">
        <v>1 out of 10</v>
      </c>
      <c r="O495" s="23"/>
      <c r="P495" s="42" t="str">
        <v>1</v>
      </c>
      <c r="Q495" s="42" t="str">
        <v>1</v>
      </c>
      <c r="R495" s="42" t="str">
        <v>1</v>
      </c>
      <c r="S495" s="10" t="str">
        <f t="shared" si="15"/>
        <v>No Change</v>
      </c>
    </row>
    <row r="496" spans="1:19" ht="120" hidden="1">
      <c r="A496" s="8" t="s">
        <v>4091</v>
      </c>
      <c r="B496" s="9" t="s">
        <v>13564</v>
      </c>
      <c r="C496" s="37" t="s">
        <v>8947</v>
      </c>
      <c r="D496" s="24"/>
      <c r="E496" s="24"/>
      <c r="F496" s="24" t="str">
        <v>Q115</v>
      </c>
      <c r="G496" s="24" t="str">
        <v>4 out of 10</v>
      </c>
      <c r="H496" s="24" t="str">
        <v>https://nycdoe.sharepoint.com/:w:/s/BAP/EQnfvJFcz-1KpBsP9iaJMU0BCCcVDWgc6Jn-3QnOJKhzgg</v>
      </c>
      <c r="I496" s="23">
        <v>473</v>
      </c>
      <c r="J496" s="24" t="str">
        <v>-</v>
      </c>
      <c r="K496" s="24">
        <v>1246</v>
      </c>
      <c r="L496" s="24" t="str">
        <v>4 out of 10</v>
      </c>
      <c r="M496" s="23" t="b">
        <f t="shared" si="14"/>
        <v>1</v>
      </c>
      <c r="N496" s="23" t="str">
        <v>4 out of 10</v>
      </c>
      <c r="O496" s="23"/>
      <c r="P496" s="42" t="str">
        <v>4</v>
      </c>
      <c r="Q496" s="42" t="str">
        <v>4</v>
      </c>
      <c r="R496" s="42" t="str">
        <v>4</v>
      </c>
      <c r="S496" s="10" t="str">
        <f t="shared" si="15"/>
        <v>No Change</v>
      </c>
    </row>
    <row r="497" spans="1:19" ht="120" hidden="1">
      <c r="A497" s="8" t="s">
        <v>4095</v>
      </c>
      <c r="B497" s="9" t="s">
        <v>13571</v>
      </c>
      <c r="C497" s="37" t="s">
        <v>8951</v>
      </c>
      <c r="D497" s="24"/>
      <c r="E497" s="24"/>
      <c r="F497" s="24" t="str">
        <v>Q117</v>
      </c>
      <c r="G497" s="24" t="str">
        <v>9 out of 10</v>
      </c>
      <c r="H497" s="24" t="str">
        <v>https://nycdoe.sharepoint.com/:w:/s/BAP/EQ0L-lmBlJ1OlNpmt3aeOBQB59edsMrfZvS41nJOLWTZyA</v>
      </c>
      <c r="I497" s="23">
        <v>474</v>
      </c>
      <c r="J497" s="24" t="str">
        <v>-</v>
      </c>
      <c r="K497" s="24">
        <v>1248</v>
      </c>
      <c r="L497" s="24" t="str">
        <v>9 out of 10</v>
      </c>
      <c r="M497" s="23" t="b">
        <f t="shared" si="14"/>
        <v>1</v>
      </c>
      <c r="N497" s="23" t="str">
        <v>9 out of 10</v>
      </c>
      <c r="O497" s="23"/>
      <c r="P497" s="42" t="str">
        <v>9</v>
      </c>
      <c r="Q497" s="42" t="str">
        <v>9</v>
      </c>
      <c r="R497" s="42" t="str">
        <v>9</v>
      </c>
      <c r="S497" s="10" t="str">
        <f t="shared" si="15"/>
        <v>No Change</v>
      </c>
    </row>
    <row r="498" spans="1:19" ht="120" hidden="1">
      <c r="A498" s="8" t="s">
        <v>4099</v>
      </c>
      <c r="B498" s="9" t="s">
        <v>13557</v>
      </c>
      <c r="C498" s="37" t="s">
        <v>8955</v>
      </c>
      <c r="D498" s="24"/>
      <c r="E498" s="24"/>
      <c r="F498" s="24" t="str">
        <v>Q118</v>
      </c>
      <c r="G498" s="24" t="str">
        <v>4 out of 10</v>
      </c>
      <c r="H498" s="24" t="str">
        <v>https://nycdoe.sharepoint.com/:w:/s/BAP/EQHOs6sQkOhBilEJnbNbt9QBrYDnM2brPytA3dr4q588Qw</v>
      </c>
      <c r="I498" s="23">
        <v>475</v>
      </c>
      <c r="J498" s="24" t="str">
        <v>-</v>
      </c>
      <c r="K498" s="24">
        <v>1249</v>
      </c>
      <c r="L498" s="24" t="str">
        <v>4 out of 10</v>
      </c>
      <c r="M498" s="23" t="b">
        <f t="shared" si="14"/>
        <v>1</v>
      </c>
      <c r="N498" s="23" t="str">
        <v>4 out of 10</v>
      </c>
      <c r="O498" s="23"/>
      <c r="P498" s="42" t="str">
        <v>4</v>
      </c>
      <c r="Q498" s="42" t="str">
        <v>4</v>
      </c>
      <c r="R498" s="42" t="str">
        <v>4</v>
      </c>
      <c r="S498" s="10" t="str">
        <f t="shared" si="15"/>
        <v>No Change</v>
      </c>
    </row>
    <row r="499" spans="1:19" ht="120" hidden="1">
      <c r="A499" s="8" t="s">
        <v>4103</v>
      </c>
      <c r="B499" s="9" t="s">
        <v>13557</v>
      </c>
      <c r="C499" s="37" t="s">
        <v>8964</v>
      </c>
      <c r="D499" s="24"/>
      <c r="E499" s="24"/>
      <c r="F499" s="24" t="str">
        <v>Q119</v>
      </c>
      <c r="G499" s="24" t="str">
        <v>9 out of 10</v>
      </c>
      <c r="H499" s="24" t="str">
        <v>https://nycdoe.sharepoint.com/:w:/s/BAP/EXvfXn7VfNhGufpzodvf8qsBj1kDs4QLtuw9aG3dfugkGQ</v>
      </c>
      <c r="I499" s="23">
        <v>476</v>
      </c>
      <c r="J499" s="24" t="str">
        <v>-</v>
      </c>
      <c r="K499" s="24">
        <v>1250</v>
      </c>
      <c r="L499" s="24" t="str">
        <v>9 out of 10</v>
      </c>
      <c r="M499" s="23" t="b">
        <f t="shared" si="14"/>
        <v>1</v>
      </c>
      <c r="N499" s="23" t="str">
        <v>9 out of 10</v>
      </c>
      <c r="O499" s="23"/>
      <c r="P499" s="42" t="str">
        <v>9</v>
      </c>
      <c r="Q499" s="42" t="str">
        <v>9</v>
      </c>
      <c r="R499" s="42" t="str">
        <v>9</v>
      </c>
      <c r="S499" s="10" t="str">
        <f t="shared" si="15"/>
        <v>No Change</v>
      </c>
    </row>
    <row r="500" spans="1:19" ht="120" hidden="1">
      <c r="A500" s="8" t="s">
        <v>3264</v>
      </c>
      <c r="B500" s="9" t="s">
        <v>13555</v>
      </c>
      <c r="C500" s="37" t="s">
        <v>7976</v>
      </c>
      <c r="D500" s="24"/>
      <c r="E500" s="24"/>
      <c r="F500" s="24" t="str">
        <v>Q120</v>
      </c>
      <c r="G500" s="24" t="str">
        <v>7 out of 10</v>
      </c>
      <c r="H500" s="24" t="str">
        <v>https://nycdoe.sharepoint.com/:w:/s/BAP/ERB8Q7_T9WVBq8UYDknyyewB_LGU0IJ5Jx14MwlQ1riO1w</v>
      </c>
      <c r="I500" s="23">
        <v>477</v>
      </c>
      <c r="J500" s="24" t="str">
        <v>-</v>
      </c>
      <c r="K500" s="24">
        <v>1251</v>
      </c>
      <c r="L500" s="24" t="str">
        <v>7 out of 10</v>
      </c>
      <c r="M500" s="23" t="b">
        <f t="shared" si="14"/>
        <v>1</v>
      </c>
      <c r="N500" s="23" t="str">
        <v>7 out of 10</v>
      </c>
      <c r="O500" s="23"/>
      <c r="P500" s="42" t="str">
        <v>7</v>
      </c>
      <c r="Q500" s="42" t="str">
        <v>7</v>
      </c>
      <c r="R500" s="42" t="str">
        <v>7</v>
      </c>
      <c r="S500" s="10" t="str">
        <f t="shared" si="15"/>
        <v>No Change</v>
      </c>
    </row>
    <row r="501" spans="1:19" ht="120" hidden="1">
      <c r="A501" s="8" t="s">
        <v>3442</v>
      </c>
      <c r="B501" s="9" t="s">
        <v>13555</v>
      </c>
      <c r="C501" s="37" t="s">
        <v>8159</v>
      </c>
      <c r="D501" s="24"/>
      <c r="E501" s="24"/>
      <c r="F501" s="24" t="str">
        <v>Q123</v>
      </c>
      <c r="G501" s="24" t="str">
        <v>0 out of 10</v>
      </c>
      <c r="H501" s="24" t="str">
        <v>https://nycdoe.sharepoint.com/:w:/s/BAP/Ec_H6x3yWUBIpyW_G6IY6SYB81ZvxRxuP6TAoCVwlczIpQ</v>
      </c>
      <c r="I501" s="23">
        <v>478</v>
      </c>
      <c r="J501" s="24" t="str">
        <v>-</v>
      </c>
      <c r="K501" s="24">
        <v>1254</v>
      </c>
      <c r="L501" s="24" t="str">
        <v>N/A out of 10</v>
      </c>
      <c r="M501" s="23" t="b">
        <f t="shared" si="14"/>
        <v>0</v>
      </c>
      <c r="N501" s="23" t="str">
        <v>0 out of 10</v>
      </c>
      <c r="O501" s="23"/>
      <c r="P501" s="42" t="str">
        <v>0</v>
      </c>
      <c r="Q501" s="42" t="str">
        <v>N/A</v>
      </c>
      <c r="R501" s="42" t="str">
        <v>0</v>
      </c>
      <c r="S501" s="10" t="str">
        <f t="shared" si="15"/>
        <v>No Change</v>
      </c>
    </row>
    <row r="502" spans="1:19" ht="120" hidden="1">
      <c r="A502" s="8" t="s">
        <v>3531</v>
      </c>
      <c r="B502" s="9" t="s">
        <v>13559</v>
      </c>
      <c r="C502" s="37" t="s">
        <v>8303</v>
      </c>
      <c r="D502" s="24"/>
      <c r="E502" s="24"/>
      <c r="F502" s="24" t="str">
        <v>Q124</v>
      </c>
      <c r="G502" s="24" t="str">
        <v>8 out of 10</v>
      </c>
      <c r="H502" s="24" t="str">
        <v>https://nycdoe.sharepoint.com/:w:/s/BAP/ETuCw2VQu9FEkuuz0Eze5WkBYknvp3H-PR8pWkTEV4D_sQ</v>
      </c>
      <c r="I502" s="23">
        <v>479</v>
      </c>
      <c r="J502" s="24" t="str">
        <v>-</v>
      </c>
      <c r="K502" s="24">
        <v>1255</v>
      </c>
      <c r="L502" s="24" t="str">
        <v>8 out of 10</v>
      </c>
      <c r="M502" s="23" t="b">
        <f t="shared" si="14"/>
        <v>1</v>
      </c>
      <c r="N502" s="23" t="str">
        <v>8 out of 10</v>
      </c>
      <c r="O502" s="23"/>
      <c r="P502" s="42" t="str">
        <v>8</v>
      </c>
      <c r="Q502" s="42" t="str">
        <v>8</v>
      </c>
      <c r="R502" s="42" t="str">
        <v>8</v>
      </c>
      <c r="S502" s="10" t="str">
        <f t="shared" si="15"/>
        <v>No Change</v>
      </c>
    </row>
    <row r="503" spans="1:19" ht="120" hidden="1">
      <c r="A503" s="8" t="s">
        <v>3866</v>
      </c>
      <c r="B503" s="9" t="s">
        <v>13553</v>
      </c>
      <c r="C503" s="37" t="s">
        <v>8674</v>
      </c>
      <c r="D503" s="24"/>
      <c r="E503" s="24"/>
      <c r="F503" s="24" t="str">
        <v>Q125</v>
      </c>
      <c r="G503" s="24" t="str">
        <v>9 out of 10</v>
      </c>
      <c r="H503" s="24" t="str">
        <v>https://nycdoe.sharepoint.com/:w:/s/BAP/EUPXLvUWrzBFt_xrJuMi8y0BxSZv-LkPq8gpqx4Dhvn1aQ</v>
      </c>
      <c r="I503" s="23">
        <v>480</v>
      </c>
      <c r="J503" s="24" t="str">
        <v>-</v>
      </c>
      <c r="K503" s="24">
        <v>1256</v>
      </c>
      <c r="L503" s="24" t="str">
        <v>9 out of 10</v>
      </c>
      <c r="M503" s="23" t="b">
        <f t="shared" si="14"/>
        <v>1</v>
      </c>
      <c r="N503" s="23" t="str">
        <v>9 out of 10</v>
      </c>
      <c r="O503" s="23"/>
      <c r="P503" s="42" t="str">
        <v>9</v>
      </c>
      <c r="Q503" s="42" t="str">
        <v>9</v>
      </c>
      <c r="R503" s="42" t="str">
        <v>9</v>
      </c>
      <c r="S503" s="10" t="str">
        <f t="shared" si="15"/>
        <v>No Change</v>
      </c>
    </row>
    <row r="504" spans="1:19" ht="120" hidden="1">
      <c r="A504" s="8" t="s">
        <v>3446</v>
      </c>
      <c r="B504" s="9" t="s">
        <v>13555</v>
      </c>
      <c r="C504" s="37" t="s">
        <v>8163</v>
      </c>
      <c r="D504" s="24"/>
      <c r="E504" s="24"/>
      <c r="F504" s="24" t="str">
        <v>Q129</v>
      </c>
      <c r="G504" s="24" t="str">
        <v>9 out of 10</v>
      </c>
      <c r="H504" s="24" t="str">
        <v>https://nycdoe.sharepoint.com/:w:/s/BAP/EXh6wZUXm5xIoRcoWL7V1yIBg2mkEiKjRyR2jilKzGz0xg</v>
      </c>
      <c r="I504" s="23">
        <v>481</v>
      </c>
      <c r="J504" s="24" t="str">
        <v>-</v>
      </c>
      <c r="K504" s="24">
        <v>1260</v>
      </c>
      <c r="L504" s="24" t="str">
        <v>9 out of 10</v>
      </c>
      <c r="M504" s="23" t="b">
        <f t="shared" si="14"/>
        <v>1</v>
      </c>
      <c r="N504" s="23" t="str">
        <v>9 out of 10</v>
      </c>
      <c r="O504" s="23"/>
      <c r="P504" s="42" t="str">
        <v>9</v>
      </c>
      <c r="Q504" s="42" t="str">
        <v>9</v>
      </c>
      <c r="R504" s="42" t="str">
        <v>9</v>
      </c>
      <c r="S504" s="10" t="str">
        <f t="shared" si="15"/>
        <v>No Change</v>
      </c>
    </row>
    <row r="505" spans="1:19" ht="120" hidden="1">
      <c r="A505" s="8" t="s">
        <v>3450</v>
      </c>
      <c r="B505" s="9" t="s">
        <v>13564</v>
      </c>
      <c r="C505" s="37" t="s">
        <v>8172</v>
      </c>
      <c r="D505" s="24"/>
      <c r="E505" s="24"/>
      <c r="F505" s="24" t="str">
        <v>Q130</v>
      </c>
      <c r="G505" s="24" t="str">
        <v>4 out of 10</v>
      </c>
      <c r="H505" s="24" t="str">
        <v>https://nycdoe.sharepoint.com/:w:/s/BAP/EZNx72xkiQZAueIlHRP9bDcBG8WUboXsWVCRpj-p_Focxg</v>
      </c>
      <c r="I505" s="23">
        <v>482</v>
      </c>
      <c r="J505" s="24" t="str">
        <v>-</v>
      </c>
      <c r="K505" s="24">
        <v>1261</v>
      </c>
      <c r="L505" s="24" t="str">
        <v>4 out of 10</v>
      </c>
      <c r="M505" s="23" t="b">
        <f t="shared" si="14"/>
        <v>1</v>
      </c>
      <c r="N505" s="23" t="str">
        <v>4 out of 10</v>
      </c>
      <c r="O505" s="23"/>
      <c r="P505" s="42" t="str">
        <v>4</v>
      </c>
      <c r="Q505" s="42" t="str">
        <v>4</v>
      </c>
      <c r="R505" s="42" t="str">
        <v>4</v>
      </c>
      <c r="S505" s="10" t="str">
        <f t="shared" si="15"/>
        <v>No Change</v>
      </c>
    </row>
    <row r="506" spans="1:19" ht="120" hidden="1">
      <c r="A506" s="8" t="s">
        <v>4107</v>
      </c>
      <c r="B506" s="9" t="s">
        <v>13571</v>
      </c>
      <c r="C506" s="37" t="s">
        <v>8968</v>
      </c>
      <c r="D506" s="24"/>
      <c r="E506" s="24"/>
      <c r="F506" s="24" t="str">
        <v>Q131</v>
      </c>
      <c r="G506" s="24" t="str">
        <v>9 out of 10</v>
      </c>
      <c r="H506" s="24" t="str">
        <v>https://nycdoe.sharepoint.com/:w:/s/BAP/ETeXv4ULe9ZHscOA-sRFD7UBSl51oDpeE-y5EPtUWiqlBw</v>
      </c>
      <c r="I506" s="23">
        <v>483</v>
      </c>
      <c r="J506" s="24" t="str">
        <v>-</v>
      </c>
      <c r="K506" s="24">
        <v>1263</v>
      </c>
      <c r="L506" s="24" t="str">
        <v>9 out of 10</v>
      </c>
      <c r="M506" s="23" t="b">
        <f t="shared" si="14"/>
        <v>1</v>
      </c>
      <c r="N506" s="23" t="str">
        <v>9 out of 10</v>
      </c>
      <c r="O506" s="23"/>
      <c r="P506" s="42" t="str">
        <v>9</v>
      </c>
      <c r="Q506" s="42" t="str">
        <v>9</v>
      </c>
      <c r="R506" s="42" t="str">
        <v>9</v>
      </c>
      <c r="S506" s="10" t="str">
        <f t="shared" si="15"/>
        <v>No Change</v>
      </c>
    </row>
    <row r="507" spans="1:19" ht="120" hidden="1">
      <c r="A507" s="8" t="s">
        <v>3454</v>
      </c>
      <c r="B507" s="9" t="s">
        <v>13555</v>
      </c>
      <c r="C507" s="37" t="s">
        <v>8176</v>
      </c>
      <c r="D507" s="24"/>
      <c r="E507" s="24"/>
      <c r="F507" s="24" t="str">
        <v>Q134</v>
      </c>
      <c r="G507" s="24" t="str">
        <v>3 out of 10</v>
      </c>
      <c r="H507" s="24" t="str">
        <v>https://nycdoe.sharepoint.com/:w:/s/BAP/EXHuS_hVxp5Ch0IhgvS5tVwB8kwhuUyLFCX-OXkzgtfmzw</v>
      </c>
      <c r="I507" s="23">
        <v>484</v>
      </c>
      <c r="J507" s="24" t="str">
        <v>-</v>
      </c>
      <c r="K507" s="24">
        <v>1266</v>
      </c>
      <c r="L507" s="24" t="str">
        <v>3 out of 10</v>
      </c>
      <c r="M507" s="23" t="b">
        <f t="shared" si="14"/>
        <v>1</v>
      </c>
      <c r="N507" s="23" t="str">
        <v>3 out of 10</v>
      </c>
      <c r="O507" s="23"/>
      <c r="P507" s="42" t="str">
        <v>3</v>
      </c>
      <c r="Q507" s="42" t="str">
        <v>3</v>
      </c>
      <c r="R507" s="42" t="str">
        <v>3</v>
      </c>
      <c r="S507" s="10" t="str">
        <f t="shared" si="15"/>
        <v>No Change</v>
      </c>
    </row>
    <row r="508" spans="1:19" ht="120" hidden="1">
      <c r="A508" s="8" t="s">
        <v>11869</v>
      </c>
      <c r="B508" s="9" t="s">
        <v>13561</v>
      </c>
      <c r="C508" s="37" t="s">
        <v>13628</v>
      </c>
      <c r="D508" s="24"/>
      <c r="E508" s="24"/>
      <c r="F508" s="24" t="str">
        <v>Q135</v>
      </c>
      <c r="G508" s="24" t="str">
        <v>8 out of 10</v>
      </c>
      <c r="H508" s="24" t="str">
        <v>https://nycdoe.sharepoint.com/:w:/s/BAP/EQUk993Vcr5PhuI1rvRfk2UBKNf90kfx2wexXoGsjrF0Mg</v>
      </c>
      <c r="I508" s="23">
        <v>485</v>
      </c>
      <c r="J508" s="24" t="str">
        <v>-</v>
      </c>
      <c r="K508" s="24">
        <v>1268</v>
      </c>
      <c r="L508" s="24" t="str">
        <v>8 out of 10</v>
      </c>
      <c r="M508" s="23" t="b">
        <f t="shared" si="14"/>
        <v>1</v>
      </c>
      <c r="N508" s="23" t="str">
        <v>8 out of 10</v>
      </c>
      <c r="O508" s="23"/>
      <c r="P508" s="42" t="str">
        <v>8</v>
      </c>
      <c r="Q508" s="42" t="str">
        <v>8</v>
      </c>
      <c r="R508" s="42" t="str">
        <v>8</v>
      </c>
      <c r="S508" s="10" t="str">
        <f t="shared" si="15"/>
        <v>No Change</v>
      </c>
    </row>
    <row r="509" spans="1:19" ht="120" hidden="1">
      <c r="A509" s="8" t="s">
        <v>3535</v>
      </c>
      <c r="B509" s="9" t="s">
        <v>13558</v>
      </c>
      <c r="C509" s="37" t="s">
        <v>8317</v>
      </c>
      <c r="D509" s="24"/>
      <c r="E509" s="24"/>
      <c r="F509" s="24" t="str">
        <v>Q137</v>
      </c>
      <c r="G509" s="24" t="str">
        <v>10 out of 10</v>
      </c>
      <c r="H509" s="24" t="str">
        <v>https://nycdoe.sharepoint.com/:w:/s/BAP/EVpPmKa1-axMl0oXAcaY044BuTaQH3GwLwMFHj-83XOG1w</v>
      </c>
      <c r="I509" s="23">
        <v>486</v>
      </c>
      <c r="J509" s="24" t="str">
        <v>-</v>
      </c>
      <c r="K509" s="24">
        <v>1270</v>
      </c>
      <c r="L509" s="24" t="str">
        <v>10 out of 10</v>
      </c>
      <c r="M509" s="23" t="b">
        <f t="shared" si="14"/>
        <v>1</v>
      </c>
      <c r="N509" s="23" t="str">
        <v>10 out of 10</v>
      </c>
      <c r="O509" s="23"/>
      <c r="P509" s="42" t="str">
        <v>10</v>
      </c>
      <c r="Q509" s="42" t="str">
        <v>10</v>
      </c>
      <c r="R509" s="42" t="str">
        <v>10</v>
      </c>
      <c r="S509" s="10" t="str">
        <f t="shared" si="15"/>
        <v>No Change</v>
      </c>
    </row>
    <row r="510" spans="1:19" ht="120" hidden="1">
      <c r="A510" s="8" t="s">
        <v>3870</v>
      </c>
      <c r="B510" s="9" t="s">
        <v>13555</v>
      </c>
      <c r="C510" s="37" t="s">
        <v>8685</v>
      </c>
      <c r="D510" s="24"/>
      <c r="E510" s="24"/>
      <c r="F510" s="24" t="str">
        <v>Q138</v>
      </c>
      <c r="G510" s="24" t="str">
        <v>7 out of 10</v>
      </c>
      <c r="H510" s="24" t="str">
        <v>https://nycdoe.sharepoint.com/:w:/s/BAP/ESIfVqawXBFClGt7DJ6fT00Bkyrv7YgWMdx2dwpHJeHqzA</v>
      </c>
      <c r="I510" s="23">
        <v>487</v>
      </c>
      <c r="J510" s="24" t="str">
        <v>-</v>
      </c>
      <c r="K510" s="24">
        <v>1271</v>
      </c>
      <c r="L510" s="24" t="str">
        <v>7 out of 10</v>
      </c>
      <c r="M510" s="23" t="b">
        <f t="shared" si="14"/>
        <v>1</v>
      </c>
      <c r="N510" s="23" t="str">
        <v>7 out of 10</v>
      </c>
      <c r="O510" s="23"/>
      <c r="P510" s="42" t="str">
        <v>7</v>
      </c>
      <c r="Q510" s="42" t="str">
        <v>7</v>
      </c>
      <c r="R510" s="42" t="str">
        <v>7</v>
      </c>
      <c r="S510" s="10" t="str">
        <f t="shared" si="15"/>
        <v>No Change</v>
      </c>
    </row>
    <row r="511" spans="1:19" ht="105" hidden="1">
      <c r="A511" s="8" t="s">
        <v>3986</v>
      </c>
      <c r="B511" s="9" t="s">
        <v>13555</v>
      </c>
      <c r="C511" s="37" t="s">
        <v>8835</v>
      </c>
      <c r="D511" s="24"/>
      <c r="E511" s="24"/>
      <c r="F511" s="24" t="str">
        <v>Q139</v>
      </c>
      <c r="G511" s="24" t="str">
        <v>7 out of 10</v>
      </c>
      <c r="H511" s="24" t="str">
        <v>https://nycdoe.sharepoint.com/:w:/s/BAP/EegzGJ8qIaBBp_LY-kZNMv4B1IxN4AR3vXSgpFDwHDEV-Q</v>
      </c>
      <c r="I511" s="23">
        <v>488</v>
      </c>
      <c r="J511" s="24" t="str">
        <v>-</v>
      </c>
      <c r="K511" s="24">
        <v>1273</v>
      </c>
      <c r="L511" s="24" t="str">
        <v>7 out of 10</v>
      </c>
      <c r="M511" s="23" t="b">
        <f t="shared" si="14"/>
        <v>1</v>
      </c>
      <c r="N511" s="23" t="str">
        <v>7 out of 10</v>
      </c>
      <c r="O511" s="23"/>
      <c r="P511" s="42" t="str">
        <v>7</v>
      </c>
      <c r="Q511" s="42" t="str">
        <v>7</v>
      </c>
      <c r="R511" s="42" t="str">
        <v>7</v>
      </c>
      <c r="S511" s="10" t="str">
        <f t="shared" si="15"/>
        <v>No Change</v>
      </c>
    </row>
    <row r="512" spans="1:19" ht="120" hidden="1">
      <c r="A512" s="8" t="s">
        <v>3539</v>
      </c>
      <c r="B512" s="9" t="s">
        <v>13560</v>
      </c>
      <c r="C512" s="37" t="s">
        <v>8324</v>
      </c>
      <c r="D512" s="24"/>
      <c r="E512" s="24"/>
      <c r="F512" s="24" t="str">
        <v>Q141</v>
      </c>
      <c r="G512" s="24" t="str">
        <v>0 out of 10</v>
      </c>
      <c r="H512" s="24" t="str">
        <v>https://nycdoe.sharepoint.com/:w:/s/BAP/ETlWj58JJENCk-yIFhOZuZ4Bp9NL4-kyOf89V1GEuzsVHQ?e=XD0zrQ</v>
      </c>
      <c r="I512" s="23">
        <v>489</v>
      </c>
      <c r="J512" s="24" t="str">
        <v>-</v>
      </c>
      <c r="K512" s="24">
        <v>1277</v>
      </c>
      <c r="L512" s="24" t="str">
        <v>N/A out of 10</v>
      </c>
      <c r="M512" s="23" t="b">
        <f t="shared" si="14"/>
        <v>0</v>
      </c>
      <c r="N512" s="23" t="str">
        <v>0 out of 10</v>
      </c>
      <c r="O512" s="23"/>
      <c r="P512" s="42" t="str">
        <v>0</v>
      </c>
      <c r="Q512" s="42" t="str">
        <v>N/A</v>
      </c>
      <c r="R512" s="42" t="str">
        <v>0</v>
      </c>
      <c r="S512" s="10" t="str">
        <f t="shared" si="15"/>
        <v>No Change</v>
      </c>
    </row>
    <row r="513" spans="1:19" ht="120" hidden="1">
      <c r="A513" s="8" t="s">
        <v>3543</v>
      </c>
      <c r="B513" s="9" t="s">
        <v>13558</v>
      </c>
      <c r="C513" s="37" t="s">
        <v>8327</v>
      </c>
      <c r="D513" s="24"/>
      <c r="E513" s="24"/>
      <c r="F513" s="24" t="str">
        <v>Q142</v>
      </c>
      <c r="G513" s="24" t="str">
        <v>7 out of 10</v>
      </c>
      <c r="H513" s="24" t="str">
        <v>https://nycdoe.sharepoint.com/:w:/s/BAP/ESrKNKm3SkJBg6r4tZ586J0BiK-hy3wIdzz_ejAGqP2HXg</v>
      </c>
      <c r="I513" s="23">
        <v>490</v>
      </c>
      <c r="J513" s="24" t="str">
        <v>-</v>
      </c>
      <c r="K513" s="24">
        <v>1278</v>
      </c>
      <c r="L513" s="24" t="str">
        <v>7 out of 10</v>
      </c>
      <c r="M513" s="23" t="b">
        <f t="shared" si="14"/>
        <v>1</v>
      </c>
      <c r="N513" s="23" t="str">
        <v>7 out of 10</v>
      </c>
      <c r="O513" s="23"/>
      <c r="P513" s="42" t="str">
        <v>7</v>
      </c>
      <c r="Q513" s="42" t="str">
        <v>7</v>
      </c>
      <c r="R513" s="42" t="str">
        <v>7</v>
      </c>
      <c r="S513" s="10" t="str">
        <f t="shared" si="15"/>
        <v>No Change</v>
      </c>
    </row>
    <row r="514" spans="1:19" ht="120" hidden="1">
      <c r="A514" s="8" t="s">
        <v>3689</v>
      </c>
      <c r="B514" s="9" t="s">
        <v>13560</v>
      </c>
      <c r="C514" s="37" t="s">
        <v>8485</v>
      </c>
      <c r="D514" s="24"/>
      <c r="E514" s="24"/>
      <c r="F514" s="24" t="str">
        <v>Q143</v>
      </c>
      <c r="G514" s="24" t="str">
        <v>9 out of 10</v>
      </c>
      <c r="H514" s="24" t="str">
        <v>https://nycdoe.sharepoint.com/:w:/s/BAP/EUrwe41mrThDgnl0c1-5VbYBwr8A1mQn0fiatWSwFszuBQ</v>
      </c>
      <c r="I514" s="23">
        <v>491</v>
      </c>
      <c r="J514" s="24" t="str">
        <v>-</v>
      </c>
      <c r="K514" s="24">
        <v>1280</v>
      </c>
      <c r="L514" s="24" t="str">
        <v>9 out of 10</v>
      </c>
      <c r="M514" s="23" t="b">
        <f t="shared" si="14"/>
        <v>1</v>
      </c>
      <c r="N514" s="23" t="str">
        <v>9 out of 10</v>
      </c>
      <c r="O514" s="23"/>
      <c r="P514" s="42" t="str">
        <v>9</v>
      </c>
      <c r="Q514" s="42" t="str">
        <v>9</v>
      </c>
      <c r="R514" s="42" t="str">
        <v>9</v>
      </c>
      <c r="S514" s="10" t="str">
        <f t="shared" si="15"/>
        <v>No Change</v>
      </c>
    </row>
    <row r="515" spans="1:19" ht="120" hidden="1">
      <c r="A515" s="8" t="s">
        <v>3990</v>
      </c>
      <c r="B515" s="9" t="s">
        <v>13564</v>
      </c>
      <c r="C515" s="37" t="s">
        <v>8839</v>
      </c>
      <c r="D515" s="24"/>
      <c r="E515" s="24"/>
      <c r="F515" s="24" t="str">
        <v>Q144</v>
      </c>
      <c r="G515" s="24" t="str">
        <v>9 out of 10</v>
      </c>
      <c r="H515" s="24" t="str">
        <v>https://nycdoe.sharepoint.com/:w:/s/BAP/EXC6y55HfAFNpqlR7_NVyAkBbPJxX4oqcl2P3m3HlquaNQ</v>
      </c>
      <c r="I515" s="23">
        <v>492</v>
      </c>
      <c r="J515" s="24" t="str">
        <v>-</v>
      </c>
      <c r="K515" s="24">
        <v>1281</v>
      </c>
      <c r="L515" s="24" t="str">
        <v>9 out of 10</v>
      </c>
      <c r="M515" s="23" t="b">
        <f t="shared" ref="M515:M578" si="16">G515=L515</f>
        <v>1</v>
      </c>
      <c r="N515" s="23" t="str">
        <v>9 out of 10</v>
      </c>
      <c r="O515" s="23"/>
      <c r="P515" s="42" t="str">
        <v>9</v>
      </c>
      <c r="Q515" s="42" t="str">
        <v>9</v>
      </c>
      <c r="R515" s="42" t="str">
        <v>9</v>
      </c>
      <c r="S515" s="10" t="str">
        <f t="shared" ref="S515:S578" si="17">IFERROR(IF(OR(R515="0+",R515=0,AND(Q515="N/A")),"No Change",IF(R515&lt;&gt;Q515,"Change",IF(R515=Q515,"No Change",))),"Check BAP")</f>
        <v>No Change</v>
      </c>
    </row>
    <row r="516" spans="1:19" ht="120" hidden="1">
      <c r="A516" s="8" t="s">
        <v>3462</v>
      </c>
      <c r="B516" s="9" t="s">
        <v>13560</v>
      </c>
      <c r="C516" s="37" t="s">
        <v>8195</v>
      </c>
      <c r="D516" s="24"/>
      <c r="E516" s="24"/>
      <c r="F516" s="24" t="str">
        <v>Q145</v>
      </c>
      <c r="G516" s="24" t="str">
        <v>9 out of 10</v>
      </c>
      <c r="H516" s="24" t="str">
        <v>https://nycdoe.sharepoint.com/:w:/s/BAP/EbFkfWsw33pKoWlVlvF0ETYBzBUCHDqb0WNZ-oN6cqKqAg</v>
      </c>
      <c r="I516" s="23">
        <v>493</v>
      </c>
      <c r="J516" s="24" t="str">
        <v>-</v>
      </c>
      <c r="K516" s="24">
        <v>1282</v>
      </c>
      <c r="L516" s="24" t="str">
        <v>9 out of 10</v>
      </c>
      <c r="M516" s="23" t="b">
        <f t="shared" si="16"/>
        <v>1</v>
      </c>
      <c r="N516" s="23" t="str">
        <v>9 out of 10</v>
      </c>
      <c r="O516" s="23"/>
      <c r="P516" s="42" t="str">
        <v>9</v>
      </c>
      <c r="Q516" s="42" t="str">
        <v>9</v>
      </c>
      <c r="R516" s="42" t="str">
        <v>9</v>
      </c>
      <c r="S516" s="10" t="str">
        <f t="shared" si="17"/>
        <v>No Change</v>
      </c>
    </row>
    <row r="517" spans="1:19" ht="120" hidden="1">
      <c r="A517" s="8" t="s">
        <v>3548</v>
      </c>
      <c r="B517" s="9" t="s">
        <v>13553</v>
      </c>
      <c r="C517" s="37" t="s">
        <v>8331</v>
      </c>
      <c r="D517" s="24"/>
      <c r="E517" s="24"/>
      <c r="F517" s="24" t="str">
        <v>Q147</v>
      </c>
      <c r="G517" s="24" t="str">
        <v>0 out of 10</v>
      </c>
      <c r="H517" s="24" t="str">
        <v>https://nycdoe.sharepoint.com/:w:/s/BAP/Ebl9euvjH4dHlHNji5h6m3sBT-3ydMpeTC2nsysdSXQyOg</v>
      </c>
      <c r="I517" s="23">
        <v>494</v>
      </c>
      <c r="J517" s="24" t="str">
        <v>-</v>
      </c>
      <c r="K517" s="24">
        <v>1284</v>
      </c>
      <c r="L517" s="24" t="str">
        <v>N/A out of 10</v>
      </c>
      <c r="M517" s="23" t="b">
        <f t="shared" si="16"/>
        <v>0</v>
      </c>
      <c r="N517" s="23" t="str">
        <v>0 out of 10</v>
      </c>
      <c r="O517" s="23"/>
      <c r="P517" s="42" t="str">
        <v>0</v>
      </c>
      <c r="Q517" s="42" t="str">
        <v>N/A</v>
      </c>
      <c r="R517" s="42" t="str">
        <v>0</v>
      </c>
      <c r="S517" s="10" t="str">
        <f t="shared" si="17"/>
        <v>No Change</v>
      </c>
    </row>
    <row r="518" spans="1:19" ht="120" hidden="1">
      <c r="A518" s="8" t="s">
        <v>3555</v>
      </c>
      <c r="B518" s="9" t="s">
        <v>13555</v>
      </c>
      <c r="C518" s="37" t="s">
        <v>8335</v>
      </c>
      <c r="D518" s="24"/>
      <c r="E518" s="24"/>
      <c r="F518" s="24" t="str">
        <v>Q148</v>
      </c>
      <c r="G518" s="24" t="str">
        <v>6 out of 10</v>
      </c>
      <c r="H518" s="24" t="str">
        <v>https://nycdoe.sharepoint.com/:w:/s/BAP/EYsgANFse5RCoaVvM3g8uAoB4zKLCzVsqAmTTbwkxQfIXw</v>
      </c>
      <c r="I518" s="23">
        <v>495</v>
      </c>
      <c r="J518" s="24" t="str">
        <v>-</v>
      </c>
      <c r="K518" s="24">
        <v>1286</v>
      </c>
      <c r="L518" s="24" t="str">
        <v>6 out of 10</v>
      </c>
      <c r="M518" s="23" t="b">
        <f t="shared" si="16"/>
        <v>1</v>
      </c>
      <c r="N518" s="23" t="str">
        <v>6 out of 10</v>
      </c>
      <c r="O518" s="23"/>
      <c r="P518" s="42" t="str">
        <v>6</v>
      </c>
      <c r="Q518" s="42" t="str">
        <v>6</v>
      </c>
      <c r="R518" s="42" t="str">
        <v>6</v>
      </c>
      <c r="S518" s="10" t="str">
        <f t="shared" si="17"/>
        <v>No Change</v>
      </c>
    </row>
    <row r="519" spans="1:19" ht="120" hidden="1">
      <c r="A519" s="8" t="s">
        <v>3874</v>
      </c>
      <c r="B519" s="9" t="s">
        <v>13555</v>
      </c>
      <c r="C519" s="37" t="s">
        <v>8687</v>
      </c>
      <c r="D519" s="24"/>
      <c r="E519" s="24"/>
      <c r="F519" s="24" t="str">
        <v>Q149</v>
      </c>
      <c r="G519" s="24" t="str">
        <v>7 out of 10</v>
      </c>
      <c r="H519" s="24" t="str">
        <v>https://nycdoe.sharepoint.com/:w:/s/BAP/EX8uLSvZqT1DmWhv9mK2kl0BuWGTx6qP3hGo-RjRsJX37w</v>
      </c>
      <c r="I519" s="23">
        <v>496</v>
      </c>
      <c r="J519" s="24" t="str">
        <v>-</v>
      </c>
      <c r="K519" s="24">
        <v>1287</v>
      </c>
      <c r="L519" s="24" t="str">
        <v>7 out of 10</v>
      </c>
      <c r="M519" s="23" t="b">
        <f t="shared" si="16"/>
        <v>1</v>
      </c>
      <c r="N519" s="23" t="str">
        <v>7 out of 10</v>
      </c>
      <c r="O519" s="23"/>
      <c r="P519" s="42" t="str">
        <v>7</v>
      </c>
      <c r="Q519" s="42" t="str">
        <v>7</v>
      </c>
      <c r="R519" s="42" t="str">
        <v>7</v>
      </c>
      <c r="S519" s="10" t="str">
        <f t="shared" si="17"/>
        <v>No Change</v>
      </c>
    </row>
    <row r="520" spans="1:19" ht="120" hidden="1">
      <c r="A520" s="8" t="s">
        <v>3559</v>
      </c>
      <c r="B520" s="9" t="s">
        <v>13560</v>
      </c>
      <c r="C520" s="37" t="s">
        <v>8339</v>
      </c>
      <c r="D520" s="24"/>
      <c r="E520" s="24"/>
      <c r="F520" s="24" t="str">
        <v>Q150</v>
      </c>
      <c r="G520" s="24" t="str">
        <v>8 out of 10</v>
      </c>
      <c r="H520" s="24" t="str">
        <v>https://nycdoe.sharepoint.com/:w:/s/BAP/EaMYHGTbPjNOh8yq5W9AxQIBLe4UtwPH_dgMZCr2M7LAOg</v>
      </c>
      <c r="I520" s="23">
        <v>497</v>
      </c>
      <c r="J520" s="24" t="str">
        <v>-</v>
      </c>
      <c r="K520" s="24">
        <v>1288</v>
      </c>
      <c r="L520" s="24" t="str">
        <v>8 out of 10</v>
      </c>
      <c r="M520" s="23" t="b">
        <f t="shared" si="16"/>
        <v>1</v>
      </c>
      <c r="N520" s="23" t="str">
        <v>8 out of 10</v>
      </c>
      <c r="O520" s="23"/>
      <c r="P520" s="42" t="str">
        <v>8</v>
      </c>
      <c r="Q520" s="42" t="str">
        <v>8</v>
      </c>
      <c r="R520" s="42" t="str">
        <v>8</v>
      </c>
      <c r="S520" s="10" t="str">
        <f t="shared" si="17"/>
        <v>No Change</v>
      </c>
    </row>
    <row r="521" spans="1:19" ht="120" hidden="1">
      <c r="A521" s="8" t="s">
        <v>3994</v>
      </c>
      <c r="B521" s="9" t="s">
        <v>13557</v>
      </c>
      <c r="C521" s="37" t="s">
        <v>8843</v>
      </c>
      <c r="D521" s="24"/>
      <c r="E521" s="24"/>
      <c r="F521" s="24" t="str">
        <v>Q152</v>
      </c>
      <c r="G521" s="24" t="str">
        <v>8 out of 10</v>
      </c>
      <c r="H521" s="24" t="str">
        <v>https://nycdoe.sharepoint.com/:w:/s/BAP/Ea-zRCGgKXNCkZACuLlWQNEB2u2SDRQni9wRty3aL7jZ5g</v>
      </c>
      <c r="I521" s="23">
        <v>498</v>
      </c>
      <c r="J521" s="24" t="str">
        <v>-</v>
      </c>
      <c r="K521" s="24">
        <v>1290</v>
      </c>
      <c r="L521" s="24" t="str">
        <v>8 out of 10</v>
      </c>
      <c r="M521" s="23" t="b">
        <f t="shared" si="16"/>
        <v>1</v>
      </c>
      <c r="N521" s="23" t="str">
        <v>8 out of 10</v>
      </c>
      <c r="O521" s="23"/>
      <c r="P521" s="42" t="str">
        <v>8</v>
      </c>
      <c r="Q521" s="42" t="str">
        <v>8</v>
      </c>
      <c r="R521" s="42" t="str">
        <v>8</v>
      </c>
      <c r="S521" s="10" t="str">
        <f t="shared" si="17"/>
        <v>No Change</v>
      </c>
    </row>
    <row r="522" spans="1:19" ht="120" hidden="1">
      <c r="A522" s="8" t="s">
        <v>3878</v>
      </c>
      <c r="B522" s="9" t="s">
        <v>13555</v>
      </c>
      <c r="C522" s="37" t="s">
        <v>8693</v>
      </c>
      <c r="D522" s="24"/>
      <c r="E522" s="24"/>
      <c r="F522" s="24" t="str">
        <v>Q153</v>
      </c>
      <c r="G522" s="24" t="str">
        <v>9 out of 10</v>
      </c>
      <c r="H522" s="24" t="str">
        <v>https://nycdoe.sharepoint.com/:w:/s/BAP/ERoO36UBC-ZLphZlSoW0-LUB8o3sJxmhZ3gaaC2GvVR7Iw</v>
      </c>
      <c r="I522" s="23">
        <v>499</v>
      </c>
      <c r="J522" s="24" t="str">
        <v>-</v>
      </c>
      <c r="K522" s="24">
        <v>1291</v>
      </c>
      <c r="L522" s="24" t="str">
        <v>9 out of 10</v>
      </c>
      <c r="M522" s="23" t="b">
        <f t="shared" si="16"/>
        <v>1</v>
      </c>
      <c r="N522" s="23" t="str">
        <v>9 out of 10</v>
      </c>
      <c r="O522" s="23"/>
      <c r="P522" s="42" t="str">
        <v>9</v>
      </c>
      <c r="Q522" s="42" t="str">
        <v>9</v>
      </c>
      <c r="R522" s="42" t="str">
        <v>9</v>
      </c>
      <c r="S522" s="10" t="str">
        <f t="shared" si="17"/>
        <v>No Change</v>
      </c>
    </row>
    <row r="523" spans="1:19" ht="120" hidden="1">
      <c r="A523" s="8" t="s">
        <v>11924</v>
      </c>
      <c r="B523" s="9" t="s">
        <v>13550</v>
      </c>
      <c r="C523" s="38" t="s">
        <v>13629</v>
      </c>
      <c r="D523" s="24"/>
      <c r="E523" s="24"/>
      <c r="F523" s="24" t="str">
        <v>Q154</v>
      </c>
      <c r="G523" s="24" t="str">
        <v>9 out of 10</v>
      </c>
      <c r="H523" s="24" t="str">
        <v>https://nycdoe.sharepoint.com/:w:/s/BAP/EVq628AoV7dKmn-PLaz35K8BP1bX99fs_B0D-VRCBjiBiw</v>
      </c>
      <c r="I523" s="23">
        <v>500</v>
      </c>
      <c r="J523" s="24" t="str">
        <v>-</v>
      </c>
      <c r="K523" s="24">
        <v>1292</v>
      </c>
      <c r="L523" s="24" t="str">
        <v>9 out of 10</v>
      </c>
      <c r="M523" s="23" t="b">
        <f t="shared" si="16"/>
        <v>1</v>
      </c>
      <c r="N523" s="23" t="str">
        <v>9 out of 10</v>
      </c>
      <c r="O523" s="23"/>
      <c r="P523" s="42" t="str">
        <v>9</v>
      </c>
      <c r="Q523" s="42" t="str">
        <v>9</v>
      </c>
      <c r="R523" s="42" t="str">
        <v>9</v>
      </c>
      <c r="S523" s="10" t="str">
        <f t="shared" si="17"/>
        <v>No Change</v>
      </c>
    </row>
    <row r="524" spans="1:19" ht="120" hidden="1">
      <c r="A524" s="8" t="s">
        <v>3694</v>
      </c>
      <c r="B524" s="9" t="s">
        <v>13560</v>
      </c>
      <c r="C524" s="37" t="s">
        <v>8492</v>
      </c>
      <c r="D524" s="24"/>
      <c r="E524" s="24"/>
      <c r="F524" s="24" t="str">
        <v>Q158</v>
      </c>
      <c r="G524" s="24" t="str">
        <v>3 out of 10</v>
      </c>
      <c r="H524" s="24" t="str">
        <v>https://nycdoe.sharepoint.com/:w:/s/BAP/EdOSi3_d4zNPjL48mpPaYMoBOnnd9N13Ne9hay-xKbxGWw</v>
      </c>
      <c r="I524" s="23">
        <v>501</v>
      </c>
      <c r="J524" s="24" t="str">
        <v>-</v>
      </c>
      <c r="K524" s="24">
        <v>1299</v>
      </c>
      <c r="L524" s="24" t="str">
        <v>3 out of 10</v>
      </c>
      <c r="M524" s="23" t="b">
        <f t="shared" si="16"/>
        <v>1</v>
      </c>
      <c r="N524" s="23" t="str">
        <v>3 out of 10</v>
      </c>
      <c r="O524" s="23"/>
      <c r="P524" s="42" t="str">
        <v>3</v>
      </c>
      <c r="Q524" s="42" t="str">
        <v>3</v>
      </c>
      <c r="R524" s="42" t="str">
        <v>3</v>
      </c>
      <c r="S524" s="10" t="str">
        <f t="shared" si="17"/>
        <v>No Change</v>
      </c>
    </row>
    <row r="525" spans="1:19" ht="120" hidden="1">
      <c r="A525" s="8" t="s">
        <v>3268</v>
      </c>
      <c r="B525" s="11" t="s">
        <v>13555</v>
      </c>
      <c r="C525" s="37" t="s">
        <v>7980</v>
      </c>
      <c r="D525" s="24"/>
      <c r="E525" s="24"/>
      <c r="F525" s="24" t="str">
        <v>Q161</v>
      </c>
      <c r="G525" s="24" t="str">
        <v>10 out of 10</v>
      </c>
      <c r="H525" s="24" t="str">
        <v>https://nycdoe.sharepoint.com/:w:/s/BAP/EYuXjq6GyXxLsSqSPWb2fXQBTuoxhdNKZvhsIYjRXpVMmg</v>
      </c>
      <c r="I525" s="23">
        <v>502</v>
      </c>
      <c r="J525" s="24" t="str">
        <v>-</v>
      </c>
      <c r="K525" s="24">
        <v>1302</v>
      </c>
      <c r="L525" s="24" t="str">
        <v>10 out of 10</v>
      </c>
      <c r="M525" s="23" t="b">
        <f t="shared" si="16"/>
        <v>1</v>
      </c>
      <c r="N525" s="23" t="str">
        <v>10 out of 10</v>
      </c>
      <c r="O525" s="23"/>
      <c r="P525" s="42" t="str">
        <v>10</v>
      </c>
      <c r="Q525" s="42" t="str">
        <v>10</v>
      </c>
      <c r="R525" s="42" t="str">
        <v>10</v>
      </c>
      <c r="S525" s="10" t="str">
        <f t="shared" si="17"/>
        <v>No Change</v>
      </c>
    </row>
    <row r="526" spans="1:19" ht="120" hidden="1">
      <c r="A526" s="8" t="s">
        <v>3699</v>
      </c>
      <c r="B526" s="9" t="s">
        <v>13557</v>
      </c>
      <c r="C526" s="37" t="s">
        <v>8498</v>
      </c>
      <c r="D526" s="24"/>
      <c r="E526" s="24"/>
      <c r="F526" s="24" t="str">
        <v>Q163</v>
      </c>
      <c r="G526" s="24" t="str">
        <v>9 out of 10</v>
      </c>
      <c r="H526" s="24" t="str">
        <v>https://nycdoe.sharepoint.com/:w:/s/BAP/EeWhmOExUdxIhF0Fj14BL3oBDMUeuj5b_D64SVaPVqF4fg</v>
      </c>
      <c r="I526" s="23">
        <v>503</v>
      </c>
      <c r="J526" s="24" t="str">
        <v>-</v>
      </c>
      <c r="K526" s="24">
        <v>1305</v>
      </c>
      <c r="L526" s="24" t="str">
        <v>9 out of 10</v>
      </c>
      <c r="M526" s="23" t="b">
        <f t="shared" si="16"/>
        <v>1</v>
      </c>
      <c r="N526" s="23" t="str">
        <v>9 out of 10</v>
      </c>
      <c r="O526" s="23"/>
      <c r="P526" s="42" t="str">
        <v>9</v>
      </c>
      <c r="Q526" s="42" t="str">
        <v>9</v>
      </c>
      <c r="R526" s="42" t="str">
        <v>9</v>
      </c>
      <c r="S526" s="10" t="str">
        <f t="shared" si="17"/>
        <v>No Change</v>
      </c>
    </row>
    <row r="527" spans="1:19" ht="105" hidden="1">
      <c r="A527" s="8" t="s">
        <v>3706</v>
      </c>
      <c r="B527" s="9" t="s">
        <v>13560</v>
      </c>
      <c r="C527" s="37" t="s">
        <v>8504</v>
      </c>
      <c r="D527" s="24"/>
      <c r="E527" s="24"/>
      <c r="F527" s="24" t="str">
        <v>Q165</v>
      </c>
      <c r="G527" s="24" t="str">
        <v>6 out of 10</v>
      </c>
      <c r="H527" s="24" t="str">
        <v>https://nycdoe.sharepoint.com/:w:/s/BAP/EXiddhCldgdMhQ4bCGxt21YBkapkzN-EYOuQnkvwey5o4w</v>
      </c>
      <c r="I527" s="23">
        <v>504</v>
      </c>
      <c r="J527" s="24" t="str">
        <v>-</v>
      </c>
      <c r="K527" s="24">
        <v>1307</v>
      </c>
      <c r="L527" s="24" t="str">
        <v>6 out of 10</v>
      </c>
      <c r="M527" s="23" t="b">
        <f t="shared" si="16"/>
        <v>1</v>
      </c>
      <c r="N527" s="23" t="str">
        <v>6 out of 10</v>
      </c>
      <c r="O527" s="23"/>
      <c r="P527" s="42" t="str">
        <v>6</v>
      </c>
      <c r="Q527" s="42" t="str">
        <v>6</v>
      </c>
      <c r="R527" s="42" t="str">
        <v>6</v>
      </c>
      <c r="S527" s="10" t="str">
        <f t="shared" si="17"/>
        <v>No Change</v>
      </c>
    </row>
    <row r="528" spans="1:19" ht="120" hidden="1">
      <c r="A528" s="8" t="s">
        <v>3563</v>
      </c>
      <c r="B528" s="9" t="s">
        <v>13553</v>
      </c>
      <c r="C528" s="37" t="s">
        <v>8347</v>
      </c>
      <c r="D528" s="24"/>
      <c r="E528" s="24"/>
      <c r="F528" s="24" t="str">
        <v>Q166</v>
      </c>
      <c r="G528" s="24" t="str">
        <v>7 out of 10</v>
      </c>
      <c r="H528" s="24" t="str">
        <v>https://nycdoe.sharepoint.com/:w:/s/BAP/EbocJ2urtxtMoysgNSMRJqABiok9fBlje2nJ-JnqKWv_Gg</v>
      </c>
      <c r="I528" s="23">
        <v>505</v>
      </c>
      <c r="J528" s="24" t="str">
        <v>-</v>
      </c>
      <c r="K528" s="24">
        <v>1308</v>
      </c>
      <c r="L528" s="24" t="str">
        <v>7 out of 10</v>
      </c>
      <c r="M528" s="23" t="b">
        <f t="shared" si="16"/>
        <v>1</v>
      </c>
      <c r="N528" s="23" t="str">
        <v>7 out of 10</v>
      </c>
      <c r="O528" s="23"/>
      <c r="P528" s="42" t="str">
        <v>7</v>
      </c>
      <c r="Q528" s="42" t="str">
        <v>7</v>
      </c>
      <c r="R528" s="42" t="str">
        <v>7</v>
      </c>
      <c r="S528" s="10" t="str">
        <f t="shared" si="17"/>
        <v>No Change</v>
      </c>
    </row>
    <row r="529" spans="1:19" ht="120" hidden="1">
      <c r="A529" s="8" t="s">
        <v>3466</v>
      </c>
      <c r="B529" s="9" t="s">
        <v>13558</v>
      </c>
      <c r="C529" s="37" t="s">
        <v>8213</v>
      </c>
      <c r="D529" s="24"/>
      <c r="E529" s="24"/>
      <c r="F529" s="24" t="str">
        <v>Q168</v>
      </c>
      <c r="G529" s="24" t="str">
        <v>9 out of 10</v>
      </c>
      <c r="H529" s="24" t="str">
        <v>https://nycdoe.sharepoint.com/:w:/s/BAP/Eb7zZQa2tsRGrCBNChMJTh4By2UZeVnCJJP34Lnkahrv_Q</v>
      </c>
      <c r="I529" s="23">
        <v>506</v>
      </c>
      <c r="J529" s="24" t="str">
        <v>-</v>
      </c>
      <c r="K529" s="24">
        <v>1309</v>
      </c>
      <c r="L529" s="24" t="str">
        <v>9 out of 10</v>
      </c>
      <c r="M529" s="23" t="b">
        <f t="shared" si="16"/>
        <v>1</v>
      </c>
      <c r="N529" s="23" t="str">
        <v>9 out of 10</v>
      </c>
      <c r="O529" s="23"/>
      <c r="P529" s="42" t="str">
        <v>9</v>
      </c>
      <c r="Q529" s="42" t="str">
        <v>9</v>
      </c>
      <c r="R529" s="42" t="str">
        <v>9</v>
      </c>
      <c r="S529" s="10" t="str">
        <f t="shared" si="17"/>
        <v>No Change</v>
      </c>
    </row>
    <row r="530" spans="1:19" ht="120" hidden="1">
      <c r="A530" s="8" t="s">
        <v>3710</v>
      </c>
      <c r="B530" s="9" t="s">
        <v>13557</v>
      </c>
      <c r="C530" s="37" t="s">
        <v>8508</v>
      </c>
      <c r="D530" s="24"/>
      <c r="E530" s="24"/>
      <c r="F530" s="24" t="str">
        <v>Q171</v>
      </c>
      <c r="G530" s="24" t="str">
        <v>0 out of 10</v>
      </c>
      <c r="H530" s="24" t="str">
        <v>https://nycdoe.sharepoint.com/:w:/s/BAP/ETpDrnTyqStNuRItEHAcJwEBYIbNISJYp2m_Va5CtAiRGw</v>
      </c>
      <c r="I530" s="23">
        <v>507</v>
      </c>
      <c r="J530" s="24" t="str">
        <v>-</v>
      </c>
      <c r="K530" s="24">
        <v>1314</v>
      </c>
      <c r="L530" s="24" t="str">
        <v>N/A out of 10</v>
      </c>
      <c r="M530" s="23" t="b">
        <f t="shared" si="16"/>
        <v>0</v>
      </c>
      <c r="N530" s="23" t="str">
        <v>0 out of 10</v>
      </c>
      <c r="O530" s="23"/>
      <c r="P530" s="42" t="str">
        <v>0</v>
      </c>
      <c r="Q530" s="42" t="str">
        <v>N/A</v>
      </c>
      <c r="R530" s="42" t="str">
        <v>0</v>
      </c>
      <c r="S530" s="10" t="str">
        <f t="shared" si="17"/>
        <v>No Change</v>
      </c>
    </row>
    <row r="531" spans="1:19" ht="120" hidden="1">
      <c r="A531" s="8" t="s">
        <v>4111</v>
      </c>
      <c r="B531" s="9" t="s">
        <v>13553</v>
      </c>
      <c r="C531" s="37" t="s">
        <v>8979</v>
      </c>
      <c r="D531" s="24"/>
      <c r="E531" s="24"/>
      <c r="F531" s="24" t="str">
        <v>Q172</v>
      </c>
      <c r="G531" s="24" t="str">
        <v>1 out of 10</v>
      </c>
      <c r="H531" s="24" t="str">
        <v>https://nycdoe.sharepoint.com/:w:/s/BAP/ES2uhvkPPHxEudD3YN5qdd0BsSCZ9foSuRSFla4Zp0DpVw</v>
      </c>
      <c r="I531" s="23">
        <v>508</v>
      </c>
      <c r="J531" s="24" t="str">
        <v>-</v>
      </c>
      <c r="K531" s="24">
        <v>1315</v>
      </c>
      <c r="L531" s="24" t="str">
        <v>1 out of 10</v>
      </c>
      <c r="M531" s="23" t="b">
        <f t="shared" si="16"/>
        <v>1</v>
      </c>
      <c r="N531" s="23" t="str">
        <v>1 out of 10</v>
      </c>
      <c r="O531" s="23"/>
      <c r="P531" s="42" t="str">
        <v>1</v>
      </c>
      <c r="Q531" s="42" t="str">
        <v>1</v>
      </c>
      <c r="R531" s="42" t="str">
        <v>1</v>
      </c>
      <c r="S531" s="10" t="str">
        <f t="shared" si="17"/>
        <v>No Change</v>
      </c>
    </row>
    <row r="532" spans="1:19" ht="120" hidden="1">
      <c r="A532" s="8" t="s">
        <v>3567</v>
      </c>
      <c r="B532" s="9" t="s">
        <v>13565</v>
      </c>
      <c r="C532" s="37" t="s">
        <v>8349</v>
      </c>
      <c r="D532" s="24"/>
      <c r="E532" s="24"/>
      <c r="F532" s="24" t="str">
        <v>Q175</v>
      </c>
      <c r="G532" s="24" t="str">
        <v>9 out of 10</v>
      </c>
      <c r="H532" s="24" t="str">
        <v>https://nycdoe.sharepoint.com/:w:/s/BAP/EQaFj0HakW1Lkkdrf9DNmeEBmTQNyFQVBKVE2hD51b9RDg</v>
      </c>
      <c r="I532" s="23">
        <v>509</v>
      </c>
      <c r="J532" s="24" t="str">
        <v>-</v>
      </c>
      <c r="K532" s="24">
        <v>1318</v>
      </c>
      <c r="L532" s="24" t="str">
        <v>9 out of 10</v>
      </c>
      <c r="M532" s="23" t="b">
        <f t="shared" si="16"/>
        <v>1</v>
      </c>
      <c r="N532" s="23" t="str">
        <v>9 out of 10</v>
      </c>
      <c r="O532" s="23"/>
      <c r="P532" s="42" t="str">
        <v>9</v>
      </c>
      <c r="Q532" s="42" t="str">
        <v>9</v>
      </c>
      <c r="R532" s="42" t="str">
        <v>9</v>
      </c>
      <c r="S532" s="10" t="str">
        <f t="shared" si="17"/>
        <v>No Change</v>
      </c>
    </row>
    <row r="533" spans="1:19" ht="120" hidden="1">
      <c r="A533" s="8" t="s">
        <v>3714</v>
      </c>
      <c r="B533" s="9" t="s">
        <v>13558</v>
      </c>
      <c r="C533" s="37" t="s">
        <v>8512</v>
      </c>
      <c r="D533" s="24"/>
      <c r="E533" s="24"/>
      <c r="F533" s="24" t="str">
        <v>Q176</v>
      </c>
      <c r="G533" s="24" t="str">
        <v>9 out of 10</v>
      </c>
      <c r="H533" s="24" t="str">
        <v>https://nycdoe.sharepoint.com/:w:/s/BAP/EUWnk0_7lrdKhVAitci_a7IB1oYsc3Y4IIsIhRPHs8IfhQ</v>
      </c>
      <c r="I533" s="23">
        <v>510</v>
      </c>
      <c r="J533" s="24" t="str">
        <v>-</v>
      </c>
      <c r="K533" s="24">
        <v>1319</v>
      </c>
      <c r="L533" s="24" t="str">
        <v>9 out of 10</v>
      </c>
      <c r="M533" s="23" t="b">
        <f t="shared" si="16"/>
        <v>1</v>
      </c>
      <c r="N533" s="23" t="str">
        <v>9 out of 10</v>
      </c>
      <c r="O533" s="23"/>
      <c r="P533" s="42" t="str">
        <v>9</v>
      </c>
      <c r="Q533" s="42" t="str">
        <v>9</v>
      </c>
      <c r="R533" s="42" t="str">
        <v>9</v>
      </c>
      <c r="S533" s="10" t="str">
        <f t="shared" si="17"/>
        <v>No Change</v>
      </c>
    </row>
    <row r="534" spans="1:19" ht="120" hidden="1">
      <c r="A534" s="8" t="s">
        <v>3571</v>
      </c>
      <c r="B534" s="9" t="s">
        <v>13558</v>
      </c>
      <c r="C534" s="37" t="s">
        <v>8355</v>
      </c>
      <c r="D534" s="24"/>
      <c r="E534" s="24"/>
      <c r="F534" s="24" t="str">
        <v>Q177</v>
      </c>
      <c r="G534" s="24" t="str">
        <v>4 out of 10</v>
      </c>
      <c r="H534" s="24" t="str">
        <v>https://nycdoe.sharepoint.com/:w:/s/BAP/EdHjV2dquNZFvC9sHPCRukMBzRi_cgVGpbDFCY7bL9gHIQ</v>
      </c>
      <c r="I534" s="23">
        <v>511</v>
      </c>
      <c r="J534" s="24" t="str">
        <v>-</v>
      </c>
      <c r="K534" s="24">
        <v>1320</v>
      </c>
      <c r="L534" s="24" t="str">
        <v>4 out of 10</v>
      </c>
      <c r="M534" s="23" t="b">
        <f t="shared" si="16"/>
        <v>1</v>
      </c>
      <c r="N534" s="23" t="str">
        <v>4 out of 10</v>
      </c>
      <c r="O534" s="23"/>
      <c r="P534" s="42" t="str">
        <v>4</v>
      </c>
      <c r="Q534" s="42" t="str">
        <v>4</v>
      </c>
      <c r="R534" s="42" t="str">
        <v>4</v>
      </c>
      <c r="S534" s="10" t="str">
        <f t="shared" si="17"/>
        <v>No Change</v>
      </c>
    </row>
    <row r="535" spans="1:19" ht="120" hidden="1">
      <c r="A535" s="8" t="s">
        <v>3882</v>
      </c>
      <c r="B535" s="9" t="s">
        <v>13560</v>
      </c>
      <c r="C535" s="37" t="s">
        <v>8700</v>
      </c>
      <c r="D535" s="24"/>
      <c r="E535" s="24"/>
      <c r="F535" s="24" t="str">
        <v>Q179</v>
      </c>
      <c r="G535" s="24" t="str">
        <v>1 out of 10</v>
      </c>
      <c r="H535" s="24" t="str">
        <v>https://nycdoe.sharepoint.com/:w:/s/BAP/EStxqXqH0LBGiZPrHxcGOF4BDRsh_lQyzqEzJAuiC12Pwg</v>
      </c>
      <c r="I535" s="23">
        <v>512</v>
      </c>
      <c r="J535" s="24" t="str">
        <v>-</v>
      </c>
      <c r="K535" s="24">
        <v>1322</v>
      </c>
      <c r="L535" s="24" t="str">
        <v>1 out of 10</v>
      </c>
      <c r="M535" s="23" t="b">
        <f t="shared" si="16"/>
        <v>1</v>
      </c>
      <c r="N535" s="23" t="str">
        <v>1 out of 10</v>
      </c>
      <c r="O535" s="23"/>
      <c r="P535" s="42" t="str">
        <v>1</v>
      </c>
      <c r="Q535" s="42" t="str">
        <v>1</v>
      </c>
      <c r="R535" s="42" t="str">
        <v>1</v>
      </c>
      <c r="S535" s="10" t="str">
        <f t="shared" si="17"/>
        <v>No Change</v>
      </c>
    </row>
    <row r="536" spans="1:19" ht="120" hidden="1">
      <c r="A536" s="8" t="s">
        <v>4115</v>
      </c>
      <c r="B536" s="9" t="s">
        <v>13553</v>
      </c>
      <c r="C536" s="37" t="s">
        <v>8983</v>
      </c>
      <c r="D536" s="24"/>
      <c r="E536" s="24"/>
      <c r="F536" s="24" t="str">
        <v>Q180</v>
      </c>
      <c r="G536" s="24" t="str">
        <v>4 out of 10</v>
      </c>
      <c r="H536" s="24" t="str">
        <v>https://nycdoe.sharepoint.com/:w:/s/BAP/EaBCETf1HOFHiDS2Gg3juGgBPCusb_5_QWj3ShKpoQgWLQ</v>
      </c>
      <c r="I536" s="23">
        <v>513</v>
      </c>
      <c r="J536" s="24" t="str">
        <v>-</v>
      </c>
      <c r="K536" s="24">
        <v>1323</v>
      </c>
      <c r="L536" s="24" t="str">
        <v>4 out of 10</v>
      </c>
      <c r="M536" s="23" t="b">
        <f t="shared" si="16"/>
        <v>1</v>
      </c>
      <c r="N536" s="23" t="str">
        <v>4 out of 10</v>
      </c>
      <c r="O536" s="23"/>
      <c r="P536" s="42" t="str">
        <v>4</v>
      </c>
      <c r="Q536" s="42" t="str">
        <v>4</v>
      </c>
      <c r="R536" s="42" t="str">
        <v>4</v>
      </c>
      <c r="S536" s="10" t="str">
        <f t="shared" si="17"/>
        <v>No Change</v>
      </c>
    </row>
    <row r="537" spans="1:19" ht="120">
      <c r="A537" s="8" t="s">
        <v>3719</v>
      </c>
      <c r="B537" s="9" t="s">
        <v>13571</v>
      </c>
      <c r="C537" s="37" t="s">
        <v>8514</v>
      </c>
      <c r="D537" s="24"/>
      <c r="E537" s="24"/>
      <c r="F537" s="24" t="str">
        <v>Q181</v>
      </c>
      <c r="G537" s="24" t="str">
        <v>9 out of 10</v>
      </c>
      <c r="H537" s="24" t="str">
        <v>https://nycdoe.sharepoint.com/:w:/s/BAP/ESl9_gNc6m5KkjEiNft8JCABFiJb2d6H1DNEupJsDwVQGg</v>
      </c>
      <c r="I537" s="23">
        <v>514</v>
      </c>
      <c r="J537" s="24" t="str">
        <v>9 out of 10</v>
      </c>
      <c r="K537" s="24">
        <v>1324</v>
      </c>
      <c r="L537" s="24" t="str">
        <v>6 out of 10</v>
      </c>
      <c r="M537" s="23" t="b">
        <f t="shared" si="16"/>
        <v>0</v>
      </c>
      <c r="N537" s="23" t="str">
        <v>9 out of 10</v>
      </c>
      <c r="O537" s="23"/>
      <c r="P537" s="42" t="str">
        <v>9</v>
      </c>
      <c r="Q537" s="42" t="str">
        <v>6</v>
      </c>
      <c r="R537" s="42" t="str">
        <v>9</v>
      </c>
      <c r="S537" s="10" t="str">
        <f t="shared" si="17"/>
        <v>Change</v>
      </c>
    </row>
    <row r="538" spans="1:19" ht="120" hidden="1">
      <c r="A538" s="8" t="s">
        <v>3723</v>
      </c>
      <c r="B538" s="9" t="s">
        <v>13555</v>
      </c>
      <c r="C538" s="37" t="s">
        <v>8518</v>
      </c>
      <c r="D538" s="24"/>
      <c r="E538" s="24"/>
      <c r="F538" s="24" t="str">
        <v>Q185</v>
      </c>
      <c r="G538" s="24" t="str">
        <v>4 out of 10</v>
      </c>
      <c r="H538" s="24" t="str">
        <v>https://nycdoe.sharepoint.com/:w:/s/BAP/EQhK0yuVrlROtkVQjdrlNLABYwkeN6PGdkqgp7U2MkIEvg</v>
      </c>
      <c r="I538" s="23">
        <v>515</v>
      </c>
      <c r="J538" s="24" t="str">
        <v>-</v>
      </c>
      <c r="K538" s="24">
        <v>1327</v>
      </c>
      <c r="L538" s="24" t="str">
        <v>4 out of 10</v>
      </c>
      <c r="M538" s="23" t="b">
        <f t="shared" si="16"/>
        <v>1</v>
      </c>
      <c r="N538" s="23" t="str">
        <v>4 out of 10</v>
      </c>
      <c r="O538" s="23"/>
      <c r="P538" s="42" t="str">
        <v>4</v>
      </c>
      <c r="Q538" s="42" t="str">
        <v>4</v>
      </c>
      <c r="R538" s="42" t="str">
        <v>4</v>
      </c>
      <c r="S538" s="10" t="str">
        <f t="shared" si="17"/>
        <v>No Change</v>
      </c>
    </row>
    <row r="539" spans="1:19" ht="120" hidden="1">
      <c r="A539" s="8" t="s">
        <v>4119</v>
      </c>
      <c r="B539" s="9" t="s">
        <v>13555</v>
      </c>
      <c r="C539" s="37" t="s">
        <v>8987</v>
      </c>
      <c r="D539" s="24"/>
      <c r="E539" s="24"/>
      <c r="F539" s="24" t="str">
        <v>Q186</v>
      </c>
      <c r="G539" s="24" t="str">
        <v>10 out of 10</v>
      </c>
      <c r="H539" s="24" t="str">
        <v>https://nycdoe.sharepoint.com/:w:/s/BAP/ERQNagi1LhBIkXSKhnma3D0B-QZ6k4wlYRYB7CofJ_WZ6Q</v>
      </c>
      <c r="I539" s="23">
        <v>516</v>
      </c>
      <c r="J539" s="24" t="str">
        <v>-</v>
      </c>
      <c r="K539" s="24">
        <v>1328</v>
      </c>
      <c r="L539" s="24" t="str">
        <v>10 out of 10</v>
      </c>
      <c r="M539" s="23" t="b">
        <f t="shared" si="16"/>
        <v>1</v>
      </c>
      <c r="N539" s="23" t="str">
        <v>10 out of 10</v>
      </c>
      <c r="O539" s="23"/>
      <c r="P539" s="42" t="str">
        <v>10</v>
      </c>
      <c r="Q539" s="42" t="str">
        <v>10</v>
      </c>
      <c r="R539" s="42" t="str">
        <v>10</v>
      </c>
      <c r="S539" s="10" t="str">
        <f t="shared" si="17"/>
        <v>No Change</v>
      </c>
    </row>
    <row r="540" spans="1:19" ht="120" hidden="1">
      <c r="A540" s="8" t="s">
        <v>4123</v>
      </c>
      <c r="B540" s="9" t="s">
        <v>13553</v>
      </c>
      <c r="C540" s="37" t="s">
        <v>8991</v>
      </c>
      <c r="D540" s="24"/>
      <c r="E540" s="24"/>
      <c r="F540" s="24" t="str">
        <v>Q188</v>
      </c>
      <c r="G540" s="24" t="str">
        <v>9 out of 10</v>
      </c>
      <c r="H540" s="24" t="str">
        <v>https://nycdoe.sharepoint.com/:w:/s/BAP/EZTqBzBc7_ZMl2-u0FMBPH8BmSdz6UKUW_OsGDGSIHEEHA</v>
      </c>
      <c r="I540" s="23">
        <v>517</v>
      </c>
      <c r="J540" s="24" t="str">
        <v>-</v>
      </c>
      <c r="K540" s="24">
        <v>1330</v>
      </c>
      <c r="L540" s="24" t="str">
        <v>9 out of 10</v>
      </c>
      <c r="M540" s="23" t="b">
        <f t="shared" si="16"/>
        <v>1</v>
      </c>
      <c r="N540" s="23" t="str">
        <v>9 out of 10</v>
      </c>
      <c r="O540" s="23"/>
      <c r="P540" s="42" t="str">
        <v>9</v>
      </c>
      <c r="Q540" s="42" t="str">
        <v>9</v>
      </c>
      <c r="R540" s="42" t="str">
        <v>9</v>
      </c>
      <c r="S540" s="10" t="str">
        <f t="shared" si="17"/>
        <v>No Change</v>
      </c>
    </row>
    <row r="541" spans="1:19" ht="135" hidden="1">
      <c r="A541" s="8" t="s">
        <v>3272</v>
      </c>
      <c r="B541" s="9" t="s">
        <v>13565</v>
      </c>
      <c r="C541" s="37" t="s">
        <v>7984</v>
      </c>
      <c r="D541" s="24"/>
      <c r="E541" s="24"/>
      <c r="F541" s="24" t="str">
        <v>Q190</v>
      </c>
      <c r="G541" s="24" t="str">
        <v>9 out of 10</v>
      </c>
      <c r="H541" s="24" t="str">
        <v>https://nycdoe.sharepoint.com/:w:/s/BAP/EVM31GULiRhLrY35nA0Z93YBaI4AxoxCIAH1Xw2xdxfzQQ</v>
      </c>
      <c r="I541" s="23">
        <v>518</v>
      </c>
      <c r="J541" s="24" t="str">
        <v>-</v>
      </c>
      <c r="K541" s="24">
        <v>1333</v>
      </c>
      <c r="L541" s="24" t="str">
        <v>9 out of 10</v>
      </c>
      <c r="M541" s="23" t="b">
        <f t="shared" si="16"/>
        <v>1</v>
      </c>
      <c r="N541" s="23" t="str">
        <v>9 out of 10</v>
      </c>
      <c r="O541" s="23"/>
      <c r="P541" s="42" t="str">
        <v>9</v>
      </c>
      <c r="Q541" s="42" t="str">
        <v>9</v>
      </c>
      <c r="R541" s="42" t="str">
        <v>9</v>
      </c>
      <c r="S541" s="10" t="str">
        <f t="shared" si="17"/>
        <v>No Change</v>
      </c>
    </row>
    <row r="542" spans="1:19" ht="120" hidden="1">
      <c r="A542" s="8" t="s">
        <v>4127</v>
      </c>
      <c r="B542" s="9" t="s">
        <v>13553</v>
      </c>
      <c r="C542" s="37" t="s">
        <v>8994</v>
      </c>
      <c r="D542" s="24"/>
      <c r="E542" s="24"/>
      <c r="F542" s="24" t="str">
        <v>Q191</v>
      </c>
      <c r="G542" s="24" t="str">
        <v>4 out of 10</v>
      </c>
      <c r="H542" s="24" t="str">
        <v>https://nycdoe.sharepoint.com/:w:/s/BAP/ERixo33Fzi9Ek719Obkq9twBbwSXCJoWHwd-BZmz_9BgsQ</v>
      </c>
      <c r="I542" s="23">
        <v>519</v>
      </c>
      <c r="J542" s="24" t="str">
        <v>-</v>
      </c>
      <c r="K542" s="24">
        <v>1335</v>
      </c>
      <c r="L542" s="24" t="str">
        <v>4 out of 10</v>
      </c>
      <c r="M542" s="23" t="b">
        <f t="shared" si="16"/>
        <v>1</v>
      </c>
      <c r="N542" s="23" t="str">
        <v>4 out of 10</v>
      </c>
      <c r="O542" s="23"/>
      <c r="P542" s="42" t="str">
        <v>4</v>
      </c>
      <c r="Q542" s="42" t="str">
        <v>4</v>
      </c>
      <c r="R542" s="42" t="str">
        <v>4</v>
      </c>
      <c r="S542" s="10" t="str">
        <f t="shared" si="17"/>
        <v>No Change</v>
      </c>
    </row>
    <row r="543" spans="1:19" ht="120" hidden="1">
      <c r="A543" s="8" t="s">
        <v>11988</v>
      </c>
      <c r="B543" s="9" t="s">
        <v>13550</v>
      </c>
      <c r="C543" s="37" t="s">
        <v>13630</v>
      </c>
      <c r="D543" s="24"/>
      <c r="E543" s="24"/>
      <c r="F543" s="24" t="str">
        <v>Q195</v>
      </c>
      <c r="G543" s="24" t="str">
        <v>8 out of 10</v>
      </c>
      <c r="H543" s="24" t="str">
        <v>https://nycdoe.sharepoint.com/:w:/s/BAP/EYBmBXT9HwBHic4GvpwyFxsBFJYEJoSUVo7Kt5WXfCEYHA</v>
      </c>
      <c r="I543" s="23">
        <v>520</v>
      </c>
      <c r="J543" s="24" t="str">
        <v>-</v>
      </c>
      <c r="K543" s="24">
        <v>1341</v>
      </c>
      <c r="L543" s="24" t="str">
        <v>8 out of 10</v>
      </c>
      <c r="M543" s="23" t="b">
        <f t="shared" si="16"/>
        <v>1</v>
      </c>
      <c r="N543" s="23" t="str">
        <v>8 out of 10</v>
      </c>
      <c r="O543" s="23"/>
      <c r="P543" s="42" t="str">
        <v>8</v>
      </c>
      <c r="Q543" s="42" t="str">
        <v>8</v>
      </c>
      <c r="R543" s="42" t="str">
        <v>8</v>
      </c>
      <c r="S543" s="10" t="str">
        <f t="shared" si="17"/>
        <v>No Change</v>
      </c>
    </row>
    <row r="544" spans="1:19" ht="120" hidden="1">
      <c r="A544" s="8" t="s">
        <v>3733</v>
      </c>
      <c r="B544" s="9" t="s">
        <v>13560</v>
      </c>
      <c r="C544" s="37" t="s">
        <v>8528</v>
      </c>
      <c r="D544" s="24"/>
      <c r="E544" s="24"/>
      <c r="F544" s="24" t="str">
        <v>Q196</v>
      </c>
      <c r="G544" s="24" t="str">
        <v>9 out of 10</v>
      </c>
      <c r="H544" s="24" t="str">
        <v>https://nycdoe.sharepoint.com/:w:/s/BAP/Ebt5F8X9eUFCpOPzTm-__3kBZufNcT29EDzkrINqLF9gEQ</v>
      </c>
      <c r="I544" s="23">
        <v>521</v>
      </c>
      <c r="J544" s="24" t="str">
        <v>-</v>
      </c>
      <c r="K544" s="24">
        <v>1342</v>
      </c>
      <c r="L544" s="24" t="str">
        <v>9 out of 10</v>
      </c>
      <c r="M544" s="23" t="b">
        <f t="shared" si="16"/>
        <v>1</v>
      </c>
      <c r="N544" s="23" t="str">
        <v>9 out of 10</v>
      </c>
      <c r="O544" s="23"/>
      <c r="P544" s="42" t="str">
        <v>9</v>
      </c>
      <c r="Q544" s="42" t="str">
        <v>9</v>
      </c>
      <c r="R544" s="42" t="str">
        <v>9</v>
      </c>
      <c r="S544" s="10" t="str">
        <f t="shared" si="17"/>
        <v>No Change</v>
      </c>
    </row>
    <row r="545" spans="1:19" ht="120" hidden="1">
      <c r="A545" s="8" t="s">
        <v>4131</v>
      </c>
      <c r="B545" s="9" t="s">
        <v>13553</v>
      </c>
      <c r="C545" s="37" t="s">
        <v>8997</v>
      </c>
      <c r="D545" s="24"/>
      <c r="E545" s="24"/>
      <c r="F545" s="24" t="str">
        <v>Q197</v>
      </c>
      <c r="G545" s="24" t="str">
        <v>0+ out of 10</v>
      </c>
      <c r="H545" s="24" t="str">
        <v>https://nycdoe.sharepoint.com/:w:/s/BAP/Ef9yHchFseNGs0cMXhgK6esB3BJIS_UYNDDtuo1jdT7d2g</v>
      </c>
      <c r="I545" s="23">
        <v>522</v>
      </c>
      <c r="J545" s="24" t="str">
        <v>-</v>
      </c>
      <c r="K545" s="24">
        <v>1343</v>
      </c>
      <c r="L545" s="24" t="str">
        <v>N/A out of 10</v>
      </c>
      <c r="M545" s="23" t="b">
        <f t="shared" si="16"/>
        <v>0</v>
      </c>
      <c r="N545" s="23" t="str">
        <v>0+ out of 10</v>
      </c>
      <c r="O545" s="23"/>
      <c r="P545" s="42" t="str">
        <v>0+</v>
      </c>
      <c r="Q545" s="42" t="str">
        <v>N/A</v>
      </c>
      <c r="R545" s="42" t="str">
        <v>0+</v>
      </c>
      <c r="S545" s="10" t="str">
        <f t="shared" si="17"/>
        <v>No Change</v>
      </c>
    </row>
    <row r="546" spans="1:19" ht="120" hidden="1">
      <c r="A546" s="8" t="s">
        <v>3470</v>
      </c>
      <c r="B546" s="9" t="s">
        <v>13564</v>
      </c>
      <c r="C546" s="37" t="s">
        <v>8228</v>
      </c>
      <c r="D546" s="24"/>
      <c r="E546" s="24"/>
      <c r="F546" s="24" t="str">
        <v>Q198</v>
      </c>
      <c r="G546" s="24" t="str">
        <v>4 out of 10</v>
      </c>
      <c r="H546" s="24" t="str">
        <v>https://nycdoe.sharepoint.com/:w:/s/BAP/EXCYoceEPs9HhLquzhsnHtYBmfKerK3h6UuTiWpUiHODMw</v>
      </c>
      <c r="I546" s="23">
        <v>523</v>
      </c>
      <c r="J546" s="24" t="str">
        <v>-</v>
      </c>
      <c r="K546" s="24">
        <v>1344</v>
      </c>
      <c r="L546" s="24" t="str">
        <v>4 out of 10</v>
      </c>
      <c r="M546" s="23" t="b">
        <f t="shared" si="16"/>
        <v>1</v>
      </c>
      <c r="N546" s="23" t="str">
        <v>4 out of 10</v>
      </c>
      <c r="O546" s="23"/>
      <c r="P546" s="42" t="str">
        <v>4</v>
      </c>
      <c r="Q546" s="42" t="str">
        <v>4</v>
      </c>
      <c r="R546" s="42" t="str">
        <v>4</v>
      </c>
      <c r="S546" s="10" t="str">
        <f t="shared" si="17"/>
        <v>No Change</v>
      </c>
    </row>
    <row r="547" spans="1:19" ht="120" hidden="1">
      <c r="A547" s="8" t="s">
        <v>3998</v>
      </c>
      <c r="B547" s="9" t="s">
        <v>13555</v>
      </c>
      <c r="C547" s="37" t="s">
        <v>8845</v>
      </c>
      <c r="D547" s="24"/>
      <c r="E547" s="24"/>
      <c r="F547" s="24" t="str">
        <v>Q199</v>
      </c>
      <c r="G547" s="24" t="str">
        <v>9 out of 10</v>
      </c>
      <c r="H547" s="24" t="str">
        <v>https://nycdoe.sharepoint.com/:w:/s/BAP/EUnm0HCgJ-lJrWgjMrUhzxsBcb43LE00J9KPKGVHFxhfUA</v>
      </c>
      <c r="I547" s="23">
        <v>524</v>
      </c>
      <c r="J547" s="24" t="str">
        <v>-</v>
      </c>
      <c r="K547" s="24">
        <v>1346</v>
      </c>
      <c r="L547" s="24" t="str">
        <v>9 out of 10</v>
      </c>
      <c r="M547" s="23" t="b">
        <f t="shared" si="16"/>
        <v>1</v>
      </c>
      <c r="N547" s="23" t="str">
        <v>9 out of 10</v>
      </c>
      <c r="O547" s="23"/>
      <c r="P547" s="42" t="str">
        <v>9</v>
      </c>
      <c r="Q547" s="42" t="str">
        <v>9</v>
      </c>
      <c r="R547" s="42" t="str">
        <v>9</v>
      </c>
      <c r="S547" s="10" t="str">
        <f t="shared" si="17"/>
        <v>No Change</v>
      </c>
    </row>
    <row r="548" spans="1:19" ht="120" hidden="1">
      <c r="A548" s="8" t="s">
        <v>3276</v>
      </c>
      <c r="B548" s="9" t="s">
        <v>13553</v>
      </c>
      <c r="C548" s="37" t="s">
        <v>7986</v>
      </c>
      <c r="D548" s="24"/>
      <c r="E548" s="24"/>
      <c r="F548" s="24" t="str">
        <v>Q202</v>
      </c>
      <c r="G548" s="24" t="str">
        <v>8 out of 10</v>
      </c>
      <c r="H548" s="24" t="str">
        <v>https://nycdoe.sharepoint.com/:w:/s/BAP/EQVSefCQ13ZDmr9o-UNAJxwB943DTYM7KcxRMwZgENignQ</v>
      </c>
      <c r="I548" s="23">
        <v>525</v>
      </c>
      <c r="J548" s="24" t="str">
        <v>-</v>
      </c>
      <c r="K548" s="24">
        <v>1349</v>
      </c>
      <c r="L548" s="24" t="str">
        <v>8 out of 10</v>
      </c>
      <c r="M548" s="23" t="b">
        <f t="shared" si="16"/>
        <v>1</v>
      </c>
      <c r="N548" s="23" t="str">
        <v>8 out of 10</v>
      </c>
      <c r="O548" s="23"/>
      <c r="P548" s="42" t="str">
        <v>8</v>
      </c>
      <c r="Q548" s="42" t="str">
        <v>8</v>
      </c>
      <c r="R548" s="42" t="str">
        <v>8</v>
      </c>
      <c r="S548" s="10" t="str">
        <f t="shared" si="17"/>
        <v>No Change</v>
      </c>
    </row>
    <row r="549" spans="1:19" ht="120" hidden="1">
      <c r="A549" s="8" t="s">
        <v>3477</v>
      </c>
      <c r="B549" s="9" t="s">
        <v>13553</v>
      </c>
      <c r="C549" s="37" t="s">
        <v>8234</v>
      </c>
      <c r="D549" s="24"/>
      <c r="E549" s="24"/>
      <c r="F549" s="24" t="str">
        <v>Q206</v>
      </c>
      <c r="G549" s="24" t="str">
        <v>4 out of 10</v>
      </c>
      <c r="H549" s="24" t="str">
        <v>https://nycdoe.sharepoint.com/:w:/s/BAP/ETCfF9QzNGtMsiIRyvfRnKwBb2CzMcobWkOPRqmSOp6A8g</v>
      </c>
      <c r="I549" s="23" t="str">
        <v>Was New</v>
      </c>
      <c r="J549" s="24" t="str">
        <v>4 out of 10</v>
      </c>
      <c r="K549" s="24">
        <v>1357</v>
      </c>
      <c r="L549" s="24" t="str">
        <v>4 out of 10</v>
      </c>
      <c r="M549" s="23" t="b">
        <f t="shared" si="16"/>
        <v>1</v>
      </c>
      <c r="N549" s="23" t="str">
        <v>4 out of 10</v>
      </c>
      <c r="O549" s="23"/>
      <c r="P549" s="42" t="str">
        <v>4</v>
      </c>
      <c r="Q549" s="42" t="str">
        <v>4</v>
      </c>
      <c r="R549" s="42" t="str">
        <v>4</v>
      </c>
      <c r="S549" s="10" t="str">
        <f t="shared" si="17"/>
        <v>No Change</v>
      </c>
    </row>
    <row r="550" spans="1:19" ht="120" hidden="1">
      <c r="A550" s="8" t="s">
        <v>3481</v>
      </c>
      <c r="B550" s="9" t="s">
        <v>13553</v>
      </c>
      <c r="C550" s="37" t="s">
        <v>8238</v>
      </c>
      <c r="D550" s="24"/>
      <c r="E550" s="24"/>
      <c r="F550" s="24" t="str">
        <v>Q207</v>
      </c>
      <c r="G550" s="24" t="str">
        <v>4 out of 10</v>
      </c>
      <c r="H550" s="24" t="str">
        <v>https://nycdoe.sharepoint.com/:w:/s/BAP/EZggWGfpyg1Lkh1kjpALtrcBx6xblJBw9t0IG7BjsdhBcA</v>
      </c>
      <c r="I550" s="23">
        <v>526</v>
      </c>
      <c r="J550" s="24" t="str">
        <v>-</v>
      </c>
      <c r="K550" s="24">
        <v>1358</v>
      </c>
      <c r="L550" s="24" t="str">
        <v>4 out of 10</v>
      </c>
      <c r="M550" s="23" t="b">
        <f t="shared" si="16"/>
        <v>1</v>
      </c>
      <c r="N550" s="23" t="str">
        <v>4 out of 10</v>
      </c>
      <c r="O550" s="23"/>
      <c r="P550" s="42" t="str">
        <v>4</v>
      </c>
      <c r="Q550" s="42" t="str">
        <v>4</v>
      </c>
      <c r="R550" s="42" t="str">
        <v>4</v>
      </c>
      <c r="S550" s="10" t="str">
        <f t="shared" si="17"/>
        <v>No Change</v>
      </c>
    </row>
    <row r="551" spans="1:19" ht="120" hidden="1">
      <c r="A551" s="8" t="s">
        <v>3280</v>
      </c>
      <c r="B551" s="9" t="s">
        <v>13553</v>
      </c>
      <c r="C551" s="37" t="s">
        <v>7991</v>
      </c>
      <c r="D551" s="24"/>
      <c r="E551" s="24"/>
      <c r="F551" s="24" t="str">
        <v>Q208</v>
      </c>
      <c r="G551" s="24" t="str">
        <v>10 out of 10</v>
      </c>
      <c r="H551" s="24" t="str">
        <v>https://nycdoe.sharepoint.com/:w:/s/BAP/ERLr4xfRBCpFm4vWDS6d5ugBsHjl2FEc20H5HmRWqfCECQ</v>
      </c>
      <c r="I551" s="23">
        <v>527</v>
      </c>
      <c r="J551" s="24" t="str">
        <v>-</v>
      </c>
      <c r="K551" s="24">
        <v>1359</v>
      </c>
      <c r="L551" s="24" t="str">
        <v>10 out of 10</v>
      </c>
      <c r="M551" s="23" t="b">
        <f t="shared" si="16"/>
        <v>1</v>
      </c>
      <c r="N551" s="23" t="str">
        <v>10 out of 10</v>
      </c>
      <c r="O551" s="23"/>
      <c r="P551" s="42" t="str">
        <v>10</v>
      </c>
      <c r="Q551" s="42" t="str">
        <v>10</v>
      </c>
      <c r="R551" s="42" t="str">
        <v>10</v>
      </c>
      <c r="S551" s="10" t="str">
        <f t="shared" si="17"/>
        <v>No Change</v>
      </c>
    </row>
    <row r="552" spans="1:19" ht="120" hidden="1">
      <c r="A552" s="8" t="s">
        <v>3285</v>
      </c>
      <c r="B552" s="9" t="s">
        <v>13553</v>
      </c>
      <c r="C552" s="37" t="s">
        <v>13631</v>
      </c>
      <c r="D552" s="24"/>
      <c r="E552" s="24"/>
      <c r="F552" s="24" t="str">
        <v>Q209</v>
      </c>
      <c r="G552" s="24" t="str">
        <v>1 out of 10</v>
      </c>
      <c r="H552" s="24" t="str">
        <v>https://nycdoe.sharepoint.com/:w:/s/BAP/Ed3txwvvdxtKp_UTWsj7BNoBJfKecSLJoKOPk5esKUz4Fg</v>
      </c>
      <c r="I552" s="23">
        <v>528</v>
      </c>
      <c r="J552" s="24" t="str">
        <v>-</v>
      </c>
      <c r="K552" s="24">
        <v>1361</v>
      </c>
      <c r="L552" s="24" t="str">
        <v>1 out of 10</v>
      </c>
      <c r="M552" s="23" t="b">
        <f t="shared" si="16"/>
        <v>1</v>
      </c>
      <c r="N552" s="23" t="str">
        <v>1 out of 10</v>
      </c>
      <c r="O552" s="23"/>
      <c r="P552" s="42" t="str">
        <v>1</v>
      </c>
      <c r="Q552" s="42" t="str">
        <v>1</v>
      </c>
      <c r="R552" s="42" t="str">
        <v>1</v>
      </c>
      <c r="S552" s="10" t="str">
        <f t="shared" si="17"/>
        <v>No Change</v>
      </c>
    </row>
    <row r="553" spans="1:19" ht="120" hidden="1">
      <c r="A553" s="8" t="s">
        <v>4002</v>
      </c>
      <c r="B553" s="9" t="s">
        <v>13558</v>
      </c>
      <c r="C553" s="37" t="s">
        <v>8854</v>
      </c>
      <c r="D553" s="24"/>
      <c r="E553" s="24"/>
      <c r="F553" s="24" t="str">
        <v>Q210</v>
      </c>
      <c r="G553" s="24" t="str">
        <v>8 out of 10</v>
      </c>
      <c r="H553" s="24" t="str">
        <v>https://nycdoe.sharepoint.com/:w:/s/BAP/EY2XsOApa4RNifIfeYAXwAQBwH5cl_0LgRFxrxig03P2lQ</v>
      </c>
      <c r="I553" s="23">
        <v>529</v>
      </c>
      <c r="J553" s="24" t="str">
        <v>-</v>
      </c>
      <c r="K553" s="24">
        <v>1363</v>
      </c>
      <c r="L553" s="24" t="str">
        <v>8 out of 10</v>
      </c>
      <c r="M553" s="23" t="b">
        <f t="shared" si="16"/>
        <v>1</v>
      </c>
      <c r="N553" s="23" t="str">
        <v>8 out of 10</v>
      </c>
      <c r="O553" s="23"/>
      <c r="P553" s="42" t="str">
        <v>8</v>
      </c>
      <c r="Q553" s="42" t="str">
        <v>8</v>
      </c>
      <c r="R553" s="42" t="str">
        <v>8</v>
      </c>
      <c r="S553" s="10" t="str">
        <f t="shared" si="17"/>
        <v>No Change</v>
      </c>
    </row>
    <row r="554" spans="1:19" ht="120" hidden="1">
      <c r="A554" s="8" t="s">
        <v>3737</v>
      </c>
      <c r="B554" s="9" t="s">
        <v>13555</v>
      </c>
      <c r="C554" s="37" t="s">
        <v>8532</v>
      </c>
      <c r="D554" s="24"/>
      <c r="E554" s="24"/>
      <c r="F554" s="24" t="str">
        <v>Q212</v>
      </c>
      <c r="G554" s="24" t="str">
        <v>10 out of 10</v>
      </c>
      <c r="H554" s="24" t="str">
        <v>https://nycdoe.sharepoint.com/:w:/s/BAP/Eanz5OTnrnJEk127gxbgzC8Bqzf2_jCc-8TDs8LsBFhVsA</v>
      </c>
      <c r="I554" s="23">
        <v>530</v>
      </c>
      <c r="J554" s="24" t="str">
        <v>-</v>
      </c>
      <c r="K554" s="24">
        <v>1364</v>
      </c>
      <c r="L554" s="24" t="str">
        <v>10 out of 10</v>
      </c>
      <c r="M554" s="23" t="b">
        <f t="shared" si="16"/>
        <v>1</v>
      </c>
      <c r="N554" s="23" t="str">
        <v>10 out of 10</v>
      </c>
      <c r="O554" s="23"/>
      <c r="P554" s="42" t="str">
        <v>10</v>
      </c>
      <c r="Q554" s="42" t="str">
        <v>10</v>
      </c>
      <c r="R554" s="42" t="str">
        <v>10</v>
      </c>
      <c r="S554" s="10" t="str">
        <f t="shared" si="17"/>
        <v>No Change</v>
      </c>
    </row>
    <row r="555" spans="1:19" ht="120" hidden="1">
      <c r="A555" s="8" t="s">
        <v>3741</v>
      </c>
      <c r="B555" s="9" t="s">
        <v>13553</v>
      </c>
      <c r="C555" s="37" t="s">
        <v>8534</v>
      </c>
      <c r="D555" s="24"/>
      <c r="E555" s="24"/>
      <c r="F555" s="24" t="str">
        <v>Q213</v>
      </c>
      <c r="G555" s="24" t="str">
        <v>5 out of 10</v>
      </c>
      <c r="H555" s="24" t="str">
        <v>https://nycdoe.sharepoint.com/:w:/s/BAP/EQzS1ee4y5hEqQp5q2sHx6sBgQScd9-F6YsHMvtiKSd7OA</v>
      </c>
      <c r="I555" s="23">
        <v>531</v>
      </c>
      <c r="J555" s="24" t="str">
        <v>-</v>
      </c>
      <c r="K555" s="24">
        <v>1365</v>
      </c>
      <c r="L555" s="24" t="str">
        <v>5 out of 10</v>
      </c>
      <c r="M555" s="23" t="b">
        <f t="shared" si="16"/>
        <v>1</v>
      </c>
      <c r="N555" s="23" t="str">
        <v>5 out of 10</v>
      </c>
      <c r="O555" s="23"/>
      <c r="P555" s="42" t="str">
        <v>5</v>
      </c>
      <c r="Q555" s="42" t="str">
        <v>5</v>
      </c>
      <c r="R555" s="42" t="str">
        <v>5</v>
      </c>
      <c r="S555" s="10" t="str">
        <f t="shared" si="17"/>
        <v>No Change</v>
      </c>
    </row>
    <row r="556" spans="1:19" ht="120" hidden="1">
      <c r="A556" s="8" t="s">
        <v>3290</v>
      </c>
      <c r="B556" s="9" t="s">
        <v>13553</v>
      </c>
      <c r="C556" s="37" t="s">
        <v>7999</v>
      </c>
      <c r="D556" s="24"/>
      <c r="E556" s="24"/>
      <c r="F556" s="24" t="str">
        <v>Q215</v>
      </c>
      <c r="G556" s="24" t="str">
        <v>1 out of 10</v>
      </c>
      <c r="H556" s="24" t="str">
        <v>https://nycdoe.sharepoint.com/:w:/s/BAP/EVnSmH_UE05NuASHu8EDDVQBT0SWzN04bQTbu9mVLzKMgw</v>
      </c>
      <c r="I556" s="23">
        <v>532</v>
      </c>
      <c r="J556" s="24" t="str">
        <v>-</v>
      </c>
      <c r="K556" s="24">
        <v>1368</v>
      </c>
      <c r="L556" s="24" t="str">
        <v>1 out of 10</v>
      </c>
      <c r="M556" s="23" t="b">
        <f t="shared" si="16"/>
        <v>1</v>
      </c>
      <c r="N556" s="23" t="str">
        <v>1 out of 10</v>
      </c>
      <c r="O556" s="23"/>
      <c r="P556" s="42" t="str">
        <v>1</v>
      </c>
      <c r="Q556" s="42" t="str">
        <v>1</v>
      </c>
      <c r="R556" s="42" t="str">
        <v>1</v>
      </c>
      <c r="S556" s="10" t="str">
        <f t="shared" si="17"/>
        <v>No Change</v>
      </c>
    </row>
    <row r="557" spans="1:19" ht="120" hidden="1">
      <c r="A557" s="8" t="s">
        <v>3745</v>
      </c>
      <c r="B557" s="9" t="s">
        <v>13553</v>
      </c>
      <c r="C557" s="37" t="s">
        <v>8540</v>
      </c>
      <c r="D557" s="24"/>
      <c r="E557" s="24"/>
      <c r="F557" s="24" t="str">
        <v>Q216</v>
      </c>
      <c r="G557" s="24" t="str">
        <v>1 out of 10</v>
      </c>
      <c r="H557" s="24" t="str">
        <v>https://nycdoe.sharepoint.com/:w:/s/BAP/EbunyBq0fBJNkuFbK1JzFQ4BVI9126V1ynSgCinTtLN1Og</v>
      </c>
      <c r="I557" s="23">
        <v>533</v>
      </c>
      <c r="J557" s="24" t="str">
        <v>-</v>
      </c>
      <c r="K557" s="24">
        <v>1369</v>
      </c>
      <c r="L557" s="24" t="str">
        <v>1 out of 10</v>
      </c>
      <c r="M557" s="23" t="b">
        <f t="shared" si="16"/>
        <v>1</v>
      </c>
      <c r="N557" s="23" t="str">
        <v>1 out of 10</v>
      </c>
      <c r="O557" s="23"/>
      <c r="P557" s="42" t="str">
        <v>1</v>
      </c>
      <c r="Q557" s="42" t="str">
        <v>1</v>
      </c>
      <c r="R557" s="42" t="str">
        <v>1</v>
      </c>
      <c r="S557" s="10" t="str">
        <f t="shared" si="17"/>
        <v>No Change</v>
      </c>
    </row>
    <row r="558" spans="1:19" ht="120" hidden="1">
      <c r="A558" s="8" t="s">
        <v>4006</v>
      </c>
      <c r="B558" s="9" t="s">
        <v>13553</v>
      </c>
      <c r="C558" s="37" t="s">
        <v>8856</v>
      </c>
      <c r="D558" s="24"/>
      <c r="E558" s="24"/>
      <c r="F558" s="24" t="str">
        <v>Q217</v>
      </c>
      <c r="G558" s="24" t="str">
        <v>4 out of 10</v>
      </c>
      <c r="H558" s="24" t="str">
        <v>https://nycdoe.sharepoint.com/:w:/s/BAP/ERNeqIUFtkBIgTexe4rX-zQBy-bv9vUs-x0exhrJkPc7BA</v>
      </c>
      <c r="I558" s="23">
        <v>534</v>
      </c>
      <c r="J558" s="24" t="str">
        <v>-</v>
      </c>
      <c r="K558" s="24">
        <v>1370</v>
      </c>
      <c r="L558" s="24" t="str">
        <v>4 out of 10</v>
      </c>
      <c r="M558" s="23" t="b">
        <f t="shared" si="16"/>
        <v>1</v>
      </c>
      <c r="N558" s="23" t="str">
        <v>4 out of 10</v>
      </c>
      <c r="O558" s="23"/>
      <c r="P558" s="42" t="str">
        <v>4</v>
      </c>
      <c r="Q558" s="42" t="str">
        <v>4</v>
      </c>
      <c r="R558" s="42" t="str">
        <v>4</v>
      </c>
      <c r="S558" s="10" t="str">
        <f t="shared" si="17"/>
        <v>No Change</v>
      </c>
    </row>
    <row r="559" spans="1:19" ht="120" hidden="1">
      <c r="A559" s="8" t="s">
        <v>3575</v>
      </c>
      <c r="B559" s="9" t="s">
        <v>13553</v>
      </c>
      <c r="C559" s="37" t="s">
        <v>8362</v>
      </c>
      <c r="D559" s="24"/>
      <c r="E559" s="24"/>
      <c r="F559" s="29" t="str">
        <v>Q220</v>
      </c>
      <c r="G559" s="29" t="str">
        <v/>
      </c>
      <c r="H559" s="29" t="str">
        <v>https://nycdoe.sharepoint.com/:w:/s/BAP/EZcxbJdLXbBGtGvwqRnVwggB3_xHoWQz5ShVP92HcrWJYg</v>
      </c>
      <c r="I559" s="29" t="str">
        <v>Was New</v>
      </c>
      <c r="J559" s="29" t="str">
        <v/>
      </c>
      <c r="K559" s="29">
        <v>1372</v>
      </c>
      <c r="L559" s="29" t="str">
        <v>N/A out of 10</v>
      </c>
      <c r="M559" s="23" t="b">
        <f t="shared" si="16"/>
        <v>0</v>
      </c>
      <c r="N559" s="23">
        <v>0</v>
      </c>
      <c r="O559" s="23"/>
      <c r="P559" s="42" t="str">
        <v/>
      </c>
      <c r="Q559" s="42" t="str">
        <v>N/A</v>
      </c>
      <c r="R559" s="42" t="e">
        <v>#VALUE!</v>
      </c>
      <c r="S559" s="10" t="str">
        <f t="shared" si="17"/>
        <v>Check BAP</v>
      </c>
    </row>
    <row r="560" spans="1:19" ht="120" hidden="1">
      <c r="A560" s="8" t="s">
        <v>4011</v>
      </c>
      <c r="B560" s="9" t="s">
        <v>13553</v>
      </c>
      <c r="C560" s="37" t="s">
        <v>8859</v>
      </c>
      <c r="D560" s="24"/>
      <c r="E560" s="24"/>
      <c r="F560" s="24" t="str">
        <v>Q221</v>
      </c>
      <c r="G560" s="24" t="str">
        <v>4 out of 10</v>
      </c>
      <c r="H560" s="24" t="str">
        <v>https://nycdoe.sharepoint.com/:w:/s/BAP/ESwgn5-nEoNGgDm1BzRxj38BYgQoRZ77OKP30FGbzibBvQ</v>
      </c>
      <c r="I560" s="23" t="str">
        <v>Was New</v>
      </c>
      <c r="J560" s="24" t="str">
        <v>4 out of 10</v>
      </c>
      <c r="K560" s="24">
        <v>1373</v>
      </c>
      <c r="L560" s="24" t="str">
        <v>4 out of 10</v>
      </c>
      <c r="M560" s="23" t="b">
        <f t="shared" si="16"/>
        <v>1</v>
      </c>
      <c r="N560" s="23" t="str">
        <v>4 out of 10</v>
      </c>
      <c r="O560" s="23"/>
      <c r="P560" s="42" t="str">
        <v>4</v>
      </c>
      <c r="Q560" s="42" t="str">
        <v>4</v>
      </c>
      <c r="R560" s="42" t="str">
        <v>4</v>
      </c>
      <c r="S560" s="10" t="str">
        <f t="shared" si="17"/>
        <v>No Change</v>
      </c>
    </row>
    <row r="561" spans="1:19" ht="120" hidden="1">
      <c r="A561" s="8" t="s">
        <v>4015</v>
      </c>
      <c r="B561" s="9" t="s">
        <v>13553</v>
      </c>
      <c r="C561" s="37" t="s">
        <v>8862</v>
      </c>
      <c r="D561" s="24"/>
      <c r="E561" s="24"/>
      <c r="F561" s="24" t="str">
        <v>Q222</v>
      </c>
      <c r="G561" s="24" t="str">
        <v>10 out of 10</v>
      </c>
      <c r="H561" s="24" t="str">
        <v>https://nycdoe.sharepoint.com/:w:/s/BAP/ESR-jrYMHalGguYrGgsyVxUB5y3cbRnJx6gsDkhjJehSTg</v>
      </c>
      <c r="I561" s="23">
        <v>535</v>
      </c>
      <c r="J561" s="24" t="str">
        <v>-</v>
      </c>
      <c r="K561" s="24">
        <v>1374</v>
      </c>
      <c r="L561" s="24" t="str">
        <v>10 out of 10</v>
      </c>
      <c r="M561" s="23" t="b">
        <f t="shared" si="16"/>
        <v>1</v>
      </c>
      <c r="N561" s="23" t="str">
        <v>10 out of 10</v>
      </c>
      <c r="O561" s="23"/>
      <c r="P561" s="42" t="str">
        <v>10</v>
      </c>
      <c r="Q561" s="42" t="str">
        <v>10</v>
      </c>
      <c r="R561" s="42" t="str">
        <v>10</v>
      </c>
      <c r="S561" s="10" t="str">
        <f t="shared" si="17"/>
        <v>No Change</v>
      </c>
    </row>
    <row r="562" spans="1:19" ht="120" hidden="1">
      <c r="A562" s="8" t="s">
        <v>3750</v>
      </c>
      <c r="B562" s="9" t="s">
        <v>13553</v>
      </c>
      <c r="C562" s="37" t="s">
        <v>8543</v>
      </c>
      <c r="D562" s="24"/>
      <c r="E562" s="24"/>
      <c r="F562" s="24" t="str">
        <v>Q223</v>
      </c>
      <c r="G562" s="24" t="str">
        <v>7 out of 10</v>
      </c>
      <c r="H562" s="24" t="str">
        <v>https://nycdoe.sharepoint.com/:w:/s/BAP/EfQ7oWLw0q9Ds1ckiT_PCNwBALU-V1tBRZ-ONE6ho7ehtg</v>
      </c>
      <c r="I562" s="23">
        <v>536</v>
      </c>
      <c r="J562" s="24" t="str">
        <v>-</v>
      </c>
      <c r="K562" s="24">
        <v>1375</v>
      </c>
      <c r="L562" s="24" t="str">
        <v>7 out of 10</v>
      </c>
      <c r="M562" s="23" t="b">
        <f t="shared" si="16"/>
        <v>1</v>
      </c>
      <c r="N562" s="23" t="str">
        <v>7 out of 10</v>
      </c>
      <c r="O562" s="23"/>
      <c r="P562" s="42" t="str">
        <v>7</v>
      </c>
      <c r="Q562" s="42" t="str">
        <v>7</v>
      </c>
      <c r="R562" s="42" t="str">
        <v>7</v>
      </c>
      <c r="S562" s="10" t="str">
        <f t="shared" si="17"/>
        <v>No Change</v>
      </c>
    </row>
    <row r="563" spans="1:19" ht="120" hidden="1">
      <c r="A563" s="8" t="s">
        <v>3886</v>
      </c>
      <c r="B563" s="9" t="s">
        <v>13553</v>
      </c>
      <c r="C563" s="37" t="s">
        <v>8706</v>
      </c>
      <c r="D563" s="24"/>
      <c r="E563" s="24"/>
      <c r="F563" s="24" t="str">
        <v>Q226</v>
      </c>
      <c r="G563" s="24" t="str">
        <v>9 out of 10</v>
      </c>
      <c r="H563" s="24" t="str">
        <v>https://nycdoe.sharepoint.com/:w:/s/BAP/EdqFHkUQDLpMjI8BwFc4tmcBUJkPl1_VR4qlNycJ3GYtRg</v>
      </c>
      <c r="I563" s="23">
        <v>537</v>
      </c>
      <c r="J563" s="24" t="str">
        <v>-</v>
      </c>
      <c r="K563" s="24">
        <v>1379</v>
      </c>
      <c r="L563" s="24" t="str">
        <v>9 out of 10</v>
      </c>
      <c r="M563" s="23" t="b">
        <f t="shared" si="16"/>
        <v>1</v>
      </c>
      <c r="N563" s="23" t="str">
        <v>9 out of 10</v>
      </c>
      <c r="O563" s="23"/>
      <c r="P563" s="42" t="str">
        <v>9</v>
      </c>
      <c r="Q563" s="42" t="str">
        <v>9</v>
      </c>
      <c r="R563" s="42" t="str">
        <v>9</v>
      </c>
      <c r="S563" s="10" t="str">
        <f t="shared" si="17"/>
        <v>No Change</v>
      </c>
    </row>
    <row r="564" spans="1:19" ht="120" hidden="1">
      <c r="A564" s="8" t="s">
        <v>3301</v>
      </c>
      <c r="B564" s="9" t="s">
        <v>13553</v>
      </c>
      <c r="C564" s="37" t="s">
        <v>8708</v>
      </c>
      <c r="D564" s="24"/>
      <c r="E564" s="24"/>
      <c r="F564" s="24" t="str">
        <v>Q227</v>
      </c>
      <c r="G564" s="24" t="str">
        <v>9 out of 10</v>
      </c>
      <c r="H564" s="24" t="str">
        <v>https://nycdoe.sharepoint.com/:w:/s/BAP/EZYPE6TLiExJvFjk6kEsY3ABPGx4j9gb_IC_bo48Go07-Q</v>
      </c>
      <c r="I564" s="23">
        <v>538</v>
      </c>
      <c r="J564" s="24" t="str">
        <v>-</v>
      </c>
      <c r="K564" s="24">
        <v>1383</v>
      </c>
      <c r="L564" s="24" t="str">
        <v>9 out of 10</v>
      </c>
      <c r="M564" s="23" t="b">
        <f t="shared" si="16"/>
        <v>1</v>
      </c>
      <c r="N564" s="23" t="str">
        <v>9 out of 10</v>
      </c>
      <c r="O564" s="23"/>
      <c r="P564" s="42" t="str">
        <v>9</v>
      </c>
      <c r="Q564" s="42" t="str">
        <v>9</v>
      </c>
      <c r="R564" s="42" t="str">
        <v>9</v>
      </c>
      <c r="S564" s="10" t="str">
        <f t="shared" si="17"/>
        <v>No Change</v>
      </c>
    </row>
    <row r="565" spans="1:19" ht="105" hidden="1">
      <c r="A565" s="8" t="s">
        <v>3295</v>
      </c>
      <c r="B565" s="9" t="s">
        <v>13553</v>
      </c>
      <c r="C565" s="37" t="s">
        <v>8005</v>
      </c>
      <c r="D565" s="24"/>
      <c r="E565" s="24"/>
      <c r="F565" s="24" t="str">
        <v>Q228</v>
      </c>
      <c r="G565" s="24" t="str">
        <v>10 out of 10</v>
      </c>
      <c r="H565" s="24" t="str">
        <v>https://nycdoe.sharepoint.com/:w:/s/BAP/EVZMYOQvHaJGtKyIs99K-BUBLchc_CfC24mymnaNMJIfpw</v>
      </c>
      <c r="I565" s="23">
        <v>539</v>
      </c>
      <c r="J565" s="24" t="str">
        <v>-</v>
      </c>
      <c r="K565" s="24">
        <v>1385</v>
      </c>
      <c r="L565" s="24" t="str">
        <v>10 out of 10</v>
      </c>
      <c r="M565" s="23" t="b">
        <f t="shared" si="16"/>
        <v>1</v>
      </c>
      <c r="N565" s="23" t="str">
        <v>10 out of 10</v>
      </c>
      <c r="O565" s="23"/>
      <c r="P565" s="42" t="str">
        <v>10</v>
      </c>
      <c r="Q565" s="42" t="str">
        <v>10</v>
      </c>
      <c r="R565" s="42" t="str">
        <v>10</v>
      </c>
      <c r="S565" s="10" t="str">
        <f t="shared" si="17"/>
        <v>No Change</v>
      </c>
    </row>
    <row r="566" spans="1:19" ht="120" hidden="1">
      <c r="A566" s="8" t="s">
        <v>3300</v>
      </c>
      <c r="B566" s="9" t="s">
        <v>13553</v>
      </c>
      <c r="C566" s="37" t="s">
        <v>8007</v>
      </c>
      <c r="D566" s="24"/>
      <c r="E566" s="24"/>
      <c r="F566" s="24" t="str">
        <v>Q229</v>
      </c>
      <c r="G566" s="24" t="str">
        <v>5 out of 10</v>
      </c>
      <c r="H566" s="24" t="str">
        <v>https://nycdoe.sharepoint.com/:w:/s/BAP/EfWxTLEXDDdGos-hPH9xsZ8BwVZp-5MQ3qzyMntnBnMGXg</v>
      </c>
      <c r="I566" s="23">
        <v>540</v>
      </c>
      <c r="J566" s="24" t="str">
        <v>-</v>
      </c>
      <c r="K566" s="24">
        <v>1386</v>
      </c>
      <c r="L566" s="24" t="str">
        <v>5 out of 10</v>
      </c>
      <c r="M566" s="23" t="b">
        <f t="shared" si="16"/>
        <v>1</v>
      </c>
      <c r="N566" s="23" t="str">
        <v>5 out of 10</v>
      </c>
      <c r="O566" s="23"/>
      <c r="P566" s="42" t="str">
        <v>5</v>
      </c>
      <c r="Q566" s="42" t="str">
        <v>5</v>
      </c>
      <c r="R566" s="42" t="str">
        <v>5</v>
      </c>
      <c r="S566" s="10" t="str">
        <f t="shared" si="17"/>
        <v>No Change</v>
      </c>
    </row>
    <row r="567" spans="1:19" ht="135" hidden="1">
      <c r="A567" s="8" t="s">
        <v>4138</v>
      </c>
      <c r="B567" s="9" t="s">
        <v>13555</v>
      </c>
      <c r="C567" s="37" t="s">
        <v>9004</v>
      </c>
      <c r="D567" s="24"/>
      <c r="E567" s="24"/>
      <c r="F567" s="24" t="str">
        <v>Q230</v>
      </c>
      <c r="G567" s="24" t="str">
        <v>10 out of 10</v>
      </c>
      <c r="H567" s="24" t="str">
        <v>https://nycdoe.sharepoint.com/:w:/s/BAP/EenwJl0RwDJHqCn6Q0z2NYUBDG5Ik2znxWE8saIwNq9cYA</v>
      </c>
      <c r="I567" s="23">
        <v>541</v>
      </c>
      <c r="J567" s="24" t="str">
        <v>-</v>
      </c>
      <c r="K567" s="24">
        <v>1387</v>
      </c>
      <c r="L567" s="24" t="str">
        <v>10 out of 10</v>
      </c>
      <c r="M567" s="23" t="b">
        <f t="shared" si="16"/>
        <v>1</v>
      </c>
      <c r="N567" s="23" t="str">
        <v>10 out of 10</v>
      </c>
      <c r="O567" s="23"/>
      <c r="P567" s="42" t="str">
        <v>10</v>
      </c>
      <c r="Q567" s="42" t="str">
        <v>10</v>
      </c>
      <c r="R567" s="42" t="str">
        <v>10</v>
      </c>
      <c r="S567" s="10" t="str">
        <f t="shared" si="17"/>
        <v>No Change</v>
      </c>
    </row>
    <row r="568" spans="1:19" ht="120" hidden="1">
      <c r="A568" s="8" t="s">
        <v>3727</v>
      </c>
      <c r="B568" s="9" t="s">
        <v>13553</v>
      </c>
      <c r="C568" s="37" t="s">
        <v>9006</v>
      </c>
      <c r="D568" s="24"/>
      <c r="E568" s="24"/>
      <c r="F568" s="24" t="str">
        <v>Q231</v>
      </c>
      <c r="G568" s="24" t="str">
        <v>0+ out of 10</v>
      </c>
      <c r="H568" s="24" t="str">
        <v>https://nycdoe.sharepoint.com/:w:/s/BAP/Eaicy2CkAYNKnYlsYd8UA-0BycoNigYkPXZZkme4kgzWWQ</v>
      </c>
      <c r="I568" s="23">
        <v>542</v>
      </c>
      <c r="J568" s="24" t="str">
        <v>-</v>
      </c>
      <c r="K568" s="24">
        <v>1388</v>
      </c>
      <c r="L568" s="24" t="str">
        <v>N/A out of 10</v>
      </c>
      <c r="M568" s="23" t="b">
        <f t="shared" si="16"/>
        <v>0</v>
      </c>
      <c r="N568" s="23" t="str">
        <v>0+ out of 10</v>
      </c>
      <c r="O568" s="23"/>
      <c r="P568" s="42" t="str">
        <v>0+</v>
      </c>
      <c r="Q568" s="42" t="str">
        <v>N/A</v>
      </c>
      <c r="R568" s="42" t="str">
        <v>0+</v>
      </c>
      <c r="S568" s="10" t="str">
        <f t="shared" si="17"/>
        <v>No Change</v>
      </c>
    </row>
    <row r="569" spans="1:19" ht="120" hidden="1">
      <c r="A569" s="8" t="s">
        <v>3307</v>
      </c>
      <c r="B569" s="9" t="s">
        <v>13553</v>
      </c>
      <c r="C569" s="37" t="s">
        <v>8013</v>
      </c>
      <c r="D569" s="24"/>
      <c r="E569" s="24"/>
      <c r="F569" s="24" t="str">
        <v>Q232</v>
      </c>
      <c r="G569" s="24" t="str">
        <v>4 out of 10</v>
      </c>
      <c r="H569" s="24" t="str">
        <v>https://nycdoe.sharepoint.com/:w:/s/BAP/EcF-kUJahpxMrHH0FqmfBMwBa_cDw0BuogjpTDPD60LpqA</v>
      </c>
      <c r="I569" s="23">
        <v>543</v>
      </c>
      <c r="J569" s="24" t="str">
        <v>-</v>
      </c>
      <c r="K569" s="24">
        <v>1390</v>
      </c>
      <c r="L569" s="24" t="str">
        <v>4 out of 10</v>
      </c>
      <c r="M569" s="23" t="b">
        <f t="shared" si="16"/>
        <v>1</v>
      </c>
      <c r="N569" s="23" t="str">
        <v>4 out of 10</v>
      </c>
      <c r="O569" s="23"/>
      <c r="P569" s="42" t="str">
        <v>4</v>
      </c>
      <c r="Q569" s="42" t="str">
        <v>4</v>
      </c>
      <c r="R569" s="42" t="str">
        <v>4</v>
      </c>
      <c r="S569" s="10" t="str">
        <f t="shared" si="17"/>
        <v>No Change</v>
      </c>
    </row>
    <row r="570" spans="1:19" ht="120" hidden="1">
      <c r="A570" s="8" t="s">
        <v>3312</v>
      </c>
      <c r="B570" s="9" t="s">
        <v>13553</v>
      </c>
      <c r="C570" s="37" t="s">
        <v>8015</v>
      </c>
      <c r="D570" s="24"/>
      <c r="E570" s="24"/>
      <c r="F570" s="24" t="str">
        <v>Q234</v>
      </c>
      <c r="G570" s="24" t="str">
        <v>10 out of 10</v>
      </c>
      <c r="H570" s="24" t="str">
        <v>https://nycdoe.sharepoint.com/:w:/s/BAP/ET4WOuivLxxPi8CVdB4G16cBQwqkKdCwW4XjmPX6A67qTg</v>
      </c>
      <c r="I570" s="23">
        <v>544</v>
      </c>
      <c r="J570" s="24" t="str">
        <v>-</v>
      </c>
      <c r="K570" s="24">
        <v>1391</v>
      </c>
      <c r="L570" s="24" t="str">
        <v>10 out of 10</v>
      </c>
      <c r="M570" s="23" t="b">
        <f t="shared" si="16"/>
        <v>1</v>
      </c>
      <c r="N570" s="23" t="str">
        <v>10 out of 10</v>
      </c>
      <c r="O570" s="23"/>
      <c r="P570" s="42" t="str">
        <v>10</v>
      </c>
      <c r="Q570" s="42" t="str">
        <v>10</v>
      </c>
      <c r="R570" s="42" t="str">
        <v>10</v>
      </c>
      <c r="S570" s="10" t="str">
        <f t="shared" si="17"/>
        <v>No Change</v>
      </c>
    </row>
    <row r="571" spans="1:19" ht="120" hidden="1">
      <c r="A571" s="8" t="s">
        <v>3827</v>
      </c>
      <c r="B571" s="9" t="s">
        <v>13553</v>
      </c>
      <c r="C571" s="37" t="s">
        <v>9009</v>
      </c>
      <c r="D571" s="24"/>
      <c r="E571" s="24"/>
      <c r="F571" s="24" t="str">
        <v>Q237</v>
      </c>
      <c r="G571" s="24" t="str">
        <v>6 out of 10</v>
      </c>
      <c r="H571" s="24" t="str">
        <v>https://nycdoe.sharepoint.com/:w:/s/BAP/EYOru0SyPYJAu9DE7_J0wbQBzC6r1_OYj32Zr16PVfspcg</v>
      </c>
      <c r="I571" s="23">
        <v>545</v>
      </c>
      <c r="J571" s="24" t="str">
        <v>-</v>
      </c>
      <c r="K571" s="24">
        <v>1393</v>
      </c>
      <c r="L571" s="24" t="str">
        <v>6 out of 10</v>
      </c>
      <c r="M571" s="23" t="b">
        <f t="shared" si="16"/>
        <v>1</v>
      </c>
      <c r="N571" s="23" t="str">
        <v>6 out of 10</v>
      </c>
      <c r="O571" s="23"/>
      <c r="P571" s="42" t="str">
        <v>6</v>
      </c>
      <c r="Q571" s="42" t="str">
        <v>6</v>
      </c>
      <c r="R571" s="42" t="str">
        <v>6</v>
      </c>
      <c r="S571" s="10" t="str">
        <f t="shared" si="17"/>
        <v>No Change</v>
      </c>
    </row>
    <row r="572" spans="1:19" ht="120" hidden="1">
      <c r="A572" s="8" t="s">
        <v>3316</v>
      </c>
      <c r="B572" s="9" t="s">
        <v>13553</v>
      </c>
      <c r="C572" s="37" t="s">
        <v>8021</v>
      </c>
      <c r="D572" s="24"/>
      <c r="E572" s="24"/>
      <c r="F572" s="24" t="str">
        <v>Q238</v>
      </c>
      <c r="G572" s="24" t="str">
        <v>9 out of 10</v>
      </c>
      <c r="H572" s="24" t="str">
        <v>https://nycdoe.sharepoint.com/:w:/s/BAP/Eap7R5-kO1BGtwmMFKiea24BgnXSJBluKiAUbHKafn8gXw</v>
      </c>
      <c r="I572" s="23">
        <v>546</v>
      </c>
      <c r="J572" s="24" t="str">
        <v>-</v>
      </c>
      <c r="K572" s="24">
        <v>1395</v>
      </c>
      <c r="L572" s="24" t="str">
        <v>9 out of 10</v>
      </c>
      <c r="M572" s="23" t="b">
        <f t="shared" si="16"/>
        <v>1</v>
      </c>
      <c r="N572" s="23" t="str">
        <v>9 out of 10</v>
      </c>
      <c r="O572" s="23"/>
      <c r="P572" s="42" t="str">
        <v>9</v>
      </c>
      <c r="Q572" s="42" t="str">
        <v>9</v>
      </c>
      <c r="R572" s="42" t="str">
        <v>9</v>
      </c>
      <c r="S572" s="10" t="str">
        <f t="shared" si="17"/>
        <v>No Change</v>
      </c>
    </row>
    <row r="573" spans="1:19" ht="120" hidden="1">
      <c r="A573" s="8" t="s">
        <v>3730</v>
      </c>
      <c r="B573" s="9" t="s">
        <v>13553</v>
      </c>
      <c r="C573" s="37" t="s">
        <v>8712</v>
      </c>
      <c r="D573" s="24"/>
      <c r="E573" s="24"/>
      <c r="F573" s="24" t="str">
        <v>Q239</v>
      </c>
      <c r="G573" s="24" t="str">
        <v>10 out of 10</v>
      </c>
      <c r="H573" s="24" t="str">
        <v>https://nycdoe.sharepoint.com/:w:/s/BAP/EW2kD1GxffBCnsGCzBy40eEB29n_XPqB2EHGr2iyR4DmwA</v>
      </c>
      <c r="I573" s="23">
        <v>547</v>
      </c>
      <c r="J573" s="24" t="str">
        <v>-</v>
      </c>
      <c r="K573" s="24">
        <v>1397</v>
      </c>
      <c r="L573" s="24" t="str">
        <v>10 out of 10</v>
      </c>
      <c r="M573" s="23" t="b">
        <f t="shared" si="16"/>
        <v>1</v>
      </c>
      <c r="N573" s="23" t="str">
        <v>10 out of 10</v>
      </c>
      <c r="O573" s="23"/>
      <c r="P573" s="42" t="str">
        <v>10</v>
      </c>
      <c r="Q573" s="42" t="str">
        <v>10</v>
      </c>
      <c r="R573" s="42" t="str">
        <v>10</v>
      </c>
      <c r="S573" s="10" t="str">
        <f t="shared" si="17"/>
        <v>No Change</v>
      </c>
    </row>
    <row r="574" spans="1:19" ht="120" hidden="1">
      <c r="A574" s="8" t="s">
        <v>3321</v>
      </c>
      <c r="B574" s="9" t="s">
        <v>13553</v>
      </c>
      <c r="C574" s="37" t="s">
        <v>8024</v>
      </c>
      <c r="D574" s="24"/>
      <c r="E574" s="24"/>
      <c r="F574" s="24" t="str">
        <v>Q242</v>
      </c>
      <c r="G574" s="24" t="str">
        <v>10 out of 10</v>
      </c>
      <c r="H574" s="24" t="str">
        <v>https://nycdoe.sharepoint.com/:w:/s/BAP/Eb82TOWBzSZBuCy9wi6AyDcBnw321iS3_1PwWqKBwFhPDQ</v>
      </c>
      <c r="I574" s="23">
        <v>548</v>
      </c>
      <c r="J574" s="24" t="str">
        <v>-</v>
      </c>
      <c r="K574" s="24">
        <v>1399</v>
      </c>
      <c r="L574" s="24" t="str">
        <v>10 out of 10</v>
      </c>
      <c r="M574" s="23" t="b">
        <f t="shared" si="16"/>
        <v>1</v>
      </c>
      <c r="N574" s="23" t="str">
        <v>10 out of 10</v>
      </c>
      <c r="O574" s="23"/>
      <c r="P574" s="42" t="str">
        <v>10</v>
      </c>
      <c r="Q574" s="42" t="str">
        <v>10</v>
      </c>
      <c r="R574" s="42" t="str">
        <v>10</v>
      </c>
      <c r="S574" s="10" t="str">
        <f t="shared" si="17"/>
        <v>No Change</v>
      </c>
    </row>
    <row r="575" spans="1:19" ht="120" hidden="1">
      <c r="A575" s="8" t="s">
        <v>3754</v>
      </c>
      <c r="B575" s="9" t="s">
        <v>13553</v>
      </c>
      <c r="C575" s="37" t="s">
        <v>8547</v>
      </c>
      <c r="D575" s="24"/>
      <c r="E575" s="24"/>
      <c r="F575" s="24" t="str">
        <v>Q244</v>
      </c>
      <c r="G575" s="24" t="str">
        <v>10 out of 10</v>
      </c>
      <c r="H575" s="24" t="str">
        <v>https://nycdoe.sharepoint.com/:w:/s/BAP/EcjifOOBOABGnTSjg-SAtnQB5KnXRGrrgL5JtG0yl16SFA</v>
      </c>
      <c r="I575" s="23">
        <v>549</v>
      </c>
      <c r="J575" s="24" t="str">
        <v>-</v>
      </c>
      <c r="K575" s="24">
        <v>1400</v>
      </c>
      <c r="L575" s="24" t="str">
        <v>10 out of 10</v>
      </c>
      <c r="M575" s="23" t="b">
        <f t="shared" si="16"/>
        <v>1</v>
      </c>
      <c r="N575" s="23" t="str">
        <v>10 out of 10</v>
      </c>
      <c r="O575" s="23"/>
      <c r="P575" s="42" t="str">
        <v>10</v>
      </c>
      <c r="Q575" s="42" t="str">
        <v>10</v>
      </c>
      <c r="R575" s="42" t="str">
        <v>10</v>
      </c>
      <c r="S575" s="10" t="str">
        <f t="shared" si="17"/>
        <v>No Change</v>
      </c>
    </row>
    <row r="576" spans="1:19" ht="120" hidden="1">
      <c r="A576" s="8" t="s">
        <v>3768</v>
      </c>
      <c r="B576" s="9" t="s">
        <v>13553</v>
      </c>
      <c r="C576" s="37" t="s">
        <v>8026</v>
      </c>
      <c r="D576" s="24"/>
      <c r="E576" s="24"/>
      <c r="F576" s="24" t="str">
        <v>Q245</v>
      </c>
      <c r="G576" s="24" t="str">
        <v>10 out of 10</v>
      </c>
      <c r="H576" s="24" t="str">
        <v>https://nycdoe.sharepoint.com/:w:/s/BAP/Ee0pJffQ6O5LhMYreVqJ06sBZv-U-xXLRCZc52QgYYrrKA</v>
      </c>
      <c r="I576" s="23">
        <v>550</v>
      </c>
      <c r="J576" s="24" t="str">
        <v>-</v>
      </c>
      <c r="K576" s="24">
        <v>1401</v>
      </c>
      <c r="L576" s="24" t="str">
        <v>10 out of 10</v>
      </c>
      <c r="M576" s="23" t="b">
        <f t="shared" si="16"/>
        <v>1</v>
      </c>
      <c r="N576" s="23" t="str">
        <v>10 out of 10</v>
      </c>
      <c r="O576" s="23"/>
      <c r="P576" s="42" t="str">
        <v>10</v>
      </c>
      <c r="Q576" s="42" t="str">
        <v>10</v>
      </c>
      <c r="R576" s="42" t="str">
        <v>10</v>
      </c>
      <c r="S576" s="10" t="str">
        <f t="shared" si="17"/>
        <v>No Change</v>
      </c>
    </row>
    <row r="577" spans="1:19" ht="120" hidden="1">
      <c r="A577" s="8" t="s">
        <v>12060</v>
      </c>
      <c r="B577" s="11" t="s">
        <v>13561</v>
      </c>
      <c r="C577" s="37" t="s">
        <v>13632</v>
      </c>
      <c r="D577" s="24"/>
      <c r="E577" s="24"/>
      <c r="F577" s="24" t="str">
        <v>Q247</v>
      </c>
      <c r="G577" s="24" t="str">
        <v>10 out of 10</v>
      </c>
      <c r="H577" s="24" t="str">
        <v>https://nycdoe.sharepoint.com/:w:/s/BAP/EXBZS4y4CGxJr6g-fZdaze4Bc5Owe8FE3aVr6t89pgxggQ</v>
      </c>
      <c r="I577" s="23">
        <v>551</v>
      </c>
      <c r="J577" s="24" t="str">
        <v>-</v>
      </c>
      <c r="K577" s="24">
        <v>1402</v>
      </c>
      <c r="L577" s="24" t="str">
        <v>10 out of 10</v>
      </c>
      <c r="M577" s="23" t="b">
        <f t="shared" si="16"/>
        <v>1</v>
      </c>
      <c r="N577" s="23" t="str">
        <v>10 out of 10</v>
      </c>
      <c r="O577" s="23"/>
      <c r="P577" s="42" t="str">
        <v>10</v>
      </c>
      <c r="Q577" s="42" t="str">
        <v>10</v>
      </c>
      <c r="R577" s="42" t="str">
        <v>10</v>
      </c>
      <c r="S577" s="10" t="str">
        <f t="shared" si="17"/>
        <v>No Change</v>
      </c>
    </row>
    <row r="578" spans="1:19" ht="135" hidden="1">
      <c r="A578" s="8" t="s">
        <v>3579</v>
      </c>
      <c r="B578" s="9" t="s">
        <v>13553</v>
      </c>
      <c r="C578" s="37" t="s">
        <v>8366</v>
      </c>
      <c r="D578" s="24"/>
      <c r="E578" s="24"/>
      <c r="F578" s="24" t="str">
        <v>Q251</v>
      </c>
      <c r="G578" s="24" t="str">
        <v>1 out of 10</v>
      </c>
      <c r="H578" s="24" t="str">
        <v>https://nycdoe.sharepoint.com/:w:/s/BAP/EfjZKOmWEC5JiIA9uZyewkEBGC7VNSpTwdf4USxJujVX0Q</v>
      </c>
      <c r="I578" s="23">
        <v>552</v>
      </c>
      <c r="J578" s="24" t="str">
        <v>-</v>
      </c>
      <c r="K578" s="24">
        <v>1404</v>
      </c>
      <c r="L578" s="24" t="str">
        <v>1 out of 10</v>
      </c>
      <c r="M578" s="23" t="b">
        <f t="shared" si="16"/>
        <v>1</v>
      </c>
      <c r="N578" s="23" t="str">
        <v>1 out of 10</v>
      </c>
      <c r="O578" s="23"/>
      <c r="P578" s="42" t="str">
        <v>1</v>
      </c>
      <c r="Q578" s="42" t="str">
        <v>1</v>
      </c>
      <c r="R578" s="42" t="str">
        <v>1</v>
      </c>
      <c r="S578" s="10" t="str">
        <f t="shared" si="17"/>
        <v>No Change</v>
      </c>
    </row>
    <row r="579" spans="1:19" ht="120" hidden="1">
      <c r="A579" s="8" t="s">
        <v>3758</v>
      </c>
      <c r="B579" s="9" t="s">
        <v>13553</v>
      </c>
      <c r="C579" s="37" t="s">
        <v>8549</v>
      </c>
      <c r="D579" s="24"/>
      <c r="E579" s="24"/>
      <c r="F579" s="24" t="str">
        <v>Q253</v>
      </c>
      <c r="G579" s="24" t="str">
        <v>9 out of 10</v>
      </c>
      <c r="H579" s="24" t="str">
        <v>https://nycdoe.sharepoint.com/:w:/s/BAP/EeWFQI6o6tVBlBiwX7lG4SIBk86Iu2Eq_NlbDW5h6DAeFg</v>
      </c>
      <c r="I579" s="23">
        <v>553</v>
      </c>
      <c r="J579" s="24" t="str">
        <v>-</v>
      </c>
      <c r="K579" s="24">
        <v>1405</v>
      </c>
      <c r="L579" s="24" t="str">
        <v>9 out of 10</v>
      </c>
      <c r="M579" s="23" t="b">
        <f t="shared" ref="M579:M642" si="18">G579=L579</f>
        <v>1</v>
      </c>
      <c r="N579" s="23" t="str">
        <v>9 out of 10</v>
      </c>
      <c r="O579" s="23"/>
      <c r="P579" s="42" t="str">
        <v>9</v>
      </c>
      <c r="Q579" s="42" t="str">
        <v>9</v>
      </c>
      <c r="R579" s="42" t="str">
        <v>9</v>
      </c>
      <c r="S579" s="10" t="str">
        <f t="shared" ref="S579:S642" si="19">IFERROR(IF(OR(R579="0+",R579=0,AND(Q579="N/A")),"No Change",IF(R579&lt;&gt;Q579,"Change",IF(R579=Q579,"No Change",))),"Check BAP")</f>
        <v>No Change</v>
      </c>
    </row>
    <row r="580" spans="1:19" ht="120" hidden="1">
      <c r="A580" s="8" t="s">
        <v>3485</v>
      </c>
      <c r="B580" s="9" t="s">
        <v>13555</v>
      </c>
      <c r="C580" s="37" t="s">
        <v>8242</v>
      </c>
      <c r="D580" s="24"/>
      <c r="E580" s="24"/>
      <c r="F580" s="24" t="str">
        <v>Q254</v>
      </c>
      <c r="G580" s="24" t="str">
        <v>10 out of 10</v>
      </c>
      <c r="H580" s="24" t="str">
        <v>https://nycdoe.sharepoint.com/:w:/s/BAP/EeAJ4uvUA9ZDtZtOX9ImfNwBYkTvYVlQ2gBIbBP_t26dYg</v>
      </c>
      <c r="I580" s="23">
        <v>554</v>
      </c>
      <c r="J580" s="24" t="str">
        <v>-</v>
      </c>
      <c r="K580" s="24">
        <v>1407</v>
      </c>
      <c r="L580" s="24" t="str">
        <v>10 out of 10</v>
      </c>
      <c r="M580" s="23" t="b">
        <f t="shared" si="18"/>
        <v>1</v>
      </c>
      <c r="N580" s="23" t="str">
        <v>10 out of 10</v>
      </c>
      <c r="O580" s="23"/>
      <c r="P580" s="42" t="str">
        <v>10</v>
      </c>
      <c r="Q580" s="42" t="str">
        <v>10</v>
      </c>
      <c r="R580" s="42" t="str">
        <v>10</v>
      </c>
      <c r="S580" s="10" t="str">
        <f t="shared" si="19"/>
        <v>No Change</v>
      </c>
    </row>
    <row r="581" spans="1:19" ht="120" hidden="1">
      <c r="A581" s="8" t="s">
        <v>3963</v>
      </c>
      <c r="B581" s="9" t="s">
        <v>13553</v>
      </c>
      <c r="C581" s="37" t="s">
        <v>9013</v>
      </c>
      <c r="D581" s="24"/>
      <c r="E581" s="24"/>
      <c r="F581" s="24" t="str">
        <v>Q260</v>
      </c>
      <c r="G581" s="24" t="str">
        <v>10 out of 10</v>
      </c>
      <c r="H581" s="24" t="str">
        <v>https://nycdoe.sharepoint.com/:w:/s/BAP/EVkwPTghK4pLlpLGE4damW8B0gDxq88We7giIrnNf4TY_Q</v>
      </c>
      <c r="I581" s="23">
        <v>555</v>
      </c>
      <c r="J581" s="24" t="str">
        <v>-</v>
      </c>
      <c r="K581" s="24">
        <v>1409</v>
      </c>
      <c r="L581" s="24" t="str">
        <v>10 out of 10</v>
      </c>
      <c r="M581" s="23" t="b">
        <f t="shared" si="18"/>
        <v>1</v>
      </c>
      <c r="N581" s="23" t="str">
        <v>10 out of 10</v>
      </c>
      <c r="O581" s="23"/>
      <c r="P581" s="42" t="str">
        <v>10</v>
      </c>
      <c r="Q581" s="42" t="str">
        <v>10</v>
      </c>
      <c r="R581" s="42" t="str">
        <v>10</v>
      </c>
      <c r="S581" s="10" t="str">
        <f t="shared" si="19"/>
        <v>No Change</v>
      </c>
    </row>
    <row r="582" spans="1:19" ht="120" hidden="1">
      <c r="A582" s="8" t="s">
        <v>3584</v>
      </c>
      <c r="B582" s="9" t="s">
        <v>13560</v>
      </c>
      <c r="C582" s="37" t="s">
        <v>8370</v>
      </c>
      <c r="D582" s="24"/>
      <c r="E582" s="24"/>
      <c r="F582" s="24" t="str">
        <v>Q262</v>
      </c>
      <c r="G582" s="24" t="str">
        <v>10 out of 10</v>
      </c>
      <c r="H582" s="24" t="str">
        <v>https://nycdoe.sharepoint.com/:w:/s/BAP/EYhRmaEimd5KhUiui-GCxkwBARWiGn1W1q895xDMtbkjSg</v>
      </c>
      <c r="I582" s="23">
        <v>556</v>
      </c>
      <c r="J582" s="24" t="str">
        <v>-</v>
      </c>
      <c r="K582" s="24">
        <v>1411</v>
      </c>
      <c r="L582" s="24" t="str">
        <v>10 out of 10</v>
      </c>
      <c r="M582" s="23" t="b">
        <f t="shared" si="18"/>
        <v>1</v>
      </c>
      <c r="N582" s="23" t="str">
        <v>10 out of 10</v>
      </c>
      <c r="O582" s="23"/>
      <c r="P582" s="42" t="str">
        <v>10</v>
      </c>
      <c r="Q582" s="42" t="str">
        <v>10</v>
      </c>
      <c r="R582" s="42" t="str">
        <v>10</v>
      </c>
      <c r="S582" s="10" t="str">
        <f t="shared" si="19"/>
        <v>No Change</v>
      </c>
    </row>
    <row r="583" spans="1:19" ht="120" hidden="1">
      <c r="A583" s="8" t="s">
        <v>12091</v>
      </c>
      <c r="B583" s="9" t="s">
        <v>13553</v>
      </c>
      <c r="C583" s="37" t="s">
        <v>13633</v>
      </c>
      <c r="D583" s="24"/>
      <c r="E583" s="24"/>
      <c r="F583" s="24" t="str">
        <v>Q263</v>
      </c>
      <c r="G583" s="24" t="str">
        <v>10 out of 10</v>
      </c>
      <c r="H583" s="24" t="str">
        <v>https://nycdoe.sharepoint.com/:w:/s/BAP/Ec6DqVnb5zdCjyEl709ITUgBX-OS_KlEf8YXh_7FqpuCSw</v>
      </c>
      <c r="I583" s="23">
        <v>557</v>
      </c>
      <c r="J583" s="24" t="str">
        <v>-</v>
      </c>
      <c r="K583" s="24">
        <v>1412</v>
      </c>
      <c r="L583" s="24" t="str">
        <v>10 out of 10</v>
      </c>
      <c r="M583" s="23" t="b">
        <f t="shared" si="18"/>
        <v>1</v>
      </c>
      <c r="N583" s="23" t="str">
        <v>10 out of 10</v>
      </c>
      <c r="O583" s="23"/>
      <c r="P583" s="42" t="str">
        <v>10</v>
      </c>
      <c r="Q583" s="42" t="str">
        <v>10</v>
      </c>
      <c r="R583" s="42" t="str">
        <v>10</v>
      </c>
      <c r="S583" s="10" t="str">
        <f t="shared" si="19"/>
        <v>No Change</v>
      </c>
    </row>
    <row r="584" spans="1:19" ht="135" hidden="1">
      <c r="A584" s="8" t="s">
        <v>3783</v>
      </c>
      <c r="B584" s="9" t="s">
        <v>13553</v>
      </c>
      <c r="C584" s="37" t="s">
        <v>13634</v>
      </c>
      <c r="D584" s="24"/>
      <c r="E584" s="24"/>
      <c r="F584" s="24" t="str">
        <v>Q266</v>
      </c>
      <c r="G584" s="24" t="str">
        <v>10 out of 10</v>
      </c>
      <c r="H584" s="24" t="str">
        <v>https://nycdoe.sharepoint.com/:w:/s/BAP/ERZHCNWokGBIhUBNO50mIpgBuVTs_BysGGk6jU1Qx6AQtQ</v>
      </c>
      <c r="I584" s="23">
        <v>558</v>
      </c>
      <c r="J584" s="24" t="str">
        <v>-</v>
      </c>
      <c r="K584" s="24">
        <v>1414</v>
      </c>
      <c r="L584" s="24" t="str">
        <v>10 out of 10</v>
      </c>
      <c r="M584" s="23" t="b">
        <f t="shared" si="18"/>
        <v>1</v>
      </c>
      <c r="N584" s="23" t="str">
        <v>10 out of 10</v>
      </c>
      <c r="O584" s="23"/>
      <c r="P584" s="42" t="str">
        <v>10</v>
      </c>
      <c r="Q584" s="42" t="str">
        <v>10</v>
      </c>
      <c r="R584" s="42" t="str">
        <v>10</v>
      </c>
      <c r="S584" s="10" t="str">
        <f t="shared" si="19"/>
        <v>No Change</v>
      </c>
    </row>
    <row r="585" spans="1:19" ht="120" hidden="1">
      <c r="A585" s="8" t="s">
        <v>3642</v>
      </c>
      <c r="B585" s="9" t="s">
        <v>13553</v>
      </c>
      <c r="C585" s="37" t="s">
        <v>9017</v>
      </c>
      <c r="D585" s="24"/>
      <c r="E585" s="24"/>
      <c r="F585" s="24" t="str">
        <v>Q268</v>
      </c>
      <c r="G585" s="24" t="str">
        <v>10 out of 10</v>
      </c>
      <c r="H585" s="24" t="str">
        <v>https://nycdoe.sharepoint.com/:w:/s/BAP/EQLlFdh1mTdKp7fNrK97jUIBo78IG-Mpbou-GCFZd-QcEQ</v>
      </c>
      <c r="I585" s="23">
        <v>559</v>
      </c>
      <c r="J585" s="24" t="str">
        <v>-</v>
      </c>
      <c r="K585" s="24">
        <v>1416</v>
      </c>
      <c r="L585" s="24" t="str">
        <v>10 out of 10</v>
      </c>
      <c r="M585" s="23" t="b">
        <f t="shared" si="18"/>
        <v>1</v>
      </c>
      <c r="N585" s="23" t="str">
        <v>10 out of 10</v>
      </c>
      <c r="O585" s="23"/>
      <c r="P585" s="42" t="str">
        <v>10</v>
      </c>
      <c r="Q585" s="42" t="str">
        <v>10</v>
      </c>
      <c r="R585" s="42" t="str">
        <v>10</v>
      </c>
      <c r="S585" s="10" t="str">
        <f t="shared" si="19"/>
        <v>No Change</v>
      </c>
    </row>
    <row r="586" spans="1:19" ht="120" hidden="1">
      <c r="A586" s="8" t="s">
        <v>3589</v>
      </c>
      <c r="B586" s="9" t="s">
        <v>13561</v>
      </c>
      <c r="C586" s="37" t="s">
        <v>13635</v>
      </c>
      <c r="D586" s="24"/>
      <c r="E586" s="24"/>
      <c r="F586" s="24" t="str">
        <v>Q270</v>
      </c>
      <c r="G586" s="24" t="str">
        <v>10 out of 10</v>
      </c>
      <c r="H586" s="24" t="str">
        <v>https://nycdoe.sharepoint.com/:w:/s/BAP/EZxP1sZhy5tEjR09Fm17M6IBOGCthklW_rcwaMBxd68vfw</v>
      </c>
      <c r="I586" s="23">
        <v>560</v>
      </c>
      <c r="J586" s="24" t="str">
        <v>-</v>
      </c>
      <c r="K586" s="24">
        <v>1419</v>
      </c>
      <c r="L586" s="24" t="str">
        <v>10 out of 10</v>
      </c>
      <c r="M586" s="23" t="b">
        <f t="shared" si="18"/>
        <v>1</v>
      </c>
      <c r="N586" s="23" t="str">
        <v>10 out of 10</v>
      </c>
      <c r="O586" s="23"/>
      <c r="P586" s="42" t="str">
        <v>10</v>
      </c>
      <c r="Q586" s="42" t="str">
        <v>10</v>
      </c>
      <c r="R586" s="42" t="str">
        <v>10</v>
      </c>
      <c r="S586" s="10" t="str">
        <f t="shared" si="19"/>
        <v>No Change</v>
      </c>
    </row>
    <row r="587" spans="1:19" ht="105" hidden="1">
      <c r="A587" s="8" t="s">
        <v>4150</v>
      </c>
      <c r="B587" s="9" t="s">
        <v>13553</v>
      </c>
      <c r="C587" s="37" t="s">
        <v>9024</v>
      </c>
      <c r="D587" s="24"/>
      <c r="E587" s="24"/>
      <c r="F587" s="24" t="str">
        <v>Q273</v>
      </c>
      <c r="G587" s="24" t="str">
        <v>10 out of 10</v>
      </c>
      <c r="H587" s="24" t="str">
        <v>https://nycdoe.sharepoint.com/:w:/s/BAP/EXFeSdO__RdFmEqq4G6lBr8BBfrWelvdNhkezdvrxndlDw</v>
      </c>
      <c r="I587" s="23">
        <v>561</v>
      </c>
      <c r="J587" s="24" t="str">
        <v>-</v>
      </c>
      <c r="K587" s="24">
        <v>1421</v>
      </c>
      <c r="L587" s="24" t="str">
        <v>10 out of 10</v>
      </c>
      <c r="M587" s="23" t="b">
        <f t="shared" si="18"/>
        <v>1</v>
      </c>
      <c r="N587" s="23" t="str">
        <v>10 out of 10</v>
      </c>
      <c r="O587" s="23"/>
      <c r="P587" s="42" t="str">
        <v>10</v>
      </c>
      <c r="Q587" s="42" t="str">
        <v>10</v>
      </c>
      <c r="R587" s="42" t="str">
        <v>10</v>
      </c>
      <c r="S587" s="10" t="str">
        <f t="shared" si="19"/>
        <v>No Change</v>
      </c>
    </row>
    <row r="588" spans="1:19" ht="120" hidden="1">
      <c r="A588" s="8" t="s">
        <v>3763</v>
      </c>
      <c r="B588" s="9" t="s">
        <v>13555</v>
      </c>
      <c r="C588" s="37" t="s">
        <v>8559</v>
      </c>
      <c r="D588" s="24"/>
      <c r="E588" s="24"/>
      <c r="F588" s="24" t="str">
        <v>Q276</v>
      </c>
      <c r="G588" s="24" t="str">
        <v>10 out of 10</v>
      </c>
      <c r="H588" s="24" t="str">
        <v>https://nycdoe.sharepoint.com/:w:/s/BAP/EUujTp3v9htOtC7B83CK4UMB9LIY_kVh5bN6s41x2QKgOQ</v>
      </c>
      <c r="I588" s="23">
        <v>562</v>
      </c>
      <c r="J588" s="24" t="str">
        <v>-</v>
      </c>
      <c r="K588" s="24">
        <v>1422</v>
      </c>
      <c r="L588" s="24" t="str">
        <v>10 out of 10</v>
      </c>
      <c r="M588" s="23" t="b">
        <f t="shared" si="18"/>
        <v>1</v>
      </c>
      <c r="N588" s="23" t="str">
        <v>10 out of 10</v>
      </c>
      <c r="O588" s="23"/>
      <c r="P588" s="42" t="str">
        <v>10</v>
      </c>
      <c r="Q588" s="42" t="str">
        <v>10</v>
      </c>
      <c r="R588" s="42" t="str">
        <v>10</v>
      </c>
      <c r="S588" s="10" t="str">
        <f t="shared" si="19"/>
        <v>No Change</v>
      </c>
    </row>
    <row r="589" spans="1:19" ht="120" hidden="1">
      <c r="A589" s="8" t="s">
        <v>4154</v>
      </c>
      <c r="B589" s="9" t="s">
        <v>13553</v>
      </c>
      <c r="C589" s="37" t="s">
        <v>9026</v>
      </c>
      <c r="D589" s="24"/>
      <c r="E589" s="24"/>
      <c r="F589" s="24" t="str">
        <v>Q277</v>
      </c>
      <c r="G589" s="24" t="str">
        <v>10 out of 10</v>
      </c>
      <c r="H589" s="24" t="str">
        <v>https://nycdoe.sharepoint.com/:w:/s/BAP/EWWRCKeC9G5HodeCACsBIzIBcHFl8H_rexrEiyQY6SpVcw</v>
      </c>
      <c r="I589" s="23">
        <v>563</v>
      </c>
      <c r="J589" s="24" t="str">
        <v>-</v>
      </c>
      <c r="K589" s="24">
        <v>1424</v>
      </c>
      <c r="L589" s="24" t="str">
        <v>10 out of 10</v>
      </c>
      <c r="M589" s="23" t="b">
        <f t="shared" si="18"/>
        <v>1</v>
      </c>
      <c r="N589" s="23" t="str">
        <v>10 out of 10</v>
      </c>
      <c r="O589" s="23"/>
      <c r="P589" s="42" t="str">
        <v>10</v>
      </c>
      <c r="Q589" s="42" t="str">
        <v>10</v>
      </c>
      <c r="R589" s="42" t="str">
        <v>10</v>
      </c>
      <c r="S589" s="10" t="str">
        <f t="shared" si="19"/>
        <v>No Change</v>
      </c>
    </row>
    <row r="590" spans="1:19" ht="120" hidden="1">
      <c r="A590" s="8" t="s">
        <v>3592</v>
      </c>
      <c r="B590" s="9" t="s">
        <v>13565</v>
      </c>
      <c r="C590" s="37" t="s">
        <v>8374</v>
      </c>
      <c r="D590" s="24"/>
      <c r="E590" s="24"/>
      <c r="F590" s="24" t="str">
        <v>Q287</v>
      </c>
      <c r="G590" s="24" t="str">
        <v>10 out of 10</v>
      </c>
      <c r="H590" s="24" t="str">
        <v>https://nycdoe.sharepoint.com/:w:/s/BAP/EZgLQby5KclLrFRTb8aKwsEBEa9j_c3gGZcLJljtf8BGgQ</v>
      </c>
      <c r="I590" s="23">
        <v>564</v>
      </c>
      <c r="J590" s="24" t="str">
        <v>-</v>
      </c>
      <c r="K590" s="24">
        <v>1428</v>
      </c>
      <c r="L590" s="24" t="str">
        <v>10 out of 10</v>
      </c>
      <c r="M590" s="23" t="b">
        <f t="shared" si="18"/>
        <v>1</v>
      </c>
      <c r="N590" s="23" t="str">
        <v>10 out of 10</v>
      </c>
      <c r="O590" s="23"/>
      <c r="P590" s="42" t="str">
        <v>10</v>
      </c>
      <c r="Q590" s="42" t="str">
        <v>10</v>
      </c>
      <c r="R590" s="42" t="str">
        <v>10</v>
      </c>
      <c r="S590" s="10" t="str">
        <f t="shared" si="19"/>
        <v>No Change</v>
      </c>
    </row>
    <row r="591" spans="1:19" ht="120" hidden="1">
      <c r="A591" s="8" t="s">
        <v>3773</v>
      </c>
      <c r="B591" s="9" t="s">
        <v>13557</v>
      </c>
      <c r="C591" s="37" t="s">
        <v>8565</v>
      </c>
      <c r="D591" s="24"/>
      <c r="E591" s="24"/>
      <c r="F591" s="24" t="str">
        <v>Q290</v>
      </c>
      <c r="G591" s="24" t="str">
        <v>10 out of 10</v>
      </c>
      <c r="H591" s="24" t="str">
        <v>https://nycdoe.sharepoint.com/:w:/s/BAP/EZvIwQUmQHREjGFNGoGInVUBl9lrTHZR6uT1OufzKFZRVw</v>
      </c>
      <c r="I591" s="23">
        <v>565</v>
      </c>
      <c r="J591" s="24" t="str">
        <v>-</v>
      </c>
      <c r="K591" s="24">
        <v>1429</v>
      </c>
      <c r="L591" s="24" t="str">
        <v>10 out of 10</v>
      </c>
      <c r="M591" s="23" t="b">
        <f t="shared" si="18"/>
        <v>1</v>
      </c>
      <c r="N591" s="23" t="str">
        <v>10 out of 10</v>
      </c>
      <c r="O591" s="23"/>
      <c r="P591" s="42" t="str">
        <v>10</v>
      </c>
      <c r="Q591" s="42" t="str">
        <v>10</v>
      </c>
      <c r="R591" s="42" t="str">
        <v>10</v>
      </c>
      <c r="S591" s="10" t="str">
        <f t="shared" si="19"/>
        <v>No Change</v>
      </c>
    </row>
    <row r="592" spans="1:19" ht="120" hidden="1">
      <c r="A592" s="8" t="s">
        <v>3600</v>
      </c>
      <c r="B592" s="9" t="s">
        <v>13559</v>
      </c>
      <c r="C592" s="37" t="s">
        <v>8379</v>
      </c>
      <c r="D592" s="24"/>
      <c r="E592" s="24"/>
      <c r="F592" s="24" t="str">
        <v>Q292</v>
      </c>
      <c r="G592" s="24" t="str">
        <v>9 out of 10</v>
      </c>
      <c r="H592" s="24" t="str">
        <v>https://nycdoe.sharepoint.com/:w:/s/BAP/EUWUdXSAj2dLjAvWpK4vvXkBp4zqqdx5X-7bNX3Fuzre9Q</v>
      </c>
      <c r="I592" s="23">
        <v>566</v>
      </c>
      <c r="J592" s="24" t="str">
        <v>-</v>
      </c>
      <c r="K592" s="24">
        <v>1431</v>
      </c>
      <c r="L592" s="24" t="str">
        <v>9 out of 10</v>
      </c>
      <c r="M592" s="23" t="b">
        <f t="shared" si="18"/>
        <v>1</v>
      </c>
      <c r="N592" s="23" t="str">
        <v>9 out of 10</v>
      </c>
      <c r="O592" s="23"/>
      <c r="P592" s="42" t="str">
        <v>9</v>
      </c>
      <c r="Q592" s="42" t="str">
        <v>9</v>
      </c>
      <c r="R592" s="42" t="str">
        <v>9</v>
      </c>
      <c r="S592" s="10" t="str">
        <f t="shared" si="19"/>
        <v>No Change</v>
      </c>
    </row>
    <row r="593" spans="1:19" ht="120" hidden="1">
      <c r="A593" s="8" t="s">
        <v>3326</v>
      </c>
      <c r="B593" s="11" t="s">
        <v>13553</v>
      </c>
      <c r="C593" s="37" t="s">
        <v>8028</v>
      </c>
      <c r="D593" s="24"/>
      <c r="E593" s="24"/>
      <c r="F593" s="24" t="str">
        <v>Q297</v>
      </c>
      <c r="G593" s="24" t="str">
        <v>10 out of 10</v>
      </c>
      <c r="H593" s="24" t="str">
        <v>https://nycdoe.sharepoint.com/:w:/s/BAP/EdgtDrKKZrRKn2M9HnnOOzcB6RzjyASC6TYFgfn3mmQGZw</v>
      </c>
      <c r="I593" s="23">
        <v>567</v>
      </c>
      <c r="J593" s="24" t="str">
        <v>-</v>
      </c>
      <c r="K593" s="24">
        <v>1432</v>
      </c>
      <c r="L593" s="24" t="str">
        <v>10 out of 10</v>
      </c>
      <c r="M593" s="23" t="b">
        <f t="shared" si="18"/>
        <v>1</v>
      </c>
      <c r="N593" s="23" t="str">
        <v>10 out of 10</v>
      </c>
      <c r="O593" s="23"/>
      <c r="P593" s="42" t="str">
        <v>10</v>
      </c>
      <c r="Q593" s="42" t="str">
        <v>10</v>
      </c>
      <c r="R593" s="42" t="str">
        <v>10</v>
      </c>
      <c r="S593" s="10" t="str">
        <f t="shared" si="19"/>
        <v>No Change</v>
      </c>
    </row>
    <row r="594" spans="1:19" ht="120" hidden="1">
      <c r="A594" s="8" t="s">
        <v>4019</v>
      </c>
      <c r="B594" s="9" t="s">
        <v>13557</v>
      </c>
      <c r="C594" s="37" t="s">
        <v>8868</v>
      </c>
      <c r="D594" s="24"/>
      <c r="E594" s="24"/>
      <c r="F594" s="24" t="str">
        <v>Q298</v>
      </c>
      <c r="G594" s="24" t="str">
        <v>10 out of 10</v>
      </c>
      <c r="H594" s="24" t="str">
        <v>https://nycdoe.sharepoint.com/:w:/s/BAP/ETCoUrY8afBHoKuJ599l8qwB_lm862GtkNmIiG8hcM2jaw</v>
      </c>
      <c r="I594" s="23">
        <v>568</v>
      </c>
      <c r="J594" s="24" t="str">
        <v>-</v>
      </c>
      <c r="K594" s="24">
        <v>1433</v>
      </c>
      <c r="L594" s="24" t="str">
        <v>10 out of 10</v>
      </c>
      <c r="M594" s="23" t="b">
        <f t="shared" si="18"/>
        <v>1</v>
      </c>
      <c r="N594" s="23" t="str">
        <v>10 out of 10</v>
      </c>
      <c r="O594" s="23"/>
      <c r="P594" s="42" t="str">
        <v>10</v>
      </c>
      <c r="Q594" s="42" t="str">
        <v>10</v>
      </c>
      <c r="R594" s="42" t="str">
        <v>10</v>
      </c>
      <c r="S594" s="10" t="str">
        <f t="shared" si="19"/>
        <v>No Change</v>
      </c>
    </row>
    <row r="595" spans="1:19" ht="105" hidden="1">
      <c r="A595" s="8" t="s">
        <v>12166</v>
      </c>
      <c r="B595" s="9" t="s">
        <v>13553</v>
      </c>
      <c r="C595" s="37" t="s">
        <v>13636</v>
      </c>
      <c r="D595" s="24"/>
      <c r="E595" s="24"/>
      <c r="F595" s="24" t="str">
        <v>Q311</v>
      </c>
      <c r="G595" s="24" t="str">
        <v>10 out of 10</v>
      </c>
      <c r="H595" s="24" t="str">
        <v>https://nycdoe.sharepoint.com/:w:/s/BAP/EQH8XIbDIWBAlRSmQ49orgcBAsiDdLsplfbhZRgM95eFUg</v>
      </c>
      <c r="I595" s="23">
        <v>569</v>
      </c>
      <c r="J595" s="24" t="str">
        <v>-</v>
      </c>
      <c r="K595" s="24">
        <v>1434</v>
      </c>
      <c r="L595" s="24" t="str">
        <v>10 out of 10</v>
      </c>
      <c r="M595" s="23" t="b">
        <f t="shared" si="18"/>
        <v>1</v>
      </c>
      <c r="N595" s="23" t="str">
        <v>10 out of 10</v>
      </c>
      <c r="O595" s="23"/>
      <c r="P595" s="42" t="str">
        <v>10</v>
      </c>
      <c r="Q595" s="42" t="str">
        <v>10</v>
      </c>
      <c r="R595" s="42" t="str">
        <v>10</v>
      </c>
      <c r="S595" s="10" t="str">
        <f t="shared" si="19"/>
        <v>No Change</v>
      </c>
    </row>
    <row r="596" spans="1:19" ht="120" hidden="1">
      <c r="A596" s="8" t="s">
        <v>3490</v>
      </c>
      <c r="B596" s="9" t="s">
        <v>13571</v>
      </c>
      <c r="C596" s="37" t="s">
        <v>8246</v>
      </c>
      <c r="D596" s="24"/>
      <c r="E596" s="24"/>
      <c r="F596" s="24" t="str">
        <v>Q312</v>
      </c>
      <c r="G596" s="24" t="str">
        <v>10 out of 10</v>
      </c>
      <c r="H596" s="24" t="str">
        <v>https://nycdoe.sharepoint.com/:w:/s/BAP/EWSthtX27GFGp7EoBJ-fGIkBkPqg8a1R28vZhcA6tvs0Zw</v>
      </c>
      <c r="I596" s="23">
        <v>570</v>
      </c>
      <c r="J596" s="24" t="str">
        <v>-</v>
      </c>
      <c r="K596" s="24">
        <v>1436</v>
      </c>
      <c r="L596" s="24" t="str">
        <v>10 out of 10</v>
      </c>
      <c r="M596" s="23" t="b">
        <f t="shared" si="18"/>
        <v>1</v>
      </c>
      <c r="N596" s="23" t="str">
        <v>10 out of 10</v>
      </c>
      <c r="O596" s="23"/>
      <c r="P596" s="42" t="str">
        <v>10</v>
      </c>
      <c r="Q596" s="42" t="str">
        <v>10</v>
      </c>
      <c r="R596" s="42" t="str">
        <v>10</v>
      </c>
      <c r="S596" s="10" t="str">
        <f t="shared" si="19"/>
        <v>No Change</v>
      </c>
    </row>
    <row r="597" spans="1:19" ht="120" hidden="1">
      <c r="A597" s="8" t="s">
        <v>3604</v>
      </c>
      <c r="B597" s="9" t="s">
        <v>13555</v>
      </c>
      <c r="C597" s="37" t="s">
        <v>8381</v>
      </c>
      <c r="D597" s="24"/>
      <c r="E597" s="24"/>
      <c r="F597" s="24" t="str">
        <v>Q313</v>
      </c>
      <c r="G597" s="24" t="str">
        <v>10 out of 10</v>
      </c>
      <c r="H597" s="24" t="str">
        <v>https://nycdoe.sharepoint.com/:w:/s/BAP/EYe4DzomjBZJoyjgZoBBNoYB6twaRCtAGRab3Jslv-e42g</v>
      </c>
      <c r="I597" s="23">
        <v>571</v>
      </c>
      <c r="J597" s="24" t="str">
        <v>-</v>
      </c>
      <c r="K597" s="24">
        <v>1438</v>
      </c>
      <c r="L597" s="24" t="str">
        <v>10 out of 10</v>
      </c>
      <c r="M597" s="23" t="b">
        <f t="shared" si="18"/>
        <v>1</v>
      </c>
      <c r="N597" s="23" t="str">
        <v>10 out of 10</v>
      </c>
      <c r="O597" s="23"/>
      <c r="P597" s="42" t="str">
        <v>10</v>
      </c>
      <c r="Q597" s="42" t="str">
        <v>10</v>
      </c>
      <c r="R597" s="42" t="str">
        <v>10</v>
      </c>
      <c r="S597" s="10" t="str">
        <f t="shared" si="19"/>
        <v>No Change</v>
      </c>
    </row>
    <row r="598" spans="1:19" ht="120" hidden="1">
      <c r="A598" s="8" t="s">
        <v>8384</v>
      </c>
      <c r="B598" s="11" t="s">
        <v>13553</v>
      </c>
      <c r="C598" s="37" t="s">
        <v>8385</v>
      </c>
      <c r="D598" s="24"/>
      <c r="E598" s="24"/>
      <c r="F598" s="24" t="str">
        <v>Q314</v>
      </c>
      <c r="G598" s="24" t="str">
        <v>10 out of 10</v>
      </c>
      <c r="H598" s="24" t="str">
        <v>https://nycdoe.sharepoint.com/:w:/s/BAP/EU0bszH1rv5GpyVTXuYE2iABwcw_WlFPunWYBQAWhysUVQ</v>
      </c>
      <c r="I598" s="23">
        <v>572</v>
      </c>
      <c r="J598" s="24" t="str">
        <v>-</v>
      </c>
      <c r="K598" s="24">
        <v>1439</v>
      </c>
      <c r="L598" s="24" t="str">
        <v>10 out of 10</v>
      </c>
      <c r="M598" s="23" t="b">
        <f t="shared" si="18"/>
        <v>1</v>
      </c>
      <c r="N598" s="23" t="str">
        <v>10 out of 10</v>
      </c>
      <c r="O598" s="23"/>
      <c r="P598" s="42" t="str">
        <v>10</v>
      </c>
      <c r="Q598" s="42" t="str">
        <v>10</v>
      </c>
      <c r="R598" s="42" t="str">
        <v>10</v>
      </c>
      <c r="S598" s="10" t="str">
        <f t="shared" si="19"/>
        <v>No Change</v>
      </c>
    </row>
    <row r="599" spans="1:19" ht="120" hidden="1">
      <c r="A599" s="8" t="s">
        <v>3608</v>
      </c>
      <c r="B599" s="9" t="s">
        <v>13557</v>
      </c>
      <c r="C599" s="37" t="s">
        <v>8387</v>
      </c>
      <c r="D599" s="24"/>
      <c r="E599" s="24"/>
      <c r="F599" s="24" t="str">
        <v>Q315</v>
      </c>
      <c r="G599" s="24" t="str">
        <v>10 out of 10</v>
      </c>
      <c r="H599" s="24" t="str">
        <v>https://nycdoe.sharepoint.com/:w:/s/BAP/EQAh70J-2BxLiuTkyfoZmbcB3XZYnEOWfhZTxK3aijfLMw</v>
      </c>
      <c r="I599" s="23">
        <v>573</v>
      </c>
      <c r="J599" s="24" t="str">
        <v>-</v>
      </c>
      <c r="K599" s="24">
        <v>1442</v>
      </c>
      <c r="L599" s="24" t="str">
        <v>10 out of 10</v>
      </c>
      <c r="M599" s="23" t="b">
        <f t="shared" si="18"/>
        <v>1</v>
      </c>
      <c r="N599" s="23" t="str">
        <v>10 out of 10</v>
      </c>
      <c r="O599" s="23"/>
      <c r="P599" s="42" t="str">
        <v>10</v>
      </c>
      <c r="Q599" s="42" t="str">
        <v>10</v>
      </c>
      <c r="R599" s="42" t="str">
        <v>10</v>
      </c>
      <c r="S599" s="10" t="str">
        <f t="shared" si="19"/>
        <v>No Change</v>
      </c>
    </row>
    <row r="600" spans="1:19" ht="120" hidden="1">
      <c r="A600" s="8" t="s">
        <v>8574</v>
      </c>
      <c r="B600" s="9" t="s">
        <v>13553</v>
      </c>
      <c r="C600" s="37" t="s">
        <v>8576</v>
      </c>
      <c r="D600" s="24"/>
      <c r="E600" s="24"/>
      <c r="F600" s="24" t="str">
        <v>Q316</v>
      </c>
      <c r="G600" s="24" t="str">
        <v>10 out of 10</v>
      </c>
      <c r="H600" s="24" t="str">
        <v>https://nycdoe.sharepoint.com/:w:/s/BAP/EUbIGEiSWnxPiATRr4HtU7wBsRMfl_vsE2T12l7e2Iarxw</v>
      </c>
      <c r="I600" s="23">
        <v>574</v>
      </c>
      <c r="J600" s="24" t="str">
        <v>-</v>
      </c>
      <c r="K600" s="24">
        <v>1444</v>
      </c>
      <c r="L600" s="24" t="str">
        <v>10 out of 10</v>
      </c>
      <c r="M600" s="23" t="b">
        <f t="shared" si="18"/>
        <v>1</v>
      </c>
      <c r="N600" s="23" t="str">
        <v>10 out of 10</v>
      </c>
      <c r="O600" s="23"/>
      <c r="P600" s="42" t="str">
        <v>10</v>
      </c>
      <c r="Q600" s="42" t="str">
        <v>10</v>
      </c>
      <c r="R600" s="42" t="str">
        <v>10</v>
      </c>
      <c r="S600" s="10" t="str">
        <f t="shared" si="19"/>
        <v>No Change</v>
      </c>
    </row>
    <row r="601" spans="1:19" ht="120" hidden="1">
      <c r="A601" s="8" t="s">
        <v>3902</v>
      </c>
      <c r="B601" s="9" t="s">
        <v>13557</v>
      </c>
      <c r="C601" s="37" t="s">
        <v>8719</v>
      </c>
      <c r="D601" s="24"/>
      <c r="E601" s="24"/>
      <c r="F601" s="24" t="str">
        <v>Q320</v>
      </c>
      <c r="G601" s="24" t="str">
        <v>10 out of 10</v>
      </c>
      <c r="H601" s="24" t="str">
        <v>https://nycdoe.sharepoint.com/:w:/s/BAP/EV4nNISADKZOshHe7V_7L3kBY3OKpOnXbb1YJGDznnkGUA</v>
      </c>
      <c r="I601" s="23">
        <v>575</v>
      </c>
      <c r="J601" s="24" t="str">
        <v>-</v>
      </c>
      <c r="K601" s="24">
        <v>1445</v>
      </c>
      <c r="L601" s="24" t="str">
        <v>10 out of 10</v>
      </c>
      <c r="M601" s="23" t="b">
        <f t="shared" si="18"/>
        <v>1</v>
      </c>
      <c r="N601" s="23" t="str">
        <v>10 out of 10</v>
      </c>
      <c r="O601" s="23"/>
      <c r="P601" s="42" t="str">
        <v>10</v>
      </c>
      <c r="Q601" s="42" t="str">
        <v>10</v>
      </c>
      <c r="R601" s="42" t="str">
        <v>10</v>
      </c>
      <c r="S601" s="10" t="str">
        <f t="shared" si="19"/>
        <v>No Change</v>
      </c>
    </row>
    <row r="602" spans="1:19" ht="120" hidden="1">
      <c r="A602" s="8" t="s">
        <v>12192</v>
      </c>
      <c r="B602" s="9" t="s">
        <v>13561</v>
      </c>
      <c r="C602" s="37" t="s">
        <v>13637</v>
      </c>
      <c r="D602" s="24"/>
      <c r="E602" s="24"/>
      <c r="F602" s="24" t="str">
        <v>Q322</v>
      </c>
      <c r="G602" s="24" t="str">
        <v>0 out of 10</v>
      </c>
      <c r="H602" s="24" t="str">
        <v>https://nycdoe.sharepoint.com/:w:/s/BAP/ERr3Rcrcp8pDiUedBAmG_aQBJgjSuRSNXBNn3d-TjNoqMg</v>
      </c>
      <c r="I602" s="23">
        <v>576</v>
      </c>
      <c r="J602" s="24" t="str">
        <v>-</v>
      </c>
      <c r="K602" s="24">
        <v>1447</v>
      </c>
      <c r="L602" s="24" t="str">
        <v>N/A out of 10</v>
      </c>
      <c r="M602" s="23" t="b">
        <f t="shared" si="18"/>
        <v>0</v>
      </c>
      <c r="N602" s="23" t="str">
        <v>0 out of 10</v>
      </c>
      <c r="O602" s="23"/>
      <c r="P602" s="42" t="str">
        <v>0</v>
      </c>
      <c r="Q602" s="42" t="str">
        <v>N/A</v>
      </c>
      <c r="R602" s="42" t="str">
        <v>0</v>
      </c>
      <c r="S602" s="10" t="str">
        <f t="shared" si="19"/>
        <v>No Change</v>
      </c>
    </row>
    <row r="603" spans="1:19" ht="120" hidden="1">
      <c r="A603" s="8" t="s">
        <v>4162</v>
      </c>
      <c r="B603" s="9" t="s">
        <v>13553</v>
      </c>
      <c r="C603" s="37" t="s">
        <v>9039</v>
      </c>
      <c r="D603" s="24"/>
      <c r="E603" s="24"/>
      <c r="F603" s="24" t="str">
        <v>Q332</v>
      </c>
      <c r="G603" s="24" t="str">
        <v>10 out of 10</v>
      </c>
      <c r="H603" s="24" t="str">
        <v>https://nycdoe.sharepoint.com/:w:/s/BAP/ESKndv8-mQxAoapkiir38sIBNcRXooG-TZgsYws4iJNIPg</v>
      </c>
      <c r="I603" s="23">
        <v>577</v>
      </c>
      <c r="J603" s="24" t="str">
        <v>-</v>
      </c>
      <c r="K603" s="24">
        <v>1449</v>
      </c>
      <c r="L603" s="24" t="str">
        <v>10 out of 10</v>
      </c>
      <c r="M603" s="23" t="b">
        <f t="shared" si="18"/>
        <v>1</v>
      </c>
      <c r="N603" s="23" t="str">
        <v>10 out of 10</v>
      </c>
      <c r="O603" s="23"/>
      <c r="P603" s="42" t="str">
        <v>10</v>
      </c>
      <c r="Q603" s="42" t="str">
        <v>10</v>
      </c>
      <c r="R603" s="42" t="str">
        <v>10</v>
      </c>
      <c r="S603" s="10" t="str">
        <f t="shared" si="19"/>
        <v>No Change</v>
      </c>
    </row>
    <row r="604" spans="1:19" ht="120" hidden="1">
      <c r="A604" s="8" t="s">
        <v>12213</v>
      </c>
      <c r="B604" s="11" t="s">
        <v>13550</v>
      </c>
      <c r="C604" s="37" t="s">
        <v>13638</v>
      </c>
      <c r="D604" s="24"/>
      <c r="E604" s="24"/>
      <c r="F604" s="24" t="str">
        <v>Q335</v>
      </c>
      <c r="G604" s="24" t="str">
        <v>10 out of 10</v>
      </c>
      <c r="H604" s="24" t="str">
        <v>https://nycdoe.sharepoint.com/:w:/s/BAP/EcsBLOgnVs5HnUFSr9airJcB7qC5f8Q2KUkX60HtmmCyrA</v>
      </c>
      <c r="I604" s="23">
        <v>578</v>
      </c>
      <c r="J604" s="24" t="str">
        <v>-</v>
      </c>
      <c r="K604" s="24">
        <v>1450</v>
      </c>
      <c r="L604" s="24" t="str">
        <v>10 out of 10</v>
      </c>
      <c r="M604" s="23" t="b">
        <f t="shared" si="18"/>
        <v>1</v>
      </c>
      <c r="N604" s="23" t="str">
        <v>10 out of 10</v>
      </c>
      <c r="O604" s="23"/>
      <c r="P604" s="42" t="str">
        <v>10</v>
      </c>
      <c r="Q604" s="42" t="str">
        <v>10</v>
      </c>
      <c r="R604" s="42" t="str">
        <v>10</v>
      </c>
      <c r="S604" s="10" t="str">
        <f t="shared" si="19"/>
        <v>No Change</v>
      </c>
    </row>
    <row r="605" spans="1:19" ht="120" hidden="1">
      <c r="A605" s="8" t="s">
        <v>12223</v>
      </c>
      <c r="B605" s="11" t="s">
        <v>13550</v>
      </c>
      <c r="C605" s="37" t="s">
        <v>13639</v>
      </c>
      <c r="D605" s="24"/>
      <c r="E605" s="24"/>
      <c r="F605" s="24" t="str">
        <v>Q336</v>
      </c>
      <c r="G605" s="24" t="str">
        <v>9 out of 10</v>
      </c>
      <c r="H605" s="24" t="str">
        <v>https://nycdoe.sharepoint.com/:w:/s/BAP/ETKvpyA1igtErcILE4xbnIIBoxKfZD-H0C0a8q-G8oLrog</v>
      </c>
      <c r="I605" s="23">
        <v>579</v>
      </c>
      <c r="J605" s="24" t="str">
        <v>-</v>
      </c>
      <c r="K605" s="24">
        <v>1452</v>
      </c>
      <c r="L605" s="24" t="str">
        <v>9 out of 10</v>
      </c>
      <c r="M605" s="23" t="b">
        <f t="shared" si="18"/>
        <v>1</v>
      </c>
      <c r="N605" s="23" t="str">
        <v>9 out of 10</v>
      </c>
      <c r="O605" s="23"/>
      <c r="P605" s="42" t="str">
        <v>9</v>
      </c>
      <c r="Q605" s="42" t="str">
        <v>9</v>
      </c>
      <c r="R605" s="42" t="str">
        <v>9</v>
      </c>
      <c r="S605" s="10" t="str">
        <f t="shared" si="19"/>
        <v>No Change</v>
      </c>
    </row>
    <row r="606" spans="1:19" ht="120" hidden="1">
      <c r="A606" s="8" t="s">
        <v>12237</v>
      </c>
      <c r="B606" s="11" t="s">
        <v>13561</v>
      </c>
      <c r="C606" s="37" t="s">
        <v>13640</v>
      </c>
      <c r="D606" s="24"/>
      <c r="E606" s="24"/>
      <c r="F606" s="24" t="str">
        <v>Q339</v>
      </c>
      <c r="G606" s="24" t="str">
        <v>10 out of 10</v>
      </c>
      <c r="H606" s="24" t="str">
        <v>https://nycdoe.sharepoint.com/:w:/s/BAP/EeJcibIMVs1Jt5RvRpA2X0wBLKg6Vio9aC2fwJSVi27t4g</v>
      </c>
      <c r="I606" s="23">
        <v>580</v>
      </c>
      <c r="J606" s="24" t="str">
        <v>-</v>
      </c>
      <c r="K606" s="24">
        <v>1453</v>
      </c>
      <c r="L606" s="24" t="str">
        <v>10 out of 10</v>
      </c>
      <c r="M606" s="23" t="b">
        <f t="shared" si="18"/>
        <v>1</v>
      </c>
      <c r="N606" s="23" t="str">
        <v>10 out of 10</v>
      </c>
      <c r="O606" s="23"/>
      <c r="P606" s="42" t="str">
        <v>10</v>
      </c>
      <c r="Q606" s="42" t="str">
        <v>10</v>
      </c>
      <c r="R606" s="42" t="str">
        <v>10</v>
      </c>
      <c r="S606" s="10" t="str">
        <f t="shared" si="19"/>
        <v>No Change</v>
      </c>
    </row>
    <row r="607" spans="1:19" ht="120" hidden="1">
      <c r="A607" s="8" t="s">
        <v>12256</v>
      </c>
      <c r="B607" s="11" t="s">
        <v>13561</v>
      </c>
      <c r="C607" s="37" t="s">
        <v>13641</v>
      </c>
      <c r="D607" s="24"/>
      <c r="E607" s="24"/>
      <c r="F607" s="24" t="str">
        <v>Q361</v>
      </c>
      <c r="G607" s="24" t="str">
        <v>4 out of 10</v>
      </c>
      <c r="H607" s="24" t="str">
        <v>https://nycdoe.sharepoint.com/:w:/s/BAP/EY9_dOci-NRHuhd_oOtG0VUBbSzVvo0pFxisvSa1mj-ZwA</v>
      </c>
      <c r="I607" s="23">
        <v>581</v>
      </c>
      <c r="J607" s="24" t="str">
        <v>-</v>
      </c>
      <c r="K607" s="24">
        <v>1457</v>
      </c>
      <c r="L607" s="24" t="str">
        <v>4 out of 10</v>
      </c>
      <c r="M607" s="23" t="b">
        <f t="shared" si="18"/>
        <v>1</v>
      </c>
      <c r="N607" s="23" t="str">
        <v>4 out of 10</v>
      </c>
      <c r="O607" s="23"/>
      <c r="P607" s="42" t="str">
        <v>4</v>
      </c>
      <c r="Q607" s="42" t="str">
        <v>4</v>
      </c>
      <c r="R607" s="42" t="str">
        <v>4</v>
      </c>
      <c r="S607" s="10" t="str">
        <f t="shared" si="19"/>
        <v>No Change</v>
      </c>
    </row>
    <row r="608" spans="1:19" ht="120" hidden="1">
      <c r="A608" s="8" t="s">
        <v>3786</v>
      </c>
      <c r="B608" s="9" t="s">
        <v>13558</v>
      </c>
      <c r="C608" s="37" t="s">
        <v>8580</v>
      </c>
      <c r="D608" s="24"/>
      <c r="E608" s="24"/>
      <c r="F608" s="24" t="str">
        <v>Q368</v>
      </c>
      <c r="G608" s="24" t="str">
        <v>10 out of 10</v>
      </c>
      <c r="H608" s="24" t="str">
        <v>https://nycdoe.sharepoint.com/:w:/s/BAP/EdqrFdncPXBGuYGLjN2ULSABlxU1TP0PQehu7ZsZuhWptg</v>
      </c>
      <c r="I608" s="23">
        <v>582</v>
      </c>
      <c r="J608" s="24" t="str">
        <v>-</v>
      </c>
      <c r="K608" s="24">
        <v>1461</v>
      </c>
      <c r="L608" s="24" t="str">
        <v>10 out of 10</v>
      </c>
      <c r="M608" s="23" t="b">
        <f t="shared" si="18"/>
        <v>1</v>
      </c>
      <c r="N608" s="23" t="str">
        <v>10 out of 10</v>
      </c>
      <c r="O608" s="23"/>
      <c r="P608" s="42" t="str">
        <v>10</v>
      </c>
      <c r="Q608" s="42" t="str">
        <v>10</v>
      </c>
      <c r="R608" s="42" t="str">
        <v>10</v>
      </c>
      <c r="S608" s="10" t="str">
        <f t="shared" si="19"/>
        <v>No Change</v>
      </c>
    </row>
    <row r="609" spans="1:19" ht="120" hidden="1">
      <c r="A609" s="8" t="s">
        <v>3790</v>
      </c>
      <c r="B609" s="9" t="s">
        <v>13555</v>
      </c>
      <c r="C609" s="37" t="s">
        <v>8584</v>
      </c>
      <c r="D609" s="24"/>
      <c r="E609" s="24"/>
      <c r="F609" s="24" t="str">
        <v>Q373</v>
      </c>
      <c r="G609" s="24" t="str">
        <v>10 out of 10</v>
      </c>
      <c r="H609" s="24" t="str">
        <v>https://nycdoe.sharepoint.com/:w:/s/BAP/Ee7VilP5og9Fp0mIZSLQyEUBwmrxIZaSJ-VM7Qjmn62CWA</v>
      </c>
      <c r="I609" s="23">
        <v>583</v>
      </c>
      <c r="J609" s="24" t="str">
        <v>-</v>
      </c>
      <c r="K609" s="24">
        <v>1464</v>
      </c>
      <c r="L609" s="24" t="str">
        <v>10 out of 10</v>
      </c>
      <c r="M609" s="23" t="b">
        <f t="shared" si="18"/>
        <v>1</v>
      </c>
      <c r="N609" s="23" t="str">
        <v>10 out of 10</v>
      </c>
      <c r="O609" s="23"/>
      <c r="P609" s="42" t="str">
        <v>10</v>
      </c>
      <c r="Q609" s="42" t="str">
        <v>10</v>
      </c>
      <c r="R609" s="42" t="str">
        <v>10</v>
      </c>
      <c r="S609" s="10" t="str">
        <f t="shared" si="19"/>
        <v>No Change</v>
      </c>
    </row>
    <row r="610" spans="1:19" ht="120" hidden="1">
      <c r="A610" s="8" t="s">
        <v>3330</v>
      </c>
      <c r="B610" s="9" t="s">
        <v>13557</v>
      </c>
      <c r="C610" s="37" t="s">
        <v>8038</v>
      </c>
      <c r="D610" s="24"/>
      <c r="E610" s="24"/>
      <c r="F610" s="24" t="str">
        <v>Q375</v>
      </c>
      <c r="G610" s="24" t="str">
        <v>10 out of 10</v>
      </c>
      <c r="H610" s="24" t="str">
        <v>https://nycdoe.sharepoint.com/:w:/s/BAP/EbISKJ4b7qVAh4pNsIlo7ecB1bOTKYVjjza1qMwhi6edLg</v>
      </c>
      <c r="I610" s="23">
        <v>584</v>
      </c>
      <c r="J610" s="24" t="str">
        <v>-</v>
      </c>
      <c r="K610" s="24">
        <v>1466</v>
      </c>
      <c r="L610" s="24" t="str">
        <v>10 out of 10</v>
      </c>
      <c r="M610" s="23" t="b">
        <f t="shared" si="18"/>
        <v>1</v>
      </c>
      <c r="N610" s="23" t="str">
        <v>10 out of 10</v>
      </c>
      <c r="O610" s="23"/>
      <c r="P610" s="42" t="str">
        <v>10</v>
      </c>
      <c r="Q610" s="42" t="str">
        <v>10</v>
      </c>
      <c r="R610" s="42" t="str">
        <v>10</v>
      </c>
      <c r="S610" s="10" t="str">
        <f t="shared" si="19"/>
        <v>No Change</v>
      </c>
    </row>
    <row r="611" spans="1:19" ht="120" hidden="1">
      <c r="A611" s="8" t="s">
        <v>4033</v>
      </c>
      <c r="B611" s="9" t="s">
        <v>13555</v>
      </c>
      <c r="C611" s="37" t="s">
        <v>8878</v>
      </c>
      <c r="D611" s="24"/>
      <c r="E611" s="24"/>
      <c r="F611" s="24" t="str">
        <v>Q390</v>
      </c>
      <c r="G611" s="24" t="str">
        <v>0 out of 10</v>
      </c>
      <c r="H611" s="24" t="str">
        <v>https://nycdoe.sharepoint.com/:w:/s/BAP/EV5dSVLDxWdDmwZZ3sjm4lQBqXoTJBwSXwN_WNkzF9sT3w</v>
      </c>
      <c r="I611" s="23">
        <v>585</v>
      </c>
      <c r="J611" s="24" t="str">
        <v>-</v>
      </c>
      <c r="K611" s="24">
        <v>1473</v>
      </c>
      <c r="L611" s="24" t="str">
        <v>N/A out of 10</v>
      </c>
      <c r="M611" s="23" t="b">
        <f t="shared" si="18"/>
        <v>0</v>
      </c>
      <c r="N611" s="23" t="str">
        <v>0 out of 10</v>
      </c>
      <c r="O611" s="23"/>
      <c r="P611" s="42" t="str">
        <v>0</v>
      </c>
      <c r="Q611" s="42" t="str">
        <v>N/A</v>
      </c>
      <c r="R611" s="42" t="str">
        <v>0</v>
      </c>
      <c r="S611" s="10" t="str">
        <f t="shared" si="19"/>
        <v>No Change</v>
      </c>
    </row>
    <row r="612" spans="1:19" ht="120" hidden="1">
      <c r="A612" s="8" t="s">
        <v>3494</v>
      </c>
      <c r="B612" s="9" t="s">
        <v>13553</v>
      </c>
      <c r="C612" s="37" t="s">
        <v>8250</v>
      </c>
      <c r="D612" s="24"/>
      <c r="E612" s="24"/>
      <c r="F612" s="24" t="str">
        <v>Q398</v>
      </c>
      <c r="G612" s="24" t="str">
        <v>10 out of 10</v>
      </c>
      <c r="H612" s="24" t="str">
        <v>https://nycdoe.sharepoint.com/:w:/s/BAP/ET81ZPkJhbtIluTttV2j71IB8ausSj3j4tdnKDMx_j55xg</v>
      </c>
      <c r="I612" s="23">
        <v>586</v>
      </c>
      <c r="J612" s="24" t="str">
        <v>-</v>
      </c>
      <c r="K612" s="24">
        <v>1478</v>
      </c>
      <c r="L612" s="24" t="str">
        <v>10 out of 10</v>
      </c>
      <c r="M612" s="23" t="b">
        <f t="shared" si="18"/>
        <v>1</v>
      </c>
      <c r="N612" s="23" t="str">
        <v>10 out of 10</v>
      </c>
      <c r="O612" s="23"/>
      <c r="P612" s="42" t="str">
        <v>10</v>
      </c>
      <c r="Q612" s="42" t="str">
        <v>10</v>
      </c>
      <c r="R612" s="42" t="str">
        <v>10</v>
      </c>
      <c r="S612" s="10" t="str">
        <f t="shared" si="19"/>
        <v>No Change</v>
      </c>
    </row>
    <row r="613" spans="1:19" ht="120" hidden="1">
      <c r="A613" s="8" t="s">
        <v>3906</v>
      </c>
      <c r="B613" s="9" t="s">
        <v>13557</v>
      </c>
      <c r="C613" s="37" t="s">
        <v>8723</v>
      </c>
      <c r="D613" s="24"/>
      <c r="E613" s="24"/>
      <c r="F613" s="24" t="str">
        <v>Q400</v>
      </c>
      <c r="G613" s="24" t="str">
        <v>9 out of 10</v>
      </c>
      <c r="H613" s="24" t="str">
        <v>https://nycdoe.sharepoint.com/:w:/s/BAP/Ea-IIjZW9QRDk5wPv4QRkEkBCMrklqZosdIN7jOcFvg3Rg</v>
      </c>
      <c r="I613" s="23">
        <v>587</v>
      </c>
      <c r="J613" s="24" t="str">
        <v>-</v>
      </c>
      <c r="K613" s="24">
        <v>1479</v>
      </c>
      <c r="L613" s="24" t="str">
        <v>9 out of 10</v>
      </c>
      <c r="M613" s="23" t="b">
        <f t="shared" si="18"/>
        <v>1</v>
      </c>
      <c r="N613" s="23" t="str">
        <v>9 out of 10</v>
      </c>
      <c r="O613" s="23"/>
      <c r="P613" s="42" t="str">
        <v>9</v>
      </c>
      <c r="Q613" s="42" t="str">
        <v>9</v>
      </c>
      <c r="R613" s="42" t="str">
        <v>9</v>
      </c>
      <c r="S613" s="10" t="str">
        <f t="shared" si="19"/>
        <v>No Change</v>
      </c>
    </row>
    <row r="614" spans="1:19" ht="120" hidden="1">
      <c r="A614" s="8" t="s">
        <v>3501</v>
      </c>
      <c r="B614" s="9" t="s">
        <v>13553</v>
      </c>
      <c r="C614" s="37" t="s">
        <v>8253</v>
      </c>
      <c r="D614" s="24"/>
      <c r="E614" s="24"/>
      <c r="F614" s="24" t="str">
        <v>Q404</v>
      </c>
      <c r="G614" s="24" t="str">
        <v>10 out of 10</v>
      </c>
      <c r="H614" s="24" t="str">
        <v>https://nycdoe.sharepoint.com/:w:/s/BAP/Ea4VzlVKwjNLiQKM3jym3ygBmFLprBv6kDrA_jgEmQStxA</v>
      </c>
      <c r="I614" s="23">
        <v>588</v>
      </c>
      <c r="J614" s="24" t="str">
        <v>-</v>
      </c>
      <c r="K614" s="24">
        <v>1483</v>
      </c>
      <c r="L614" s="24" t="str">
        <v>10 out of 10</v>
      </c>
      <c r="M614" s="23" t="b">
        <f t="shared" si="18"/>
        <v>1</v>
      </c>
      <c r="N614" s="23" t="str">
        <v>10 out of 10</v>
      </c>
      <c r="O614" s="23"/>
      <c r="P614" s="42" t="str">
        <v>10</v>
      </c>
      <c r="Q614" s="42" t="str">
        <v>10</v>
      </c>
      <c r="R614" s="42" t="str">
        <v>10</v>
      </c>
      <c r="S614" s="10" t="str">
        <f t="shared" si="19"/>
        <v>No Change</v>
      </c>
    </row>
    <row r="615" spans="1:19" ht="120" hidden="1">
      <c r="A615" s="8" t="s">
        <v>3334</v>
      </c>
      <c r="B615" s="9" t="s">
        <v>13553</v>
      </c>
      <c r="C615" s="37" t="s">
        <v>8050</v>
      </c>
      <c r="D615" s="24"/>
      <c r="E615" s="24"/>
      <c r="F615" s="24" t="str">
        <v>Q405</v>
      </c>
      <c r="G615" s="24" t="str">
        <v>5 out of 10</v>
      </c>
      <c r="H615" s="24" t="str">
        <v>https://nycdoe.sharepoint.com/:w:/s/BAP/EQ7qBRVyzUlFpb4T5emwUXsBnwI_LoPXRDobMjP8mYtP3A</v>
      </c>
      <c r="I615" s="23">
        <v>589</v>
      </c>
      <c r="J615" s="24" t="str">
        <v>-</v>
      </c>
      <c r="K615" s="24">
        <v>1486</v>
      </c>
      <c r="L615" s="24" t="str">
        <v>5 out of 10</v>
      </c>
      <c r="M615" s="23" t="b">
        <f t="shared" si="18"/>
        <v>1</v>
      </c>
      <c r="N615" s="23" t="str">
        <v>5 out of 10</v>
      </c>
      <c r="O615" s="23"/>
      <c r="P615" s="42" t="str">
        <v>5</v>
      </c>
      <c r="Q615" s="42" t="str">
        <v>5</v>
      </c>
      <c r="R615" s="42" t="str">
        <v>5</v>
      </c>
      <c r="S615" s="10" t="str">
        <f t="shared" si="19"/>
        <v>No Change</v>
      </c>
    </row>
    <row r="616" spans="1:19" ht="120" hidden="1">
      <c r="A616" s="8" t="s">
        <v>3614</v>
      </c>
      <c r="B616" s="9" t="s">
        <v>13553</v>
      </c>
      <c r="C616" s="37" t="s">
        <v>8398</v>
      </c>
      <c r="D616" s="24"/>
      <c r="E616" s="24"/>
      <c r="F616" s="24" t="str">
        <v>Q410</v>
      </c>
      <c r="G616" s="24" t="str">
        <v>8 out of 10</v>
      </c>
      <c r="H616" s="24" t="str">
        <v>https://nycdoe.sharepoint.com/:w:/s/BAP/EQpmzsnM32FCuQpwHF5H7IUBgN43OuH7eR4Z0sNGk36aSg</v>
      </c>
      <c r="I616" s="23">
        <v>590</v>
      </c>
      <c r="J616" s="24" t="str">
        <v>-</v>
      </c>
      <c r="K616" s="24">
        <v>1489</v>
      </c>
      <c r="L616" s="24" t="str">
        <v>8 out of 10</v>
      </c>
      <c r="M616" s="23" t="b">
        <f t="shared" si="18"/>
        <v>1</v>
      </c>
      <c r="N616" s="23" t="str">
        <v>8 out of 10</v>
      </c>
      <c r="O616" s="23"/>
      <c r="P616" s="42" t="str">
        <v>8</v>
      </c>
      <c r="Q616" s="42" t="str">
        <v>8</v>
      </c>
      <c r="R616" s="42" t="str">
        <v>8</v>
      </c>
      <c r="S616" s="10" t="str">
        <f t="shared" si="19"/>
        <v>No Change</v>
      </c>
    </row>
    <row r="617" spans="1:19" ht="120" hidden="1">
      <c r="A617" s="8" t="s">
        <v>4167</v>
      </c>
      <c r="B617" s="9" t="s">
        <v>13553</v>
      </c>
      <c r="C617" s="37" t="s">
        <v>9043</v>
      </c>
      <c r="D617" s="24"/>
      <c r="E617" s="24"/>
      <c r="F617" s="24" t="str">
        <v>Q415</v>
      </c>
      <c r="G617" s="24" t="str">
        <v>3 out of 10</v>
      </c>
      <c r="H617" s="24" t="str">
        <v>https://nycdoe.sharepoint.com/:w:/s/BAP/EZsCpA0GzX1Gu0tD-FfFtJMBCRQgUWn3EBTG3hDtWX8m_g</v>
      </c>
      <c r="I617" s="23">
        <v>591</v>
      </c>
      <c r="J617" s="24" t="str">
        <v>-</v>
      </c>
      <c r="K617" s="24">
        <v>1496</v>
      </c>
      <c r="L617" s="24" t="str">
        <v>3 out of 10</v>
      </c>
      <c r="M617" s="23" t="b">
        <f t="shared" si="18"/>
        <v>1</v>
      </c>
      <c r="N617" s="23" t="str">
        <v>3 out of 10</v>
      </c>
      <c r="O617" s="23"/>
      <c r="P617" s="42" t="str">
        <v>3</v>
      </c>
      <c r="Q617" s="42" t="str">
        <v>3</v>
      </c>
      <c r="R617" s="42" t="str">
        <v>3</v>
      </c>
      <c r="S617" s="10" t="str">
        <f t="shared" si="19"/>
        <v>No Change</v>
      </c>
    </row>
    <row r="618" spans="1:19" ht="135" hidden="1">
      <c r="A618" s="8" t="s">
        <v>4172</v>
      </c>
      <c r="B618" s="11" t="s">
        <v>13553</v>
      </c>
      <c r="C618" s="37" t="s">
        <v>9047</v>
      </c>
      <c r="D618" s="24"/>
      <c r="E618" s="24"/>
      <c r="F618" s="24" t="str">
        <v>Q419</v>
      </c>
      <c r="G618" s="24" t="str">
        <v>10 out of 10</v>
      </c>
      <c r="H618" s="24" t="str">
        <v>https://nycdoe.sharepoint.com/:w:/s/BAP/EdV1THq75WhGmJGX2MOaR4kBhEvUBXm437DqzLwoucKcOA</v>
      </c>
      <c r="I618" s="23">
        <v>592</v>
      </c>
      <c r="J618" s="24" t="str">
        <v>-</v>
      </c>
      <c r="K618" s="24">
        <v>1498</v>
      </c>
      <c r="L618" s="24" t="str">
        <v>10 out of 10</v>
      </c>
      <c r="M618" s="23" t="b">
        <f t="shared" si="18"/>
        <v>1</v>
      </c>
      <c r="N618" s="23" t="str">
        <v>10 out of 10</v>
      </c>
      <c r="O618" s="23"/>
      <c r="P618" s="42" t="str">
        <v>10</v>
      </c>
      <c r="Q618" s="42" t="str">
        <v>10</v>
      </c>
      <c r="R618" s="42" t="str">
        <v>10</v>
      </c>
      <c r="S618" s="10" t="str">
        <f t="shared" si="19"/>
        <v>No Change</v>
      </c>
    </row>
    <row r="619" spans="1:19" ht="120" hidden="1">
      <c r="A619" s="8" t="s">
        <v>3341</v>
      </c>
      <c r="B619" s="9" t="s">
        <v>13553</v>
      </c>
      <c r="C619" s="37" t="s">
        <v>8056</v>
      </c>
      <c r="D619" s="24"/>
      <c r="E619" s="24"/>
      <c r="F619" s="24" t="str">
        <v>Q420</v>
      </c>
      <c r="G619" s="24" t="str">
        <v>8 out of 10</v>
      </c>
      <c r="H619" s="24" t="str">
        <v>https://nycdoe.sharepoint.com/:w:/s/BAP/EbmcbIgAadJNiFw5i1t6pjgB1-bkKaGrLICKBxEhDDvsuw</v>
      </c>
      <c r="I619" s="23">
        <v>593</v>
      </c>
      <c r="J619" s="24" t="str">
        <v>-</v>
      </c>
      <c r="K619" s="24">
        <v>1500</v>
      </c>
      <c r="L619" s="24" t="str">
        <v>8 out of 10</v>
      </c>
      <c r="M619" s="23" t="b">
        <f t="shared" si="18"/>
        <v>1</v>
      </c>
      <c r="N619" s="23" t="str">
        <v>8 out of 10</v>
      </c>
      <c r="O619" s="23"/>
      <c r="P619" s="42" t="str">
        <v>8</v>
      </c>
      <c r="Q619" s="42" t="str">
        <v>8</v>
      </c>
      <c r="R619" s="42" t="str">
        <v>8</v>
      </c>
      <c r="S619" s="10" t="str">
        <f t="shared" si="19"/>
        <v>No Change</v>
      </c>
    </row>
    <row r="620" spans="1:19" ht="120" hidden="1">
      <c r="A620" s="8" t="s">
        <v>3794</v>
      </c>
      <c r="B620" s="9" t="s">
        <v>13558</v>
      </c>
      <c r="C620" s="37" t="s">
        <v>8589</v>
      </c>
      <c r="D620" s="24"/>
      <c r="E620" s="24"/>
      <c r="F620" s="24" t="str">
        <v>Q422</v>
      </c>
      <c r="G620" s="24" t="str">
        <v>10 out of 10</v>
      </c>
      <c r="H620" s="24" t="str">
        <v>https://nycdoe.sharepoint.com/:w:/s/BAP/ERDqk81i5d1LjlK4mt0YoPsBNs6OEhpcJBqcLlzjJPiDfw</v>
      </c>
      <c r="I620" s="23">
        <v>594</v>
      </c>
      <c r="J620" s="24" t="str">
        <v>-</v>
      </c>
      <c r="K620" s="24">
        <v>1504</v>
      </c>
      <c r="L620" s="24" t="str">
        <v>10 out of 10</v>
      </c>
      <c r="M620" s="23" t="b">
        <f t="shared" si="18"/>
        <v>1</v>
      </c>
      <c r="N620" s="23" t="str">
        <v>10 out of 10</v>
      </c>
      <c r="O620" s="23"/>
      <c r="P620" s="42" t="str">
        <v>10</v>
      </c>
      <c r="Q620" s="42" t="str">
        <v>10</v>
      </c>
      <c r="R620" s="42" t="str">
        <v>10</v>
      </c>
      <c r="S620" s="10" t="str">
        <f t="shared" si="19"/>
        <v>No Change</v>
      </c>
    </row>
    <row r="621" spans="1:19" ht="120" hidden="1">
      <c r="A621" s="8" t="s">
        <v>3348</v>
      </c>
      <c r="B621" s="9" t="s">
        <v>13555</v>
      </c>
      <c r="C621" s="37" t="s">
        <v>8062</v>
      </c>
      <c r="D621" s="24"/>
      <c r="E621" s="24"/>
      <c r="F621" s="24" t="str">
        <v>Q425</v>
      </c>
      <c r="G621" s="24" t="str">
        <v>7 out of 10</v>
      </c>
      <c r="H621" s="24" t="str">
        <v>https://nycdoe.sharepoint.com/:w:/s/BAP/Ec20RqbOkU5Kvofw-6Q0N9MB0CHO7QwKNk8ojVHgLGdL2Q</v>
      </c>
      <c r="I621" s="23">
        <v>595</v>
      </c>
      <c r="J621" s="24" t="str">
        <v>-</v>
      </c>
      <c r="K621" s="24">
        <v>1505</v>
      </c>
      <c r="L621" s="24" t="str">
        <v>7 out of 10</v>
      </c>
      <c r="M621" s="23" t="b">
        <f t="shared" si="18"/>
        <v>1</v>
      </c>
      <c r="N621" s="23" t="str">
        <v>7 out of 10</v>
      </c>
      <c r="O621" s="23"/>
      <c r="P621" s="42" t="str">
        <v>7</v>
      </c>
      <c r="Q621" s="42" t="str">
        <v>7</v>
      </c>
      <c r="R621" s="42" t="str">
        <v>7</v>
      </c>
      <c r="S621" s="10" t="str">
        <f t="shared" si="19"/>
        <v>No Change</v>
      </c>
    </row>
    <row r="622" spans="1:19" ht="120" hidden="1">
      <c r="A622" s="8" t="s">
        <v>3352</v>
      </c>
      <c r="B622" s="9" t="s">
        <v>13564</v>
      </c>
      <c r="C622" s="37" t="s">
        <v>8066</v>
      </c>
      <c r="D622" s="24"/>
      <c r="E622" s="24"/>
      <c r="F622" s="24" t="str">
        <v>Q430</v>
      </c>
      <c r="G622" s="24" t="str">
        <v>9 out of 10</v>
      </c>
      <c r="H622" s="24" t="str">
        <v>https://nycdoe.sharepoint.com/:w:/s/BAP/EbtF9-UWpIdIl0foumDcfhMBE9i-CZgJU3_-cKqR4DQVOg</v>
      </c>
      <c r="I622" s="23">
        <v>596</v>
      </c>
      <c r="J622" s="24" t="str">
        <v>-</v>
      </c>
      <c r="K622" s="24">
        <v>1508</v>
      </c>
      <c r="L622" s="24" t="str">
        <v>9 out of 10</v>
      </c>
      <c r="M622" s="23" t="b">
        <f t="shared" si="18"/>
        <v>1</v>
      </c>
      <c r="N622" s="23" t="str">
        <v>9 out of 10</v>
      </c>
      <c r="O622" s="23"/>
      <c r="P622" s="42" t="str">
        <v>9</v>
      </c>
      <c r="Q622" s="42" t="str">
        <v>9</v>
      </c>
      <c r="R622" s="42" t="str">
        <v>9</v>
      </c>
      <c r="S622" s="10" t="str">
        <f t="shared" si="19"/>
        <v>No Change</v>
      </c>
    </row>
    <row r="623" spans="1:19" ht="120" hidden="1">
      <c r="A623" s="8" t="s">
        <v>3910</v>
      </c>
      <c r="B623" s="9" t="s">
        <v>13559</v>
      </c>
      <c r="C623" s="37" t="s">
        <v>8727</v>
      </c>
      <c r="D623" s="24"/>
      <c r="E623" s="24"/>
      <c r="F623" s="24" t="str">
        <v>Q434</v>
      </c>
      <c r="G623" s="24" t="str">
        <v>10 out of 10</v>
      </c>
      <c r="H623" s="24" t="str">
        <v>https://nycdoe.sharepoint.com/:w:/s/BAP/EW3ABU6dHxNOtPOTTdKlOdAB1oudUTGGc4nV7cIQztNTzA</v>
      </c>
      <c r="I623" s="23">
        <v>597</v>
      </c>
      <c r="J623" s="24" t="str">
        <v>-</v>
      </c>
      <c r="K623" s="24">
        <v>1510</v>
      </c>
      <c r="L623" s="24" t="str">
        <v>10 out of 10</v>
      </c>
      <c r="M623" s="23" t="b">
        <f t="shared" si="18"/>
        <v>1</v>
      </c>
      <c r="N623" s="23" t="str">
        <v>10 out of 10</v>
      </c>
      <c r="O623" s="23"/>
      <c r="P623" s="42" t="str">
        <v>10</v>
      </c>
      <c r="Q623" s="42" t="str">
        <v>10</v>
      </c>
      <c r="R623" s="42" t="str">
        <v>10</v>
      </c>
      <c r="S623" s="10" t="str">
        <f t="shared" si="19"/>
        <v>No Change</v>
      </c>
    </row>
    <row r="624" spans="1:19" ht="120" hidden="1">
      <c r="A624" s="8" t="s">
        <v>4046</v>
      </c>
      <c r="B624" s="9" t="s">
        <v>13558</v>
      </c>
      <c r="C624" s="37" t="s">
        <v>8888</v>
      </c>
      <c r="D624" s="24"/>
      <c r="E624" s="24"/>
      <c r="F624" s="24" t="str">
        <v>Q435</v>
      </c>
      <c r="G624" s="24" t="str">
        <v>8 out of 10</v>
      </c>
      <c r="H624" s="24" t="str">
        <v>https://nycdoe.sharepoint.com/:w:/s/BAP/ERFJZ6aCKFROin-ehx771EsBU6rs2G7oL9xVOYimIFdTXg</v>
      </c>
      <c r="I624" s="23">
        <v>598</v>
      </c>
      <c r="J624" s="24" t="str">
        <v>-</v>
      </c>
      <c r="K624" s="24">
        <v>1511</v>
      </c>
      <c r="L624" s="24" t="str">
        <v>8 out of 10</v>
      </c>
      <c r="M624" s="23" t="b">
        <f t="shared" si="18"/>
        <v>1</v>
      </c>
      <c r="N624" s="23" t="str">
        <v>8 out of 10</v>
      </c>
      <c r="O624" s="23"/>
      <c r="P624" s="42" t="str">
        <v>8</v>
      </c>
      <c r="Q624" s="42" t="str">
        <v>8</v>
      </c>
      <c r="R624" s="42" t="str">
        <v>8</v>
      </c>
      <c r="S624" s="10" t="str">
        <f t="shared" si="19"/>
        <v>No Change</v>
      </c>
    </row>
    <row r="625" spans="1:19" ht="120" hidden="1">
      <c r="A625" s="8" t="s">
        <v>3799</v>
      </c>
      <c r="B625" s="9" t="s">
        <v>13553</v>
      </c>
      <c r="C625" s="37" t="s">
        <v>8591</v>
      </c>
      <c r="D625" s="24"/>
      <c r="E625" s="24"/>
      <c r="F625" s="24" t="str">
        <v>Q438</v>
      </c>
      <c r="G625" s="24" t="str">
        <v>10 out of 10</v>
      </c>
      <c r="H625" s="24" t="str">
        <v>https://nycdoe.sharepoint.com/:w:/s/BAP/EUZ3XNTLPC9JiphybBO9B3gBTT-z_E2Fw1x3q9VSsadfLg</v>
      </c>
      <c r="I625" s="23">
        <v>599</v>
      </c>
      <c r="J625" s="24" t="str">
        <v>-</v>
      </c>
      <c r="K625" s="24">
        <v>1515</v>
      </c>
      <c r="L625" s="24" t="str">
        <v>10 out of 10</v>
      </c>
      <c r="M625" s="23" t="b">
        <f t="shared" si="18"/>
        <v>1</v>
      </c>
      <c r="N625" s="23" t="str">
        <v>10 out of 10</v>
      </c>
      <c r="O625" s="23"/>
      <c r="P625" s="42" t="str">
        <v>10</v>
      </c>
      <c r="Q625" s="42" t="str">
        <v>10</v>
      </c>
      <c r="R625" s="42" t="str">
        <v>10</v>
      </c>
      <c r="S625" s="10" t="str">
        <f t="shared" si="19"/>
        <v>No Change</v>
      </c>
    </row>
    <row r="626" spans="1:19" ht="120" hidden="1">
      <c r="A626" s="8" t="s">
        <v>9048</v>
      </c>
      <c r="B626" s="9" t="s">
        <v>13555</v>
      </c>
      <c r="C626" s="37" t="s">
        <v>9050</v>
      </c>
      <c r="D626" s="24"/>
      <c r="E626" s="24"/>
      <c r="F626" s="24" t="str">
        <v>Q440</v>
      </c>
      <c r="G626" s="24" t="str">
        <v>8 out of 10</v>
      </c>
      <c r="H626" s="24" t="str">
        <v>https://nycdoe.sharepoint.com/:w:/s/BAP/ETmG-xrlo9pKt4zIGT9dz8MBRcqWbRur_u91atMVdoaAaQ</v>
      </c>
      <c r="I626" s="23">
        <v>600</v>
      </c>
      <c r="J626" s="24" t="str">
        <v>-</v>
      </c>
      <c r="K626" s="24">
        <v>1517</v>
      </c>
      <c r="L626" s="24" t="str">
        <v>8 out of 10</v>
      </c>
      <c r="M626" s="23" t="b">
        <f t="shared" si="18"/>
        <v>1</v>
      </c>
      <c r="N626" s="23" t="str">
        <v>8 out of 10</v>
      </c>
      <c r="O626" s="23"/>
      <c r="P626" s="42" t="str">
        <v>8</v>
      </c>
      <c r="Q626" s="42" t="str">
        <v>8</v>
      </c>
      <c r="R626" s="42" t="str">
        <v>8</v>
      </c>
      <c r="S626" s="10" t="str">
        <f t="shared" si="19"/>
        <v>No Change</v>
      </c>
    </row>
    <row r="627" spans="1:19" ht="120" hidden="1">
      <c r="A627" s="8" t="s">
        <v>3914</v>
      </c>
      <c r="B627" s="9" t="s">
        <v>13560</v>
      </c>
      <c r="C627" s="37" t="s">
        <v>8731</v>
      </c>
      <c r="D627" s="24"/>
      <c r="E627" s="24"/>
      <c r="F627" s="24" t="str">
        <v>Q445</v>
      </c>
      <c r="G627" s="24" t="str">
        <v>0 out of 10</v>
      </c>
      <c r="H627" s="24" t="str">
        <v>https://nycdoe.sharepoint.com/:w:/s/BAP/EfGByO1KHb1AsN56EbrdEnUBbHMriDOsSC2HhH9foBVmaA</v>
      </c>
      <c r="I627" s="23">
        <v>601</v>
      </c>
      <c r="J627" s="24" t="str">
        <v>-</v>
      </c>
      <c r="K627" s="24">
        <v>1521</v>
      </c>
      <c r="L627" s="24" t="str">
        <v>N/A out of 10</v>
      </c>
      <c r="M627" s="23" t="b">
        <f t="shared" si="18"/>
        <v>0</v>
      </c>
      <c r="N627" s="23" t="str">
        <v>0 out of 10</v>
      </c>
      <c r="O627" s="23"/>
      <c r="P627" s="42" t="str">
        <v>0</v>
      </c>
      <c r="Q627" s="42" t="str">
        <v>N/A</v>
      </c>
      <c r="R627" s="42" t="str">
        <v>0</v>
      </c>
      <c r="S627" s="10" t="str">
        <f t="shared" si="19"/>
        <v>No Change</v>
      </c>
    </row>
    <row r="628" spans="1:19" ht="120" hidden="1">
      <c r="A628" s="8" t="s">
        <v>3919</v>
      </c>
      <c r="B628" s="9" t="s">
        <v>13553</v>
      </c>
      <c r="C628" s="37" t="s">
        <v>8735</v>
      </c>
      <c r="D628" s="24"/>
      <c r="E628" s="24"/>
      <c r="F628" s="24" t="str">
        <v>Q452</v>
      </c>
      <c r="G628" s="24" t="str">
        <v>10 out of 10</v>
      </c>
      <c r="H628" s="24" t="str">
        <v>https://nycdoe.sharepoint.com/:w:/s/BAP/EScD3agUgupMojD4sflQx8gBZ8EPy0OuoUR6shiq9IBWsQ</v>
      </c>
      <c r="I628" s="23">
        <v>602</v>
      </c>
      <c r="J628" s="24" t="str">
        <v>-</v>
      </c>
      <c r="K628" s="24">
        <v>1525</v>
      </c>
      <c r="L628" s="24" t="str">
        <v>10 out of 10</v>
      </c>
      <c r="M628" s="23" t="b">
        <f t="shared" si="18"/>
        <v>1</v>
      </c>
      <c r="N628" s="23" t="str">
        <v>10 out of 10</v>
      </c>
      <c r="O628" s="23"/>
      <c r="P628" s="42" t="str">
        <v>10</v>
      </c>
      <c r="Q628" s="42" t="str">
        <v>10</v>
      </c>
      <c r="R628" s="42" t="str">
        <v>10</v>
      </c>
      <c r="S628" s="10" t="str">
        <f t="shared" si="19"/>
        <v>No Change</v>
      </c>
    </row>
    <row r="629" spans="1:19" ht="135" hidden="1">
      <c r="A629" s="8" t="s">
        <v>3926</v>
      </c>
      <c r="B629" s="9" t="s">
        <v>13553</v>
      </c>
      <c r="C629" s="37" t="s">
        <v>8741</v>
      </c>
      <c r="D629" s="24"/>
      <c r="E629" s="24"/>
      <c r="F629" s="24" t="str">
        <v>Q455</v>
      </c>
      <c r="G629" s="24" t="str">
        <v>0+ out of 10</v>
      </c>
      <c r="H629" s="24" t="str">
        <v>https://nycdoe.sharepoint.com/:w:/s/BAP/EYKSAg9mn1ZGm1-GE50pQS0B4fdiOO7N4a2fFrD7nTPnfQ</v>
      </c>
      <c r="I629" s="23">
        <v>603</v>
      </c>
      <c r="J629" s="24" t="str">
        <v>-</v>
      </c>
      <c r="K629" s="24">
        <v>1528</v>
      </c>
      <c r="L629" s="24" t="str">
        <v>N/A out of 10</v>
      </c>
      <c r="M629" s="23" t="b">
        <f t="shared" si="18"/>
        <v>0</v>
      </c>
      <c r="N629" s="23" t="str">
        <v>0+ out of 10</v>
      </c>
      <c r="O629" s="23"/>
      <c r="P629" s="42" t="str">
        <v>0+</v>
      </c>
      <c r="Q629" s="42" t="str">
        <v>N/A</v>
      </c>
      <c r="R629" s="42" t="str">
        <v>0+</v>
      </c>
      <c r="S629" s="10" t="str">
        <f t="shared" si="19"/>
        <v>No Change</v>
      </c>
    </row>
    <row r="630" spans="1:19" ht="120" hidden="1">
      <c r="A630" s="8" t="s">
        <v>3930</v>
      </c>
      <c r="B630" s="9" t="s">
        <v>13553</v>
      </c>
      <c r="C630" s="37" t="s">
        <v>8745</v>
      </c>
      <c r="D630" s="24"/>
      <c r="E630" s="24"/>
      <c r="F630" s="24" t="str">
        <v>Q460</v>
      </c>
      <c r="G630" s="24" t="str">
        <v>0+ out of 10</v>
      </c>
      <c r="H630" s="24" t="str">
        <v>https://nycdoe.sharepoint.com/:w:/s/BAP/EWXsad4O5_5Akyoc-xdRpdkBTefhtlNQciu896pL-g_Slg</v>
      </c>
      <c r="I630" s="23">
        <v>604</v>
      </c>
      <c r="J630" s="24" t="str">
        <v>-</v>
      </c>
      <c r="K630" s="24">
        <v>1531</v>
      </c>
      <c r="L630" s="24" t="str">
        <v>N/A out of 10</v>
      </c>
      <c r="M630" s="23" t="b">
        <f t="shared" si="18"/>
        <v>0</v>
      </c>
      <c r="N630" s="23" t="str">
        <v>0+ out of 10</v>
      </c>
      <c r="O630" s="23"/>
      <c r="P630" s="42" t="str">
        <v>0+</v>
      </c>
      <c r="Q630" s="42" t="str">
        <v>N/A</v>
      </c>
      <c r="R630" s="42" t="str">
        <v>0+</v>
      </c>
      <c r="S630" s="10" t="str">
        <f t="shared" si="19"/>
        <v>No Change</v>
      </c>
    </row>
    <row r="631" spans="1:19" ht="120" hidden="1">
      <c r="A631" s="8" t="s">
        <v>3345</v>
      </c>
      <c r="B631" s="9" t="s">
        <v>13553</v>
      </c>
      <c r="C631" s="37" t="s">
        <v>8070</v>
      </c>
      <c r="D631" s="24"/>
      <c r="E631" s="24"/>
      <c r="F631" s="24" t="str">
        <v>Q465</v>
      </c>
      <c r="G631" s="24" t="str">
        <v>0 out of 10</v>
      </c>
      <c r="H631" s="24" t="str">
        <v>https://nycdoe.sharepoint.com/:w:/s/BAP/EdwA3D7d4Z5AiztQuLboEiYBA4JtS2spUwE8gnbtUMVmtg</v>
      </c>
      <c r="I631" s="23">
        <v>605</v>
      </c>
      <c r="J631" s="24" t="str">
        <v>-</v>
      </c>
      <c r="K631" s="24">
        <v>1535</v>
      </c>
      <c r="L631" s="24" t="str">
        <v>N/A out of 10</v>
      </c>
      <c r="M631" s="23" t="b">
        <f t="shared" si="18"/>
        <v>0</v>
      </c>
      <c r="N631" s="23" t="str">
        <v>0 out of 10</v>
      </c>
      <c r="O631" s="23"/>
      <c r="P631" s="42" t="str">
        <v>0</v>
      </c>
      <c r="Q631" s="42" t="str">
        <v>N/A</v>
      </c>
      <c r="R631" s="42" t="str">
        <v>0</v>
      </c>
      <c r="S631" s="10" t="str">
        <f t="shared" si="19"/>
        <v>No Change</v>
      </c>
    </row>
    <row r="632" spans="1:19" ht="120" hidden="1">
      <c r="A632" s="8" t="s">
        <v>3360</v>
      </c>
      <c r="B632" s="9" t="s">
        <v>13553</v>
      </c>
      <c r="C632" s="37" t="s">
        <v>8072</v>
      </c>
      <c r="D632" s="24"/>
      <c r="E632" s="24"/>
      <c r="F632" s="24" t="str">
        <v>Q470</v>
      </c>
      <c r="G632" s="24" t="str">
        <v>0 out of 10</v>
      </c>
      <c r="H632" s="24" t="str">
        <v>https://nycdoe.sharepoint.com/:w:/s/BAP/EfV3TpbZ-WNOrgsTgcK6_QYBmMzttf3-wSsI62DzPAnlIA</v>
      </c>
      <c r="I632" s="23">
        <v>606</v>
      </c>
      <c r="J632" s="24" t="str">
        <v>-</v>
      </c>
      <c r="K632" s="24">
        <v>1541</v>
      </c>
      <c r="L632" s="24" t="str">
        <v>N/A out of 10</v>
      </c>
      <c r="M632" s="23" t="b">
        <f t="shared" si="18"/>
        <v>0</v>
      </c>
      <c r="N632" s="23" t="str">
        <v>0 out of 10</v>
      </c>
      <c r="O632" s="23"/>
      <c r="P632" s="42" t="str">
        <v>0</v>
      </c>
      <c r="Q632" s="42" t="str">
        <v>N/A</v>
      </c>
      <c r="R632" s="42" t="str">
        <v>0</v>
      </c>
      <c r="S632" s="10" t="str">
        <f t="shared" si="19"/>
        <v>No Change</v>
      </c>
    </row>
    <row r="633" spans="1:19" ht="120" hidden="1">
      <c r="A633" s="8" t="s">
        <v>4176</v>
      </c>
      <c r="B633" s="9" t="s">
        <v>13553</v>
      </c>
      <c r="C633" s="37" t="s">
        <v>9054</v>
      </c>
      <c r="D633" s="24"/>
      <c r="E633" s="24"/>
      <c r="F633" s="24" t="str">
        <v>Q475</v>
      </c>
      <c r="G633" s="24" t="str">
        <v>1 out of 10</v>
      </c>
      <c r="H633" s="24" t="str">
        <v>https://nycdoe.sharepoint.com/:w:/s/BAP/EQl4jWQRZftMkRnxAmAFAOUBfMmjEB_847B5dEQK1eIu2w</v>
      </c>
      <c r="I633" s="23">
        <v>607</v>
      </c>
      <c r="J633" s="24" t="str">
        <v>-</v>
      </c>
      <c r="K633" s="24">
        <v>1547</v>
      </c>
      <c r="L633" s="24" t="str">
        <v>1 out of 10</v>
      </c>
      <c r="M633" s="23" t="b">
        <f t="shared" si="18"/>
        <v>1</v>
      </c>
      <c r="N633" s="23" t="str">
        <v>1 out of 10</v>
      </c>
      <c r="O633" s="23"/>
      <c r="P633" s="42" t="str">
        <v>1</v>
      </c>
      <c r="Q633" s="42" t="str">
        <v>1</v>
      </c>
      <c r="R633" s="42" t="str">
        <v>1</v>
      </c>
      <c r="S633" s="10" t="str">
        <f t="shared" si="19"/>
        <v>No Change</v>
      </c>
    </row>
    <row r="634" spans="1:19" ht="135" hidden="1">
      <c r="A634" s="8" t="s">
        <v>3362</v>
      </c>
      <c r="B634" s="9" t="s">
        <v>13553</v>
      </c>
      <c r="C634" s="37" t="s">
        <v>8076</v>
      </c>
      <c r="D634" s="24"/>
      <c r="E634" s="24"/>
      <c r="F634" s="24" t="str">
        <v>Q480</v>
      </c>
      <c r="G634" s="24" t="str">
        <v>9 out of 10</v>
      </c>
      <c r="H634" s="24" t="str">
        <v>https://nycdoe.sharepoint.com/:w:/s/BAP/EXlH9OVD9RdOi-HaEaLkTKoB9_upGJi5xdv2Tq2tDrY9zw</v>
      </c>
      <c r="I634" s="23">
        <v>608</v>
      </c>
      <c r="J634" s="24" t="str">
        <v>-</v>
      </c>
      <c r="K634" s="24">
        <v>1549</v>
      </c>
      <c r="L634" s="24" t="str">
        <v>9 out of 10</v>
      </c>
      <c r="M634" s="23" t="b">
        <f t="shared" si="18"/>
        <v>1</v>
      </c>
      <c r="N634" s="23" t="str">
        <v>9 out of 10</v>
      </c>
      <c r="O634" s="23"/>
      <c r="P634" s="42" t="str">
        <v>9</v>
      </c>
      <c r="Q634" s="42" t="str">
        <v>9</v>
      </c>
      <c r="R634" s="42" t="str">
        <v>9</v>
      </c>
      <c r="S634" s="10" t="str">
        <f t="shared" si="19"/>
        <v>No Change</v>
      </c>
    </row>
    <row r="635" spans="1:19" ht="120" hidden="1">
      <c r="A635" s="8" t="s">
        <v>4181</v>
      </c>
      <c r="B635" s="9" t="s">
        <v>13557</v>
      </c>
      <c r="C635" s="37" t="s">
        <v>9058</v>
      </c>
      <c r="D635" s="24"/>
      <c r="E635" s="24"/>
      <c r="F635" s="24" t="str">
        <v>Q485</v>
      </c>
      <c r="G635" s="24" t="str">
        <v>8 out of 10</v>
      </c>
      <c r="H635" s="24" t="str">
        <v>https://nycdoe.sharepoint.com/:w:/s/BAP/EdtWs_glbFhPg7nU-ZxJ_ikBWIshJNE0DqnF3KEnkvbCCw</v>
      </c>
      <c r="I635" s="23">
        <v>609</v>
      </c>
      <c r="J635" s="24" t="str">
        <v>-</v>
      </c>
      <c r="K635" s="24">
        <v>1551</v>
      </c>
      <c r="L635" s="24" t="str">
        <v>8 out of 10</v>
      </c>
      <c r="M635" s="23" t="b">
        <f t="shared" si="18"/>
        <v>1</v>
      </c>
      <c r="N635" s="23" t="str">
        <v>8 out of 10</v>
      </c>
      <c r="O635" s="23"/>
      <c r="P635" s="42" t="str">
        <v>8</v>
      </c>
      <c r="Q635" s="42" t="str">
        <v>8</v>
      </c>
      <c r="R635" s="42" t="str">
        <v>8</v>
      </c>
      <c r="S635" s="10" t="str">
        <f t="shared" si="19"/>
        <v>No Change</v>
      </c>
    </row>
    <row r="636" spans="1:19" ht="120" hidden="1">
      <c r="A636" s="8" t="s">
        <v>3373</v>
      </c>
      <c r="B636" s="9" t="s">
        <v>13553</v>
      </c>
      <c r="C636" s="37" t="s">
        <v>8084</v>
      </c>
      <c r="D636" s="24"/>
      <c r="E636" s="24"/>
      <c r="F636" s="24" t="str">
        <v>Q490</v>
      </c>
      <c r="G636" s="24" t="str">
        <v>9 out of 10</v>
      </c>
      <c r="H636" s="24" t="str">
        <v>https://nycdoe.sharepoint.com/:w:/s/BAP/EdJGqdEjDt1KuWhgZvjK2LUB_rl_0tXmUpvAvXE4s7Mucg</v>
      </c>
      <c r="I636" s="23">
        <v>610</v>
      </c>
      <c r="J636" s="24" t="str">
        <v>-</v>
      </c>
      <c r="K636" s="24">
        <v>1554</v>
      </c>
      <c r="L636" s="24" t="str">
        <v>9 out of 10</v>
      </c>
      <c r="M636" s="23" t="b">
        <f t="shared" si="18"/>
        <v>1</v>
      </c>
      <c r="N636" s="23" t="str">
        <v>9 out of 10</v>
      </c>
      <c r="O636" s="23"/>
      <c r="P636" s="42" t="str">
        <v>9</v>
      </c>
      <c r="Q636" s="42" t="str">
        <v>9</v>
      </c>
      <c r="R636" s="42" t="str">
        <v>9</v>
      </c>
      <c r="S636" s="10" t="str">
        <f t="shared" si="19"/>
        <v>No Change</v>
      </c>
    </row>
    <row r="637" spans="1:19" ht="120" hidden="1">
      <c r="A637" s="8" t="s">
        <v>8594</v>
      </c>
      <c r="B637" s="11" t="s">
        <v>13555</v>
      </c>
      <c r="C637" s="37" t="s">
        <v>8596</v>
      </c>
      <c r="D637" s="24"/>
      <c r="E637" s="24"/>
      <c r="F637" s="24" t="str">
        <v>Q499</v>
      </c>
      <c r="G637" s="24" t="str">
        <v>10 out of 10</v>
      </c>
      <c r="H637" s="24" t="str">
        <v>https://nycdoe.sharepoint.com/:w:/s/BAP/EWz8QT6bVFdHmosMi5Ijy6kBb2i50o6unagTta-ztlCJew</v>
      </c>
      <c r="I637" s="23">
        <v>611</v>
      </c>
      <c r="J637" s="24" t="str">
        <v>-</v>
      </c>
      <c r="K637" s="24">
        <v>1558</v>
      </c>
      <c r="L637" s="24" t="str">
        <v>10 out of 10</v>
      </c>
      <c r="M637" s="23" t="b">
        <f t="shared" si="18"/>
        <v>1</v>
      </c>
      <c r="N637" s="23" t="str">
        <v>10 out of 10</v>
      </c>
      <c r="O637" s="23"/>
      <c r="P637" s="42" t="str">
        <v>10</v>
      </c>
      <c r="Q637" s="42" t="str">
        <v>10</v>
      </c>
      <c r="R637" s="42" t="str">
        <v>10</v>
      </c>
      <c r="S637" s="10" t="str">
        <f t="shared" si="19"/>
        <v>No Change</v>
      </c>
    </row>
    <row r="638" spans="1:19" ht="120" hidden="1">
      <c r="A638" s="8" t="s">
        <v>3934</v>
      </c>
      <c r="B638" s="9" t="s">
        <v>13553</v>
      </c>
      <c r="C638" s="37" t="s">
        <v>8749</v>
      </c>
      <c r="D638" s="24"/>
      <c r="E638" s="24"/>
      <c r="F638" s="24" t="str">
        <v>Q505</v>
      </c>
      <c r="G638" s="24" t="str">
        <v>8 out of 10</v>
      </c>
      <c r="H638" s="24" t="str">
        <v>https://nycdoe.sharepoint.com/:w:/s/BAP/EZ5GYnVrcE5JjtAfNh0B5ugBeBfUIb8tvsfFEDhTvoYIDw</v>
      </c>
      <c r="I638" s="23">
        <v>612</v>
      </c>
      <c r="J638" s="24" t="str">
        <v>-</v>
      </c>
      <c r="K638" s="24">
        <v>1560</v>
      </c>
      <c r="L638" s="24" t="str">
        <v>8 out of 10</v>
      </c>
      <c r="M638" s="23" t="b">
        <f t="shared" si="18"/>
        <v>1</v>
      </c>
      <c r="N638" s="23" t="str">
        <v>8 out of 10</v>
      </c>
      <c r="O638" s="23"/>
      <c r="P638" s="42" t="str">
        <v>8</v>
      </c>
      <c r="Q638" s="42" t="str">
        <v>8</v>
      </c>
      <c r="R638" s="42" t="str">
        <v>8</v>
      </c>
      <c r="S638" s="10" t="str">
        <f t="shared" si="19"/>
        <v>No Change</v>
      </c>
    </row>
    <row r="639" spans="1:19" ht="120" hidden="1">
      <c r="A639" s="8" t="s">
        <v>4186</v>
      </c>
      <c r="B639" s="9" t="s">
        <v>13553</v>
      </c>
      <c r="C639" s="37" t="s">
        <v>9062</v>
      </c>
      <c r="D639" s="24"/>
      <c r="E639" s="24"/>
      <c r="F639" s="24" t="str">
        <v>Q515</v>
      </c>
      <c r="G639" s="24" t="str">
        <v>10 out of 10</v>
      </c>
      <c r="H639" s="24" t="str">
        <v>https://nycdoe.sharepoint.com/:w:/s/BAP/EQMELIIZpllMv7RqTBIXBCUBpoV6GlykR3epc0i2uqWY4A</v>
      </c>
      <c r="I639" s="23">
        <v>613</v>
      </c>
      <c r="J639" s="24" t="str">
        <v>-</v>
      </c>
      <c r="K639" s="24">
        <v>1561</v>
      </c>
      <c r="L639" s="24" t="str">
        <v>10 out of 10</v>
      </c>
      <c r="M639" s="23" t="b">
        <f t="shared" si="18"/>
        <v>1</v>
      </c>
      <c r="N639" s="23" t="str">
        <v>10 out of 10</v>
      </c>
      <c r="O639" s="23"/>
      <c r="P639" s="42" t="str">
        <v>10</v>
      </c>
      <c r="Q639" s="42" t="str">
        <v>10</v>
      </c>
      <c r="R639" s="42" t="str">
        <v>10</v>
      </c>
      <c r="S639" s="10" t="str">
        <f t="shared" si="19"/>
        <v>No Change</v>
      </c>
    </row>
    <row r="640" spans="1:19" ht="120" hidden="1">
      <c r="A640" s="8" t="s">
        <v>8399</v>
      </c>
      <c r="B640" s="9" t="s">
        <v>13558</v>
      </c>
      <c r="C640" s="37" t="s">
        <v>8401</v>
      </c>
      <c r="D640" s="24"/>
      <c r="E640" s="24"/>
      <c r="F640" s="24" t="str">
        <v>Q520</v>
      </c>
      <c r="G640" s="24" t="str">
        <v>10 out of 10</v>
      </c>
      <c r="H640" s="24" t="str">
        <v>https://nycdoe.sharepoint.com/:w:/s/BAP/EfA505VniedBu0cYp4TMrZ4BgOBcTTmc7dG2O7edE9YqJQ</v>
      </c>
      <c r="I640" s="23">
        <v>614</v>
      </c>
      <c r="J640" s="24" t="str">
        <v>-</v>
      </c>
      <c r="K640" s="24">
        <v>1563</v>
      </c>
      <c r="L640" s="24" t="str">
        <v>10 out of 10</v>
      </c>
      <c r="M640" s="23" t="b">
        <f t="shared" si="18"/>
        <v>1</v>
      </c>
      <c r="N640" s="23" t="str">
        <v>10 out of 10</v>
      </c>
      <c r="O640" s="23"/>
      <c r="P640" s="42" t="str">
        <v>10</v>
      </c>
      <c r="Q640" s="42" t="str">
        <v>10</v>
      </c>
      <c r="R640" s="42" t="str">
        <v>10</v>
      </c>
      <c r="S640" s="10" t="str">
        <f t="shared" si="19"/>
        <v>No Change</v>
      </c>
    </row>
    <row r="641" spans="1:19" ht="120" hidden="1">
      <c r="A641" s="8" t="s">
        <v>3597</v>
      </c>
      <c r="B641" s="9" t="s">
        <v>13558</v>
      </c>
      <c r="C641" s="37" t="s">
        <v>8403</v>
      </c>
      <c r="D641" s="24"/>
      <c r="E641" s="24"/>
      <c r="F641" s="24" t="str">
        <v>Q566</v>
      </c>
      <c r="G641" s="24" t="str">
        <v>10 out of 10</v>
      </c>
      <c r="H641" s="24" t="str">
        <v>https://nycdoe.sharepoint.com/:w:/s/BAP/EbEFfpHjDmhNpx4o3IbSbF8BW9RbW25wG2MtGLT4SucimA</v>
      </c>
      <c r="I641" s="23">
        <v>615</v>
      </c>
      <c r="J641" s="24" t="str">
        <v>-</v>
      </c>
      <c r="K641" s="24">
        <v>1565</v>
      </c>
      <c r="L641" s="24" t="str">
        <v>10 out of 10</v>
      </c>
      <c r="M641" s="23" t="b">
        <f t="shared" si="18"/>
        <v>1</v>
      </c>
      <c r="N641" s="23" t="str">
        <v>10 out of 10</v>
      </c>
      <c r="O641" s="23"/>
      <c r="P641" s="42" t="str">
        <v>10</v>
      </c>
      <c r="Q641" s="42" t="str">
        <v>10</v>
      </c>
      <c r="R641" s="42" t="str">
        <v>10</v>
      </c>
      <c r="S641" s="10" t="str">
        <f t="shared" si="19"/>
        <v>No Change</v>
      </c>
    </row>
    <row r="642" spans="1:19" ht="120" hidden="1">
      <c r="A642" s="8" t="s">
        <v>8889</v>
      </c>
      <c r="B642" s="9" t="s">
        <v>13555</v>
      </c>
      <c r="C642" s="37" t="s">
        <v>8891</v>
      </c>
      <c r="D642" s="24"/>
      <c r="E642" s="24"/>
      <c r="F642" s="24" t="str">
        <v>Q570</v>
      </c>
      <c r="G642" s="24" t="str">
        <v>10 out of 10</v>
      </c>
      <c r="H642" s="24" t="str">
        <v>https://nycdoe.sharepoint.com/:w:/s/BAP/EU12ETaacY1LiN7Rull5argB7eK4lh0DGKQRbfoQq9TdNA</v>
      </c>
      <c r="I642" s="23">
        <v>616</v>
      </c>
      <c r="J642" s="24" t="str">
        <v>-</v>
      </c>
      <c r="K642" s="24">
        <v>1567</v>
      </c>
      <c r="L642" s="24" t="str">
        <v>10 out of 10</v>
      </c>
      <c r="M642" s="23" t="b">
        <f t="shared" si="18"/>
        <v>1</v>
      </c>
      <c r="N642" s="23" t="str">
        <v>10 out of 10</v>
      </c>
      <c r="O642" s="23"/>
      <c r="P642" s="42" t="str">
        <v>10</v>
      </c>
      <c r="Q642" s="42" t="str">
        <v>10</v>
      </c>
      <c r="R642" s="42" t="str">
        <v>10</v>
      </c>
      <c r="S642" s="10" t="str">
        <f t="shared" si="19"/>
        <v>No Change</v>
      </c>
    </row>
    <row r="643" spans="1:19" ht="135" hidden="1">
      <c r="A643" s="8" t="s">
        <v>3386</v>
      </c>
      <c r="B643" s="9" t="s">
        <v>13555</v>
      </c>
      <c r="C643" s="37" t="s">
        <v>8094</v>
      </c>
      <c r="D643" s="24"/>
      <c r="E643" s="24"/>
      <c r="F643" s="24" t="str">
        <v>Q575</v>
      </c>
      <c r="G643" s="24" t="str">
        <v>10 out of 10</v>
      </c>
      <c r="H643" s="24" t="str">
        <v>https://nycdoe.sharepoint.com/:w:/s/BAP/EbF91P7-3LFHtcHmHHNm-SkBt9EKaTuPEL9behi7IqvIdQ</v>
      </c>
      <c r="I643" s="23">
        <v>617</v>
      </c>
      <c r="J643" s="24" t="str">
        <v>-</v>
      </c>
      <c r="K643" s="24">
        <v>1569</v>
      </c>
      <c r="L643" s="24" t="str">
        <v>10 out of 10</v>
      </c>
      <c r="M643" s="23" t="b">
        <f t="shared" ref="M643:M706" si="20">G643=L643</f>
        <v>1</v>
      </c>
      <c r="N643" s="23" t="str">
        <v>10 out of 10</v>
      </c>
      <c r="O643" s="23"/>
      <c r="P643" s="42" t="str">
        <v>10</v>
      </c>
      <c r="Q643" s="42" t="str">
        <v>10</v>
      </c>
      <c r="R643" s="42" t="str">
        <v>10</v>
      </c>
      <c r="S643" s="10" t="str">
        <f t="shared" ref="S643:S706" si="21">IFERROR(IF(OR(R643="0+",R643=0,AND(Q643="N/A")),"No Change",IF(R643&lt;&gt;Q643,"Change",IF(R643=Q643,"No Change",))),"Check BAP")</f>
        <v>No Change</v>
      </c>
    </row>
    <row r="644" spans="1:19" ht="120" hidden="1">
      <c r="A644" s="8" t="s">
        <v>8750</v>
      </c>
      <c r="B644" s="9" t="s">
        <v>13553</v>
      </c>
      <c r="C644" s="37" t="s">
        <v>8755</v>
      </c>
      <c r="D644" s="24"/>
      <c r="E644" s="24"/>
      <c r="F644" s="24" t="str">
        <v>Q585</v>
      </c>
      <c r="G644" s="24" t="str">
        <v>10 out of 10</v>
      </c>
      <c r="H644" s="24" t="str">
        <v>https://nycdoe.sharepoint.com/:w:/s/BAP/Ebgyq_Mz-IRHpmwK8PXSxH0BVHUO8wRnxzHaEVhB-lF1gA</v>
      </c>
      <c r="I644" s="23">
        <v>618</v>
      </c>
      <c r="J644" s="24" t="str">
        <v>-</v>
      </c>
      <c r="K644" s="24">
        <v>1570</v>
      </c>
      <c r="L644" s="24" t="str">
        <v>10 out of 10</v>
      </c>
      <c r="M644" s="23" t="b">
        <f t="shared" si="20"/>
        <v>1</v>
      </c>
      <c r="N644" s="23" t="str">
        <v>10 out of 10</v>
      </c>
      <c r="O644" s="23"/>
      <c r="P644" s="42" t="str">
        <v>10</v>
      </c>
      <c r="Q644" s="42" t="str">
        <v>10</v>
      </c>
      <c r="R644" s="42" t="str">
        <v>10</v>
      </c>
      <c r="S644" s="10" t="str">
        <f t="shared" si="21"/>
        <v>No Change</v>
      </c>
    </row>
    <row r="645" spans="1:19" ht="135" hidden="1">
      <c r="A645" s="8" t="s">
        <v>8756</v>
      </c>
      <c r="B645" s="9" t="s">
        <v>13555</v>
      </c>
      <c r="C645" s="37" t="s">
        <v>8757</v>
      </c>
      <c r="D645" s="24"/>
      <c r="E645" s="24"/>
      <c r="F645" s="24" t="str">
        <v>Q593</v>
      </c>
      <c r="G645" s="24" t="str">
        <v>1 out of 10</v>
      </c>
      <c r="H645" s="24" t="str">
        <v>https://nycdoe.sharepoint.com/:w:/s/BAP/EWDt5GMXPJFAlD2_lmUZc4kBhyUfI8D36SI-XwSl03nBJQ</v>
      </c>
      <c r="I645" s="23">
        <v>619</v>
      </c>
      <c r="J645" s="24" t="str">
        <v>-</v>
      </c>
      <c r="K645" s="24">
        <v>1572</v>
      </c>
      <c r="L645" s="24" t="str">
        <v>1 out of 10</v>
      </c>
      <c r="M645" s="23" t="b">
        <f t="shared" si="20"/>
        <v>1</v>
      </c>
      <c r="N645" s="23" t="str">
        <v>1 out of 10</v>
      </c>
      <c r="O645" s="23"/>
      <c r="P645" s="42" t="str">
        <v>1</v>
      </c>
      <c r="Q645" s="42" t="str">
        <v>1</v>
      </c>
      <c r="R645" s="42" t="str">
        <v>1</v>
      </c>
      <c r="S645" s="10" t="str">
        <f t="shared" si="21"/>
        <v>No Change</v>
      </c>
    </row>
    <row r="646" spans="1:19" ht="120" hidden="1">
      <c r="A646" s="8" t="s">
        <v>4191</v>
      </c>
      <c r="B646" s="9" t="s">
        <v>13553</v>
      </c>
      <c r="C646" s="37" t="s">
        <v>9064</v>
      </c>
      <c r="D646" s="24"/>
      <c r="E646" s="24"/>
      <c r="F646" s="24" t="str">
        <v>Q600</v>
      </c>
      <c r="G646" s="24" t="str">
        <v>9 out of 10</v>
      </c>
      <c r="H646" s="24" t="str">
        <v>https://nycdoe.sharepoint.com/:w:/s/BAP/EbxNNL_nb9BLoScyAn2Iy5kBouOUehu3nq2yHRchhYU0Ww</v>
      </c>
      <c r="I646" s="23">
        <v>620</v>
      </c>
      <c r="J646" s="24" t="str">
        <v>-</v>
      </c>
      <c r="K646" s="24">
        <v>1574</v>
      </c>
      <c r="L646" s="24" t="str">
        <v>9 out of 10</v>
      </c>
      <c r="M646" s="23" t="b">
        <f t="shared" si="20"/>
        <v>1</v>
      </c>
      <c r="N646" s="23" t="str">
        <v>9 out of 10</v>
      </c>
      <c r="O646" s="23"/>
      <c r="P646" s="42" t="str">
        <v>9</v>
      </c>
      <c r="Q646" s="42" t="str">
        <v>9</v>
      </c>
      <c r="R646" s="42" t="str">
        <v>9</v>
      </c>
      <c r="S646" s="10" t="str">
        <f t="shared" si="21"/>
        <v>No Change</v>
      </c>
    </row>
    <row r="647" spans="1:19" ht="120" hidden="1">
      <c r="A647" s="8" t="s">
        <v>13642</v>
      </c>
      <c r="B647" s="9" t="s">
        <v>13565</v>
      </c>
      <c r="C647" s="37" t="s">
        <v>13643</v>
      </c>
      <c r="D647" s="24"/>
      <c r="E647" s="24"/>
      <c r="F647" s="24" t="str">
        <v>Q610</v>
      </c>
      <c r="G647" s="24" t="str">
        <v>6 out of 10</v>
      </c>
      <c r="H647" s="24" t="str">
        <v>https://nycdoe.sharepoint.com/:w:/s/BAP/Ea6-HArJ8vFGi-4eh8eYFJMBdirC9gQok2yGtqWK7DBk0A</v>
      </c>
      <c r="I647" s="23">
        <v>621</v>
      </c>
      <c r="J647" s="24" t="str">
        <v>-</v>
      </c>
      <c r="K647" s="24">
        <v>1576</v>
      </c>
      <c r="L647" s="24" t="str">
        <v>6 out of 10</v>
      </c>
      <c r="M647" s="23" t="b">
        <f t="shared" si="20"/>
        <v>1</v>
      </c>
      <c r="N647" s="23" t="str">
        <v>6 out of 10</v>
      </c>
      <c r="O647" s="23"/>
      <c r="P647" s="42" t="str">
        <v>6</v>
      </c>
      <c r="Q647" s="42" t="str">
        <v>6</v>
      </c>
      <c r="R647" s="42" t="str">
        <v>6</v>
      </c>
      <c r="S647" s="10" t="str">
        <f t="shared" si="21"/>
        <v>No Change</v>
      </c>
    </row>
    <row r="648" spans="1:19" ht="120" hidden="1">
      <c r="A648" s="8" t="s">
        <v>8758</v>
      </c>
      <c r="B648" s="9" t="s">
        <v>13553</v>
      </c>
      <c r="C648" s="37" t="s">
        <v>8760</v>
      </c>
      <c r="D648" s="24"/>
      <c r="E648" s="24"/>
      <c r="F648" s="24" t="str">
        <v>Q620</v>
      </c>
      <c r="G648" s="24" t="str">
        <v>3 out of 10</v>
      </c>
      <c r="H648" s="24" t="str">
        <v>https://nycdoe.sharepoint.com/:w:/s/BAP/ESnE8uic8jVDmiNSOliczy8B9DkUzgJMio13j3li-vfVqA</v>
      </c>
      <c r="I648" s="23">
        <v>622</v>
      </c>
      <c r="J648" s="24" t="str">
        <v>-</v>
      </c>
      <c r="K648" s="24">
        <v>1577</v>
      </c>
      <c r="L648" s="24" t="str">
        <v>3 out of 10</v>
      </c>
      <c r="M648" s="23" t="b">
        <f t="shared" si="20"/>
        <v>1</v>
      </c>
      <c r="N648" s="23" t="str">
        <v>3 out of 10</v>
      </c>
      <c r="O648" s="23"/>
      <c r="P648" s="42" t="str">
        <v>3</v>
      </c>
      <c r="Q648" s="42" t="str">
        <v>3</v>
      </c>
      <c r="R648" s="42" t="str">
        <v>3</v>
      </c>
      <c r="S648" s="10" t="str">
        <f t="shared" si="21"/>
        <v>No Change</v>
      </c>
    </row>
    <row r="649" spans="1:19" ht="120" hidden="1">
      <c r="A649" s="8" t="s">
        <v>8097</v>
      </c>
      <c r="B649" s="9" t="s">
        <v>13560</v>
      </c>
      <c r="C649" s="37" t="s">
        <v>8099</v>
      </c>
      <c r="D649" s="24"/>
      <c r="E649" s="24"/>
      <c r="F649" s="24" t="str">
        <v>Q633</v>
      </c>
      <c r="G649" s="24" t="str">
        <v>1 out of 10</v>
      </c>
      <c r="H649" s="24" t="str">
        <v>https://nycdoe.sharepoint.com/:w:/s/BAP/Ebz_mZX_s79DlcVMbt_egtgBvUGBIT6CU76dpfU7xh_4kA</v>
      </c>
      <c r="I649" s="23">
        <v>623</v>
      </c>
      <c r="J649" s="24" t="str">
        <v>-</v>
      </c>
      <c r="K649" s="24">
        <v>1579</v>
      </c>
      <c r="L649" s="24" t="str">
        <v>1 out of 10</v>
      </c>
      <c r="M649" s="23" t="b">
        <f t="shared" si="20"/>
        <v>1</v>
      </c>
      <c r="N649" s="23" t="str">
        <v>1 out of 10</v>
      </c>
      <c r="O649" s="23"/>
      <c r="P649" s="42" t="str">
        <v>1</v>
      </c>
      <c r="Q649" s="42" t="str">
        <v>1</v>
      </c>
      <c r="R649" s="42" t="str">
        <v>1</v>
      </c>
      <c r="S649" s="10" t="str">
        <f t="shared" si="21"/>
        <v>No Change</v>
      </c>
    </row>
    <row r="650" spans="1:19" ht="120" hidden="1">
      <c r="A650" s="8" t="s">
        <v>12423</v>
      </c>
      <c r="B650" s="11" t="s">
        <v>13560</v>
      </c>
      <c r="C650" s="37" t="s">
        <v>13644</v>
      </c>
      <c r="D650" s="24"/>
      <c r="E650" s="24"/>
      <c r="F650" s="24" t="str">
        <v>Q650</v>
      </c>
      <c r="G650" s="24" t="str">
        <v>10 out of 10</v>
      </c>
      <c r="H650" s="24" t="str">
        <v>https://nycdoe.sharepoint.com/:w:/s/BAP/EfRuvK7fJ45Ch-Z1DStmKtkBQNElLiLgbVwgYfq1fYVzOA</v>
      </c>
      <c r="I650" s="23">
        <v>624</v>
      </c>
      <c r="J650" s="24" t="str">
        <v>-</v>
      </c>
      <c r="K650" s="24">
        <v>1581</v>
      </c>
      <c r="L650" s="24" t="str">
        <v>10 out of 10</v>
      </c>
      <c r="M650" s="23" t="b">
        <f t="shared" si="20"/>
        <v>1</v>
      </c>
      <c r="N650" s="23" t="str">
        <v>10 out of 10</v>
      </c>
      <c r="O650" s="23"/>
      <c r="P650" s="42" t="str">
        <v>10</v>
      </c>
      <c r="Q650" s="42" t="str">
        <v>10</v>
      </c>
      <c r="R650" s="42" t="str">
        <v>10</v>
      </c>
      <c r="S650" s="10" t="str">
        <f t="shared" si="21"/>
        <v>No Change</v>
      </c>
    </row>
    <row r="651" spans="1:19" ht="120" hidden="1">
      <c r="A651" s="8" t="s">
        <v>12426</v>
      </c>
      <c r="B651" s="11" t="s">
        <v>13561</v>
      </c>
      <c r="C651" s="37" t="s">
        <v>13645</v>
      </c>
      <c r="D651" s="24"/>
      <c r="E651" s="24"/>
      <c r="F651" s="24" t="str">
        <v>Q667</v>
      </c>
      <c r="G651" s="24" t="str">
        <v>9 out of 10</v>
      </c>
      <c r="H651" s="24" t="str">
        <v>https://nycdoe.sharepoint.com/:w:/s/BAP/EV8GcBPJIuBIgz7EpHMpd-YBabHtcvSP_8gqSHABwDGUKw</v>
      </c>
      <c r="I651" s="23">
        <v>625</v>
      </c>
      <c r="J651" s="24" t="str">
        <v>-</v>
      </c>
      <c r="K651" s="24">
        <v>1583</v>
      </c>
      <c r="L651" s="24" t="str">
        <v>9 out of 10</v>
      </c>
      <c r="M651" s="23" t="b">
        <f t="shared" si="20"/>
        <v>1</v>
      </c>
      <c r="N651" s="23" t="str">
        <v>9 out of 10</v>
      </c>
      <c r="O651" s="23"/>
      <c r="P651" s="42" t="str">
        <v>9</v>
      </c>
      <c r="Q651" s="42" t="str">
        <v>9</v>
      </c>
      <c r="R651" s="42" t="str">
        <v>9</v>
      </c>
      <c r="S651" s="10" t="str">
        <f t="shared" si="21"/>
        <v>No Change</v>
      </c>
    </row>
    <row r="652" spans="1:19" ht="135" hidden="1">
      <c r="A652" s="8" t="s">
        <v>13646</v>
      </c>
      <c r="B652" s="11" t="s">
        <v>13561</v>
      </c>
      <c r="C652" s="37" t="s">
        <v>13647</v>
      </c>
      <c r="D652" s="24"/>
      <c r="E652" s="24"/>
      <c r="F652" s="24" t="str">
        <v>Q680</v>
      </c>
      <c r="G652" s="24" t="str">
        <v>4 out of 10</v>
      </c>
      <c r="H652" s="24" t="str">
        <v>https://nycdoe.sharepoint.com/:w:/s/BAP/EfUP3hTKwkNKt7qXT8ocDlgBvXvt4X3CZ6XtzjeWJh1FRA</v>
      </c>
      <c r="I652" s="23">
        <v>626</v>
      </c>
      <c r="J652" s="24" t="str">
        <v>-</v>
      </c>
      <c r="K652" s="24">
        <v>1584</v>
      </c>
      <c r="L652" s="24" t="str">
        <v>4 out of 10</v>
      </c>
      <c r="M652" s="23" t="b">
        <f t="shared" si="20"/>
        <v>1</v>
      </c>
      <c r="N652" s="23" t="str">
        <v>4 out of 10</v>
      </c>
      <c r="O652" s="23"/>
      <c r="P652" s="42" t="str">
        <v>4</v>
      </c>
      <c r="Q652" s="42" t="str">
        <v>4</v>
      </c>
      <c r="R652" s="42" t="str">
        <v>4</v>
      </c>
      <c r="S652" s="10" t="str">
        <f t="shared" si="21"/>
        <v>No Change</v>
      </c>
    </row>
    <row r="653" spans="1:19" ht="120" hidden="1">
      <c r="A653" s="8" t="s">
        <v>3803</v>
      </c>
      <c r="B653" s="9" t="s">
        <v>13555</v>
      </c>
      <c r="C653" s="37" t="s">
        <v>8600</v>
      </c>
      <c r="D653" s="24"/>
      <c r="E653" s="24"/>
      <c r="F653" s="24" t="str">
        <v>Q686</v>
      </c>
      <c r="G653" s="24" t="str">
        <v>10 out of 10</v>
      </c>
      <c r="H653" s="24" t="str">
        <v>https://nycdoe.sharepoint.com/:w:/s/BAP/EczClETJEvZCj9nRpwBxGlYBmmhCFMQqnW8FB1JQkUDVQQ</v>
      </c>
      <c r="I653" s="23">
        <v>627</v>
      </c>
      <c r="J653" s="24" t="str">
        <v>-</v>
      </c>
      <c r="K653" s="24">
        <v>1585</v>
      </c>
      <c r="L653" s="24" t="str">
        <v>10 out of 10</v>
      </c>
      <c r="M653" s="23" t="b">
        <f t="shared" si="20"/>
        <v>1</v>
      </c>
      <c r="N653" s="23" t="str">
        <v>10 out of 10</v>
      </c>
      <c r="O653" s="23"/>
      <c r="P653" s="42" t="str">
        <v>10</v>
      </c>
      <c r="Q653" s="42" t="str">
        <v>10</v>
      </c>
      <c r="R653" s="42" t="str">
        <v>10</v>
      </c>
      <c r="S653" s="10" t="str">
        <f t="shared" si="21"/>
        <v>No Change</v>
      </c>
    </row>
    <row r="654" spans="1:19" ht="120" hidden="1">
      <c r="A654" s="8" t="s">
        <v>4196</v>
      </c>
      <c r="B654" s="9" t="s">
        <v>13555</v>
      </c>
      <c r="C654" s="37" t="s">
        <v>9066</v>
      </c>
      <c r="D654" s="24"/>
      <c r="E654" s="24"/>
      <c r="F654" s="24" t="str">
        <v>Q690</v>
      </c>
      <c r="G654" s="24" t="str">
        <v>10 out of 10</v>
      </c>
      <c r="H654" s="24" t="str">
        <v>https://nycdoe.sharepoint.com/:w:/s/BAP/EUZjt74erspFhRIeRlwIWVUBFmZ1-V8BZ-LOAo84k5z5ug</v>
      </c>
      <c r="I654" s="23">
        <v>628</v>
      </c>
      <c r="J654" s="24" t="str">
        <v>-</v>
      </c>
      <c r="K654" s="24">
        <v>1588</v>
      </c>
      <c r="L654" s="24" t="str">
        <v>10 out of 10</v>
      </c>
      <c r="M654" s="23" t="b">
        <f t="shared" si="20"/>
        <v>1</v>
      </c>
      <c r="N654" s="23" t="str">
        <v>10 out of 10</v>
      </c>
      <c r="O654" s="23"/>
      <c r="P654" s="42" t="str">
        <v>10</v>
      </c>
      <c r="Q654" s="42" t="str">
        <v>10</v>
      </c>
      <c r="R654" s="42" t="str">
        <v>10</v>
      </c>
      <c r="S654" s="10" t="str">
        <f t="shared" si="21"/>
        <v>No Change</v>
      </c>
    </row>
    <row r="655" spans="1:19" ht="120" hidden="1">
      <c r="A655" s="8" t="s">
        <v>3394</v>
      </c>
      <c r="B655" s="9" t="s">
        <v>13553</v>
      </c>
      <c r="C655" s="37" t="s">
        <v>8106</v>
      </c>
      <c r="D655" s="24"/>
      <c r="E655" s="24"/>
      <c r="F655" s="24" t="str">
        <v>Q695</v>
      </c>
      <c r="G655" s="24" t="str">
        <v>10 out of 10</v>
      </c>
      <c r="H655" s="24" t="str">
        <v>https://nycdoe.sharepoint.com/:w:/s/BAP/EQloF403BpxGp8Xv-z2-BiQBWN5ixYKR1mO7qO-WRdC0Vw</v>
      </c>
      <c r="I655" s="23">
        <v>629</v>
      </c>
      <c r="J655" s="24" t="str">
        <v>-</v>
      </c>
      <c r="K655" s="24">
        <v>1590</v>
      </c>
      <c r="L655" s="24" t="str">
        <v>10 out of 10</v>
      </c>
      <c r="M655" s="23" t="b">
        <f t="shared" si="20"/>
        <v>1</v>
      </c>
      <c r="N655" s="23" t="str">
        <v>10 out of 10</v>
      </c>
      <c r="O655" s="23"/>
      <c r="P655" s="42" t="str">
        <v>10</v>
      </c>
      <c r="Q655" s="42" t="str">
        <v>10</v>
      </c>
      <c r="R655" s="42" t="str">
        <v>10</v>
      </c>
      <c r="S655" s="10" t="str">
        <f t="shared" si="21"/>
        <v>No Change</v>
      </c>
    </row>
    <row r="656" spans="1:19" ht="120" hidden="1">
      <c r="A656" s="8" t="s">
        <v>12434</v>
      </c>
      <c r="B656" s="11" t="s">
        <v>13561</v>
      </c>
      <c r="C656" s="37" t="s">
        <v>13648</v>
      </c>
      <c r="D656" s="24"/>
      <c r="E656" s="24"/>
      <c r="F656" s="24" t="str">
        <v>Q721</v>
      </c>
      <c r="G656" s="24" t="str">
        <v>10 out of 10</v>
      </c>
      <c r="H656" s="24" t="str">
        <v>https://nycdoe.sharepoint.com/:w:/s/BAP/EakozIo16QtLg8rqk5-Ea18BV8lklXkIhzZtekrbacRweQ</v>
      </c>
      <c r="I656" s="23">
        <v>630</v>
      </c>
      <c r="J656" s="24" t="str">
        <v>-</v>
      </c>
      <c r="K656" s="24">
        <v>1593</v>
      </c>
      <c r="L656" s="24" t="str">
        <v>10 out of 10</v>
      </c>
      <c r="M656" s="23" t="b">
        <f t="shared" si="20"/>
        <v>1</v>
      </c>
      <c r="N656" s="23" t="str">
        <v>10 out of 10</v>
      </c>
      <c r="O656" s="23"/>
      <c r="P656" s="42" t="str">
        <v>10</v>
      </c>
      <c r="Q656" s="42" t="str">
        <v>10</v>
      </c>
      <c r="R656" s="42" t="str">
        <v>10</v>
      </c>
      <c r="S656" s="10" t="str">
        <f t="shared" si="21"/>
        <v>No Change</v>
      </c>
    </row>
    <row r="657" spans="1:19" ht="120" hidden="1">
      <c r="A657" s="8" t="s">
        <v>8601</v>
      </c>
      <c r="B657" s="11" t="s">
        <v>13553</v>
      </c>
      <c r="C657" s="37" t="s">
        <v>8603</v>
      </c>
      <c r="D657" s="24"/>
      <c r="E657" s="24"/>
      <c r="F657" s="24" t="str">
        <v>Q722</v>
      </c>
      <c r="G657" s="24" t="str">
        <v>10 out of 10</v>
      </c>
      <c r="H657" s="24" t="str">
        <v>https://nycdoe.sharepoint.com/:w:/s/BAP/Ecm073C0eWVOqiXd4Ga-KiQB1WQsS0h1uIKFYx2yZCaz7Q</v>
      </c>
      <c r="I657" s="23">
        <v>631</v>
      </c>
      <c r="J657" s="24" t="str">
        <v>-</v>
      </c>
      <c r="K657" s="24">
        <v>1594</v>
      </c>
      <c r="L657" s="24" t="str">
        <v>10 out of 10</v>
      </c>
      <c r="M657" s="23" t="b">
        <f t="shared" si="20"/>
        <v>1</v>
      </c>
      <c r="N657" s="23" t="str">
        <v>10 out of 10</v>
      </c>
      <c r="O657" s="23"/>
      <c r="P657" s="42" t="str">
        <v>10</v>
      </c>
      <c r="Q657" s="42" t="str">
        <v>10</v>
      </c>
      <c r="R657" s="42" t="str">
        <v>10</v>
      </c>
      <c r="S657" s="10" t="str">
        <f t="shared" si="21"/>
        <v>No Change</v>
      </c>
    </row>
    <row r="658" spans="1:19" ht="120" hidden="1">
      <c r="A658" s="8" t="s">
        <v>12445</v>
      </c>
      <c r="B658" s="9" t="s">
        <v>13553</v>
      </c>
      <c r="C658" s="37" t="s">
        <v>13649</v>
      </c>
      <c r="D658" s="24"/>
      <c r="E658" s="24"/>
      <c r="F658" s="24" t="str">
        <v>Q725</v>
      </c>
      <c r="G658" s="24" t="str">
        <v>10 out of 10</v>
      </c>
      <c r="H658" s="24" t="str">
        <v>https://nycdoe.sharepoint.com/:w:/s/BAP/EXwsMeYjsDJCvllM1LzuS7kBnVkLFUkuYehhJQniWxojGA</v>
      </c>
      <c r="I658" s="23">
        <v>632</v>
      </c>
      <c r="J658" s="24" t="str">
        <v>-</v>
      </c>
      <c r="K658" s="24">
        <v>1595</v>
      </c>
      <c r="L658" s="24" t="str">
        <v>10 out of 10</v>
      </c>
      <c r="M658" s="23" t="b">
        <f t="shared" si="20"/>
        <v>1</v>
      </c>
      <c r="N658" s="23" t="str">
        <v>10 out of 10</v>
      </c>
      <c r="O658" s="23"/>
      <c r="P658" s="42" t="str">
        <v>10</v>
      </c>
      <c r="Q658" s="42" t="str">
        <v>10</v>
      </c>
      <c r="R658" s="42" t="str">
        <v>10</v>
      </c>
      <c r="S658" s="10" t="str">
        <f t="shared" si="21"/>
        <v>No Change</v>
      </c>
    </row>
    <row r="659" spans="1:19" ht="120" hidden="1">
      <c r="A659" s="8" t="s">
        <v>8761</v>
      </c>
      <c r="B659" s="11" t="s">
        <v>13553</v>
      </c>
      <c r="C659" s="37" t="s">
        <v>8762</v>
      </c>
      <c r="D659" s="24"/>
      <c r="E659" s="24"/>
      <c r="F659" s="24" t="str">
        <v>Q735</v>
      </c>
      <c r="G659" s="24" t="str">
        <v>10 out of 10</v>
      </c>
      <c r="H659" s="24" t="str">
        <v>https://nycdoe.sharepoint.com/:w:/s/BAP/EU7jlpDPxJRFomBQaHtpM-wBA9HP2xvaGVs0yHOI1aHoqg</v>
      </c>
      <c r="I659" s="23">
        <v>633</v>
      </c>
      <c r="J659" s="24" t="str">
        <v>-</v>
      </c>
      <c r="K659" s="24">
        <v>1597</v>
      </c>
      <c r="L659" s="24" t="str">
        <v>10 out of 10</v>
      </c>
      <c r="M659" s="23" t="b">
        <f t="shared" si="20"/>
        <v>1</v>
      </c>
      <c r="N659" s="23" t="str">
        <v>10 out of 10</v>
      </c>
      <c r="O659" s="23"/>
      <c r="P659" s="42" t="str">
        <v>10</v>
      </c>
      <c r="Q659" s="42" t="str">
        <v>10</v>
      </c>
      <c r="R659" s="42" t="str">
        <v>10</v>
      </c>
      <c r="S659" s="10" t="str">
        <f t="shared" si="21"/>
        <v>No Change</v>
      </c>
    </row>
    <row r="660" spans="1:19" ht="120" hidden="1">
      <c r="A660" s="8" t="s">
        <v>4203</v>
      </c>
      <c r="B660" s="9" t="s">
        <v>13558</v>
      </c>
      <c r="C660" s="37" t="s">
        <v>9072</v>
      </c>
      <c r="D660" s="24"/>
      <c r="E660" s="24"/>
      <c r="F660" s="24" t="str">
        <v>Q739</v>
      </c>
      <c r="G660" s="24" t="str">
        <v>8 out of 10</v>
      </c>
      <c r="H660" s="24" t="str">
        <v>https://nycdoe.sharepoint.com/:w:/s/BAP/EQf7qLFiR-BHm4XOVq-EgzMBV-tswubuzEmH-EHZASsRTQ</v>
      </c>
      <c r="I660" s="23">
        <v>634</v>
      </c>
      <c r="J660" s="24" t="str">
        <v>-</v>
      </c>
      <c r="K660" s="24">
        <v>1600</v>
      </c>
      <c r="L660" s="24" t="str">
        <v>8 out of 10</v>
      </c>
      <c r="M660" s="23" t="b">
        <f t="shared" si="20"/>
        <v>1</v>
      </c>
      <c r="N660" s="23" t="str">
        <v>8 out of 10</v>
      </c>
      <c r="O660" s="23"/>
      <c r="P660" s="42" t="str">
        <v>8</v>
      </c>
      <c r="Q660" s="42" t="str">
        <v>8</v>
      </c>
      <c r="R660" s="42" t="str">
        <v>8</v>
      </c>
      <c r="S660" s="10" t="str">
        <f t="shared" si="21"/>
        <v>No Change</v>
      </c>
    </row>
    <row r="661" spans="1:19" ht="135" hidden="1">
      <c r="A661" s="8" t="s">
        <v>4210</v>
      </c>
      <c r="B661" s="9" t="s">
        <v>13564</v>
      </c>
      <c r="C661" s="37" t="s">
        <v>9078</v>
      </c>
      <c r="D661" s="24"/>
      <c r="E661" s="24"/>
      <c r="F661" s="24" t="str">
        <v>Q744</v>
      </c>
      <c r="G661" s="24" t="str">
        <v>10 out of 10</v>
      </c>
      <c r="H661" s="24" t="str">
        <v>https://nycdoe.sharepoint.com/:w:/s/BAP/EVPjGhRr_3hBlRvLB-vTC4cBlj-1cxyRM-na3c7kabiTBg</v>
      </c>
      <c r="I661" s="23">
        <v>635</v>
      </c>
      <c r="J661" s="24" t="str">
        <v>-</v>
      </c>
      <c r="K661" s="24">
        <v>1601</v>
      </c>
      <c r="L661" s="24" t="str">
        <v>10 out of 10</v>
      </c>
      <c r="M661" s="23" t="b">
        <f t="shared" si="20"/>
        <v>1</v>
      </c>
      <c r="N661" s="23" t="str">
        <v>10 out of 10</v>
      </c>
      <c r="O661" s="23"/>
      <c r="P661" s="42" t="str">
        <v>10</v>
      </c>
      <c r="Q661" s="42" t="str">
        <v>10</v>
      </c>
      <c r="R661" s="42" t="str">
        <v>10</v>
      </c>
      <c r="S661" s="10" t="str">
        <f t="shared" si="21"/>
        <v>No Change</v>
      </c>
    </row>
    <row r="662" spans="1:19" ht="120" hidden="1">
      <c r="A662" s="8" t="s">
        <v>4214</v>
      </c>
      <c r="B662" s="9" t="s">
        <v>13560</v>
      </c>
      <c r="C662" s="37" t="s">
        <v>9082</v>
      </c>
      <c r="D662" s="24"/>
      <c r="E662" s="24"/>
      <c r="F662" s="24" t="str">
        <v>Q750</v>
      </c>
      <c r="G662" s="24" t="str">
        <v>9 out of 10</v>
      </c>
      <c r="H662" s="24" t="str">
        <v>https://nycdoe.sharepoint.com/:w:/s/BAP/ERzMGF-fArZKiJOyZYi3O6ABhv8CNH4vA5pCeIVcLJjCww</v>
      </c>
      <c r="I662" s="23">
        <v>636</v>
      </c>
      <c r="J662" s="24" t="str">
        <v>-</v>
      </c>
      <c r="K662" s="24">
        <v>1605</v>
      </c>
      <c r="L662" s="24" t="str">
        <v>9 out of 10</v>
      </c>
      <c r="M662" s="23" t="b">
        <f t="shared" si="20"/>
        <v>1</v>
      </c>
      <c r="N662" s="23" t="str">
        <v>9 out of 10</v>
      </c>
      <c r="O662" s="23"/>
      <c r="P662" s="42" t="str">
        <v>9</v>
      </c>
      <c r="Q662" s="42" t="str">
        <v>9</v>
      </c>
      <c r="R662" s="42" t="str">
        <v>9</v>
      </c>
      <c r="S662" s="10" t="str">
        <f t="shared" si="21"/>
        <v>No Change</v>
      </c>
    </row>
    <row r="663" spans="1:19" ht="135" hidden="1">
      <c r="A663" s="8" t="s">
        <v>4218</v>
      </c>
      <c r="B663" s="9" t="s">
        <v>13560</v>
      </c>
      <c r="C663" s="37" t="s">
        <v>9086</v>
      </c>
      <c r="D663" s="24"/>
      <c r="E663" s="24"/>
      <c r="F663" s="24" t="str">
        <v>Q774</v>
      </c>
      <c r="G663" s="24" t="str">
        <v>10 out of 10</v>
      </c>
      <c r="H663" s="24" t="str">
        <v>https://nycdoe.sharepoint.com/:w:/s/BAP/EQg6oNXYNCRLroQ2GYrpT_EBvoeyWrLYnbcHVzagbDwsmw</v>
      </c>
      <c r="I663" s="23">
        <v>637</v>
      </c>
      <c r="J663" s="24" t="str">
        <v>-</v>
      </c>
      <c r="K663" s="24">
        <v>1606</v>
      </c>
      <c r="L663" s="24" t="str">
        <v>10 out of 10</v>
      </c>
      <c r="M663" s="23" t="b">
        <f t="shared" si="20"/>
        <v>1</v>
      </c>
      <c r="N663" s="23" t="str">
        <v>10 out of 10</v>
      </c>
      <c r="O663" s="23"/>
      <c r="P663" s="42" t="str">
        <v>10</v>
      </c>
      <c r="Q663" s="42" t="str">
        <v>10</v>
      </c>
      <c r="R663" s="42" t="str">
        <v>10</v>
      </c>
      <c r="S663" s="10" t="str">
        <f t="shared" si="21"/>
        <v>No Change</v>
      </c>
    </row>
    <row r="664" spans="1:19" ht="120" hidden="1">
      <c r="A664" s="8" t="s">
        <v>4222</v>
      </c>
      <c r="B664" s="9" t="s">
        <v>13553</v>
      </c>
      <c r="C664" s="37" t="s">
        <v>9090</v>
      </c>
      <c r="D664" s="24"/>
      <c r="E664" s="24"/>
      <c r="F664" s="24" t="str">
        <v>Q798</v>
      </c>
      <c r="G664" s="24" t="str">
        <v>10 out of 10</v>
      </c>
      <c r="H664" s="24" t="str">
        <v>https://nycdoe.sharepoint.com/:w:/s/BAP/EWyX4XPAmANCvkVsKgZAdOoBP3KIAIWMQkVsKFQnw5XEMw</v>
      </c>
      <c r="I664" s="23">
        <v>638</v>
      </c>
      <c r="J664" s="24" t="str">
        <v>-</v>
      </c>
      <c r="K664" s="24">
        <v>1612</v>
      </c>
      <c r="L664" s="24" t="str">
        <v>10 out of 10</v>
      </c>
      <c r="M664" s="23" t="b">
        <f t="shared" si="20"/>
        <v>1</v>
      </c>
      <c r="N664" s="23" t="str">
        <v>10 out of 10</v>
      </c>
      <c r="O664" s="23"/>
      <c r="P664" s="42" t="str">
        <v>10</v>
      </c>
      <c r="Q664" s="42" t="str">
        <v>10</v>
      </c>
      <c r="R664" s="42" t="str">
        <v>10</v>
      </c>
      <c r="S664" s="10" t="str">
        <f t="shared" si="21"/>
        <v>No Change</v>
      </c>
    </row>
    <row r="665" spans="1:19" ht="120" hidden="1">
      <c r="A665" s="8" t="s">
        <v>4229</v>
      </c>
      <c r="B665" s="9" t="s">
        <v>13558</v>
      </c>
      <c r="C665" s="37" t="s">
        <v>9094</v>
      </c>
      <c r="D665" s="24"/>
      <c r="E665" s="24"/>
      <c r="F665" s="24" t="str">
        <v>Q809</v>
      </c>
      <c r="G665" s="24" t="str">
        <v>1 out of 10</v>
      </c>
      <c r="H665" s="24" t="str">
        <v>https://nycdoe.sharepoint.com/:w:/s/BAP/ERsSIczPKgxDh_oRIz_EM-gBWfQfKx99eVZ-C8fc1pqFfw</v>
      </c>
      <c r="I665" s="23">
        <v>639</v>
      </c>
      <c r="J665" s="24" t="str">
        <v>-</v>
      </c>
      <c r="K665" s="24">
        <v>1614</v>
      </c>
      <c r="L665" s="24" t="str">
        <v>1 out of 10</v>
      </c>
      <c r="M665" s="23" t="b">
        <f t="shared" si="20"/>
        <v>1</v>
      </c>
      <c r="N665" s="23" t="str">
        <v>1 out of 10</v>
      </c>
      <c r="O665" s="23"/>
      <c r="P665" s="42" t="str">
        <v>1</v>
      </c>
      <c r="Q665" s="42" t="str">
        <v>1</v>
      </c>
      <c r="R665" s="42" t="str">
        <v>1</v>
      </c>
      <c r="S665" s="10" t="str">
        <f t="shared" si="21"/>
        <v>No Change</v>
      </c>
    </row>
    <row r="666" spans="1:19" ht="120" hidden="1">
      <c r="A666" s="8" t="s">
        <v>4236</v>
      </c>
      <c r="B666" s="9" t="s">
        <v>13559</v>
      </c>
      <c r="C666" s="37" t="s">
        <v>9105</v>
      </c>
      <c r="D666" s="24"/>
      <c r="E666" s="24"/>
      <c r="F666" s="24" t="str">
        <v>Q811</v>
      </c>
      <c r="G666" s="24" t="str">
        <v>1 out of 10</v>
      </c>
      <c r="H666" s="24" t="str">
        <v>https://nycdoe.sharepoint.com/:w:/s/BAP/ESuzuJRVQlZNpZaXMPsKyAEB9PlTX9s8Vw2zk4RR_tBvlw</v>
      </c>
      <c r="I666" s="23">
        <v>640</v>
      </c>
      <c r="J666" s="24" t="str">
        <v>-</v>
      </c>
      <c r="K666" s="24">
        <v>1615</v>
      </c>
      <c r="L666" s="24" t="str">
        <v>1 out of 10</v>
      </c>
      <c r="M666" s="23" t="b">
        <f t="shared" si="20"/>
        <v>1</v>
      </c>
      <c r="N666" s="23" t="str">
        <v>1 out of 10</v>
      </c>
      <c r="O666" s="23"/>
      <c r="P666" s="42" t="str">
        <v>1</v>
      </c>
      <c r="Q666" s="42" t="str">
        <v>1</v>
      </c>
      <c r="R666" s="42" t="str">
        <v>1</v>
      </c>
      <c r="S666" s="10" t="str">
        <f t="shared" si="21"/>
        <v>No Change</v>
      </c>
    </row>
    <row r="667" spans="1:19" ht="120" hidden="1">
      <c r="A667" s="8" t="s">
        <v>4240</v>
      </c>
      <c r="B667" s="9" t="s">
        <v>13555</v>
      </c>
      <c r="C667" s="37" t="s">
        <v>9109</v>
      </c>
      <c r="D667" s="24"/>
      <c r="E667" s="24"/>
      <c r="F667" s="24" t="str">
        <v>Q835</v>
      </c>
      <c r="G667" s="24" t="str">
        <v>9 out of 10</v>
      </c>
      <c r="H667" s="24" t="str">
        <v>https://nycdoe.sharepoint.com/:w:/s/BAP/EaWAC2grByVHkggRdv9xHtQBeTvcxo-W3WRffM5VDF6_0g</v>
      </c>
      <c r="I667" s="23">
        <v>641</v>
      </c>
      <c r="J667" s="24" t="str">
        <v>-</v>
      </c>
      <c r="K667" s="24">
        <v>1619</v>
      </c>
      <c r="L667" s="24" t="str">
        <v>9 out of 10</v>
      </c>
      <c r="M667" s="23" t="b">
        <f t="shared" si="20"/>
        <v>1</v>
      </c>
      <c r="N667" s="23" t="str">
        <v>9 out of 10</v>
      </c>
      <c r="O667" s="23"/>
      <c r="P667" s="42" t="str">
        <v>9</v>
      </c>
      <c r="Q667" s="42" t="str">
        <v>9</v>
      </c>
      <c r="R667" s="42" t="str">
        <v>9</v>
      </c>
      <c r="S667" s="10" t="str">
        <f t="shared" si="21"/>
        <v>No Change</v>
      </c>
    </row>
    <row r="668" spans="1:19" ht="120" hidden="1">
      <c r="A668" s="8" t="s">
        <v>4244</v>
      </c>
      <c r="B668" s="9" t="s">
        <v>13564</v>
      </c>
      <c r="C668" s="37" t="s">
        <v>9112</v>
      </c>
      <c r="D668" s="24"/>
      <c r="E668" s="24"/>
      <c r="F668" s="24" t="str">
        <v>Q849</v>
      </c>
      <c r="G668" s="24" t="str">
        <v>9 out of 10</v>
      </c>
      <c r="H668" s="24" t="str">
        <v>https://nycdoe.sharepoint.com/:w:/s/BAP/Eej90PRnVOtOunOqzfUe_-IBtpfnLaZf3Ew1TKtcoqUd0A</v>
      </c>
      <c r="I668" s="23">
        <v>642</v>
      </c>
      <c r="J668" s="24" t="str">
        <v>-</v>
      </c>
      <c r="K668" s="24">
        <v>1623</v>
      </c>
      <c r="L668" s="24" t="str">
        <v>9 out of 10</v>
      </c>
      <c r="M668" s="23" t="b">
        <f t="shared" si="20"/>
        <v>1</v>
      </c>
      <c r="N668" s="23" t="str">
        <v>9 out of 10</v>
      </c>
      <c r="O668" s="23"/>
      <c r="P668" s="42" t="str">
        <v>9</v>
      </c>
      <c r="Q668" s="42" t="str">
        <v>9</v>
      </c>
      <c r="R668" s="42" t="str">
        <v>9</v>
      </c>
      <c r="S668" s="10" t="str">
        <f t="shared" si="21"/>
        <v>No Change</v>
      </c>
    </row>
    <row r="669" spans="1:19" ht="135" hidden="1">
      <c r="A669" s="8" t="s">
        <v>4249</v>
      </c>
      <c r="B669" s="9" t="s">
        <v>13559</v>
      </c>
      <c r="C669" s="37" t="s">
        <v>9124</v>
      </c>
      <c r="D669" s="24"/>
      <c r="E669" s="24"/>
      <c r="F669" s="24" t="str">
        <v>Q864</v>
      </c>
      <c r="G669" s="24" t="str">
        <v>10 out of 10</v>
      </c>
      <c r="H669" s="24" t="str">
        <v>https://nycdoe.sharepoint.com/:w:/s/BAP/ESN6U9VuJB5NlwLrZwyXF3MBn7-ZxA7HOzx1THVQh0WH5w</v>
      </c>
      <c r="I669" s="23">
        <v>643</v>
      </c>
      <c r="J669" s="24" t="str">
        <v>-</v>
      </c>
      <c r="K669" s="24">
        <v>1628</v>
      </c>
      <c r="L669" s="24" t="str">
        <v>10 out of 10</v>
      </c>
      <c r="M669" s="23" t="b">
        <f t="shared" si="20"/>
        <v>1</v>
      </c>
      <c r="N669" s="23" t="str">
        <v>10 out of 10</v>
      </c>
      <c r="O669" s="23"/>
      <c r="P669" s="42" t="str">
        <v>10</v>
      </c>
      <c r="Q669" s="42" t="str">
        <v>10</v>
      </c>
      <c r="R669" s="42" t="str">
        <v>10</v>
      </c>
      <c r="S669" s="10" t="str">
        <f t="shared" si="21"/>
        <v>No Change</v>
      </c>
    </row>
    <row r="670" spans="1:19" ht="120" hidden="1">
      <c r="A670" s="8" t="s">
        <v>4253</v>
      </c>
      <c r="B670" s="11" t="s">
        <v>13558</v>
      </c>
      <c r="C670" s="37" t="s">
        <v>9128</v>
      </c>
      <c r="D670" s="24"/>
      <c r="E670" s="24"/>
      <c r="F670" s="24" t="str">
        <v>Q865</v>
      </c>
      <c r="G670" s="24" t="str">
        <v>9 out of 10</v>
      </c>
      <c r="H670" s="24" t="str">
        <v>https://nycdoe.sharepoint.com/:w:/s/BAP/ETJ0C-tggXRHgroEEuIdV1oBS6Hq8rGjB-jhBj1HwDZ6vA</v>
      </c>
      <c r="I670" s="23">
        <v>644</v>
      </c>
      <c r="J670" s="24" t="str">
        <v>-</v>
      </c>
      <c r="K670" s="24">
        <v>1629</v>
      </c>
      <c r="L670" s="24" t="str">
        <v>9 out of 10</v>
      </c>
      <c r="M670" s="23" t="b">
        <f t="shared" si="20"/>
        <v>1</v>
      </c>
      <c r="N670" s="23" t="str">
        <v>9 out of 10</v>
      </c>
      <c r="O670" s="23"/>
      <c r="P670" s="42" t="str">
        <v>9</v>
      </c>
      <c r="Q670" s="42" t="str">
        <v>9</v>
      </c>
      <c r="R670" s="42" t="str">
        <v>9</v>
      </c>
      <c r="S670" s="10" t="str">
        <f t="shared" si="21"/>
        <v>No Change</v>
      </c>
    </row>
    <row r="671" spans="1:19" ht="120" hidden="1">
      <c r="A671" s="8" t="s">
        <v>4257</v>
      </c>
      <c r="B671" s="9" t="s">
        <v>13560</v>
      </c>
      <c r="C671" s="37" t="s">
        <v>9132</v>
      </c>
      <c r="D671" s="24"/>
      <c r="E671" s="24"/>
      <c r="F671" s="24" t="str">
        <v>Q868</v>
      </c>
      <c r="G671" s="24" t="str">
        <v>10 out of 10</v>
      </c>
      <c r="H671" s="24" t="str">
        <v>https://nycdoe.sharepoint.com/:w:/s/BAP/ESNVVB-HnM1CrA2FR5xVWHYB35M5CyyOazhla1tby3BGAA</v>
      </c>
      <c r="I671" s="23">
        <v>645</v>
      </c>
      <c r="J671" s="24" t="str">
        <v>-</v>
      </c>
      <c r="K671" s="24">
        <v>1631</v>
      </c>
      <c r="L671" s="24" t="str">
        <v>10 out of 10</v>
      </c>
      <c r="M671" s="23" t="b">
        <f t="shared" si="20"/>
        <v>1</v>
      </c>
      <c r="N671" s="23" t="str">
        <v>10 out of 10</v>
      </c>
      <c r="O671" s="23"/>
      <c r="P671" s="42" t="str">
        <v>10</v>
      </c>
      <c r="Q671" s="42" t="str">
        <v>10</v>
      </c>
      <c r="R671" s="42" t="str">
        <v>10</v>
      </c>
      <c r="S671" s="10" t="str">
        <f t="shared" si="21"/>
        <v>No Change</v>
      </c>
    </row>
    <row r="672" spans="1:19" ht="120" hidden="1">
      <c r="A672" s="8" t="s">
        <v>4261</v>
      </c>
      <c r="B672" s="9" t="s">
        <v>13559</v>
      </c>
      <c r="C672" s="37" t="s">
        <v>9136</v>
      </c>
      <c r="D672" s="24"/>
      <c r="E672" s="24"/>
      <c r="F672" s="24" t="str">
        <v>Q873</v>
      </c>
      <c r="G672" s="24" t="str">
        <v>5 out of 10</v>
      </c>
      <c r="H672" s="24" t="str">
        <v>https://nycdoe.sharepoint.com/:w:/s/BAP/EYLsosKb4FBGoJjYf7Hd2IoBfk6N4AkHHeInNw9jB44UtA</v>
      </c>
      <c r="I672" s="23">
        <v>646</v>
      </c>
      <c r="J672" s="24" t="str">
        <v>-</v>
      </c>
      <c r="K672" s="24" t="str">
        <v>Possible Change</v>
      </c>
      <c r="L672" s="24" t="str">
        <v>- out of 10</v>
      </c>
      <c r="M672" s="23" t="b">
        <f t="shared" si="20"/>
        <v>0</v>
      </c>
      <c r="N672" s="23" t="str">
        <v>5 out of 10</v>
      </c>
      <c r="O672" s="23"/>
      <c r="P672" s="42" t="str">
        <v>5</v>
      </c>
      <c r="Q672" s="42" t="str">
        <v>Not Found</v>
      </c>
      <c r="R672" s="42" t="str">
        <v>5</v>
      </c>
      <c r="S672" s="10" t="str">
        <f t="shared" si="21"/>
        <v>Change</v>
      </c>
    </row>
    <row r="673" spans="1:19" ht="120" hidden="1">
      <c r="A673" s="8" t="s">
        <v>4265</v>
      </c>
      <c r="B673" s="9" t="s">
        <v>13565</v>
      </c>
      <c r="C673" s="37" t="s">
        <v>9140</v>
      </c>
      <c r="D673" s="24"/>
      <c r="E673" s="24"/>
      <c r="F673" s="24" t="str">
        <v>Q875</v>
      </c>
      <c r="G673" s="24" t="str">
        <v>10 out of 10</v>
      </c>
      <c r="H673" s="24" t="str">
        <v>https://nycdoe.sharepoint.com/:w:/s/BAP/EVPVZhtKH21FmIVdIKkvshEBpRok4xpp9E0sgQLFhv82LQ</v>
      </c>
      <c r="I673" s="23">
        <v>647</v>
      </c>
      <c r="J673" s="24" t="str">
        <v>-</v>
      </c>
      <c r="K673" s="24">
        <v>1634</v>
      </c>
      <c r="L673" s="24" t="str">
        <v>10 out of 10</v>
      </c>
      <c r="M673" s="23" t="b">
        <f t="shared" si="20"/>
        <v>1</v>
      </c>
      <c r="N673" s="23" t="str">
        <v>10 out of 10</v>
      </c>
      <c r="O673" s="23"/>
      <c r="P673" s="42" t="str">
        <v>10</v>
      </c>
      <c r="Q673" s="42" t="str">
        <v>10</v>
      </c>
      <c r="R673" s="42" t="str">
        <v>10</v>
      </c>
      <c r="S673" s="10" t="str">
        <f t="shared" si="21"/>
        <v>No Change</v>
      </c>
    </row>
    <row r="674" spans="1:19" ht="120" hidden="1">
      <c r="A674" s="8" t="s">
        <v>4269</v>
      </c>
      <c r="B674" s="9" t="s">
        <v>13557</v>
      </c>
      <c r="C674" s="37" t="s">
        <v>9149</v>
      </c>
      <c r="D674" s="24"/>
      <c r="E674" s="24"/>
      <c r="F674" s="24" t="str">
        <v>Q876</v>
      </c>
      <c r="G674" s="24" t="str">
        <v>4 out of 10</v>
      </c>
      <c r="H674" s="24" t="str">
        <v>https://nycdoe.sharepoint.com/:w:/s/BAP/EWaHJnlEaiZMj7P2gajP6BgB76AGjhvCmfIXUnTJP7y9Uw</v>
      </c>
      <c r="I674" s="23">
        <v>648</v>
      </c>
      <c r="J674" s="24" t="str">
        <v>-</v>
      </c>
      <c r="K674" s="24">
        <v>1635</v>
      </c>
      <c r="L674" s="24" t="str">
        <v>4 out of 10</v>
      </c>
      <c r="M674" s="23" t="b">
        <f t="shared" si="20"/>
        <v>1</v>
      </c>
      <c r="N674" s="23" t="str">
        <v>4 out of 10</v>
      </c>
      <c r="O674" s="23"/>
      <c r="P674" s="42" t="str">
        <v>4</v>
      </c>
      <c r="Q674" s="42" t="str">
        <v>4</v>
      </c>
      <c r="R674" s="42" t="str">
        <v>4</v>
      </c>
      <c r="S674" s="10" t="str">
        <f t="shared" si="21"/>
        <v>No Change</v>
      </c>
    </row>
    <row r="675" spans="1:19" ht="120" hidden="1">
      <c r="A675" s="8" t="s">
        <v>4233</v>
      </c>
      <c r="B675" s="9" t="s">
        <v>13561</v>
      </c>
      <c r="C675" s="37" t="s">
        <v>13650</v>
      </c>
      <c r="D675" s="24"/>
      <c r="E675" s="24"/>
      <c r="F675" s="24" t="str">
        <v>Q877</v>
      </c>
      <c r="G675" s="24" t="str">
        <v>9 out of 10</v>
      </c>
      <c r="H675" s="24" t="str">
        <v>https://nycdoe.sharepoint.com/:w:/s/BAP/ESwSrlXV7iVBr7KbNllKdswB8lPytLO3DapV7ZgKa0aq4w</v>
      </c>
      <c r="I675" s="23" t="str">
        <v>Was New</v>
      </c>
      <c r="J675" s="24" t="str">
        <v>9 out of 10</v>
      </c>
      <c r="K675" s="24">
        <v>1636</v>
      </c>
      <c r="L675" s="24" t="str">
        <v>N/A out of 10</v>
      </c>
      <c r="M675" s="23" t="b">
        <f t="shared" si="20"/>
        <v>0</v>
      </c>
      <c r="N675" s="23" t="str">
        <v>9 out of 10</v>
      </c>
      <c r="O675" s="23"/>
      <c r="P675" s="42" t="str">
        <v>9</v>
      </c>
      <c r="Q675" s="42" t="str">
        <v>N/A</v>
      </c>
      <c r="R675" s="42" t="str">
        <v>9</v>
      </c>
      <c r="S675" s="10" t="str">
        <f t="shared" si="21"/>
        <v>No Change</v>
      </c>
    </row>
    <row r="676" spans="1:19" ht="120" hidden="1">
      <c r="A676" s="8" t="s">
        <v>4276</v>
      </c>
      <c r="B676" s="9" t="s">
        <v>13559</v>
      </c>
      <c r="C676" s="37" t="s">
        <v>9173</v>
      </c>
      <c r="D676" s="24"/>
      <c r="E676" s="24"/>
      <c r="F676" s="24" t="str">
        <v>Q878</v>
      </c>
      <c r="G676" s="24" t="str">
        <v>4 out of 10</v>
      </c>
      <c r="H676" s="24" t="str">
        <v>https://nycdoe.sharepoint.com/:w:/s/BAP/Ef_pM73U-l1DmIJipPQ-oeEBKPPQ0xvMgLPD8RvLQINYOg</v>
      </c>
      <c r="I676" s="23">
        <v>649</v>
      </c>
      <c r="J676" s="24" t="str">
        <v>-</v>
      </c>
      <c r="K676" s="24">
        <v>1637</v>
      </c>
      <c r="L676" s="24" t="str">
        <v>4 out of 10</v>
      </c>
      <c r="M676" s="23" t="b">
        <f t="shared" si="20"/>
        <v>1</v>
      </c>
      <c r="N676" s="23" t="str">
        <v>4 out of 10</v>
      </c>
      <c r="O676" s="23"/>
      <c r="P676" s="42" t="str">
        <v>4</v>
      </c>
      <c r="Q676" s="42" t="str">
        <v>4</v>
      </c>
      <c r="R676" s="42" t="str">
        <v>4</v>
      </c>
      <c r="S676" s="10" t="str">
        <f t="shared" si="21"/>
        <v>No Change</v>
      </c>
    </row>
    <row r="677" spans="1:19" ht="120" hidden="1">
      <c r="A677" s="8" t="s">
        <v>4280</v>
      </c>
      <c r="B677" s="9" t="s">
        <v>13558</v>
      </c>
      <c r="C677" s="37" t="s">
        <v>9182</v>
      </c>
      <c r="D677" s="24"/>
      <c r="E677" s="24"/>
      <c r="F677" s="24" t="str">
        <v>Q882</v>
      </c>
      <c r="G677" s="24" t="str">
        <v>0 out of 10</v>
      </c>
      <c r="H677" s="24" t="str">
        <v>https://nycdoe.sharepoint.com/:w:/s/BAP/EUL2ZiiCAPVKv_xuJfAsc4gB8oUsBS-Crt2rQauGkcybmA</v>
      </c>
      <c r="I677" s="23">
        <v>650</v>
      </c>
      <c r="J677" s="24" t="str">
        <v>-</v>
      </c>
      <c r="K677" s="24">
        <v>1638</v>
      </c>
      <c r="L677" s="24" t="str">
        <v>N/A out of 10</v>
      </c>
      <c r="M677" s="23" t="b">
        <f t="shared" si="20"/>
        <v>0</v>
      </c>
      <c r="N677" s="23" t="str">
        <v>0 out of 10</v>
      </c>
      <c r="O677" s="23"/>
      <c r="P677" s="42" t="str">
        <v>0</v>
      </c>
      <c r="Q677" s="42" t="str">
        <v>N/A</v>
      </c>
      <c r="R677" s="42" t="str">
        <v>0</v>
      </c>
      <c r="S677" s="10" t="str">
        <f t="shared" si="21"/>
        <v>No Change</v>
      </c>
    </row>
    <row r="678" spans="1:19" ht="120" hidden="1">
      <c r="A678" s="8" t="s">
        <v>4284</v>
      </c>
      <c r="B678" s="9" t="s">
        <v>13555</v>
      </c>
      <c r="C678" s="37" t="s">
        <v>9184</v>
      </c>
      <c r="D678" s="24"/>
      <c r="E678" s="24"/>
      <c r="F678" s="24" t="str">
        <v>Q883</v>
      </c>
      <c r="G678" s="24" t="str">
        <v>0 out of 10</v>
      </c>
      <c r="H678" s="24" t="str">
        <v>https://nycdoe.sharepoint.com/:w:/s/BAP/EYk_MwpC3zpNhq0eWBFPuaQBuGvjRF-IXEvJ7lPA9NwR0A</v>
      </c>
      <c r="I678" s="23">
        <v>651</v>
      </c>
      <c r="J678" s="24" t="str">
        <v>-</v>
      </c>
      <c r="K678" s="24" t="str">
        <v>Possible Change</v>
      </c>
      <c r="L678" s="24" t="str">
        <v>- out of 10</v>
      </c>
      <c r="M678" s="23" t="b">
        <f t="shared" si="20"/>
        <v>0</v>
      </c>
      <c r="N678" s="23" t="str">
        <v>0 out of 10</v>
      </c>
      <c r="O678" s="23"/>
      <c r="P678" s="42" t="str">
        <v>0</v>
      </c>
      <c r="Q678" s="42" t="str">
        <v>Not Found</v>
      </c>
      <c r="R678" s="42" t="str">
        <v>0</v>
      </c>
      <c r="S678" s="10" t="str">
        <f t="shared" si="21"/>
        <v>Change</v>
      </c>
    </row>
    <row r="679" spans="1:19" ht="120" hidden="1">
      <c r="A679" s="8" t="s">
        <v>4288</v>
      </c>
      <c r="B679" s="9" t="s">
        <v>13559</v>
      </c>
      <c r="C679" s="37" t="s">
        <v>9195</v>
      </c>
      <c r="D679" s="24"/>
      <c r="E679" s="24"/>
      <c r="F679" s="24" t="str">
        <v>Q884</v>
      </c>
      <c r="G679" s="24" t="str">
        <v>9 out of 10</v>
      </c>
      <c r="H679" s="24" t="str">
        <v>https://nycdoe.sharepoint.com/:w:/s/BAP/ET6rZsiStKdCm63xC1LAiRMBalmU3xrgrL0PrBhgj4MLDQ</v>
      </c>
      <c r="I679" s="23">
        <v>652</v>
      </c>
      <c r="J679" s="24" t="str">
        <v>-</v>
      </c>
      <c r="K679" s="24">
        <v>1639</v>
      </c>
      <c r="L679" s="24" t="str">
        <v>9 out of 10</v>
      </c>
      <c r="M679" s="23" t="b">
        <f t="shared" si="20"/>
        <v>1</v>
      </c>
      <c r="N679" s="23" t="str">
        <v>9 out of 10</v>
      </c>
      <c r="O679" s="23"/>
      <c r="P679" s="42" t="str">
        <v>9</v>
      </c>
      <c r="Q679" s="42" t="str">
        <v>9</v>
      </c>
      <c r="R679" s="42" t="str">
        <v>9</v>
      </c>
      <c r="S679" s="10" t="str">
        <f t="shared" si="21"/>
        <v>No Change</v>
      </c>
    </row>
    <row r="680" spans="1:19" ht="120" hidden="1">
      <c r="A680" s="8" t="s">
        <v>4292</v>
      </c>
      <c r="B680" s="9" t="s">
        <v>13559</v>
      </c>
      <c r="C680" s="37" t="s">
        <v>9204</v>
      </c>
      <c r="D680" s="24"/>
      <c r="E680" s="24"/>
      <c r="F680" s="24" t="str">
        <v>Q885</v>
      </c>
      <c r="G680" s="24" t="str">
        <v>9 out of 10</v>
      </c>
      <c r="H680" s="24" t="str">
        <v>https://nycdoe.sharepoint.com/:w:/s/BAP/EYHtSmel5WpAmtZtcfie18oBeZzoNUerbBEJfuj2GtMF3Q</v>
      </c>
      <c r="I680" s="23">
        <v>653</v>
      </c>
      <c r="J680" s="24" t="str">
        <v>-</v>
      </c>
      <c r="K680" s="24">
        <v>1640</v>
      </c>
      <c r="L680" s="24" t="str">
        <v>9 out of 10</v>
      </c>
      <c r="M680" s="23" t="b">
        <f t="shared" si="20"/>
        <v>1</v>
      </c>
      <c r="N680" s="23" t="str">
        <v>9 out of 10</v>
      </c>
      <c r="O680" s="23"/>
      <c r="P680" s="42" t="str">
        <v>9</v>
      </c>
      <c r="Q680" s="42" t="str">
        <v>9</v>
      </c>
      <c r="R680" s="42" t="str">
        <v>9</v>
      </c>
      <c r="S680" s="10" t="str">
        <f t="shared" si="21"/>
        <v>No Change</v>
      </c>
    </row>
    <row r="681" spans="1:19" ht="120" hidden="1">
      <c r="A681" s="8" t="s">
        <v>4296</v>
      </c>
      <c r="B681" s="9" t="s">
        <v>13559</v>
      </c>
      <c r="C681" s="37" t="s">
        <v>9207</v>
      </c>
      <c r="D681" s="24"/>
      <c r="E681" s="24"/>
      <c r="F681" s="24" t="str">
        <v>Q891</v>
      </c>
      <c r="G681" s="24" t="str">
        <v>10 out of 10</v>
      </c>
      <c r="H681" s="24" t="str">
        <v>https://nycdoe.sharepoint.com/:w:/s/BAP/Eegr-Oa14MNJsw5U65e5do0BOrvXgYGAfwiq8fMCyc8ifQ</v>
      </c>
      <c r="I681" s="23">
        <v>654</v>
      </c>
      <c r="J681" s="24" t="str">
        <v>-</v>
      </c>
      <c r="K681" s="24">
        <v>1642</v>
      </c>
      <c r="L681" s="24" t="str">
        <v>10 out of 10</v>
      </c>
      <c r="M681" s="23" t="b">
        <f t="shared" si="20"/>
        <v>1</v>
      </c>
      <c r="N681" s="23" t="str">
        <v>10 out of 10</v>
      </c>
      <c r="O681" s="23"/>
      <c r="P681" s="42" t="str">
        <v>10</v>
      </c>
      <c r="Q681" s="42" t="str">
        <v>10</v>
      </c>
      <c r="R681" s="42" t="str">
        <v>10</v>
      </c>
      <c r="S681" s="10" t="str">
        <f t="shared" si="21"/>
        <v>No Change</v>
      </c>
    </row>
    <row r="682" spans="1:19" ht="120" hidden="1">
      <c r="A682" s="8" t="s">
        <v>4298</v>
      </c>
      <c r="B682" s="9" t="s">
        <v>13558</v>
      </c>
      <c r="C682" s="37" t="s">
        <v>9211</v>
      </c>
      <c r="D682" s="24"/>
      <c r="E682" s="24"/>
      <c r="F682" s="24" t="str">
        <v>Q892</v>
      </c>
      <c r="G682" s="24" t="str">
        <v>0 out of 10</v>
      </c>
      <c r="H682" s="24" t="str">
        <v>https://nycdoe.sharepoint.com/:w:/s/BAP/EZoQJp48QdtIqbb6N4-B4wwBNFRv_Z-jwTjJl93F-1VCdw</v>
      </c>
      <c r="I682" s="23">
        <v>655</v>
      </c>
      <c r="J682" s="24" t="str">
        <v>-</v>
      </c>
      <c r="K682" s="24">
        <v>1643</v>
      </c>
      <c r="L682" s="24" t="str">
        <v>N/A out of 10</v>
      </c>
      <c r="M682" s="23" t="b">
        <f t="shared" si="20"/>
        <v>0</v>
      </c>
      <c r="N682" s="23" t="str">
        <v>0 out of 10</v>
      </c>
      <c r="O682" s="23"/>
      <c r="P682" s="42" t="str">
        <v>0</v>
      </c>
      <c r="Q682" s="42" t="str">
        <v>N/A</v>
      </c>
      <c r="R682" s="42" t="str">
        <v>0</v>
      </c>
      <c r="S682" s="10" t="str">
        <f t="shared" si="21"/>
        <v>No Change</v>
      </c>
    </row>
    <row r="683" spans="1:19" ht="120" hidden="1">
      <c r="A683" s="8" t="s">
        <v>4302</v>
      </c>
      <c r="B683" s="9" t="s">
        <v>13553</v>
      </c>
      <c r="C683" s="37" t="s">
        <v>9215</v>
      </c>
      <c r="D683" s="24"/>
      <c r="E683" s="24"/>
      <c r="F683" s="24" t="str">
        <v>Q907</v>
      </c>
      <c r="G683" s="24" t="str">
        <v>10 out of 10</v>
      </c>
      <c r="H683" s="24" t="str">
        <v>https://nycdoe.sharepoint.com/:w:/s/BAP/EcWPMhBxTYtJmtZyCbJB3RcBvdVOAaPHL8nd1qUs09-Wng</v>
      </c>
      <c r="I683" s="23">
        <v>656</v>
      </c>
      <c r="J683" s="24" t="str">
        <v>-</v>
      </c>
      <c r="K683" s="24">
        <v>1644</v>
      </c>
      <c r="L683" s="24" t="str">
        <v>10 out of 10</v>
      </c>
      <c r="M683" s="23" t="b">
        <f t="shared" si="20"/>
        <v>1</v>
      </c>
      <c r="N683" s="23" t="str">
        <v>10 out of 10</v>
      </c>
      <c r="O683" s="23"/>
      <c r="P683" s="42" t="str">
        <v>10</v>
      </c>
      <c r="Q683" s="42" t="str">
        <v>10</v>
      </c>
      <c r="R683" s="42" t="str">
        <v>10</v>
      </c>
      <c r="S683" s="10" t="str">
        <f t="shared" si="21"/>
        <v>No Change</v>
      </c>
    </row>
    <row r="684" spans="1:19" ht="120" hidden="1">
      <c r="A684" s="8" t="s">
        <v>4313</v>
      </c>
      <c r="B684" s="9" t="s">
        <v>13560</v>
      </c>
      <c r="C684" s="37" t="s">
        <v>9223</v>
      </c>
      <c r="D684" s="24"/>
      <c r="E684" s="24"/>
      <c r="F684" s="24" t="str">
        <v>Q972</v>
      </c>
      <c r="G684" s="24" t="str">
        <v>10 out of 10</v>
      </c>
      <c r="H684" s="24" t="str">
        <v>https://nycdoe.sharepoint.com/:w:/s/BAP/ESwn3TV4zzVPj9ItHQbKuQABRojQzLEYNQFbF4GZfXzzAQ</v>
      </c>
      <c r="I684" s="23">
        <v>657</v>
      </c>
      <c r="J684" s="24" t="str">
        <v>-</v>
      </c>
      <c r="K684" s="24">
        <v>1646</v>
      </c>
      <c r="L684" s="24" t="str">
        <v>10 out of 10</v>
      </c>
      <c r="M684" s="23" t="b">
        <f t="shared" si="20"/>
        <v>1</v>
      </c>
      <c r="N684" s="23" t="str">
        <v>10 out of 10</v>
      </c>
      <c r="O684" s="23"/>
      <c r="P684" s="42" t="str">
        <v>10</v>
      </c>
      <c r="Q684" s="42" t="str">
        <v>10</v>
      </c>
      <c r="R684" s="42" t="str">
        <v>10</v>
      </c>
      <c r="S684" s="10" t="str">
        <f t="shared" si="21"/>
        <v>No Change</v>
      </c>
    </row>
    <row r="685" spans="1:19" ht="120" hidden="1">
      <c r="A685" s="8" t="s">
        <v>4317</v>
      </c>
      <c r="B685" s="9" t="s">
        <v>13565</v>
      </c>
      <c r="C685" s="37" t="s">
        <v>9227</v>
      </c>
      <c r="D685" s="24"/>
      <c r="E685" s="24"/>
      <c r="F685" s="24" t="str">
        <v>Q994</v>
      </c>
      <c r="G685" s="24" t="str">
        <v>10 out of 10</v>
      </c>
      <c r="H685" s="24" t="str">
        <v>https://nycdoe.sharepoint.com/:w:/s/BAP/ERbHyiiEPkRLgblCLpRG6-kB9YGLmnJMApC_ZDAXXegk-A</v>
      </c>
      <c r="I685" s="23">
        <v>658</v>
      </c>
      <c r="J685" s="24" t="str">
        <v>-</v>
      </c>
      <c r="K685" s="24">
        <v>1648</v>
      </c>
      <c r="L685" s="24" t="str">
        <v>10 out of 10</v>
      </c>
      <c r="M685" s="23" t="b">
        <f t="shared" si="20"/>
        <v>1</v>
      </c>
      <c r="N685" s="23" t="str">
        <v>10 out of 10</v>
      </c>
      <c r="O685" s="23"/>
      <c r="P685" s="42" t="str">
        <v>10</v>
      </c>
      <c r="Q685" s="42" t="str">
        <v>10</v>
      </c>
      <c r="R685" s="42" t="str">
        <v>10</v>
      </c>
      <c r="S685" s="10" t="str">
        <f t="shared" si="21"/>
        <v>No Change</v>
      </c>
    </row>
    <row r="686" spans="1:19" ht="120" hidden="1">
      <c r="A686" s="8" t="s">
        <v>4321</v>
      </c>
      <c r="B686" s="11" t="s">
        <v>13560</v>
      </c>
      <c r="C686" s="37" t="s">
        <v>9231</v>
      </c>
      <c r="D686" s="24"/>
      <c r="E686" s="24"/>
      <c r="F686" s="24" t="str">
        <v>R002</v>
      </c>
      <c r="G686" s="24" t="str">
        <v>1 out of 10</v>
      </c>
      <c r="H686" s="24" t="str">
        <v>https://nycdoe.sharepoint.com/:w:/s/BAP/EcW-zlFDOStMgxG4EK8lDp4BTQGeiiu_hAR3kFrTOv23Ew</v>
      </c>
      <c r="I686" s="23">
        <v>659</v>
      </c>
      <c r="J686" s="24" t="str">
        <v>-</v>
      </c>
      <c r="K686" s="24">
        <v>1650</v>
      </c>
      <c r="L686" s="24" t="str">
        <v>1 out of 10</v>
      </c>
      <c r="M686" s="23" t="b">
        <f t="shared" si="20"/>
        <v>1</v>
      </c>
      <c r="N686" s="23" t="str">
        <v>1 out of 10</v>
      </c>
      <c r="O686" s="23"/>
      <c r="P686" s="42" t="str">
        <v>1</v>
      </c>
      <c r="Q686" s="42" t="str">
        <v>1</v>
      </c>
      <c r="R686" s="42" t="str">
        <v>1</v>
      </c>
      <c r="S686" s="10" t="str">
        <f t="shared" si="21"/>
        <v>No Change</v>
      </c>
    </row>
    <row r="687" spans="1:19" ht="120" hidden="1">
      <c r="A687" s="8" t="s">
        <v>4326</v>
      </c>
      <c r="B687" s="9" t="s">
        <v>13555</v>
      </c>
      <c r="C687" s="37" t="s">
        <v>9243</v>
      </c>
      <c r="D687" s="24"/>
      <c r="E687" s="24"/>
      <c r="F687" s="24" t="str">
        <v>R003</v>
      </c>
      <c r="G687" s="24" t="str">
        <v>6 out of 10</v>
      </c>
      <c r="H687" s="24" t="str">
        <v>https://nycdoe.sharepoint.com/:w:/s/BAP/EWIw3AItrK9Pjq8_LYcsv2cBcu1h9jLiWA-3pXp7zAWaUg</v>
      </c>
      <c r="I687" s="23">
        <v>660</v>
      </c>
      <c r="J687" s="24" t="str">
        <v>-</v>
      </c>
      <c r="K687" s="24">
        <v>1652</v>
      </c>
      <c r="L687" s="24" t="str">
        <v>6 out of 10</v>
      </c>
      <c r="M687" s="23" t="b">
        <f t="shared" si="20"/>
        <v>1</v>
      </c>
      <c r="N687" s="23" t="str">
        <v>6 out of 10</v>
      </c>
      <c r="O687" s="23"/>
      <c r="P687" s="42" t="str">
        <v>6</v>
      </c>
      <c r="Q687" s="42" t="str">
        <v>6</v>
      </c>
      <c r="R687" s="42" t="str">
        <v>6</v>
      </c>
      <c r="S687" s="10" t="str">
        <f t="shared" si="21"/>
        <v>No Change</v>
      </c>
    </row>
    <row r="688" spans="1:19" ht="120" hidden="1">
      <c r="A688" s="8" t="s">
        <v>4330</v>
      </c>
      <c r="B688" s="9" t="s">
        <v>13555</v>
      </c>
      <c r="C688" s="37" t="s">
        <v>9247</v>
      </c>
      <c r="D688" s="24"/>
      <c r="E688" s="24"/>
      <c r="F688" s="24" t="str">
        <v>R004</v>
      </c>
      <c r="G688" s="24" t="str">
        <v>4 out of 10</v>
      </c>
      <c r="H688" s="24" t="str">
        <v>https://nycdoe.sharepoint.com/:w:/s/BAP/EVMjN0s7kfROrTapWqmBaz4BGQ77pXwWiSrGbETS6QtfGw</v>
      </c>
      <c r="I688" s="23">
        <v>661</v>
      </c>
      <c r="J688" s="24" t="str">
        <v>-</v>
      </c>
      <c r="K688" s="24">
        <v>1653</v>
      </c>
      <c r="L688" s="24" t="str">
        <v>4 out of 10</v>
      </c>
      <c r="M688" s="23" t="b">
        <f t="shared" si="20"/>
        <v>1</v>
      </c>
      <c r="N688" s="23" t="str">
        <v>4 out of 10</v>
      </c>
      <c r="O688" s="23"/>
      <c r="P688" s="42" t="str">
        <v>4</v>
      </c>
      <c r="Q688" s="42" t="str">
        <v>4</v>
      </c>
      <c r="R688" s="42" t="str">
        <v>4</v>
      </c>
      <c r="S688" s="10" t="str">
        <f t="shared" si="21"/>
        <v>No Change</v>
      </c>
    </row>
    <row r="689" spans="1:19" ht="120" hidden="1">
      <c r="A689" s="8" t="s">
        <v>4334</v>
      </c>
      <c r="B689" s="9" t="s">
        <v>13559</v>
      </c>
      <c r="C689" s="37" t="s">
        <v>9261</v>
      </c>
      <c r="D689" s="24"/>
      <c r="E689" s="24"/>
      <c r="F689" s="24" t="str">
        <v>R005</v>
      </c>
      <c r="G689" s="24" t="str">
        <v>4 out of 10</v>
      </c>
      <c r="H689" s="24" t="str">
        <v>https://nycdoe.sharepoint.com/:w:/s/BAP/EbYH9YPdq1dDugpz-dplidQBFNLJGEX6-E5Og3HzLkv9jQ</v>
      </c>
      <c r="I689" s="23">
        <v>662</v>
      </c>
      <c r="J689" s="24" t="str">
        <v>-</v>
      </c>
      <c r="K689" s="24">
        <v>1655</v>
      </c>
      <c r="L689" s="24" t="str">
        <v>4 out of 10</v>
      </c>
      <c r="M689" s="23" t="b">
        <f t="shared" si="20"/>
        <v>1</v>
      </c>
      <c r="N689" s="23" t="str">
        <v>4 out of 10</v>
      </c>
      <c r="O689" s="23"/>
      <c r="P689" s="42" t="str">
        <v>4</v>
      </c>
      <c r="Q689" s="42" t="str">
        <v>4</v>
      </c>
      <c r="R689" s="42" t="str">
        <v>4</v>
      </c>
      <c r="S689" s="10" t="str">
        <f t="shared" si="21"/>
        <v>No Change</v>
      </c>
    </row>
    <row r="690" spans="1:19" ht="135" hidden="1">
      <c r="A690" s="8" t="s">
        <v>4338</v>
      </c>
      <c r="B690" s="9" t="s">
        <v>13553</v>
      </c>
      <c r="C690" s="37" t="s">
        <v>9265</v>
      </c>
      <c r="D690" s="24"/>
      <c r="E690" s="24"/>
      <c r="F690" s="24" t="str">
        <v>R006</v>
      </c>
      <c r="G690" s="24" t="str">
        <v>10 out of 10</v>
      </c>
      <c r="H690" s="24" t="str">
        <v>https://nycdoe.sharepoint.com/:w:/s/BAP/ETLKEQMPwfBEmgsq3XfhaBEBc1siXtlhtkbIENYgYIplgQ</v>
      </c>
      <c r="I690" s="23">
        <v>663</v>
      </c>
      <c r="J690" s="24" t="str">
        <v>-</v>
      </c>
      <c r="K690" s="24">
        <v>1656</v>
      </c>
      <c r="L690" s="24" t="str">
        <v>10 out of 10</v>
      </c>
      <c r="M690" s="23" t="b">
        <f t="shared" si="20"/>
        <v>1</v>
      </c>
      <c r="N690" s="23" t="str">
        <v>10 out of 10</v>
      </c>
      <c r="O690" s="23"/>
      <c r="P690" s="42" t="str">
        <v>10</v>
      </c>
      <c r="Q690" s="42" t="str">
        <v>10</v>
      </c>
      <c r="R690" s="42" t="str">
        <v>10</v>
      </c>
      <c r="S690" s="10" t="str">
        <f t="shared" si="21"/>
        <v>No Change</v>
      </c>
    </row>
    <row r="691" spans="1:19" ht="135" hidden="1">
      <c r="A691" s="8" t="s">
        <v>4342</v>
      </c>
      <c r="B691" s="9" t="s">
        <v>13558</v>
      </c>
      <c r="C691" s="37" t="s">
        <v>9269</v>
      </c>
      <c r="D691" s="24"/>
      <c r="E691" s="24"/>
      <c r="F691" s="24" t="str">
        <v>R007</v>
      </c>
      <c r="G691" s="24" t="str">
        <v>1 out of 10</v>
      </c>
      <c r="H691" s="24" t="str">
        <v>https://nycdoe.sharepoint.com/:w:/s/BAP/EeACQNlwpVFImFkqY2gH4hQBsFVpgVqZ2esDWhj5N9I70g</v>
      </c>
      <c r="I691" s="23">
        <v>664</v>
      </c>
      <c r="J691" s="24" t="str">
        <v>-</v>
      </c>
      <c r="K691" s="24">
        <v>1658</v>
      </c>
      <c r="L691" s="24" t="str">
        <v>1 out of 10</v>
      </c>
      <c r="M691" s="23" t="b">
        <f t="shared" si="20"/>
        <v>1</v>
      </c>
      <c r="N691" s="23" t="str">
        <v>1 out of 10</v>
      </c>
      <c r="O691" s="23"/>
      <c r="P691" s="42" t="str">
        <v>1</v>
      </c>
      <c r="Q691" s="42" t="str">
        <v>1</v>
      </c>
      <c r="R691" s="42" t="str">
        <v>1</v>
      </c>
      <c r="S691" s="10" t="str">
        <f t="shared" si="21"/>
        <v>No Change</v>
      </c>
    </row>
    <row r="692" spans="1:19" ht="120" hidden="1">
      <c r="A692" s="8" t="s">
        <v>4346</v>
      </c>
      <c r="B692" s="9" t="s">
        <v>13553</v>
      </c>
      <c r="C692" s="37" t="s">
        <v>9273</v>
      </c>
      <c r="D692" s="24"/>
      <c r="E692" s="24"/>
      <c r="F692" s="24" t="str">
        <v>R011</v>
      </c>
      <c r="G692" s="24" t="str">
        <v>3 out of 10</v>
      </c>
      <c r="H692" s="24" t="str">
        <v>https://nycdoe.sharepoint.com/:w:/s/BAP/EfTjRpG8uSVIs4njlZiqmo8Bp4gJwHypklMnRfirkFZglw</v>
      </c>
      <c r="I692" s="23">
        <v>665</v>
      </c>
      <c r="J692" s="24" t="str">
        <v>-</v>
      </c>
      <c r="K692" s="24">
        <v>1661</v>
      </c>
      <c r="L692" s="24" t="str">
        <v>3 out of 10</v>
      </c>
      <c r="M692" s="23" t="b">
        <f t="shared" si="20"/>
        <v>1</v>
      </c>
      <c r="N692" s="23" t="str">
        <v>3 out of 10</v>
      </c>
      <c r="O692" s="23"/>
      <c r="P692" s="42" t="str">
        <v>3</v>
      </c>
      <c r="Q692" s="42" t="str">
        <v>3</v>
      </c>
      <c r="R692" s="42" t="str">
        <v>3</v>
      </c>
      <c r="S692" s="10" t="str">
        <f t="shared" si="21"/>
        <v>No Change</v>
      </c>
    </row>
    <row r="693" spans="1:19" ht="120" hidden="1">
      <c r="A693" s="8" t="s">
        <v>4350</v>
      </c>
      <c r="B693" s="9" t="s">
        <v>13560</v>
      </c>
      <c r="C693" s="37" t="s">
        <v>9277</v>
      </c>
      <c r="D693" s="24"/>
      <c r="E693" s="24"/>
      <c r="F693" s="24" t="str">
        <v>R013</v>
      </c>
      <c r="G693" s="24" t="str">
        <v>9 out of 10</v>
      </c>
      <c r="H693" s="24" t="str">
        <v>https://nycdoe.sharepoint.com/:w:/s/BAP/EbvcWSshrphPtLjdaEWDwUAB6_F4dCBAJUrZBYxbnr493Q</v>
      </c>
      <c r="I693" s="23">
        <v>666</v>
      </c>
      <c r="J693" s="24" t="str">
        <v>-</v>
      </c>
      <c r="K693" s="24">
        <v>1662</v>
      </c>
      <c r="L693" s="24" t="str">
        <v>9 out of 10</v>
      </c>
      <c r="M693" s="23" t="b">
        <f t="shared" si="20"/>
        <v>1</v>
      </c>
      <c r="N693" s="23" t="str">
        <v>9 out of 10</v>
      </c>
      <c r="O693" s="23"/>
      <c r="P693" s="42" t="str">
        <v>9</v>
      </c>
      <c r="Q693" s="42" t="str">
        <v>9</v>
      </c>
      <c r="R693" s="42" t="str">
        <v>9</v>
      </c>
      <c r="S693" s="10" t="str">
        <f t="shared" si="21"/>
        <v>No Change</v>
      </c>
    </row>
    <row r="694" spans="1:19" ht="120" hidden="1">
      <c r="A694" s="8" t="s">
        <v>4354</v>
      </c>
      <c r="B694" s="9" t="s">
        <v>13558</v>
      </c>
      <c r="C694" s="37" t="s">
        <v>9281</v>
      </c>
      <c r="D694" s="24"/>
      <c r="E694" s="24"/>
      <c r="F694" s="24" t="str">
        <v>R014</v>
      </c>
      <c r="G694" s="24" t="str">
        <v>6 out of 10</v>
      </c>
      <c r="H694" s="24" t="str">
        <v>https://nycdoe.sharepoint.com/:w:/s/BAP/EQd07aynhmVIln-Kb-jErH4B3RtRWn9EpK4aG9U5Ub3xrQ</v>
      </c>
      <c r="I694" s="23">
        <v>667</v>
      </c>
      <c r="J694" s="24" t="str">
        <v>-</v>
      </c>
      <c r="K694" s="24">
        <v>1663</v>
      </c>
      <c r="L694" s="24" t="str">
        <v>6 out of 10</v>
      </c>
      <c r="M694" s="23" t="b">
        <f t="shared" si="20"/>
        <v>1</v>
      </c>
      <c r="N694" s="23" t="str">
        <v>6 out of 10</v>
      </c>
      <c r="O694" s="23"/>
      <c r="P694" s="42" t="str">
        <v>6</v>
      </c>
      <c r="Q694" s="42" t="str">
        <v>6</v>
      </c>
      <c r="R694" s="42" t="str">
        <v>6</v>
      </c>
      <c r="S694" s="10" t="str">
        <f t="shared" si="21"/>
        <v>No Change</v>
      </c>
    </row>
    <row r="695" spans="1:19" ht="120" hidden="1">
      <c r="A695" s="8" t="s">
        <v>4358</v>
      </c>
      <c r="B695" s="9" t="s">
        <v>13555</v>
      </c>
      <c r="C695" s="37" t="s">
        <v>9285</v>
      </c>
      <c r="D695" s="24"/>
      <c r="E695" s="24"/>
      <c r="F695" s="24" t="str">
        <v>R018</v>
      </c>
      <c r="G695" s="24" t="str">
        <v>3 out of 10</v>
      </c>
      <c r="H695" s="24" t="str">
        <v>https://nycdoe.sharepoint.com/:w:/s/BAP/Eeu8Bt_RDGlMvt-TSyw9MwsB_QboGYM0CZ2N-oUa4Wymcw</v>
      </c>
      <c r="I695" s="23">
        <v>668</v>
      </c>
      <c r="J695" s="24" t="str">
        <v>-</v>
      </c>
      <c r="K695" s="24">
        <v>1666</v>
      </c>
      <c r="L695" s="24" t="str">
        <v>3 out of 10</v>
      </c>
      <c r="M695" s="23" t="b">
        <f t="shared" si="20"/>
        <v>1</v>
      </c>
      <c r="N695" s="23" t="str">
        <v>3 out of 10</v>
      </c>
      <c r="O695" s="23"/>
      <c r="P695" s="42" t="str">
        <v>3</v>
      </c>
      <c r="Q695" s="42" t="str">
        <v>3</v>
      </c>
      <c r="R695" s="42" t="str">
        <v>3</v>
      </c>
      <c r="S695" s="10" t="str">
        <f t="shared" si="21"/>
        <v>No Change</v>
      </c>
    </row>
    <row r="696" spans="1:19" ht="120" hidden="1">
      <c r="A696" s="8" t="s">
        <v>4362</v>
      </c>
      <c r="B696" s="9" t="s">
        <v>13553</v>
      </c>
      <c r="C696" s="37" t="s">
        <v>9289</v>
      </c>
      <c r="D696" s="24"/>
      <c r="E696" s="24"/>
      <c r="F696" s="24" t="str">
        <v>R019</v>
      </c>
      <c r="G696" s="24" t="str">
        <v>1 out of 10</v>
      </c>
      <c r="H696" s="24" t="str">
        <v>https://nycdoe.sharepoint.com/:w:/s/BAP/EcL22-Y61SJGrapne2Aej3gBbaZFA6ZCryTBo2iVz3yTQA</v>
      </c>
      <c r="I696" s="23">
        <v>669</v>
      </c>
      <c r="J696" s="24" t="str">
        <v>-</v>
      </c>
      <c r="K696" s="24">
        <v>1667</v>
      </c>
      <c r="L696" s="24" t="str">
        <v>1 out of 10</v>
      </c>
      <c r="M696" s="23" t="b">
        <f t="shared" si="20"/>
        <v>1</v>
      </c>
      <c r="N696" s="23" t="str">
        <v>1 out of 10</v>
      </c>
      <c r="O696" s="23"/>
      <c r="P696" s="42" t="str">
        <v>1</v>
      </c>
      <c r="Q696" s="42" t="str">
        <v>1</v>
      </c>
      <c r="R696" s="42" t="str">
        <v>1</v>
      </c>
      <c r="S696" s="10" t="str">
        <f t="shared" si="21"/>
        <v>No Change</v>
      </c>
    </row>
    <row r="697" spans="1:19" ht="120" hidden="1">
      <c r="A697" s="8" t="s">
        <v>4366</v>
      </c>
      <c r="B697" s="9" t="s">
        <v>13553</v>
      </c>
      <c r="C697" s="37" t="s">
        <v>9293</v>
      </c>
      <c r="D697" s="24"/>
      <c r="E697" s="24"/>
      <c r="F697" s="24" t="str">
        <v>R020</v>
      </c>
      <c r="G697" s="24" t="str">
        <v>4 out of 10</v>
      </c>
      <c r="H697" s="24" t="str">
        <v>https://nycdoe.sharepoint.com/:w:/s/BAP/EU-_0gzhjrlFmsBWB0C8OLUBYlGdzr4b9gBthSFwFhw8yQ</v>
      </c>
      <c r="I697" s="23">
        <v>670</v>
      </c>
      <c r="J697" s="24" t="str">
        <v>-</v>
      </c>
      <c r="K697" s="24">
        <v>1668</v>
      </c>
      <c r="L697" s="24" t="str">
        <v>4 out of 10</v>
      </c>
      <c r="M697" s="23" t="b">
        <f t="shared" si="20"/>
        <v>1</v>
      </c>
      <c r="N697" s="23" t="str">
        <v>4 out of 10</v>
      </c>
      <c r="O697" s="23"/>
      <c r="P697" s="42" t="str">
        <v>4</v>
      </c>
      <c r="Q697" s="42" t="str">
        <v>4</v>
      </c>
      <c r="R697" s="42" t="str">
        <v>4</v>
      </c>
      <c r="S697" s="10" t="str">
        <f t="shared" si="21"/>
        <v>No Change</v>
      </c>
    </row>
    <row r="698" spans="1:19" ht="120" hidden="1">
      <c r="A698" s="8" t="s">
        <v>4371</v>
      </c>
      <c r="B698" s="9" t="s">
        <v>13555</v>
      </c>
      <c r="C698" s="37" t="s">
        <v>9297</v>
      </c>
      <c r="D698" s="24"/>
      <c r="E698" s="24"/>
      <c r="F698" s="24" t="str">
        <v>R021</v>
      </c>
      <c r="G698" s="24" t="str">
        <v>3 out of 10</v>
      </c>
      <c r="H698" s="24" t="str">
        <v>https://nycdoe.sharepoint.com/:w:/s/BAP/EXRjuQ-OoxJCumetEBFAqfoBXAVdyyIzLCN1I_8n9liN5g</v>
      </c>
      <c r="I698" s="23">
        <v>671</v>
      </c>
      <c r="J698" s="24" t="str">
        <v>-</v>
      </c>
      <c r="K698" s="24">
        <v>1669</v>
      </c>
      <c r="L698" s="24" t="str">
        <v>3 out of 10</v>
      </c>
      <c r="M698" s="23" t="b">
        <f t="shared" si="20"/>
        <v>1</v>
      </c>
      <c r="N698" s="23" t="str">
        <v>3 out of 10</v>
      </c>
      <c r="O698" s="23"/>
      <c r="P698" s="42" t="str">
        <v>3</v>
      </c>
      <c r="Q698" s="42" t="str">
        <v>3</v>
      </c>
      <c r="R698" s="42" t="str">
        <v>3</v>
      </c>
      <c r="S698" s="10" t="str">
        <f t="shared" si="21"/>
        <v>No Change</v>
      </c>
    </row>
    <row r="699" spans="1:19" ht="120" hidden="1">
      <c r="A699" s="8" t="s">
        <v>9298</v>
      </c>
      <c r="B699" s="11" t="s">
        <v>13553</v>
      </c>
      <c r="C699" s="37" t="s">
        <v>9303</v>
      </c>
      <c r="D699" s="24"/>
      <c r="E699" s="24"/>
      <c r="F699" s="24" t="str">
        <v>R022</v>
      </c>
      <c r="G699" s="24" t="str">
        <v>5 out of 10</v>
      </c>
      <c r="H699" s="24" t="str">
        <v>https://nycdoe.sharepoint.com/:w:/s/BAP/EbljqCjhYQhOhTMvWP3NLb4Blyeq-uV_xA486LAuz92enQ</v>
      </c>
      <c r="I699" s="23">
        <v>672</v>
      </c>
      <c r="J699" s="24" t="str">
        <v>-</v>
      </c>
      <c r="K699" s="24">
        <v>1670</v>
      </c>
      <c r="L699" s="24" t="str">
        <v>5 out of 10</v>
      </c>
      <c r="M699" s="23" t="b">
        <f t="shared" si="20"/>
        <v>1</v>
      </c>
      <c r="N699" s="23" t="str">
        <v>5 out of 10</v>
      </c>
      <c r="O699" s="23"/>
      <c r="P699" s="42" t="str">
        <v>5</v>
      </c>
      <c r="Q699" s="42" t="str">
        <v>5</v>
      </c>
      <c r="R699" s="42" t="str">
        <v>5</v>
      </c>
      <c r="S699" s="10" t="str">
        <f t="shared" si="21"/>
        <v>No Change</v>
      </c>
    </row>
    <row r="700" spans="1:19" ht="120">
      <c r="A700" s="8" t="s">
        <v>4375</v>
      </c>
      <c r="B700" s="9" t="s">
        <v>13553</v>
      </c>
      <c r="C700" s="37" t="s">
        <v>9307</v>
      </c>
      <c r="D700" s="24"/>
      <c r="E700" s="24"/>
      <c r="F700" s="24" t="str">
        <v>R024</v>
      </c>
      <c r="G700" s="24" t="str">
        <v>9 out of 10</v>
      </c>
      <c r="H700" s="24" t="str">
        <v>https://nycdoe.sharepoint.com/:w:/s/BAP/EcxQMM-azZBPqlB9l5QKO8ABbmIAKAVUHcMhJqlB47-IjA</v>
      </c>
      <c r="I700" s="23">
        <v>673</v>
      </c>
      <c r="J700" s="24" t="str">
        <v>9 out of 10</v>
      </c>
      <c r="K700" s="24">
        <v>1672</v>
      </c>
      <c r="L700" s="24" t="str">
        <v>8 out of 10</v>
      </c>
      <c r="M700" s="23" t="b">
        <f t="shared" si="20"/>
        <v>0</v>
      </c>
      <c r="N700" s="23" t="str">
        <v>9 out of 10</v>
      </c>
      <c r="O700" s="23"/>
      <c r="P700" s="42" t="str">
        <v>9</v>
      </c>
      <c r="Q700" s="42" t="str">
        <v>8</v>
      </c>
      <c r="R700" s="42" t="str">
        <v>9</v>
      </c>
      <c r="S700" s="10" t="str">
        <f t="shared" si="21"/>
        <v>Change</v>
      </c>
    </row>
    <row r="701" spans="1:19" ht="120" hidden="1">
      <c r="A701" s="8" t="s">
        <v>4379</v>
      </c>
      <c r="B701" s="9" t="s">
        <v>13557</v>
      </c>
      <c r="C701" s="37" t="s">
        <v>9311</v>
      </c>
      <c r="D701" s="24"/>
      <c r="E701" s="24"/>
      <c r="F701" s="24" t="str">
        <v>R025</v>
      </c>
      <c r="G701" s="24" t="str">
        <v>0 out of 10</v>
      </c>
      <c r="H701" s="24" t="str">
        <v>https://nycdoe.sharepoint.com/:w:/s/BAP/EezZIK3MLzdPiirn6aA1JTQB5kSHyf2yPNFkT6Ms9G4gHw</v>
      </c>
      <c r="I701" s="23">
        <v>674</v>
      </c>
      <c r="J701" s="24" t="str">
        <v>-</v>
      </c>
      <c r="K701" s="24">
        <v>1674</v>
      </c>
      <c r="L701" s="24" t="str">
        <v>N/A out of 10</v>
      </c>
      <c r="M701" s="23" t="b">
        <f t="shared" si="20"/>
        <v>0</v>
      </c>
      <c r="N701" s="23" t="str">
        <v>0 out of 10</v>
      </c>
      <c r="O701" s="23"/>
      <c r="P701" s="42" t="str">
        <v>0</v>
      </c>
      <c r="Q701" s="42" t="str">
        <v>N/A</v>
      </c>
      <c r="R701" s="42" t="str">
        <v>0</v>
      </c>
      <c r="S701" s="10" t="str">
        <f t="shared" si="21"/>
        <v>No Change</v>
      </c>
    </row>
    <row r="702" spans="1:19" ht="120" hidden="1">
      <c r="A702" s="8" t="s">
        <v>4383</v>
      </c>
      <c r="B702" s="9" t="s">
        <v>13564</v>
      </c>
      <c r="C702" s="37" t="s">
        <v>9316</v>
      </c>
      <c r="D702" s="24"/>
      <c r="E702" s="24"/>
      <c r="F702" s="24" t="str">
        <v>R030</v>
      </c>
      <c r="G702" s="24" t="str">
        <v>3 out of 10</v>
      </c>
      <c r="H702" s="24" t="str">
        <v>https://nycdoe.sharepoint.com/:w:/s/BAP/EfcEkOdpvX5PrehEJRkHUWMBmSiTnUNwMrRsKyM3_KFt4g</v>
      </c>
      <c r="I702" s="23">
        <v>675</v>
      </c>
      <c r="J702" s="24" t="str">
        <v>-</v>
      </c>
      <c r="K702" s="24">
        <v>1678</v>
      </c>
      <c r="L702" s="24" t="str">
        <v>3 out of 10</v>
      </c>
      <c r="M702" s="23" t="b">
        <f t="shared" si="20"/>
        <v>1</v>
      </c>
      <c r="N702" s="23" t="str">
        <v>3 out of 10</v>
      </c>
      <c r="O702" s="23"/>
      <c r="P702" s="42" t="str">
        <v>3</v>
      </c>
      <c r="Q702" s="42" t="str">
        <v>3</v>
      </c>
      <c r="R702" s="42" t="str">
        <v>3</v>
      </c>
      <c r="S702" s="10" t="str">
        <f t="shared" si="21"/>
        <v>No Change</v>
      </c>
    </row>
    <row r="703" spans="1:19" ht="120" hidden="1">
      <c r="A703" s="8" t="s">
        <v>4387</v>
      </c>
      <c r="B703" s="11" t="s">
        <v>13553</v>
      </c>
      <c r="C703" s="37" t="s">
        <v>9324</v>
      </c>
      <c r="D703" s="24"/>
      <c r="E703" s="24"/>
      <c r="F703" s="24" t="str">
        <v>R032</v>
      </c>
      <c r="G703" s="24" t="str">
        <v>1 out of 10</v>
      </c>
      <c r="H703" s="24" t="str">
        <v>https://nycdoe.sharepoint.com/:w:/s/BAP/EUbXg1PkHr1PiLOBRj40_k8BlDZ2igPd0uH_U65DurYVPg</v>
      </c>
      <c r="I703" s="23">
        <v>676</v>
      </c>
      <c r="J703" s="24" t="str">
        <v>-</v>
      </c>
      <c r="K703" s="24">
        <v>1681</v>
      </c>
      <c r="L703" s="24" t="str">
        <v>1 out of 10</v>
      </c>
      <c r="M703" s="23" t="b">
        <f t="shared" si="20"/>
        <v>1</v>
      </c>
      <c r="N703" s="23" t="str">
        <v>1 out of 10</v>
      </c>
      <c r="O703" s="23"/>
      <c r="P703" s="42" t="str">
        <v>1</v>
      </c>
      <c r="Q703" s="42" t="str">
        <v>1</v>
      </c>
      <c r="R703" s="42" t="str">
        <v>1</v>
      </c>
      <c r="S703" s="10" t="str">
        <f t="shared" si="21"/>
        <v>No Change</v>
      </c>
    </row>
    <row r="704" spans="1:19" ht="120" hidden="1">
      <c r="A704" s="8" t="s">
        <v>9157</v>
      </c>
      <c r="B704" s="9" t="s">
        <v>13553</v>
      </c>
      <c r="C704" s="37" t="s">
        <v>9326</v>
      </c>
      <c r="D704" s="24"/>
      <c r="E704" s="24"/>
      <c r="F704" s="24" t="str">
        <v>R034</v>
      </c>
      <c r="G704" s="24" t="str">
        <v>9 out of 10</v>
      </c>
      <c r="H704" s="24" t="str">
        <v>https://nycdoe.sharepoint.com/:w:/s/BAP/Ed7U89VBRrlKjbyCr13gE_8BW1GuE4TZkmBYRcWNN9XomA</v>
      </c>
      <c r="I704" s="23">
        <v>677</v>
      </c>
      <c r="J704" s="24" t="str">
        <v>-</v>
      </c>
      <c r="K704" s="24">
        <v>1683</v>
      </c>
      <c r="L704" s="24" t="str">
        <v>9 out of 10</v>
      </c>
      <c r="M704" s="23" t="b">
        <f t="shared" si="20"/>
        <v>1</v>
      </c>
      <c r="N704" s="23" t="str">
        <v>9 out of 10</v>
      </c>
      <c r="O704" s="23"/>
      <c r="P704" s="42" t="str">
        <v>9</v>
      </c>
      <c r="Q704" s="42" t="str">
        <v>9</v>
      </c>
      <c r="R704" s="42" t="str">
        <v>9</v>
      </c>
      <c r="S704" s="10" t="str">
        <f t="shared" si="21"/>
        <v>No Change</v>
      </c>
    </row>
    <row r="705" spans="1:19" ht="120" hidden="1">
      <c r="A705" s="8" t="s">
        <v>9327</v>
      </c>
      <c r="B705" s="9" t="s">
        <v>13558</v>
      </c>
      <c r="C705" s="37" t="s">
        <v>9329</v>
      </c>
      <c r="D705" s="24"/>
      <c r="E705" s="24"/>
      <c r="F705" s="24" t="str">
        <v>R036</v>
      </c>
      <c r="G705" s="24" t="str">
        <v>3 out of 10</v>
      </c>
      <c r="H705" s="24" t="str">
        <v>https://nycdoe.sharepoint.com/:w:/s/BAP/EVEmtn6NyvRKumcRL2mBIJgBlXd-xnvs16Cy_z7GXaSCTw</v>
      </c>
      <c r="I705" s="23">
        <v>678</v>
      </c>
      <c r="J705" s="24" t="str">
        <v>-</v>
      </c>
      <c r="K705" s="24">
        <v>1686</v>
      </c>
      <c r="L705" s="24" t="str">
        <v>3 out of 10</v>
      </c>
      <c r="M705" s="23" t="b">
        <f t="shared" si="20"/>
        <v>1</v>
      </c>
      <c r="N705" s="23" t="str">
        <v>3 out of 10</v>
      </c>
      <c r="O705" s="23"/>
      <c r="P705" s="42" t="str">
        <v>3</v>
      </c>
      <c r="Q705" s="42" t="str">
        <v>3</v>
      </c>
      <c r="R705" s="42" t="str">
        <v>3</v>
      </c>
      <c r="S705" s="10" t="str">
        <f t="shared" si="21"/>
        <v>No Change</v>
      </c>
    </row>
    <row r="706" spans="1:19" ht="120" hidden="1">
      <c r="A706" s="8" t="s">
        <v>4389</v>
      </c>
      <c r="B706" s="9" t="s">
        <v>13564</v>
      </c>
      <c r="C706" s="37" t="s">
        <v>9331</v>
      </c>
      <c r="D706" s="24"/>
      <c r="E706" s="24"/>
      <c r="F706" s="24" t="str">
        <v>R039</v>
      </c>
      <c r="G706" s="24" t="str">
        <v>3 out of 10</v>
      </c>
      <c r="H706" s="24" t="str">
        <v>https://nycdoe.sharepoint.com/:w:/s/BAP/EYP4H8Xv3vpFhav2JksoBjMBzbrV3XlahE44kAObwRVcrA</v>
      </c>
      <c r="I706" s="23">
        <v>679</v>
      </c>
      <c r="J706" s="24" t="str">
        <v>-</v>
      </c>
      <c r="K706" s="24">
        <v>1689</v>
      </c>
      <c r="L706" s="24" t="str">
        <v>3 out of 10</v>
      </c>
      <c r="M706" s="23" t="b">
        <f t="shared" si="20"/>
        <v>1</v>
      </c>
      <c r="N706" s="23" t="str">
        <v>3 out of 10</v>
      </c>
      <c r="O706" s="23"/>
      <c r="P706" s="42" t="str">
        <v>3</v>
      </c>
      <c r="Q706" s="42" t="str">
        <v>3</v>
      </c>
      <c r="R706" s="42" t="str">
        <v>3</v>
      </c>
      <c r="S706" s="10" t="str">
        <f t="shared" si="21"/>
        <v>No Change</v>
      </c>
    </row>
    <row r="707" spans="1:19" ht="120" hidden="1">
      <c r="A707" s="8" t="s">
        <v>4391</v>
      </c>
      <c r="B707" s="9" t="s">
        <v>13557</v>
      </c>
      <c r="C707" s="37" t="s">
        <v>9335</v>
      </c>
      <c r="D707" s="24"/>
      <c r="E707" s="24"/>
      <c r="F707" s="24" t="str">
        <v>R040</v>
      </c>
      <c r="G707" s="24" t="str">
        <v>3 out of 10</v>
      </c>
      <c r="H707" s="24" t="str">
        <v>https://nycdoe.sharepoint.com/:w:/s/BAP/EdmtSgYM4U5OoCptaqzbZnABny7-oILhzD6w18CaZtb5ZA</v>
      </c>
      <c r="I707" s="23">
        <v>680</v>
      </c>
      <c r="J707" s="24" t="str">
        <v>-</v>
      </c>
      <c r="K707" s="24">
        <v>1690</v>
      </c>
      <c r="L707" s="24" t="str">
        <v>3 out of 10</v>
      </c>
      <c r="M707" s="23" t="b">
        <f t="shared" ref="M707:M770" si="22">G707=L707</f>
        <v>1</v>
      </c>
      <c r="N707" s="23" t="str">
        <v>3 out of 10</v>
      </c>
      <c r="O707" s="23"/>
      <c r="P707" s="42" t="str">
        <v>3</v>
      </c>
      <c r="Q707" s="42" t="str">
        <v>3</v>
      </c>
      <c r="R707" s="42" t="str">
        <v>3</v>
      </c>
      <c r="S707" s="10" t="str">
        <f t="shared" ref="S707:S770" si="23">IFERROR(IF(OR(R707="0+",R707=0,AND(Q707="N/A")),"No Change",IF(R707&lt;&gt;Q707,"Change",IF(R707=Q707,"No Change",))),"Check BAP")</f>
        <v>No Change</v>
      </c>
    </row>
    <row r="708" spans="1:19" ht="120" hidden="1">
      <c r="A708" s="8" t="s">
        <v>4398</v>
      </c>
      <c r="B708" s="9" t="s">
        <v>13559</v>
      </c>
      <c r="C708" s="37" t="s">
        <v>9339</v>
      </c>
      <c r="D708" s="24"/>
      <c r="E708" s="24"/>
      <c r="F708" s="24" t="str">
        <v>R042</v>
      </c>
      <c r="G708" s="24" t="str">
        <v>1 out of 10</v>
      </c>
      <c r="H708" s="24" t="str">
        <v>https://nycdoe.sharepoint.com/:w:/s/BAP/EVyx9ZJ3FxNGl1mNS6ZITqgB5ohqitYvawTZrkKuhgCXgQ</v>
      </c>
      <c r="I708" s="23">
        <v>681</v>
      </c>
      <c r="J708" s="24" t="str">
        <v>-</v>
      </c>
      <c r="K708" s="24">
        <v>1692</v>
      </c>
      <c r="L708" s="24" t="str">
        <v>1 out of 10</v>
      </c>
      <c r="M708" s="23" t="b">
        <f t="shared" si="22"/>
        <v>1</v>
      </c>
      <c r="N708" s="23" t="str">
        <v>1 out of 10</v>
      </c>
      <c r="O708" s="23"/>
      <c r="P708" s="42" t="str">
        <v>1</v>
      </c>
      <c r="Q708" s="42" t="str">
        <v>1</v>
      </c>
      <c r="R708" s="42" t="str">
        <v>1</v>
      </c>
      <c r="S708" s="10" t="str">
        <f t="shared" si="23"/>
        <v>No Change</v>
      </c>
    </row>
    <row r="709" spans="1:19" ht="120" hidden="1">
      <c r="A709" s="8" t="s">
        <v>4402</v>
      </c>
      <c r="B709" s="9" t="s">
        <v>13571</v>
      </c>
      <c r="C709" s="37" t="s">
        <v>9343</v>
      </c>
      <c r="D709" s="24"/>
      <c r="E709" s="24"/>
      <c r="F709" s="24" t="str">
        <v>R043</v>
      </c>
      <c r="G709" s="24" t="str">
        <v>10 out of 10</v>
      </c>
      <c r="H709" s="24" t="str">
        <v>https://nycdoe.sharepoint.com/:w:/s/BAP/EQ9cKiMdHSdGi6LOzVFyFeYBCILcqyrJebrbLFqQUqKShw</v>
      </c>
      <c r="I709" s="23">
        <v>682</v>
      </c>
      <c r="J709" s="24" t="str">
        <v>-</v>
      </c>
      <c r="K709" s="24">
        <v>1693</v>
      </c>
      <c r="L709" s="24" t="str">
        <v>10 out of 10</v>
      </c>
      <c r="M709" s="23" t="b">
        <f t="shared" si="22"/>
        <v>1</v>
      </c>
      <c r="N709" s="23" t="str">
        <v>10 out of 10</v>
      </c>
      <c r="O709" s="23"/>
      <c r="P709" s="42" t="str">
        <v>10</v>
      </c>
      <c r="Q709" s="42" t="str">
        <v>10</v>
      </c>
      <c r="R709" s="42" t="str">
        <v>10</v>
      </c>
      <c r="S709" s="10" t="str">
        <f t="shared" si="23"/>
        <v>No Change</v>
      </c>
    </row>
    <row r="710" spans="1:19" ht="135" hidden="1">
      <c r="A710" s="8" t="s">
        <v>4406</v>
      </c>
      <c r="B710" s="9" t="s">
        <v>13571</v>
      </c>
      <c r="C710" s="37" t="s">
        <v>9350</v>
      </c>
      <c r="D710" s="24"/>
      <c r="E710" s="24"/>
      <c r="F710" s="24" t="str">
        <v>R044</v>
      </c>
      <c r="G710" s="24" t="str">
        <v>4 out of 10</v>
      </c>
      <c r="H710" s="24" t="str">
        <v>https://nycdoe.sharepoint.com/:w:/s/BAP/EVUiRIZ_BxhAi1NB9Y_IAKwBUYwrb9blKkYI06IpHDl5Mw</v>
      </c>
      <c r="I710" s="23">
        <v>683</v>
      </c>
      <c r="J710" s="24" t="str">
        <v>-</v>
      </c>
      <c r="K710" s="24">
        <v>1697</v>
      </c>
      <c r="L710" s="24" t="str">
        <v>4 out of 10</v>
      </c>
      <c r="M710" s="23" t="b">
        <f t="shared" si="22"/>
        <v>1</v>
      </c>
      <c r="N710" s="23" t="str">
        <v>4 out of 10</v>
      </c>
      <c r="O710" s="23"/>
      <c r="P710" s="42" t="str">
        <v>4</v>
      </c>
      <c r="Q710" s="42" t="str">
        <v>4</v>
      </c>
      <c r="R710" s="42" t="str">
        <v>4</v>
      </c>
      <c r="S710" s="10" t="str">
        <f t="shared" si="23"/>
        <v>No Change</v>
      </c>
    </row>
    <row r="711" spans="1:19" ht="120" hidden="1">
      <c r="A711" s="8" t="s">
        <v>4410</v>
      </c>
      <c r="B711" s="9" t="s">
        <v>13555</v>
      </c>
      <c r="C711" s="37" t="s">
        <v>9356</v>
      </c>
      <c r="D711" s="24"/>
      <c r="E711" s="24"/>
      <c r="F711" s="24" t="str">
        <v>R045</v>
      </c>
      <c r="G711" s="24" t="str">
        <v>5 out of 10</v>
      </c>
      <c r="H711" s="24" t="str">
        <v>https://nycdoe.sharepoint.com/:w:/s/BAP/Ea2ZNw1tAptCr-2Z3ZBOEmwB_dZEKZ5TIYNLEy8v-r3BtA</v>
      </c>
      <c r="I711" s="23">
        <v>684</v>
      </c>
      <c r="J711" s="24" t="str">
        <v>-</v>
      </c>
      <c r="K711" s="24">
        <v>1698</v>
      </c>
      <c r="L711" s="24" t="str">
        <v>5 out of 10</v>
      </c>
      <c r="M711" s="23" t="b">
        <f t="shared" si="22"/>
        <v>1</v>
      </c>
      <c r="N711" s="23" t="str">
        <v>5 out of 10</v>
      </c>
      <c r="O711" s="23"/>
      <c r="P711" s="42" t="str">
        <v>5</v>
      </c>
      <c r="Q711" s="42" t="str">
        <v>5</v>
      </c>
      <c r="R711" s="42" t="str">
        <v>5</v>
      </c>
      <c r="S711" s="10" t="str">
        <f t="shared" si="23"/>
        <v>No Change</v>
      </c>
    </row>
    <row r="712" spans="1:19" ht="120" hidden="1">
      <c r="A712" s="8" t="s">
        <v>9357</v>
      </c>
      <c r="B712" s="9" t="s">
        <v>13555</v>
      </c>
      <c r="C712" s="37" t="s">
        <v>9359</v>
      </c>
      <c r="D712" s="24"/>
      <c r="E712" s="24"/>
      <c r="F712" s="24" t="str">
        <v>R048</v>
      </c>
      <c r="G712" s="24" t="str">
        <v>4 out of 10</v>
      </c>
      <c r="H712" s="24" t="str">
        <v>https://nycdoe.sharepoint.com/:w:/s/BAP/ER8UOVEoKa1AmUKCDBaSlZUBSNLubx5N4NqLVXrPQVKGZQ</v>
      </c>
      <c r="I712" s="23">
        <v>685</v>
      </c>
      <c r="J712" s="24" t="str">
        <v>-</v>
      </c>
      <c r="K712" s="24">
        <v>1700</v>
      </c>
      <c r="L712" s="24" t="str">
        <v>4 out of 10</v>
      </c>
      <c r="M712" s="23" t="b">
        <f t="shared" si="22"/>
        <v>1</v>
      </c>
      <c r="N712" s="23" t="str">
        <v>4 out of 10</v>
      </c>
      <c r="O712" s="23"/>
      <c r="P712" s="42" t="str">
        <v>4</v>
      </c>
      <c r="Q712" s="42" t="str">
        <v>4</v>
      </c>
      <c r="R712" s="42" t="str">
        <v>4</v>
      </c>
      <c r="S712" s="10" t="str">
        <f t="shared" si="23"/>
        <v>No Change</v>
      </c>
    </row>
    <row r="713" spans="1:19" ht="120" hidden="1">
      <c r="A713" s="8" t="s">
        <v>4414</v>
      </c>
      <c r="B713" s="9" t="s">
        <v>13557</v>
      </c>
      <c r="C713" s="37" t="s">
        <v>9363</v>
      </c>
      <c r="D713" s="24"/>
      <c r="E713" s="24"/>
      <c r="F713" s="24" t="str">
        <v>R051</v>
      </c>
      <c r="G713" s="24" t="str">
        <v>9 out of 10</v>
      </c>
      <c r="H713" s="24" t="str">
        <v>https://nycdoe.sharepoint.com/:w:/s/BAP/EfGW4FqggaRKgv6K4Wgwh08BSabi0HGPe9uWp9lSCAEdeQ</v>
      </c>
      <c r="I713" s="23">
        <v>686</v>
      </c>
      <c r="J713" s="24" t="str">
        <v>-</v>
      </c>
      <c r="K713" s="24">
        <v>1704</v>
      </c>
      <c r="L713" s="24" t="str">
        <v>9 out of 10</v>
      </c>
      <c r="M713" s="23" t="b">
        <f t="shared" si="22"/>
        <v>1</v>
      </c>
      <c r="N713" s="23" t="str">
        <v>9 out of 10</v>
      </c>
      <c r="O713" s="23"/>
      <c r="P713" s="42" t="str">
        <v>9</v>
      </c>
      <c r="Q713" s="42" t="str">
        <v>9</v>
      </c>
      <c r="R713" s="42" t="str">
        <v>9</v>
      </c>
      <c r="S713" s="10" t="str">
        <f t="shared" si="23"/>
        <v>No Change</v>
      </c>
    </row>
    <row r="714" spans="1:19" ht="120" hidden="1">
      <c r="A714" s="8" t="s">
        <v>13651</v>
      </c>
      <c r="B714" s="9" t="s">
        <v>13555</v>
      </c>
      <c r="C714" s="37" t="s">
        <v>13652</v>
      </c>
      <c r="D714" s="24"/>
      <c r="E714" s="24"/>
      <c r="F714" s="24" t="str">
        <v>R052</v>
      </c>
      <c r="G714" s="24" t="str">
        <v>9 out of 10</v>
      </c>
      <c r="H714" s="24" t="str">
        <v>https://nycdoe.sharepoint.com/:w:/s/BAP/EY5mJ-tIQmVCqSKn0AiyMA4BKUBnXR0YETLiF8hSVAC4qg</v>
      </c>
      <c r="I714" s="23">
        <v>687</v>
      </c>
      <c r="J714" s="24" t="str">
        <v>-</v>
      </c>
      <c r="K714" s="24">
        <v>1705</v>
      </c>
      <c r="L714" s="24" t="str">
        <v>9 out of 10</v>
      </c>
      <c r="M714" s="23" t="b">
        <f t="shared" si="22"/>
        <v>1</v>
      </c>
      <c r="N714" s="23" t="str">
        <v>9 out of 10</v>
      </c>
      <c r="O714" s="23"/>
      <c r="P714" s="42" t="str">
        <v>9</v>
      </c>
      <c r="Q714" s="42" t="str">
        <v>9</v>
      </c>
      <c r="R714" s="42" t="str">
        <v>9</v>
      </c>
      <c r="S714" s="10" t="str">
        <f t="shared" si="23"/>
        <v>No Change</v>
      </c>
    </row>
    <row r="715" spans="1:19" ht="120" hidden="1">
      <c r="A715" s="8" t="s">
        <v>12635</v>
      </c>
      <c r="B715" s="9" t="s">
        <v>13561</v>
      </c>
      <c r="C715" s="37" t="s">
        <v>13653</v>
      </c>
      <c r="D715" s="24"/>
      <c r="E715" s="24"/>
      <c r="F715" s="24" t="str">
        <v>R055</v>
      </c>
      <c r="G715" s="24" t="str">
        <v>3 out of 10</v>
      </c>
      <c r="H715" s="24" t="str">
        <v>https://nycdoe.sharepoint.com/:w:/s/BAP/EYeaTjpYBaxLgqzSA15ZUj8BcBJAn03g6hDwlTge0cdLPg</v>
      </c>
      <c r="I715" s="23">
        <v>688</v>
      </c>
      <c r="J715" s="24" t="str">
        <v>-</v>
      </c>
      <c r="K715" s="24">
        <v>1708</v>
      </c>
      <c r="L715" s="24" t="str">
        <v>3 out of 10</v>
      </c>
      <c r="M715" s="23" t="b">
        <f t="shared" si="22"/>
        <v>1</v>
      </c>
      <c r="N715" s="23" t="str">
        <v>3 out of 10</v>
      </c>
      <c r="O715" s="23"/>
      <c r="P715" s="42" t="str">
        <v>3</v>
      </c>
      <c r="Q715" s="42" t="str">
        <v>3</v>
      </c>
      <c r="R715" s="42" t="str">
        <v>3</v>
      </c>
      <c r="S715" s="10" t="str">
        <f t="shared" si="23"/>
        <v>No Change</v>
      </c>
    </row>
    <row r="716" spans="1:19" ht="120" hidden="1">
      <c r="A716" s="8" t="s">
        <v>9367</v>
      </c>
      <c r="B716" s="9" t="s">
        <v>13555</v>
      </c>
      <c r="C716" s="37" t="s">
        <v>9369</v>
      </c>
      <c r="D716" s="24"/>
      <c r="E716" s="24"/>
      <c r="F716" s="24" t="str">
        <v>R056</v>
      </c>
      <c r="G716" s="24" t="str">
        <v>10 out of 10</v>
      </c>
      <c r="H716" s="24" t="str">
        <v>https://nycdoe.sharepoint.com/:w:/s/BAP/EdntNOdX2x5As-yONK49LkIBo6RbaA2wOdmQF76SUSVf6g</v>
      </c>
      <c r="I716" s="23">
        <v>689</v>
      </c>
      <c r="J716" s="24" t="str">
        <v>-</v>
      </c>
      <c r="K716" s="24">
        <v>1709</v>
      </c>
      <c r="L716" s="24" t="str">
        <v>10 out of 10</v>
      </c>
      <c r="M716" s="23" t="b">
        <f t="shared" si="22"/>
        <v>1</v>
      </c>
      <c r="N716" s="23" t="str">
        <v>10 out of 10</v>
      </c>
      <c r="O716" s="23"/>
      <c r="P716" s="42" t="str">
        <v>10</v>
      </c>
      <c r="Q716" s="42" t="str">
        <v>10</v>
      </c>
      <c r="R716" s="42" t="str">
        <v>10</v>
      </c>
      <c r="S716" s="10" t="str">
        <f t="shared" si="23"/>
        <v>No Change</v>
      </c>
    </row>
    <row r="717" spans="1:19" ht="120" hidden="1">
      <c r="A717" s="8" t="s">
        <v>4418</v>
      </c>
      <c r="B717" s="9" t="s">
        <v>13555</v>
      </c>
      <c r="C717" s="37" t="s">
        <v>9373</v>
      </c>
      <c r="D717" s="24"/>
      <c r="E717" s="24"/>
      <c r="F717" s="24" t="str">
        <v>R057</v>
      </c>
      <c r="G717" s="24" t="str">
        <v>1 out of 10</v>
      </c>
      <c r="H717" s="24" t="str">
        <v>https://nycdoe.sharepoint.com/:w:/s/BAP/EaKNOU1QGZpHlW7HmkQRg-oBJKwRSXvr3hiuZy11ifyB3w</v>
      </c>
      <c r="I717" s="23">
        <v>690</v>
      </c>
      <c r="J717" s="24" t="str">
        <v>-</v>
      </c>
      <c r="K717" s="24">
        <v>1710</v>
      </c>
      <c r="L717" s="24" t="str">
        <v>1 out of 10</v>
      </c>
      <c r="M717" s="23" t="b">
        <f t="shared" si="22"/>
        <v>1</v>
      </c>
      <c r="N717" s="23" t="str">
        <v>1 out of 10</v>
      </c>
      <c r="O717" s="23"/>
      <c r="P717" s="42" t="str">
        <v>1</v>
      </c>
      <c r="Q717" s="42" t="str">
        <v>1</v>
      </c>
      <c r="R717" s="42" t="str">
        <v>1</v>
      </c>
      <c r="S717" s="10" t="str">
        <f t="shared" si="23"/>
        <v>No Change</v>
      </c>
    </row>
    <row r="718" spans="1:19" ht="120" hidden="1">
      <c r="A718" s="8" t="s">
        <v>4423</v>
      </c>
      <c r="B718" s="9" t="s">
        <v>13571</v>
      </c>
      <c r="C718" s="38" t="s">
        <v>9375</v>
      </c>
      <c r="D718" s="24"/>
      <c r="E718" s="24"/>
      <c r="F718" s="24" t="str">
        <v>R058</v>
      </c>
      <c r="G718" s="24" t="str">
        <v>10 out of 10</v>
      </c>
      <c r="H718" s="24" t="str">
        <v>https://nycdoe.sharepoint.com/:w:/s/BAP/EWNnLIU1CkxJmWJ4hqYMV7sBvcHHT0Mpb6U6TNvJ5xhbwQ</v>
      </c>
      <c r="I718" s="23">
        <v>691</v>
      </c>
      <c r="J718" s="24" t="str">
        <v>-</v>
      </c>
      <c r="K718" s="24">
        <v>1712</v>
      </c>
      <c r="L718" s="24" t="str">
        <v>10 out of 10</v>
      </c>
      <c r="M718" s="23" t="b">
        <f t="shared" si="22"/>
        <v>1</v>
      </c>
      <c r="N718" s="23" t="str">
        <v>10 out of 10</v>
      </c>
      <c r="O718" s="23"/>
      <c r="P718" s="42" t="str">
        <v>10</v>
      </c>
      <c r="Q718" s="42" t="str">
        <v>10</v>
      </c>
      <c r="R718" s="42" t="str">
        <v>10</v>
      </c>
      <c r="S718" s="10" t="str">
        <f t="shared" si="23"/>
        <v>No Change</v>
      </c>
    </row>
    <row r="719" spans="1:19" ht="120" hidden="1">
      <c r="A719" s="8" t="s">
        <v>9376</v>
      </c>
      <c r="B719" s="9" t="s">
        <v>13555</v>
      </c>
      <c r="C719" s="37" t="s">
        <v>9378</v>
      </c>
      <c r="D719" s="24"/>
      <c r="E719" s="24"/>
      <c r="F719" s="24" t="str">
        <v>R059</v>
      </c>
      <c r="G719" s="24" t="str">
        <v>4 out of 10</v>
      </c>
      <c r="H719" s="24" t="str">
        <v>https://nycdoe.sharepoint.com/:w:/s/BAP/Efg6yVl_D55LqfzfW0cJ1VYBg3flYn1W0E0oWq1rg2iigQ</v>
      </c>
      <c r="I719" s="23">
        <v>692</v>
      </c>
      <c r="J719" s="24" t="str">
        <v>-</v>
      </c>
      <c r="K719" s="24">
        <v>1714</v>
      </c>
      <c r="L719" s="24" t="str">
        <v>4 out of 10</v>
      </c>
      <c r="M719" s="23" t="b">
        <f t="shared" si="22"/>
        <v>1</v>
      </c>
      <c r="N719" s="23" t="str">
        <v>4 out of 10</v>
      </c>
      <c r="O719" s="23"/>
      <c r="P719" s="42" t="str">
        <v>4</v>
      </c>
      <c r="Q719" s="42" t="str">
        <v>4</v>
      </c>
      <c r="R719" s="42" t="str">
        <v>4</v>
      </c>
      <c r="S719" s="10" t="str">
        <f t="shared" si="23"/>
        <v>No Change</v>
      </c>
    </row>
    <row r="720" spans="1:19" ht="120" hidden="1">
      <c r="A720" s="8" t="s">
        <v>9379</v>
      </c>
      <c r="B720" s="9" t="s">
        <v>13560</v>
      </c>
      <c r="C720" s="37" t="s">
        <v>9381</v>
      </c>
      <c r="D720" s="24"/>
      <c r="E720" s="24"/>
      <c r="F720" s="24" t="str">
        <v>R060</v>
      </c>
      <c r="G720" s="24" t="str">
        <v>1 out of 10</v>
      </c>
      <c r="H720" s="24" t="str">
        <v>https://nycdoe.sharepoint.com/:w:/s/BAP/EUukV0AhG1ZKkzI6tYXe3xcBhoeGM778c3SExPOz_n1gRA</v>
      </c>
      <c r="I720" s="23">
        <v>693</v>
      </c>
      <c r="J720" s="24" t="str">
        <v>-</v>
      </c>
      <c r="K720" s="24">
        <v>1715</v>
      </c>
      <c r="L720" s="24" t="str">
        <v>1 out of 10</v>
      </c>
      <c r="M720" s="23" t="b">
        <f t="shared" si="22"/>
        <v>1</v>
      </c>
      <c r="N720" s="23" t="str">
        <v>1 out of 10</v>
      </c>
      <c r="O720" s="23"/>
      <c r="P720" s="42" t="str">
        <v>1</v>
      </c>
      <c r="Q720" s="42" t="str">
        <v>1</v>
      </c>
      <c r="R720" s="42" t="str">
        <v>1</v>
      </c>
      <c r="S720" s="10" t="str">
        <f t="shared" si="23"/>
        <v>No Change</v>
      </c>
    </row>
    <row r="721" spans="1:19" ht="120" hidden="1">
      <c r="A721" s="8" t="s">
        <v>4425</v>
      </c>
      <c r="B721" s="9" t="s">
        <v>13553</v>
      </c>
      <c r="C721" s="37" t="s">
        <v>9383</v>
      </c>
      <c r="D721" s="24"/>
      <c r="E721" s="24"/>
      <c r="F721" s="24" t="str">
        <v>R061</v>
      </c>
      <c r="G721" s="24" t="str">
        <v>9 out of 10</v>
      </c>
      <c r="H721" s="24" t="str">
        <v>https://nycdoe.sharepoint.com/:w:/s/BAP/EZPwilvg1tdOsV1sL5o_AO8B6m8m4q4TDKxvoyoTt_1Y_w</v>
      </c>
      <c r="I721" s="23">
        <v>694</v>
      </c>
      <c r="J721" s="24" t="str">
        <v>-</v>
      </c>
      <c r="K721" s="24">
        <v>1716</v>
      </c>
      <c r="L721" s="24" t="str">
        <v>9 out of 10</v>
      </c>
      <c r="M721" s="23" t="b">
        <f t="shared" si="22"/>
        <v>1</v>
      </c>
      <c r="N721" s="23" t="str">
        <v>9 out of 10</v>
      </c>
      <c r="O721" s="23"/>
      <c r="P721" s="42" t="str">
        <v>9</v>
      </c>
      <c r="Q721" s="42" t="str">
        <v>9</v>
      </c>
      <c r="R721" s="42" t="str">
        <v>9</v>
      </c>
      <c r="S721" s="10" t="str">
        <f t="shared" si="23"/>
        <v>No Change</v>
      </c>
    </row>
    <row r="722" spans="1:19" ht="120" hidden="1">
      <c r="A722" s="8" t="s">
        <v>4429</v>
      </c>
      <c r="B722" s="9" t="s">
        <v>13560</v>
      </c>
      <c r="C722" s="37" t="s">
        <v>9386</v>
      </c>
      <c r="D722" s="24"/>
      <c r="E722" s="24"/>
      <c r="F722" s="24" t="str">
        <v>R062</v>
      </c>
      <c r="G722" s="24" t="str">
        <v>10 out of 10</v>
      </c>
      <c r="H722" s="24" t="str">
        <v>https://nycdoe.sharepoint.com/:w:/s/BAP/EYgP7hGI3AdAkUiYeDtGhM8BrCJ_OfeldAGOE-zSoAgSLw</v>
      </c>
      <c r="I722" s="23">
        <v>695</v>
      </c>
      <c r="J722" s="24" t="str">
        <v>-</v>
      </c>
      <c r="K722" s="24">
        <v>1719</v>
      </c>
      <c r="L722" s="24" t="str">
        <v>10 out of 10</v>
      </c>
      <c r="M722" s="23" t="b">
        <f t="shared" si="22"/>
        <v>1</v>
      </c>
      <c r="N722" s="23" t="str">
        <v>10 out of 10</v>
      </c>
      <c r="O722" s="23"/>
      <c r="P722" s="42" t="str">
        <v>10</v>
      </c>
      <c r="Q722" s="42" t="str">
        <v>10</v>
      </c>
      <c r="R722" s="42" t="str">
        <v>10</v>
      </c>
      <c r="S722" s="10" t="str">
        <f t="shared" si="23"/>
        <v>No Change</v>
      </c>
    </row>
    <row r="723" spans="1:19" ht="120" hidden="1">
      <c r="A723" s="8" t="s">
        <v>9392</v>
      </c>
      <c r="B723" s="9" t="s">
        <v>13555</v>
      </c>
      <c r="C723" s="37" t="s">
        <v>9393</v>
      </c>
      <c r="D723" s="24"/>
      <c r="E723" s="24"/>
      <c r="F723" s="24" t="str">
        <v>R066</v>
      </c>
      <c r="G723" s="24" t="str">
        <v>10 out of 10</v>
      </c>
      <c r="H723" s="24" t="str">
        <v>https://nycdoe.sharepoint.com/:w:/s/BAP/EQxtyxJYenhDkJN9xuYUFLAB515N8G7EPd8AY9tLndU_pQ</v>
      </c>
      <c r="I723" s="23">
        <v>696</v>
      </c>
      <c r="J723" s="24" t="str">
        <v>-</v>
      </c>
      <c r="K723" s="24">
        <v>1720</v>
      </c>
      <c r="L723" s="24" t="str">
        <v>10 out of 10</v>
      </c>
      <c r="M723" s="23" t="b">
        <f t="shared" si="22"/>
        <v>1</v>
      </c>
      <c r="N723" s="23" t="str">
        <v>10 out of 10</v>
      </c>
      <c r="O723" s="23"/>
      <c r="P723" s="42" t="str">
        <v>10</v>
      </c>
      <c r="Q723" s="42" t="str">
        <v>10</v>
      </c>
      <c r="R723" s="42" t="str">
        <v>10</v>
      </c>
      <c r="S723" s="10" t="str">
        <f t="shared" si="23"/>
        <v>No Change</v>
      </c>
    </row>
    <row r="724" spans="1:19" ht="120" hidden="1">
      <c r="A724" s="8" t="s">
        <v>446</v>
      </c>
      <c r="B724" s="9" t="s">
        <v>13553</v>
      </c>
      <c r="C724" s="37" t="s">
        <v>4880</v>
      </c>
      <c r="D724" s="24"/>
      <c r="E724" s="24"/>
      <c r="F724" s="24" t="str">
        <v>R069</v>
      </c>
      <c r="G724" s="24" t="str">
        <v>9 out of 10</v>
      </c>
      <c r="H724" s="24" t="str">
        <v>https://nycdoe.sharepoint.com/:w:/s/BAP/ETkEkNHJ6ZhOq7WvBc6P_t4BG82p8Bg0S4zvXCPBkrEugg</v>
      </c>
      <c r="I724" s="23">
        <v>697</v>
      </c>
      <c r="J724" s="24" t="str">
        <v>-</v>
      </c>
      <c r="K724" s="24">
        <v>1722</v>
      </c>
      <c r="L724" s="24" t="str">
        <v>9 out of 10</v>
      </c>
      <c r="M724" s="23" t="b">
        <f t="shared" si="22"/>
        <v>1</v>
      </c>
      <c r="N724" s="23" t="str">
        <v>9 out of 10</v>
      </c>
      <c r="O724" s="23"/>
      <c r="P724" s="42" t="str">
        <v>9</v>
      </c>
      <c r="Q724" s="42" t="str">
        <v>9</v>
      </c>
      <c r="R724" s="42" t="str">
        <v>9</v>
      </c>
      <c r="S724" s="10" t="str">
        <f t="shared" si="23"/>
        <v>No Change</v>
      </c>
    </row>
    <row r="725" spans="1:19" ht="120" hidden="1">
      <c r="A725" s="8" t="s">
        <v>450</v>
      </c>
      <c r="B725" s="9" t="s">
        <v>13555</v>
      </c>
      <c r="C725" s="37" t="s">
        <v>4882</v>
      </c>
      <c r="D725" s="24"/>
      <c r="E725" s="24"/>
      <c r="F725" s="24" t="str">
        <v>R070</v>
      </c>
      <c r="G725" s="24" t="str">
        <v>10 out of 10</v>
      </c>
      <c r="H725" s="24" t="str">
        <v>https://nycdoe.sharepoint.com/:w:/s/BAP/EVibVXo1-Y1Pr77N3-F1z1QB5Q9vvm3x0qwA-GPZ223U0A</v>
      </c>
      <c r="I725" s="23">
        <v>698</v>
      </c>
      <c r="J725" s="24" t="str">
        <v>-</v>
      </c>
      <c r="K725" s="24">
        <v>1723</v>
      </c>
      <c r="L725" s="24" t="str">
        <v>10 out of 10</v>
      </c>
      <c r="M725" s="23" t="b">
        <f t="shared" si="22"/>
        <v>1</v>
      </c>
      <c r="N725" s="23" t="str">
        <v>10 out of 10</v>
      </c>
      <c r="O725" s="23"/>
      <c r="P725" s="42" t="str">
        <v>10</v>
      </c>
      <c r="Q725" s="42" t="str">
        <v>10</v>
      </c>
      <c r="R725" s="42" t="str">
        <v>10</v>
      </c>
      <c r="S725" s="10" t="str">
        <f t="shared" si="23"/>
        <v>No Change</v>
      </c>
    </row>
    <row r="726" spans="1:19" ht="120" hidden="1">
      <c r="A726" s="8" t="s">
        <v>288</v>
      </c>
      <c r="B726" s="9" t="s">
        <v>13559</v>
      </c>
      <c r="C726" s="37" t="s">
        <v>4704</v>
      </c>
      <c r="D726" s="24"/>
      <c r="E726" s="24"/>
      <c r="F726" s="24" t="str">
        <v>R071</v>
      </c>
      <c r="G726" s="24" t="str">
        <v>10 out of 10</v>
      </c>
      <c r="H726" s="24" t="str">
        <v>https://nycdoe.sharepoint.com/:w:/s/BAP/EZg15v4b3zBBoSrDpFJSbaUBo6l1ckConZsn1tdlO5OZqA</v>
      </c>
      <c r="I726" s="23">
        <v>699</v>
      </c>
      <c r="J726" s="24" t="str">
        <v>-</v>
      </c>
      <c r="K726" s="24">
        <v>1726</v>
      </c>
      <c r="L726" s="24" t="str">
        <v>10 out of 10</v>
      </c>
      <c r="M726" s="23" t="b">
        <f t="shared" si="22"/>
        <v>1</v>
      </c>
      <c r="N726" s="23" t="str">
        <v>10 out of 10</v>
      </c>
      <c r="O726" s="23"/>
      <c r="P726" s="42" t="str">
        <v>10</v>
      </c>
      <c r="Q726" s="42" t="str">
        <v>10</v>
      </c>
      <c r="R726" s="42" t="str">
        <v>10</v>
      </c>
      <c r="S726" s="10" t="str">
        <f t="shared" si="23"/>
        <v>No Change</v>
      </c>
    </row>
    <row r="727" spans="1:19" ht="120" hidden="1">
      <c r="A727" s="8" t="s">
        <v>148</v>
      </c>
      <c r="B727" s="9" t="s">
        <v>13557</v>
      </c>
      <c r="C727" s="37" t="s">
        <v>4585</v>
      </c>
      <c r="D727" s="24"/>
      <c r="E727" s="24"/>
      <c r="F727" s="24" t="str">
        <v>R072</v>
      </c>
      <c r="G727" s="24" t="str">
        <v>8 out of 10</v>
      </c>
      <c r="H727" s="24" t="str">
        <v>https://nycdoe.sharepoint.com/:w:/s/BAP/EffYuWELkfRFuZ8n2seITsEBNw3vdL_NJ3CiWruRF2jMlQ</v>
      </c>
      <c r="I727" s="23">
        <v>700</v>
      </c>
      <c r="J727" s="24" t="str">
        <v>-</v>
      </c>
      <c r="K727" s="24">
        <v>1728</v>
      </c>
      <c r="L727" s="24" t="str">
        <v>8 out of 10</v>
      </c>
      <c r="M727" s="23" t="b">
        <f t="shared" si="22"/>
        <v>1</v>
      </c>
      <c r="N727" s="23" t="str">
        <v>8 out of 10</v>
      </c>
      <c r="O727" s="23"/>
      <c r="P727" s="42" t="str">
        <v>8</v>
      </c>
      <c r="Q727" s="42" t="str">
        <v>8</v>
      </c>
      <c r="R727" s="42" t="str">
        <v>8</v>
      </c>
      <c r="S727" s="10" t="str">
        <f t="shared" si="23"/>
        <v>No Change</v>
      </c>
    </row>
    <row r="728" spans="1:19" ht="120" hidden="1">
      <c r="A728" s="8" t="s">
        <v>454</v>
      </c>
      <c r="B728" s="9" t="s">
        <v>13553</v>
      </c>
      <c r="C728" s="37" t="s">
        <v>4886</v>
      </c>
      <c r="D728" s="24"/>
      <c r="E728" s="24"/>
      <c r="F728" s="24" t="str">
        <v>R074</v>
      </c>
      <c r="G728" s="24" t="str">
        <v>10 out of 10</v>
      </c>
      <c r="H728" s="24" t="str">
        <v>https://nycdoe.sharepoint.com/:w:/s/BAP/EQHjfcLr7txBtqrrA-2blAgB7fo0_vVtxOzvO4qGfjktvQ</v>
      </c>
      <c r="I728" s="23" t="str">
        <v>Was New</v>
      </c>
      <c r="J728" s="24" t="str">
        <v>10 out of 10</v>
      </c>
      <c r="K728" s="24">
        <v>1729</v>
      </c>
      <c r="L728" s="24" t="str">
        <v>N/A out of 10</v>
      </c>
      <c r="M728" s="23" t="b">
        <f t="shared" si="22"/>
        <v>0</v>
      </c>
      <c r="N728" s="23" t="str">
        <v>10 out of 10</v>
      </c>
      <c r="O728" s="23"/>
      <c r="P728" s="42" t="str">
        <v>10</v>
      </c>
      <c r="Q728" s="42" t="str">
        <v>N/A</v>
      </c>
      <c r="R728" s="42" t="str">
        <v>10</v>
      </c>
      <c r="S728" s="10" t="str">
        <f t="shared" si="23"/>
        <v>No Change</v>
      </c>
    </row>
    <row r="729" spans="1:19" ht="120" hidden="1">
      <c r="A729" s="8" t="s">
        <v>711</v>
      </c>
      <c r="B729" s="9" t="s">
        <v>13555</v>
      </c>
      <c r="C729" s="37" t="s">
        <v>5143</v>
      </c>
      <c r="D729" s="24"/>
      <c r="E729" s="24"/>
      <c r="F729" s="24" t="str">
        <v>R075</v>
      </c>
      <c r="G729" s="24" t="str">
        <v>6 out of 10</v>
      </c>
      <c r="H729" s="24" t="str">
        <v>https://nycdoe.sharepoint.com/:w:/s/BAP/Ee14of_MGKtIitPUuF_bROYBtZPlLLdBK5Fy3r-uHG5D6Q</v>
      </c>
      <c r="I729" s="23">
        <v>701</v>
      </c>
      <c r="J729" s="24" t="str">
        <v>-</v>
      </c>
      <c r="K729" s="24">
        <v>1730</v>
      </c>
      <c r="L729" s="24" t="str">
        <v>6 out of 10</v>
      </c>
      <c r="M729" s="23" t="b">
        <f t="shared" si="22"/>
        <v>1</v>
      </c>
      <c r="N729" s="23" t="str">
        <v>6 out of 10</v>
      </c>
      <c r="O729" s="23"/>
      <c r="P729" s="42" t="str">
        <v>6</v>
      </c>
      <c r="Q729" s="42" t="str">
        <v>6</v>
      </c>
      <c r="R729" s="42" t="str">
        <v>6</v>
      </c>
      <c r="S729" s="10" t="str">
        <f t="shared" si="23"/>
        <v>No Change</v>
      </c>
    </row>
    <row r="730" spans="1:19" ht="120" hidden="1">
      <c r="A730" s="8" t="s">
        <v>461</v>
      </c>
      <c r="B730" s="9" t="s">
        <v>13553</v>
      </c>
      <c r="C730" s="37" t="s">
        <v>4893</v>
      </c>
      <c r="D730" s="24"/>
      <c r="E730" s="24"/>
      <c r="F730" s="24" t="str">
        <v>R086</v>
      </c>
      <c r="G730" s="24" t="str">
        <v>10 out of 10</v>
      </c>
      <c r="H730" s="24" t="str">
        <v>https://nycdoe.sharepoint.com/:w:/s/BAP/ETIDI65MUtlHnVDT-kZEvSgBIKwzEtC-vbY6On-mKoFIXw</v>
      </c>
      <c r="I730" s="23">
        <v>702</v>
      </c>
      <c r="J730" s="24" t="str">
        <v>-</v>
      </c>
      <c r="K730" s="24">
        <v>1735</v>
      </c>
      <c r="L730" s="24" t="str">
        <v>10 out of 10</v>
      </c>
      <c r="M730" s="23" t="b">
        <f t="shared" si="22"/>
        <v>1</v>
      </c>
      <c r="N730" s="23" t="str">
        <v>10 out of 10</v>
      </c>
      <c r="O730" s="23"/>
      <c r="P730" s="42" t="str">
        <v>10</v>
      </c>
      <c r="Q730" s="42" t="str">
        <v>10</v>
      </c>
      <c r="R730" s="42" t="str">
        <v>10</v>
      </c>
      <c r="S730" s="10" t="str">
        <f t="shared" si="23"/>
        <v>No Change</v>
      </c>
    </row>
    <row r="731" spans="1:19" ht="120" hidden="1">
      <c r="A731" s="8" t="s">
        <v>292</v>
      </c>
      <c r="B731" s="11" t="s">
        <v>13558</v>
      </c>
      <c r="C731" s="37" t="s">
        <v>4708</v>
      </c>
      <c r="D731" s="24"/>
      <c r="E731" s="24"/>
      <c r="F731" s="24" t="str">
        <v>R089</v>
      </c>
      <c r="G731" s="24" t="str">
        <v>10 out of 10</v>
      </c>
      <c r="H731" s="24" t="str">
        <v>https://nycdoe.sharepoint.com/:w:/s/BAP/EftGjqbvXihAgLuOWyfAdHYBp9ui_gcwAPT6NIx5GO1QFg</v>
      </c>
      <c r="I731" s="23">
        <v>703</v>
      </c>
      <c r="J731" s="24" t="str">
        <v>-</v>
      </c>
      <c r="K731" s="24">
        <v>1736</v>
      </c>
      <c r="L731" s="24" t="str">
        <v>10 out of 10</v>
      </c>
      <c r="M731" s="23" t="b">
        <f t="shared" si="22"/>
        <v>1</v>
      </c>
      <c r="N731" s="23" t="str">
        <v>10 out of 10</v>
      </c>
      <c r="O731" s="23"/>
      <c r="P731" s="42" t="str">
        <v>10</v>
      </c>
      <c r="Q731" s="42" t="str">
        <v>10</v>
      </c>
      <c r="R731" s="42" t="str">
        <v>10</v>
      </c>
      <c r="S731" s="10" t="str">
        <f t="shared" si="23"/>
        <v>No Change</v>
      </c>
    </row>
    <row r="732" spans="1:19" ht="120" hidden="1">
      <c r="A732" s="8" t="s">
        <v>465</v>
      </c>
      <c r="B732" s="9" t="s">
        <v>13555</v>
      </c>
      <c r="C732" s="37" t="s">
        <v>4897</v>
      </c>
      <c r="D732" s="24"/>
      <c r="E732" s="24"/>
      <c r="F732" s="24" t="str">
        <v>R119</v>
      </c>
      <c r="G732" s="24" t="str">
        <v>1 out of 10</v>
      </c>
      <c r="H732" s="24" t="str">
        <v>https://nycdoe.sharepoint.com/:w:/s/BAP/EXFseXk-jFZJrab1ZG5wYBUBNa1M6Vh9qVYpfyb9hhDyfA</v>
      </c>
      <c r="I732" s="23">
        <v>704</v>
      </c>
      <c r="J732" s="24" t="str">
        <v>-</v>
      </c>
      <c r="K732" s="24">
        <v>1747</v>
      </c>
      <c r="L732" s="24" t="str">
        <v>1 out of 10</v>
      </c>
      <c r="M732" s="23" t="b">
        <f t="shared" si="22"/>
        <v>1</v>
      </c>
      <c r="N732" s="23" t="str">
        <v>1 out of 10</v>
      </c>
      <c r="O732" s="23"/>
      <c r="P732" s="42" t="str">
        <v>1</v>
      </c>
      <c r="Q732" s="42" t="str">
        <v>1</v>
      </c>
      <c r="R732" s="42" t="str">
        <v>1</v>
      </c>
      <c r="S732" s="10" t="str">
        <f t="shared" si="23"/>
        <v>No Change</v>
      </c>
    </row>
    <row r="733" spans="1:19" ht="120" hidden="1">
      <c r="A733" s="8" t="s">
        <v>12753</v>
      </c>
      <c r="B733" s="11" t="s">
        <v>13550</v>
      </c>
      <c r="C733" s="37" t="s">
        <v>13654</v>
      </c>
      <c r="D733" s="24"/>
      <c r="E733" s="24"/>
      <c r="F733" s="24" t="str">
        <v>R435</v>
      </c>
      <c r="G733" s="24" t="str">
        <v>6 out of 10</v>
      </c>
      <c r="H733" s="24" t="str">
        <v>https://nycdoe.sharepoint.com/:w:/s/BAP/EVzMmAg-VDFBh-gzAd3MtNAB4sWxERfbY_anLmcycksTgg</v>
      </c>
      <c r="I733" s="23">
        <v>705</v>
      </c>
      <c r="J733" s="24" t="str">
        <v>-</v>
      </c>
      <c r="K733" s="24">
        <v>1748</v>
      </c>
      <c r="L733" s="24" t="str">
        <v>6 out of 10</v>
      </c>
      <c r="M733" s="23" t="b">
        <f t="shared" si="22"/>
        <v>1</v>
      </c>
      <c r="N733" s="23" t="str">
        <v>6 out of 10</v>
      </c>
      <c r="O733" s="23"/>
      <c r="P733" s="42" t="str">
        <v>6</v>
      </c>
      <c r="Q733" s="42" t="str">
        <v>6</v>
      </c>
      <c r="R733" s="42" t="str">
        <v>6</v>
      </c>
      <c r="S733" s="10" t="str">
        <f t="shared" si="23"/>
        <v>No Change</v>
      </c>
    </row>
    <row r="734" spans="1:19" ht="120" hidden="1">
      <c r="A734" s="8" t="s">
        <v>12762</v>
      </c>
      <c r="B734" s="9" t="s">
        <v>13550</v>
      </c>
      <c r="C734" s="37" t="s">
        <v>13655</v>
      </c>
      <c r="D734" s="24"/>
      <c r="E734" s="24"/>
      <c r="F734" s="24" t="str">
        <v>R440</v>
      </c>
      <c r="G734" s="24" t="str">
        <v>8 out of 10</v>
      </c>
      <c r="H734" s="24" t="str">
        <v>https://nycdoe.sharepoint.com/:w:/s/BAP/EVUKUNU25CdGp33jlTMCpbwBdSKAVH9fp-JBgV3JL_lFuA</v>
      </c>
      <c r="I734" s="23">
        <v>706</v>
      </c>
      <c r="J734" s="24" t="str">
        <v>-</v>
      </c>
      <c r="K734" s="24">
        <v>1751</v>
      </c>
      <c r="L734" s="24" t="str">
        <v>8 out of 10</v>
      </c>
      <c r="M734" s="23" t="b">
        <f t="shared" si="22"/>
        <v>1</v>
      </c>
      <c r="N734" s="23" t="str">
        <v>8 out of 10</v>
      </c>
      <c r="O734" s="23"/>
      <c r="P734" s="42" t="str">
        <v>8</v>
      </c>
      <c r="Q734" s="42" t="str">
        <v>8</v>
      </c>
      <c r="R734" s="42" t="str">
        <v>8</v>
      </c>
      <c r="S734" s="10" t="str">
        <f t="shared" si="23"/>
        <v>No Change</v>
      </c>
    </row>
    <row r="735" spans="1:19" ht="120" hidden="1">
      <c r="A735" s="8" t="s">
        <v>469</v>
      </c>
      <c r="B735" s="9" t="s">
        <v>13553</v>
      </c>
      <c r="C735" s="37" t="s">
        <v>4904</v>
      </c>
      <c r="D735" s="24"/>
      <c r="E735" s="24"/>
      <c r="F735" s="24" t="str">
        <v>R445</v>
      </c>
      <c r="G735" s="24" t="str">
        <v>3 out of 10</v>
      </c>
      <c r="H735" s="24" t="str">
        <v>https://nycdoe.sharepoint.com/:w:/s/BAP/ESaBDbYvr8FBh-2J9EM-lw4BVPoDWHZGxWQZAor3gQemZg</v>
      </c>
      <c r="I735" s="23">
        <v>707</v>
      </c>
      <c r="J735" s="24" t="str">
        <v>-</v>
      </c>
      <c r="K735" s="24">
        <v>1752</v>
      </c>
      <c r="L735" s="24" t="str">
        <v>3 out of 10</v>
      </c>
      <c r="M735" s="23" t="b">
        <f t="shared" si="22"/>
        <v>1</v>
      </c>
      <c r="N735" s="23" t="str">
        <v>3 out of 10</v>
      </c>
      <c r="O735" s="23"/>
      <c r="P735" s="42" t="str">
        <v>3</v>
      </c>
      <c r="Q735" s="42" t="str">
        <v>3</v>
      </c>
      <c r="R735" s="42" t="str">
        <v>3</v>
      </c>
      <c r="S735" s="10" t="str">
        <f t="shared" si="23"/>
        <v>No Change</v>
      </c>
    </row>
    <row r="736" spans="1:19" ht="120" hidden="1">
      <c r="A736" s="8" t="s">
        <v>152</v>
      </c>
      <c r="B736" s="9" t="s">
        <v>13555</v>
      </c>
      <c r="C736" s="37" t="s">
        <v>4589</v>
      </c>
      <c r="D736" s="24"/>
      <c r="E736" s="24"/>
      <c r="F736" s="24" t="str">
        <v>R450</v>
      </c>
      <c r="G736" s="24" t="str">
        <v>7 out of 10</v>
      </c>
      <c r="H736" s="24" t="str">
        <v>https://nycdoe.sharepoint.com/:w:/s/BAP/EROwSeOSV0BMnFqxt3kVRFEBjiT21oLM3vtXVeLJjE4q4g</v>
      </c>
      <c r="I736" s="23">
        <v>708</v>
      </c>
      <c r="J736" s="24" t="str">
        <v>-</v>
      </c>
      <c r="K736" s="24">
        <v>1754</v>
      </c>
      <c r="L736" s="24" t="str">
        <v>7 out of 10</v>
      </c>
      <c r="M736" s="23" t="b">
        <f t="shared" si="22"/>
        <v>1</v>
      </c>
      <c r="N736" s="23" t="str">
        <v>7 out of 10</v>
      </c>
      <c r="O736" s="23"/>
      <c r="P736" s="42" t="str">
        <v>7</v>
      </c>
      <c r="Q736" s="42" t="str">
        <v>7</v>
      </c>
      <c r="R736" s="42" t="str">
        <v>7</v>
      </c>
      <c r="S736" s="10" t="str">
        <f t="shared" si="23"/>
        <v>No Change</v>
      </c>
    </row>
    <row r="737" spans="1:19" ht="135" hidden="1">
      <c r="A737" s="8" t="s">
        <v>471</v>
      </c>
      <c r="B737" s="9" t="s">
        <v>13553</v>
      </c>
      <c r="C737" s="37" t="s">
        <v>4908</v>
      </c>
      <c r="D737" s="24"/>
      <c r="E737" s="24"/>
      <c r="F737" s="24" t="str">
        <v>R453</v>
      </c>
      <c r="G737" s="24" t="str">
        <v>10 out of 10</v>
      </c>
      <c r="H737" s="24" t="str">
        <v>https://nycdoe.sharepoint.com/:w:/s/BAP/Eb4Q_OnvwuNJvOpTJf19V1IBmFRXKdQXVNsqarizEmK7Mg</v>
      </c>
      <c r="I737" s="23" t="str">
        <v>Was New</v>
      </c>
      <c r="J737" s="24" t="str">
        <v>10 out of 10</v>
      </c>
      <c r="K737" s="24">
        <v>1756</v>
      </c>
      <c r="L737" s="24" t="str">
        <v>10 out of 10</v>
      </c>
      <c r="M737" s="23" t="b">
        <f t="shared" si="22"/>
        <v>1</v>
      </c>
      <c r="N737" s="23" t="str">
        <v>10 out of 10</v>
      </c>
      <c r="O737" s="23"/>
      <c r="P737" s="42" t="str">
        <v>10</v>
      </c>
      <c r="Q737" s="42" t="str">
        <v>10</v>
      </c>
      <c r="R737" s="42" t="str">
        <v>10</v>
      </c>
      <c r="S737" s="10" t="str">
        <f t="shared" si="23"/>
        <v>No Change</v>
      </c>
    </row>
    <row r="738" spans="1:19" ht="105" hidden="1">
      <c r="A738" s="8" t="s">
        <v>13</v>
      </c>
      <c r="B738" s="9" t="s">
        <v>13558</v>
      </c>
      <c r="C738" s="37" t="s">
        <v>4452</v>
      </c>
      <c r="D738" s="24"/>
      <c r="E738" s="24"/>
      <c r="F738" s="24" t="str">
        <v>R455</v>
      </c>
      <c r="G738" s="24" t="str">
        <v>7 out of 10</v>
      </c>
      <c r="H738" s="24" t="str">
        <v>https://nycdoe.sharepoint.com/:w:/s/BAP/ESk6ww5UDhVJqXGD1DqiON4BSpkV_0SF-nPH6H3C3avQ7w</v>
      </c>
      <c r="I738" s="23">
        <v>709</v>
      </c>
      <c r="J738" s="24" t="str">
        <v>-</v>
      </c>
      <c r="K738" s="24">
        <v>1757</v>
      </c>
      <c r="L738" s="24" t="str">
        <v>7 out of 10</v>
      </c>
      <c r="M738" s="23" t="b">
        <f t="shared" si="22"/>
        <v>1</v>
      </c>
      <c r="N738" s="23" t="str">
        <v>7 out of 10</v>
      </c>
      <c r="O738" s="23"/>
      <c r="P738" s="42" t="str">
        <v>7</v>
      </c>
      <c r="Q738" s="42" t="str">
        <v>7</v>
      </c>
      <c r="R738" s="42" t="str">
        <v>7</v>
      </c>
      <c r="S738" s="10" t="str">
        <f t="shared" si="23"/>
        <v>No Change</v>
      </c>
    </row>
    <row r="739" spans="1:19" ht="120" hidden="1">
      <c r="A739" s="8" t="s">
        <v>12812</v>
      </c>
      <c r="B739" s="9" t="s">
        <v>13550</v>
      </c>
      <c r="C739" s="37" t="s">
        <v>13656</v>
      </c>
      <c r="D739" s="24"/>
      <c r="E739" s="24"/>
      <c r="F739" s="24" t="str">
        <v>R460</v>
      </c>
      <c r="G739" s="24" t="str">
        <v>9 out of 10</v>
      </c>
      <c r="H739" s="24" t="str">
        <v>https://nycdoe.sharepoint.com/:w:/s/BAP/EZO7UE3L4xhNhQWNQqmFwJsBQLzAYph0lwTPj0jHIqTOVg</v>
      </c>
      <c r="I739" s="23">
        <v>710</v>
      </c>
      <c r="J739" s="24" t="str">
        <v>-</v>
      </c>
      <c r="K739" s="24">
        <v>1760</v>
      </c>
      <c r="L739" s="24" t="str">
        <v>9 out of 10</v>
      </c>
      <c r="M739" s="23" t="b">
        <f t="shared" si="22"/>
        <v>1</v>
      </c>
      <c r="N739" s="23" t="str">
        <v>9 out of 10</v>
      </c>
      <c r="O739" s="23"/>
      <c r="P739" s="42" t="str">
        <v>9</v>
      </c>
      <c r="Q739" s="42" t="str">
        <v>9</v>
      </c>
      <c r="R739" s="42" t="str">
        <v>9</v>
      </c>
      <c r="S739" s="10" t="str">
        <f t="shared" si="23"/>
        <v>No Change</v>
      </c>
    </row>
    <row r="740" spans="1:19" ht="120" hidden="1">
      <c r="A740" s="8" t="s">
        <v>475</v>
      </c>
      <c r="B740" s="9" t="s">
        <v>13553</v>
      </c>
      <c r="C740" s="37" t="s">
        <v>4917</v>
      </c>
      <c r="D740" s="24"/>
      <c r="E740" s="24"/>
      <c r="F740" s="24" t="str">
        <v>R462</v>
      </c>
      <c r="G740" s="24" t="str">
        <v>9 out of 10</v>
      </c>
      <c r="H740" s="24" t="str">
        <v>https://nycdoe.sharepoint.com/:w:/s/BAP/EUH6c1jWIY1Hm4IQ1faj0gkBqa6l5IDVoLmqXlVoSyaiOQ</v>
      </c>
      <c r="I740" s="23">
        <v>711</v>
      </c>
      <c r="J740" s="24" t="str">
        <v>-</v>
      </c>
      <c r="K740" s="24">
        <v>1761</v>
      </c>
      <c r="L740" s="24" t="str">
        <v>9 out of 10</v>
      </c>
      <c r="M740" s="23" t="b">
        <f t="shared" si="22"/>
        <v>1</v>
      </c>
      <c r="N740" s="23" t="str">
        <v>9 out of 10</v>
      </c>
      <c r="O740" s="23"/>
      <c r="P740" s="42" t="str">
        <v>9</v>
      </c>
      <c r="Q740" s="42" t="str">
        <v>9</v>
      </c>
      <c r="R740" s="42" t="str">
        <v>9</v>
      </c>
      <c r="S740" s="10" t="str">
        <f t="shared" si="23"/>
        <v>No Change</v>
      </c>
    </row>
    <row r="741" spans="1:19" ht="120" hidden="1">
      <c r="A741" s="8" t="s">
        <v>156</v>
      </c>
      <c r="B741" s="9" t="s">
        <v>13555</v>
      </c>
      <c r="C741" s="37" t="s">
        <v>4593</v>
      </c>
      <c r="D741" s="24"/>
      <c r="E741" s="24"/>
      <c r="F741" s="24" t="str">
        <v>R600</v>
      </c>
      <c r="G741" s="24" t="str">
        <v>8 out of 10</v>
      </c>
      <c r="H741" s="24" t="str">
        <v>https://nycdoe.sharepoint.com/:w:/s/BAP/EUaNMjZrtdxIipHghe_Qoj4Bh75EG_jp_qerE-rBs7kWeA</v>
      </c>
      <c r="I741" s="23">
        <v>712</v>
      </c>
      <c r="J741" s="24" t="str">
        <v>-</v>
      </c>
      <c r="K741" s="24">
        <v>1763</v>
      </c>
      <c r="L741" s="24" t="str">
        <v>8 out of 10</v>
      </c>
      <c r="M741" s="23" t="b">
        <f t="shared" si="22"/>
        <v>1</v>
      </c>
      <c r="N741" s="23" t="str">
        <v>8 out of 10</v>
      </c>
      <c r="O741" s="23"/>
      <c r="P741" s="42" t="str">
        <v>8</v>
      </c>
      <c r="Q741" s="42" t="str">
        <v>8</v>
      </c>
      <c r="R741" s="42" t="str">
        <v>8</v>
      </c>
      <c r="S741" s="10" t="str">
        <f t="shared" si="23"/>
        <v>No Change</v>
      </c>
    </row>
    <row r="742" spans="1:19" ht="120" hidden="1">
      <c r="A742" s="8" t="s">
        <v>12841</v>
      </c>
      <c r="B742" s="9" t="s">
        <v>13561</v>
      </c>
      <c r="C742" s="37" t="s">
        <v>13657</v>
      </c>
      <c r="D742" s="24"/>
      <c r="E742" s="24"/>
      <c r="F742" s="24" t="str">
        <v>R722</v>
      </c>
      <c r="G742" s="24" t="str">
        <v>9 out of 10</v>
      </c>
      <c r="H742" s="24" t="str">
        <v>https://nycdoe.sharepoint.com/:w:/s/BAP/EYaseNyDr_1BiWfJSAjcHb8BsOGT3BzhUyZN3Xrj3e4ZCA</v>
      </c>
      <c r="I742" s="23">
        <v>713</v>
      </c>
      <c r="J742" s="24" t="str">
        <v>-</v>
      </c>
      <c r="K742" s="24" t="str">
        <v>Possible Change</v>
      </c>
      <c r="L742" s="24" t="str">
        <v>- out of 10</v>
      </c>
      <c r="M742" s="23" t="b">
        <f t="shared" si="22"/>
        <v>0</v>
      </c>
      <c r="N742" s="23" t="str">
        <v>9 out of 10</v>
      </c>
      <c r="O742" s="23"/>
      <c r="P742" s="42" t="str">
        <v>9</v>
      </c>
      <c r="Q742" s="42" t="str">
        <v>Not Found</v>
      </c>
      <c r="R742" s="42" t="str">
        <v>9</v>
      </c>
      <c r="S742" s="10" t="str">
        <f t="shared" si="23"/>
        <v>Change</v>
      </c>
    </row>
    <row r="743" spans="1:19" ht="120" hidden="1">
      <c r="A743" s="8" t="s">
        <v>160</v>
      </c>
      <c r="B743" s="9" t="s">
        <v>13558</v>
      </c>
      <c r="C743" s="37" t="s">
        <v>4597</v>
      </c>
      <c r="D743" s="24"/>
      <c r="E743" s="24"/>
      <c r="F743" s="24" t="str">
        <v>R825</v>
      </c>
      <c r="G743" s="24" t="str">
        <v>0 out of 10</v>
      </c>
      <c r="H743" s="24" t="str">
        <v>https://nycdoe.sharepoint.com/:w:/s/BAP/EaDonvWVKApDkM7gBVvJtukBXEg0WIwIFXGkE9xlpI_meA</v>
      </c>
      <c r="I743" s="23">
        <v>714</v>
      </c>
      <c r="J743" s="24" t="str">
        <v>-</v>
      </c>
      <c r="K743" s="24">
        <v>1768</v>
      </c>
      <c r="L743" s="24" t="str">
        <v>N/A out of 10</v>
      </c>
      <c r="M743" s="23" t="b">
        <f t="shared" si="22"/>
        <v>0</v>
      </c>
      <c r="N743" s="23" t="str">
        <v>0 out of 10</v>
      </c>
      <c r="O743" s="23"/>
      <c r="P743" s="42" t="str">
        <v>0</v>
      </c>
      <c r="Q743" s="42" t="str">
        <v>N/A</v>
      </c>
      <c r="R743" s="42" t="str">
        <v>0</v>
      </c>
      <c r="S743" s="10" t="str">
        <f t="shared" si="23"/>
        <v>No Change</v>
      </c>
    </row>
    <row r="744" spans="1:19" ht="120" hidden="1">
      <c r="A744" s="8" t="s">
        <v>479</v>
      </c>
      <c r="B744" s="9" t="s">
        <v>13553</v>
      </c>
      <c r="C744" s="37" t="s">
        <v>4921</v>
      </c>
      <c r="D744" s="24"/>
      <c r="E744" s="24"/>
      <c r="F744" s="24" t="str">
        <v>R826</v>
      </c>
      <c r="G744" s="24" t="str">
        <v>9 out of 10</v>
      </c>
      <c r="H744" s="24" t="str">
        <v>https://nycdoe.sharepoint.com/:w:/s/BAP/EeDlopb3GfhDmJzCSiBHJ2MBg-ODYOXOYa_GFz0mmU4RaA</v>
      </c>
      <c r="I744" s="23">
        <v>715</v>
      </c>
      <c r="J744" s="24" t="str">
        <v>-</v>
      </c>
      <c r="K744" s="24">
        <v>1769</v>
      </c>
      <c r="L744" s="24" t="str">
        <v>9 out of 10</v>
      </c>
      <c r="M744" s="23" t="b">
        <f t="shared" si="22"/>
        <v>1</v>
      </c>
      <c r="N744" s="23" t="str">
        <v>9 out of 10</v>
      </c>
      <c r="O744" s="23"/>
      <c r="P744" s="42" t="str">
        <v>9</v>
      </c>
      <c r="Q744" s="42" t="str">
        <v>9</v>
      </c>
      <c r="R744" s="42" t="str">
        <v>9</v>
      </c>
      <c r="S744" s="10" t="str">
        <f t="shared" si="23"/>
        <v>No Change</v>
      </c>
    </row>
    <row r="745" spans="1:19" ht="120" hidden="1">
      <c r="A745" s="8" t="s">
        <v>483</v>
      </c>
      <c r="B745" s="9" t="s">
        <v>13553</v>
      </c>
      <c r="C745" s="37" t="s">
        <v>4925</v>
      </c>
      <c r="D745" s="24"/>
      <c r="E745" s="24"/>
      <c r="F745" s="24" t="str">
        <v>R829</v>
      </c>
      <c r="G745" s="24" t="str">
        <v>9 out of 10</v>
      </c>
      <c r="H745" s="24" t="str">
        <v>https://nycdoe.sharepoint.com/:w:/s/BAP/EVb6FM-nnBVAqztNIgKGqrIBrruGiv58MEqhfpY_O5wkQg</v>
      </c>
      <c r="I745" s="23">
        <v>716</v>
      </c>
      <c r="J745" s="24" t="str">
        <v>-</v>
      </c>
      <c r="K745" s="24">
        <v>1770</v>
      </c>
      <c r="L745" s="24" t="str">
        <v>9 out of 10</v>
      </c>
      <c r="M745" s="23" t="b">
        <f t="shared" si="22"/>
        <v>1</v>
      </c>
      <c r="N745" s="23" t="str">
        <v>9 out of 10</v>
      </c>
      <c r="O745" s="23"/>
      <c r="P745" s="42" t="str">
        <v>9</v>
      </c>
      <c r="Q745" s="42" t="str">
        <v>9</v>
      </c>
      <c r="R745" s="42" t="str">
        <v>9</v>
      </c>
      <c r="S745" s="10" t="str">
        <f t="shared" si="23"/>
        <v>No Change</v>
      </c>
    </row>
    <row r="746" spans="1:19" ht="120" hidden="1">
      <c r="A746" s="8" t="s">
        <v>168</v>
      </c>
      <c r="B746" s="9" t="s">
        <v>13558</v>
      </c>
      <c r="C746" s="38" t="s">
        <v>4602</v>
      </c>
      <c r="D746" s="24"/>
      <c r="E746" s="24"/>
      <c r="F746" s="24" t="str">
        <v>R840</v>
      </c>
      <c r="G746" s="24" t="str">
        <v>7 out of 10</v>
      </c>
      <c r="H746" s="24" t="str">
        <v>https://nycdoe.sharepoint.com/:w:/s/BAP/EQzJtRNIw_hOiUw0nKS4320BY7bJ-PFCktzhnpofJAlt2w</v>
      </c>
      <c r="I746" s="23">
        <v>717</v>
      </c>
      <c r="J746" s="24" t="str">
        <v>-</v>
      </c>
      <c r="K746" s="24">
        <v>1772</v>
      </c>
      <c r="L746" s="24" t="str">
        <v>7 out of 10</v>
      </c>
      <c r="M746" s="23" t="b">
        <f t="shared" si="22"/>
        <v>1</v>
      </c>
      <c r="N746" s="23" t="str">
        <v>7 out of 10</v>
      </c>
      <c r="O746" s="23"/>
      <c r="P746" s="42" t="str">
        <v>7</v>
      </c>
      <c r="Q746" s="42" t="str">
        <v>7</v>
      </c>
      <c r="R746" s="42" t="str">
        <v>7</v>
      </c>
      <c r="S746" s="10" t="str">
        <f t="shared" si="23"/>
        <v>No Change</v>
      </c>
    </row>
    <row r="747" spans="1:19" ht="120" hidden="1">
      <c r="A747" s="8" t="s">
        <v>12881</v>
      </c>
      <c r="B747" s="9" t="s">
        <v>13550</v>
      </c>
      <c r="C747" s="37" t="s">
        <v>13658</v>
      </c>
      <c r="D747" s="24"/>
      <c r="E747" s="24"/>
      <c r="F747" s="24" t="str">
        <v>R843</v>
      </c>
      <c r="G747" s="24" t="str">
        <v>9 out of 10</v>
      </c>
      <c r="H747" s="24" t="str">
        <v>https://nycdoe.sharepoint.com/:w:/s/BAP/EY024vdkHoxGuTg2k4tm8ckBsD8zqmGN9f5bQJJBLkVQRg</v>
      </c>
      <c r="I747" s="23">
        <v>718</v>
      </c>
      <c r="J747" s="24" t="str">
        <v>-</v>
      </c>
      <c r="K747" s="24" t="str">
        <v>Possible Change</v>
      </c>
      <c r="L747" s="24" t="str">
        <v>- out of 10</v>
      </c>
      <c r="M747" s="23" t="b">
        <f t="shared" si="22"/>
        <v>0</v>
      </c>
      <c r="N747" s="23" t="str">
        <v>9 out of 10</v>
      </c>
      <c r="O747" s="23"/>
      <c r="P747" s="42" t="str">
        <v>9</v>
      </c>
      <c r="Q747" s="42" t="str">
        <v>Not Found</v>
      </c>
      <c r="R747" s="42" t="str">
        <v>9</v>
      </c>
      <c r="S747" s="10" t="str">
        <f t="shared" si="23"/>
        <v>Change</v>
      </c>
    </row>
    <row r="748" spans="1:19" ht="135" hidden="1">
      <c r="A748" s="8" t="s">
        <v>28</v>
      </c>
      <c r="B748" s="9" t="s">
        <v>13564</v>
      </c>
      <c r="C748" s="37" t="s">
        <v>4460</v>
      </c>
      <c r="D748" s="24"/>
      <c r="E748" s="24"/>
      <c r="F748" s="24" t="str">
        <v>R844</v>
      </c>
      <c r="G748" s="24" t="str">
        <v>4 out of 10</v>
      </c>
      <c r="H748" s="24" t="str">
        <v>https://nycdoe.sharepoint.com/:w:/s/BAP/EUcb_5l4dCBIjI1N5IWTOeEBv4FaXmDDnRZ6GZjZuB1eRw</v>
      </c>
      <c r="I748" s="23">
        <v>719</v>
      </c>
      <c r="J748" s="24" t="str">
        <v>-</v>
      </c>
      <c r="K748" s="24">
        <v>1773</v>
      </c>
      <c r="L748" s="24" t="str">
        <v>4 out of 10</v>
      </c>
      <c r="M748" s="23" t="b">
        <f t="shared" si="22"/>
        <v>1</v>
      </c>
      <c r="N748" s="23" t="str">
        <v>4 out of 10</v>
      </c>
      <c r="O748" s="23"/>
      <c r="P748" s="42" t="str">
        <v>4</v>
      </c>
      <c r="Q748" s="42" t="str">
        <v>4</v>
      </c>
      <c r="R748" s="42" t="str">
        <v>4</v>
      </c>
      <c r="S748" s="10" t="str">
        <f t="shared" si="23"/>
        <v>No Change</v>
      </c>
    </row>
    <row r="749" spans="1:19" ht="120" hidden="1">
      <c r="A749" s="8" t="s">
        <v>715</v>
      </c>
      <c r="B749" s="9" t="s">
        <v>13560</v>
      </c>
      <c r="C749" s="37" t="s">
        <v>5152</v>
      </c>
      <c r="D749" s="24"/>
      <c r="E749" s="24"/>
      <c r="F749" s="24" t="str">
        <v>R861</v>
      </c>
      <c r="G749" s="24" t="str">
        <v>10 out of 10</v>
      </c>
      <c r="H749" s="24" t="str">
        <v>https://nycdoe.sharepoint.com/:w:/s/BAP/EaFX3g29hhFFhk2CjtXo8I8Bm1yPugYcUho8Vk1-YUHNHA</v>
      </c>
      <c r="I749" s="23">
        <v>720</v>
      </c>
      <c r="J749" s="24" t="str">
        <v>-</v>
      </c>
      <c r="K749" s="24">
        <v>1776</v>
      </c>
      <c r="L749" s="24" t="str">
        <v>10 out of 10</v>
      </c>
      <c r="M749" s="23" t="b">
        <f t="shared" si="22"/>
        <v>1</v>
      </c>
      <c r="N749" s="23" t="str">
        <v>10 out of 10</v>
      </c>
      <c r="O749" s="23"/>
      <c r="P749" s="42" t="str">
        <v>10</v>
      </c>
      <c r="Q749" s="42" t="str">
        <v>10</v>
      </c>
      <c r="R749" s="42" t="str">
        <v>10</v>
      </c>
      <c r="S749" s="10" t="str">
        <f t="shared" si="23"/>
        <v>No Change</v>
      </c>
    </row>
    <row r="750" spans="1:19" ht="120" hidden="1">
      <c r="A750" s="8" t="s">
        <v>12927</v>
      </c>
      <c r="B750" s="9" t="s">
        <v>13550</v>
      </c>
      <c r="C750" s="37" t="s">
        <v>13659</v>
      </c>
      <c r="D750" s="24"/>
      <c r="E750" s="24"/>
      <c r="F750" s="24" t="str">
        <v>R880</v>
      </c>
      <c r="G750" s="24" t="str">
        <v>4 out of 10</v>
      </c>
      <c r="H750" s="24" t="str">
        <v>https://nycdoe.sharepoint.com/:w:/s/BAP/EayjhigexGBBivbB7hLrwPMBwBbPhXa6ywvYnjkEQ-47eQ</v>
      </c>
      <c r="I750" s="23">
        <v>721</v>
      </c>
      <c r="J750" s="24" t="str">
        <v>-</v>
      </c>
      <c r="K750" s="24">
        <v>1778</v>
      </c>
      <c r="L750" s="24" t="str">
        <v>4 out of 10</v>
      </c>
      <c r="M750" s="23" t="b">
        <f t="shared" si="22"/>
        <v>1</v>
      </c>
      <c r="N750" s="23" t="str">
        <v>4 out of 10</v>
      </c>
      <c r="O750" s="23"/>
      <c r="P750" s="42" t="str">
        <v>4</v>
      </c>
      <c r="Q750" s="42" t="str">
        <v>4</v>
      </c>
      <c r="R750" s="42" t="str">
        <v>4</v>
      </c>
      <c r="S750" s="10" t="str">
        <f t="shared" si="23"/>
        <v>No Change</v>
      </c>
    </row>
    <row r="751" spans="1:19" ht="120" hidden="1">
      <c r="A751" s="8" t="s">
        <v>173</v>
      </c>
      <c r="B751" s="9" t="s">
        <v>13555</v>
      </c>
      <c r="C751" s="37" t="s">
        <v>4608</v>
      </c>
      <c r="D751" s="24"/>
      <c r="E751" s="24"/>
      <c r="F751" s="24" t="str">
        <v>R973</v>
      </c>
      <c r="G751" s="24" t="str">
        <v>9 out of 10</v>
      </c>
      <c r="H751" s="24" t="str">
        <v>https://nycdoe.sharepoint.com/:w:/s/BAP/Eek5tSPBgzdFgE4CTiF3rjkBmerVUOigVFl3VD1YWaHNFA</v>
      </c>
      <c r="I751" s="23">
        <v>722</v>
      </c>
      <c r="J751" s="24" t="str">
        <v>-</v>
      </c>
      <c r="K751" s="24">
        <v>1785</v>
      </c>
      <c r="L751" s="24" t="str">
        <v>9 out of 10</v>
      </c>
      <c r="M751" s="23" t="b">
        <f t="shared" si="22"/>
        <v>1</v>
      </c>
      <c r="N751" s="23" t="str">
        <v>9 out of 10</v>
      </c>
      <c r="O751" s="23"/>
      <c r="P751" s="42" t="str">
        <v>9</v>
      </c>
      <c r="Q751" s="42" t="str">
        <v>9</v>
      </c>
      <c r="R751" s="42" t="str">
        <v>9</v>
      </c>
      <c r="S751" s="10" t="str">
        <f t="shared" si="23"/>
        <v>No Change</v>
      </c>
    </row>
    <row r="752" spans="1:19" ht="120" hidden="1">
      <c r="A752" s="8" t="s">
        <v>177</v>
      </c>
      <c r="B752" s="9" t="s">
        <v>13557</v>
      </c>
      <c r="C752" s="37" t="s">
        <v>4612</v>
      </c>
      <c r="D752" s="24"/>
      <c r="E752" s="24"/>
      <c r="F752" s="24" t="str">
        <v>X003</v>
      </c>
      <c r="G752" s="24" t="str">
        <v>10 out of 10</v>
      </c>
      <c r="H752" s="24" t="str">
        <v>https://nycdoe.sharepoint.com/:w:/s/BAP/ETOisNvAh8pBh-HkSExIctQBmG0jpyy2pI4gerwTq08w_A</v>
      </c>
      <c r="I752" s="23">
        <v>723</v>
      </c>
      <c r="J752" s="24" t="str">
        <v>-</v>
      </c>
      <c r="K752" s="24">
        <v>1789</v>
      </c>
      <c r="L752" s="24" t="str">
        <v>10 out of 10</v>
      </c>
      <c r="M752" s="23" t="b">
        <f t="shared" si="22"/>
        <v>1</v>
      </c>
      <c r="N752" s="23" t="str">
        <v>10 out of 10</v>
      </c>
      <c r="O752" s="23"/>
      <c r="P752" s="42" t="str">
        <v>10</v>
      </c>
      <c r="Q752" s="42" t="str">
        <v>10</v>
      </c>
      <c r="R752" s="42" t="str">
        <v>10</v>
      </c>
      <c r="S752" s="10" t="str">
        <f t="shared" si="23"/>
        <v>No Change</v>
      </c>
    </row>
    <row r="753" spans="1:19" ht="120" hidden="1">
      <c r="A753" s="8" t="s">
        <v>487</v>
      </c>
      <c r="B753" s="9" t="s">
        <v>13555</v>
      </c>
      <c r="C753" s="37" t="s">
        <v>4934</v>
      </c>
      <c r="D753" s="24"/>
      <c r="E753" s="24"/>
      <c r="F753" s="24" t="str">
        <v>X009</v>
      </c>
      <c r="G753" s="24" t="str">
        <v>9 out of 10</v>
      </c>
      <c r="H753" s="24" t="str">
        <v>https://nycdoe.sharepoint.com/:w:/s/BAP/EUu9z1fezaxPovRyhBm17NsBj7yxc3XPV79Abo59R0zf8g</v>
      </c>
      <c r="I753" s="23">
        <v>724</v>
      </c>
      <c r="J753" s="24" t="str">
        <v>-</v>
      </c>
      <c r="K753" s="24">
        <v>1797</v>
      </c>
      <c r="L753" s="24" t="str">
        <v>9 out of 10</v>
      </c>
      <c r="M753" s="23" t="b">
        <f t="shared" si="22"/>
        <v>1</v>
      </c>
      <c r="N753" s="23" t="str">
        <v>9 out of 10</v>
      </c>
      <c r="O753" s="23"/>
      <c r="P753" s="42" t="str">
        <v>9</v>
      </c>
      <c r="Q753" s="42" t="str">
        <v>9</v>
      </c>
      <c r="R753" s="42" t="str">
        <v>9</v>
      </c>
      <c r="S753" s="10" t="str">
        <f t="shared" si="23"/>
        <v>No Change</v>
      </c>
    </row>
    <row r="754" spans="1:19" ht="120" hidden="1">
      <c r="A754" s="8" t="s">
        <v>498</v>
      </c>
      <c r="B754" s="9" t="s">
        <v>13557</v>
      </c>
      <c r="C754" s="37" t="s">
        <v>4940</v>
      </c>
      <c r="D754" s="24"/>
      <c r="E754" s="24"/>
      <c r="F754" s="24" t="str">
        <v>X011</v>
      </c>
      <c r="G754" s="24" t="str">
        <v>3 out of 10</v>
      </c>
      <c r="H754" s="24" t="str">
        <v>https://nycdoe.sharepoint.com/:w:/s/BAP/EYC1kyL4ISBPhQZNTawSrrwBI7WYNp_qUh9CdxZStLhecA</v>
      </c>
      <c r="I754" s="23">
        <v>725</v>
      </c>
      <c r="J754" s="24" t="str">
        <v>-</v>
      </c>
      <c r="K754" s="24">
        <v>1798</v>
      </c>
      <c r="L754" s="24" t="str">
        <v>3 out of 10</v>
      </c>
      <c r="M754" s="23" t="b">
        <f t="shared" si="22"/>
        <v>1</v>
      </c>
      <c r="N754" s="23" t="str">
        <v>3 out of 10</v>
      </c>
      <c r="O754" s="23"/>
      <c r="P754" s="42" t="str">
        <v>3</v>
      </c>
      <c r="Q754" s="42" t="str">
        <v>3</v>
      </c>
      <c r="R754" s="42" t="str">
        <v>3</v>
      </c>
      <c r="S754" s="10" t="str">
        <f t="shared" si="23"/>
        <v>No Change</v>
      </c>
    </row>
    <row r="755" spans="1:19" ht="120" hidden="1">
      <c r="A755" s="8" t="s">
        <v>302</v>
      </c>
      <c r="B755" s="9" t="s">
        <v>13555</v>
      </c>
      <c r="C755" s="37" t="s">
        <v>4715</v>
      </c>
      <c r="D755" s="24"/>
      <c r="E755" s="24"/>
      <c r="F755" s="24" t="str">
        <v>X014</v>
      </c>
      <c r="G755" s="24" t="str">
        <v>8 out of 10</v>
      </c>
      <c r="H755" s="24" t="str">
        <v>https://nycdoe.sharepoint.com/:w:/s/BAP/ESCunIkgbE1Bijbc89ed8H8Bsyd_b0186lPP1dqcSOe2Og</v>
      </c>
      <c r="I755" s="23">
        <v>726</v>
      </c>
      <c r="J755" s="24" t="str">
        <v>-</v>
      </c>
      <c r="K755" s="24">
        <v>1800</v>
      </c>
      <c r="L755" s="24" t="str">
        <v>8 out of 10</v>
      </c>
      <c r="M755" s="23" t="b">
        <f t="shared" si="22"/>
        <v>1</v>
      </c>
      <c r="N755" s="23" t="str">
        <v>8 out of 10</v>
      </c>
      <c r="O755" s="23"/>
      <c r="P755" s="42" t="str">
        <v>8</v>
      </c>
      <c r="Q755" s="42" t="str">
        <v>8</v>
      </c>
      <c r="R755" s="42" t="str">
        <v>8</v>
      </c>
      <c r="S755" s="10" t="str">
        <f t="shared" si="23"/>
        <v>No Change</v>
      </c>
    </row>
    <row r="756" spans="1:19" ht="120" hidden="1">
      <c r="A756" s="8" t="s">
        <v>719</v>
      </c>
      <c r="B756" s="9" t="s">
        <v>13555</v>
      </c>
      <c r="C756" s="37" t="s">
        <v>5161</v>
      </c>
      <c r="D756" s="24"/>
      <c r="E756" s="24"/>
      <c r="F756" s="24" t="str">
        <v>X015</v>
      </c>
      <c r="G756" s="24" t="str">
        <v>10 out of 10</v>
      </c>
      <c r="H756" s="24" t="str">
        <v>https://nycdoe.sharepoint.com/:w:/s/BAP/EQ8BMnaI3M1NrBG5h-xuB0kBuo8Bx3bO_ccXQppxfCR0Ag</v>
      </c>
      <c r="I756" s="23">
        <v>727</v>
      </c>
      <c r="J756" s="24" t="str">
        <v>-</v>
      </c>
      <c r="K756" s="24">
        <v>1801</v>
      </c>
      <c r="L756" s="24" t="str">
        <v>10 out of 10</v>
      </c>
      <c r="M756" s="23" t="b">
        <f t="shared" si="22"/>
        <v>1</v>
      </c>
      <c r="N756" s="23" t="str">
        <v>10 out of 10</v>
      </c>
      <c r="O756" s="23"/>
      <c r="P756" s="42" t="str">
        <v>10</v>
      </c>
      <c r="Q756" s="42" t="str">
        <v>10</v>
      </c>
      <c r="R756" s="42" t="str">
        <v>10</v>
      </c>
      <c r="S756" s="10" t="str">
        <f t="shared" si="23"/>
        <v>No Change</v>
      </c>
    </row>
    <row r="757" spans="1:19" ht="120" hidden="1">
      <c r="A757" s="8" t="s">
        <v>915</v>
      </c>
      <c r="B757" s="9" t="s">
        <v>13555</v>
      </c>
      <c r="C757" s="37" t="s">
        <v>5330</v>
      </c>
      <c r="D757" s="24"/>
      <c r="E757" s="24"/>
      <c r="F757" s="24" t="str">
        <v>X019</v>
      </c>
      <c r="G757" s="24" t="str">
        <v>9 out of 10</v>
      </c>
      <c r="H757" s="24" t="str">
        <v>https://nycdoe.sharepoint.com/:w:/s/BAP/EaywxjXsnuFFmtPrTF2gKlUBWuzHpQzF3uLhtGixW2B7GA</v>
      </c>
      <c r="I757" s="23">
        <v>728</v>
      </c>
      <c r="J757" s="24" t="str">
        <v>-</v>
      </c>
      <c r="K757" s="24">
        <v>1806</v>
      </c>
      <c r="L757" s="24" t="str">
        <v>9 out of 10</v>
      </c>
      <c r="M757" s="23" t="b">
        <f t="shared" si="22"/>
        <v>1</v>
      </c>
      <c r="N757" s="23" t="str">
        <v>9 out of 10</v>
      </c>
      <c r="O757" s="23"/>
      <c r="P757" s="42" t="str">
        <v>9</v>
      </c>
      <c r="Q757" s="42" t="str">
        <v>9</v>
      </c>
      <c r="R757" s="42" t="str">
        <v>9</v>
      </c>
      <c r="S757" s="10" t="str">
        <f t="shared" si="23"/>
        <v>No Change</v>
      </c>
    </row>
    <row r="758" spans="1:19" ht="120" hidden="1">
      <c r="A758" s="8" t="s">
        <v>505</v>
      </c>
      <c r="B758" s="9" t="s">
        <v>13559</v>
      </c>
      <c r="C758" s="37" t="s">
        <v>4947</v>
      </c>
      <c r="D758" s="24"/>
      <c r="E758" s="24"/>
      <c r="F758" s="24" t="str">
        <v>X020</v>
      </c>
      <c r="G758" s="24" t="str">
        <v>10 out of 10</v>
      </c>
      <c r="H758" s="24" t="str">
        <v>https://nycdoe.sharepoint.com/:w:/s/BAP/EeAb4zYRVPxKjuXhYcdXHSIB7Z06rcgGQqQXEqWr6uHBzQ</v>
      </c>
      <c r="I758" s="23">
        <v>729</v>
      </c>
      <c r="J758" s="24" t="str">
        <v>-</v>
      </c>
      <c r="K758" s="24">
        <v>1807</v>
      </c>
      <c r="L758" s="24" t="str">
        <v>10 out of 10</v>
      </c>
      <c r="M758" s="23" t="b">
        <f t="shared" si="22"/>
        <v>1</v>
      </c>
      <c r="N758" s="23" t="str">
        <v>10 out of 10</v>
      </c>
      <c r="O758" s="23"/>
      <c r="P758" s="42" t="str">
        <v>10</v>
      </c>
      <c r="Q758" s="42" t="str">
        <v>10</v>
      </c>
      <c r="R758" s="42" t="str">
        <v>10</v>
      </c>
      <c r="S758" s="10" t="str">
        <f t="shared" si="23"/>
        <v>No Change</v>
      </c>
    </row>
    <row r="759" spans="1:19" ht="120" hidden="1">
      <c r="A759" s="8" t="s">
        <v>509</v>
      </c>
      <c r="B759" s="9" t="s">
        <v>13558</v>
      </c>
      <c r="C759" s="37" t="s">
        <v>4951</v>
      </c>
      <c r="D759" s="24"/>
      <c r="E759" s="24"/>
      <c r="F759" s="24" t="str">
        <v>X022</v>
      </c>
      <c r="G759" s="24" t="str">
        <v>1 out of 10</v>
      </c>
      <c r="H759" s="24" t="str">
        <v>https://nycdoe.sharepoint.com/:w:/s/BAP/EVXva3IzBGFJsoYukq9jGUkBrSbT7cLUkoOPAM3LkBMVBw</v>
      </c>
      <c r="I759" s="23">
        <v>730</v>
      </c>
      <c r="J759" s="24" t="str">
        <v>-</v>
      </c>
      <c r="K759" s="24">
        <v>1810</v>
      </c>
      <c r="L759" s="24" t="str">
        <v>1 out of 10</v>
      </c>
      <c r="M759" s="23" t="b">
        <f t="shared" si="22"/>
        <v>1</v>
      </c>
      <c r="N759" s="23" t="str">
        <v>1 out of 10</v>
      </c>
      <c r="O759" s="23"/>
      <c r="P759" s="42" t="str">
        <v>1</v>
      </c>
      <c r="Q759" s="42" t="str">
        <v>1</v>
      </c>
      <c r="R759" s="42" t="str">
        <v>1</v>
      </c>
      <c r="S759" s="10" t="str">
        <f t="shared" si="23"/>
        <v>No Change</v>
      </c>
    </row>
    <row r="760" spans="1:19" ht="120" hidden="1">
      <c r="A760" s="8" t="s">
        <v>313</v>
      </c>
      <c r="B760" s="9" t="s">
        <v>13559</v>
      </c>
      <c r="C760" s="37" t="s">
        <v>4723</v>
      </c>
      <c r="D760" s="24"/>
      <c r="E760" s="24"/>
      <c r="F760" s="24" t="str">
        <v>X023</v>
      </c>
      <c r="G760" s="24" t="str">
        <v>9 out of 10</v>
      </c>
      <c r="H760" s="24" t="str">
        <v>https://nycdoe.sharepoint.com/:w:/s/BAP/Ec9n4jyHz5dCvQ8uQCsjRysBCJHYwVq7XQLwcPZSchgubw</v>
      </c>
      <c r="I760" s="23">
        <v>731</v>
      </c>
      <c r="J760" s="24" t="str">
        <v>-</v>
      </c>
      <c r="K760" s="24">
        <v>1813</v>
      </c>
      <c r="L760" s="24" t="str">
        <v>9 out of 10</v>
      </c>
      <c r="M760" s="23" t="b">
        <f t="shared" si="22"/>
        <v>1</v>
      </c>
      <c r="N760" s="23" t="str">
        <v>9 out of 10</v>
      </c>
      <c r="O760" s="23"/>
      <c r="P760" s="42" t="str">
        <v>9</v>
      </c>
      <c r="Q760" s="42" t="str">
        <v>9</v>
      </c>
      <c r="R760" s="42" t="str">
        <v>9</v>
      </c>
      <c r="S760" s="10" t="str">
        <f t="shared" si="23"/>
        <v>No Change</v>
      </c>
    </row>
    <row r="761" spans="1:19" ht="120" hidden="1">
      <c r="A761" s="8" t="s">
        <v>917</v>
      </c>
      <c r="B761" s="9" t="s">
        <v>13560</v>
      </c>
      <c r="C761" s="37" t="s">
        <v>5332</v>
      </c>
      <c r="D761" s="24"/>
      <c r="E761" s="24"/>
      <c r="F761" s="24" t="str">
        <v>X026</v>
      </c>
      <c r="G761" s="24" t="str">
        <v>0+ out of 10</v>
      </c>
      <c r="H761" s="24" t="str">
        <v>https://nycdoe.sharepoint.com/:w:/s/BAP/Ea1fB0Ro7u1Bjl-7hZ7stzYB5qbBP9hDmpdYBmxLRakyDw</v>
      </c>
      <c r="I761" s="23">
        <v>732</v>
      </c>
      <c r="J761" s="24" t="str">
        <v>-</v>
      </c>
      <c r="K761" s="24">
        <v>1816</v>
      </c>
      <c r="L761" s="24" t="str">
        <v>N/A out of 10</v>
      </c>
      <c r="M761" s="23" t="b">
        <f t="shared" si="22"/>
        <v>0</v>
      </c>
      <c r="N761" s="23" t="str">
        <v>0+ out of 10</v>
      </c>
      <c r="O761" s="23"/>
      <c r="P761" s="42" t="str">
        <v>0+</v>
      </c>
      <c r="Q761" s="42" t="str">
        <v>N/A</v>
      </c>
      <c r="R761" s="42" t="str">
        <v>0+</v>
      </c>
      <c r="S761" s="10" t="str">
        <f t="shared" si="23"/>
        <v>No Change</v>
      </c>
    </row>
    <row r="762" spans="1:19" ht="120" hidden="1">
      <c r="A762" s="8" t="s">
        <v>513</v>
      </c>
      <c r="B762" s="9" t="s">
        <v>13555</v>
      </c>
      <c r="C762" s="37" t="s">
        <v>4955</v>
      </c>
      <c r="D762" s="24"/>
      <c r="E762" s="24"/>
      <c r="F762" s="24" t="str">
        <v>X027</v>
      </c>
      <c r="G762" s="24" t="str">
        <v>0+ out of 10</v>
      </c>
      <c r="H762" s="24" t="str">
        <v>https://nycdoe.sharepoint.com/:w:/s/BAP/EU58IXH6Q9lBqiA9gZ1t3FsB4EkoDQ3atGeKpG21rC1cBg</v>
      </c>
      <c r="I762" s="23">
        <v>733</v>
      </c>
      <c r="J762" s="24" t="str">
        <v>-</v>
      </c>
      <c r="K762" s="24">
        <v>1818</v>
      </c>
      <c r="L762" s="24" t="str">
        <v>N/A out of 10</v>
      </c>
      <c r="M762" s="23" t="b">
        <f t="shared" si="22"/>
        <v>0</v>
      </c>
      <c r="N762" s="23" t="str">
        <v>0+ out of 10</v>
      </c>
      <c r="O762" s="23"/>
      <c r="P762" s="42" t="str">
        <v>0+</v>
      </c>
      <c r="Q762" s="42" t="str">
        <v>N/A</v>
      </c>
      <c r="R762" s="42" t="str">
        <v>0+</v>
      </c>
      <c r="S762" s="10" t="str">
        <f t="shared" si="23"/>
        <v>No Change</v>
      </c>
    </row>
    <row r="763" spans="1:19" ht="120" hidden="1">
      <c r="A763" s="8" t="s">
        <v>723</v>
      </c>
      <c r="B763" s="9" t="s">
        <v>13553</v>
      </c>
      <c r="C763" s="37" t="s">
        <v>5165</v>
      </c>
      <c r="D763" s="24"/>
      <c r="E763" s="24"/>
      <c r="F763" s="24" t="str">
        <v>X034</v>
      </c>
      <c r="G763" s="24" t="str">
        <v>10 out of 10</v>
      </c>
      <c r="H763" s="24" t="str">
        <v>https://nycdoe.sharepoint.com/:w:/s/BAP/EZ7HKsDdFGxIiGWRB6NHiOkBN-cln-W09BMfwJQxTak78Q</v>
      </c>
      <c r="I763" s="23">
        <v>734</v>
      </c>
      <c r="J763" s="24" t="str">
        <v>-</v>
      </c>
      <c r="K763" s="24">
        <v>1826</v>
      </c>
      <c r="L763" s="24" t="str">
        <v>10 out of 10</v>
      </c>
      <c r="M763" s="23" t="b">
        <f t="shared" si="22"/>
        <v>1</v>
      </c>
      <c r="N763" s="23" t="str">
        <v>10 out of 10</v>
      </c>
      <c r="O763" s="23"/>
      <c r="P763" s="42" t="str">
        <v>10</v>
      </c>
      <c r="Q763" s="42" t="str">
        <v>10</v>
      </c>
      <c r="R763" s="42" t="str">
        <v>10</v>
      </c>
      <c r="S763" s="10" t="str">
        <f t="shared" si="23"/>
        <v>No Change</v>
      </c>
    </row>
    <row r="764" spans="1:19" ht="120" hidden="1">
      <c r="A764" s="8" t="s">
        <v>727</v>
      </c>
      <c r="B764" s="9" t="s">
        <v>13555</v>
      </c>
      <c r="C764" s="37" t="s">
        <v>5169</v>
      </c>
      <c r="D764" s="24"/>
      <c r="E764" s="24"/>
      <c r="F764" s="24" t="str">
        <v>X036</v>
      </c>
      <c r="G764" s="24" t="str">
        <v>9 out of 10</v>
      </c>
      <c r="H764" s="24" t="str">
        <v>https://nycdoe.sharepoint.com/:w:/s/BAP/EWyyHU67zjBMozm5yo1Kd8gBbNLOeofIx3Uj5jTi1vBxIg</v>
      </c>
      <c r="I764" s="23">
        <v>735</v>
      </c>
      <c r="J764" s="24" t="str">
        <v>-</v>
      </c>
      <c r="K764" s="24">
        <v>1829</v>
      </c>
      <c r="L764" s="24" t="str">
        <v>9 out of 10</v>
      </c>
      <c r="M764" s="23" t="b">
        <f t="shared" si="22"/>
        <v>1</v>
      </c>
      <c r="N764" s="23" t="str">
        <v>9 out of 10</v>
      </c>
      <c r="O764" s="23"/>
      <c r="P764" s="42" t="str">
        <v>9</v>
      </c>
      <c r="Q764" s="42" t="str">
        <v>9</v>
      </c>
      <c r="R764" s="42" t="str">
        <v>9</v>
      </c>
      <c r="S764" s="10" t="str">
        <f t="shared" si="23"/>
        <v>No Change</v>
      </c>
    </row>
    <row r="765" spans="1:19" ht="120" hidden="1">
      <c r="A765" s="8" t="s">
        <v>922</v>
      </c>
      <c r="B765" s="9" t="s">
        <v>13555</v>
      </c>
      <c r="C765" s="37" t="s">
        <v>5337</v>
      </c>
      <c r="D765" s="24"/>
      <c r="E765" s="24"/>
      <c r="F765" s="24" t="str">
        <v>X037</v>
      </c>
      <c r="G765" s="24" t="str">
        <v>10 out of 10</v>
      </c>
      <c r="H765" s="24" t="str">
        <v>https://nycdoe.sharepoint.com/:w:/s/BAP/EcEjz6-ehylJrG9kw_SQnXMBzOFXkTt-TGNtg6FRDqV6Hg</v>
      </c>
      <c r="I765" s="23">
        <v>736</v>
      </c>
      <c r="J765" s="24" t="str">
        <v>-</v>
      </c>
      <c r="K765" s="24">
        <v>1830</v>
      </c>
      <c r="L765" s="24" t="str">
        <v>10 out of 10</v>
      </c>
      <c r="M765" s="23" t="b">
        <f t="shared" si="22"/>
        <v>1</v>
      </c>
      <c r="N765" s="23" t="str">
        <v>10 out of 10</v>
      </c>
      <c r="O765" s="23"/>
      <c r="P765" s="42" t="str">
        <v>10</v>
      </c>
      <c r="Q765" s="42" t="str">
        <v>10</v>
      </c>
      <c r="R765" s="42" t="str">
        <v>10</v>
      </c>
      <c r="S765" s="10" t="str">
        <f t="shared" si="23"/>
        <v>No Change</v>
      </c>
    </row>
    <row r="766" spans="1:19" ht="120" hidden="1">
      <c r="A766" s="8" t="s">
        <v>185</v>
      </c>
      <c r="B766" s="9" t="s">
        <v>13560</v>
      </c>
      <c r="C766" s="37" t="s">
        <v>4616</v>
      </c>
      <c r="D766" s="24"/>
      <c r="E766" s="24"/>
      <c r="F766" s="24" t="str">
        <v>X040</v>
      </c>
      <c r="G766" s="24" t="str">
        <v>1 out of 10</v>
      </c>
      <c r="H766" s="24" t="str">
        <v>https://nycdoe.sharepoint.com/:w:/s/BAP/ETJ6jCi8yj5Fsmp8lsK6EOsBiRlCjpFrswFUYQfWjWEiiQ</v>
      </c>
      <c r="I766" s="23">
        <v>737</v>
      </c>
      <c r="J766" s="24" t="str">
        <v>-</v>
      </c>
      <c r="K766" s="24">
        <v>1833</v>
      </c>
      <c r="L766" s="24" t="str">
        <v>1 out of 10</v>
      </c>
      <c r="M766" s="23" t="b">
        <f t="shared" si="22"/>
        <v>1</v>
      </c>
      <c r="N766" s="23" t="str">
        <v>1 out of 10</v>
      </c>
      <c r="O766" s="23"/>
      <c r="P766" s="42" t="str">
        <v>1</v>
      </c>
      <c r="Q766" s="42" t="str">
        <v>1</v>
      </c>
      <c r="R766" s="42" t="str">
        <v>1</v>
      </c>
      <c r="S766" s="10" t="str">
        <f t="shared" si="23"/>
        <v>No Change</v>
      </c>
    </row>
    <row r="767" spans="1:19" ht="120" hidden="1">
      <c r="A767" s="8" t="s">
        <v>927</v>
      </c>
      <c r="B767" s="9" t="s">
        <v>13557</v>
      </c>
      <c r="C767" s="37" t="s">
        <v>5341</v>
      </c>
      <c r="D767" s="24"/>
      <c r="E767" s="24"/>
      <c r="F767" s="24" t="str">
        <v>X042</v>
      </c>
      <c r="G767" s="24" t="str">
        <v>0+ out of 10</v>
      </c>
      <c r="H767" s="24" t="str">
        <v>https://nycdoe.sharepoint.com/:w:/s/BAP/Eaav9XW8KzNPuhgrYkE89BABSaq21xbSdGxCl8jC2Hjq5w</v>
      </c>
      <c r="I767" s="23">
        <v>738</v>
      </c>
      <c r="J767" s="24" t="str">
        <v>-</v>
      </c>
      <c r="K767" s="24">
        <v>1837</v>
      </c>
      <c r="L767" s="24" t="str">
        <v>N/A out of 10</v>
      </c>
      <c r="M767" s="23" t="b">
        <f t="shared" si="22"/>
        <v>0</v>
      </c>
      <c r="N767" s="23" t="str">
        <v>0+ out of 10</v>
      </c>
      <c r="O767" s="23"/>
      <c r="P767" s="42" t="str">
        <v>0+</v>
      </c>
      <c r="Q767" s="42" t="str">
        <v>N/A</v>
      </c>
      <c r="R767" s="42" t="str">
        <v>0+</v>
      </c>
      <c r="S767" s="10" t="str">
        <f t="shared" si="23"/>
        <v>No Change</v>
      </c>
    </row>
    <row r="768" spans="1:19" ht="120" hidden="1">
      <c r="A768" s="8" t="s">
        <v>731</v>
      </c>
      <c r="B768" s="9" t="s">
        <v>13564</v>
      </c>
      <c r="C768" s="37" t="s">
        <v>5173</v>
      </c>
      <c r="D768" s="24"/>
      <c r="E768" s="24"/>
      <c r="F768" s="24" t="str">
        <v>X046</v>
      </c>
      <c r="G768" s="24" t="str">
        <v>10 out of 10</v>
      </c>
      <c r="H768" s="24" t="str">
        <v>https://nycdoe.sharepoint.com/:w:/s/BAP/Ea_-x7Pa-RVFlzuHdquAJ0sBo6olFB6sf8UIzma3PJBsRQ</v>
      </c>
      <c r="I768" s="23">
        <v>739</v>
      </c>
      <c r="J768" s="24" t="str">
        <v>-</v>
      </c>
      <c r="K768" s="24">
        <v>1845</v>
      </c>
      <c r="L768" s="24" t="str">
        <v>10 out of 10</v>
      </c>
      <c r="M768" s="23" t="b">
        <f t="shared" si="22"/>
        <v>1</v>
      </c>
      <c r="N768" s="23" t="str">
        <v>10 out of 10</v>
      </c>
      <c r="O768" s="23"/>
      <c r="P768" s="42" t="str">
        <v>10</v>
      </c>
      <c r="Q768" s="42" t="str">
        <v>10</v>
      </c>
      <c r="R768" s="42" t="str">
        <v>10</v>
      </c>
      <c r="S768" s="10" t="str">
        <f t="shared" si="23"/>
        <v>No Change</v>
      </c>
    </row>
    <row r="769" spans="1:19" ht="120" hidden="1">
      <c r="A769" s="8" t="s">
        <v>735</v>
      </c>
      <c r="B769" s="9" t="s">
        <v>13553</v>
      </c>
      <c r="C769" s="37" t="s">
        <v>5178</v>
      </c>
      <c r="D769" s="24"/>
      <c r="E769" s="24"/>
      <c r="F769" s="24" t="str">
        <v>X048</v>
      </c>
      <c r="G769" s="24" t="str">
        <v>9 out of 10</v>
      </c>
      <c r="H769" s="24" t="str">
        <v>https://nycdoe.sharepoint.com/:w:/s/BAP/EaBFQPZn-nFBjgcD-h7MIRwBuDSx1_3vi3aFm9TI0m58zA</v>
      </c>
      <c r="I769" s="23">
        <v>740</v>
      </c>
      <c r="J769" s="24" t="str">
        <v>-</v>
      </c>
      <c r="K769" s="24">
        <v>1848</v>
      </c>
      <c r="L769" s="24" t="str">
        <v>9 out of 10</v>
      </c>
      <c r="M769" s="23" t="b">
        <f t="shared" si="22"/>
        <v>1</v>
      </c>
      <c r="N769" s="23" t="str">
        <v>9 out of 10</v>
      </c>
      <c r="O769" s="23"/>
      <c r="P769" s="42" t="str">
        <v>9</v>
      </c>
      <c r="Q769" s="42" t="str">
        <v>9</v>
      </c>
      <c r="R769" s="42" t="str">
        <v>9</v>
      </c>
      <c r="S769" s="10" t="str">
        <f t="shared" si="23"/>
        <v>No Change</v>
      </c>
    </row>
    <row r="770" spans="1:19" ht="120" hidden="1">
      <c r="A770" s="8" t="s">
        <v>739</v>
      </c>
      <c r="B770" s="9" t="s">
        <v>13558</v>
      </c>
      <c r="C770" s="37" t="s">
        <v>5182</v>
      </c>
      <c r="D770" s="24"/>
      <c r="E770" s="24"/>
      <c r="F770" s="24" t="str">
        <v>X049</v>
      </c>
      <c r="G770" s="24" t="str">
        <v>0 out of 10</v>
      </c>
      <c r="H770" s="24" t="str">
        <v>https://nycdoe.sharepoint.com/:w:/s/BAP/EdcTlwvN6S5FkQxwMki68VsB9zis9Sj5ykXprPU6t4tksQ</v>
      </c>
      <c r="I770" s="23">
        <v>741</v>
      </c>
      <c r="J770" s="24" t="str">
        <v>-</v>
      </c>
      <c r="K770" s="24">
        <v>1850</v>
      </c>
      <c r="L770" s="24" t="str">
        <v>N/A out of 10</v>
      </c>
      <c r="M770" s="23" t="b">
        <f t="shared" si="22"/>
        <v>0</v>
      </c>
      <c r="N770" s="23" t="str">
        <v>0 out of 10</v>
      </c>
      <c r="O770" s="23"/>
      <c r="P770" s="42" t="str">
        <v>0</v>
      </c>
      <c r="Q770" s="42" t="str">
        <v>N/A</v>
      </c>
      <c r="R770" s="42" t="str">
        <v>0</v>
      </c>
      <c r="S770" s="10" t="str">
        <f t="shared" si="23"/>
        <v>No Change</v>
      </c>
    </row>
    <row r="771" spans="1:19" ht="135" hidden="1">
      <c r="A771" s="8" t="s">
        <v>749</v>
      </c>
      <c r="B771" s="9" t="s">
        <v>13565</v>
      </c>
      <c r="C771" s="37" t="s">
        <v>5188</v>
      </c>
      <c r="D771" s="24"/>
      <c r="E771" s="24"/>
      <c r="F771" s="24" t="str">
        <v>X052</v>
      </c>
      <c r="G771" s="24" t="str">
        <v>1 out of 10</v>
      </c>
      <c r="H771" s="24" t="str">
        <v>https://nycdoe.sharepoint.com/:w:/s/BAP/EXz0ET2i38RJq7rACWCxDA0B0l_eNERxg6AD1ADZa_hMFw</v>
      </c>
      <c r="I771" s="23">
        <v>742</v>
      </c>
      <c r="J771" s="24" t="str">
        <v>-</v>
      </c>
      <c r="K771" s="24">
        <v>1854</v>
      </c>
      <c r="L771" s="24" t="str">
        <v>1 out of 10</v>
      </c>
      <c r="M771" s="23" t="b">
        <f t="shared" ref="M771:M834" si="24">G771=L771</f>
        <v>1</v>
      </c>
      <c r="N771" s="23" t="str">
        <v>1 out of 10</v>
      </c>
      <c r="O771" s="23"/>
      <c r="P771" s="42" t="str">
        <v>1</v>
      </c>
      <c r="Q771" s="42" t="str">
        <v>1</v>
      </c>
      <c r="R771" s="42" t="str">
        <v>1</v>
      </c>
      <c r="S771" s="10" t="str">
        <f t="shared" ref="S771:S834" si="25">IFERROR(IF(OR(R771="0+",R771=0,AND(Q771="N/A")),"No Change",IF(R771&lt;&gt;Q771,"Change",IF(R771=Q771,"No Change",))),"Check BAP")</f>
        <v>No Change</v>
      </c>
    </row>
    <row r="772" spans="1:19" ht="105" hidden="1">
      <c r="A772" s="8" t="s">
        <v>13074</v>
      </c>
      <c r="B772" s="9" t="s">
        <v>13561</v>
      </c>
      <c r="C772" s="37" t="s">
        <v>13660</v>
      </c>
      <c r="D772" s="24"/>
      <c r="E772" s="24"/>
      <c r="F772" s="24" t="str">
        <v>X054</v>
      </c>
      <c r="G772" s="24" t="str">
        <v>10 out of 10</v>
      </c>
      <c r="H772" s="24" t="str">
        <v>https://nycdoe.sharepoint.com/:w:/s/BAP/EWKeew3b4rpBrVrid3oVLmUB-i37rqaEpmWkWkt8XPqDlA</v>
      </c>
      <c r="I772" s="23">
        <v>743</v>
      </c>
      <c r="J772" s="24" t="str">
        <v>-</v>
      </c>
      <c r="K772" s="24">
        <v>1857</v>
      </c>
      <c r="L772" s="24" t="str">
        <v>10 out of 10</v>
      </c>
      <c r="M772" s="23" t="b">
        <f t="shared" si="24"/>
        <v>1</v>
      </c>
      <c r="N772" s="23" t="str">
        <v>10 out of 10</v>
      </c>
      <c r="O772" s="23"/>
      <c r="P772" s="42" t="str">
        <v>10</v>
      </c>
      <c r="Q772" s="42" t="str">
        <v>10</v>
      </c>
      <c r="R772" s="42" t="str">
        <v>10</v>
      </c>
      <c r="S772" s="10" t="str">
        <f t="shared" si="25"/>
        <v>No Change</v>
      </c>
    </row>
    <row r="773" spans="1:19" ht="120" hidden="1">
      <c r="A773" s="8" t="s">
        <v>520</v>
      </c>
      <c r="B773" s="9" t="s">
        <v>13559</v>
      </c>
      <c r="C773" s="37" t="s">
        <v>4961</v>
      </c>
      <c r="D773" s="24"/>
      <c r="E773" s="24"/>
      <c r="F773" s="24" t="str">
        <v>X056</v>
      </c>
      <c r="G773" s="24" t="str">
        <v>10 out of 10</v>
      </c>
      <c r="H773" s="24" t="str">
        <v>https://nycdoe.sharepoint.com/:w:/s/BAP/Ed71jBbaz1JAg1gvcLNWihsBhcLmx1UWrhDhdjEGLxq3qw</v>
      </c>
      <c r="I773" s="23">
        <v>744</v>
      </c>
      <c r="J773" s="24" t="str">
        <v>-</v>
      </c>
      <c r="K773" s="24">
        <v>1860</v>
      </c>
      <c r="L773" s="24" t="str">
        <v>10 out of 10</v>
      </c>
      <c r="M773" s="23" t="b">
        <f t="shared" si="24"/>
        <v>1</v>
      </c>
      <c r="N773" s="23" t="str">
        <v>10 out of 10</v>
      </c>
      <c r="O773" s="23"/>
      <c r="P773" s="42" t="str">
        <v>10</v>
      </c>
      <c r="Q773" s="42" t="str">
        <v>10</v>
      </c>
      <c r="R773" s="42" t="str">
        <v>10</v>
      </c>
      <c r="S773" s="10" t="str">
        <f t="shared" si="25"/>
        <v>No Change</v>
      </c>
    </row>
    <row r="774" spans="1:19" ht="135" hidden="1">
      <c r="A774" s="8" t="s">
        <v>938</v>
      </c>
      <c r="B774" s="9" t="s">
        <v>13558</v>
      </c>
      <c r="C774" s="37" t="s">
        <v>5348</v>
      </c>
      <c r="D774" s="24"/>
      <c r="E774" s="24"/>
      <c r="F774" s="24" t="str">
        <v>X060</v>
      </c>
      <c r="G774" s="24" t="str">
        <v>1 out of 10</v>
      </c>
      <c r="H774" s="24" t="str">
        <v>https://nycdoe.sharepoint.com/:w:/s/BAP/Eb5NFwYIBqVBpdolh0OAGdMBnAFCCY36znGnmg3y3bemyA</v>
      </c>
      <c r="I774" s="23">
        <v>745</v>
      </c>
      <c r="J774" s="24" t="str">
        <v>-</v>
      </c>
      <c r="K774" s="24">
        <v>1865</v>
      </c>
      <c r="L774" s="24" t="str">
        <v>1 out of 10</v>
      </c>
      <c r="M774" s="23" t="b">
        <f t="shared" si="24"/>
        <v>1</v>
      </c>
      <c r="N774" s="23" t="str">
        <v>1 out of 10</v>
      </c>
      <c r="O774" s="23"/>
      <c r="P774" s="42" t="str">
        <v>1</v>
      </c>
      <c r="Q774" s="42" t="str">
        <v>1</v>
      </c>
      <c r="R774" s="42" t="str">
        <v>1</v>
      </c>
      <c r="S774" s="10" t="str">
        <f t="shared" si="25"/>
        <v>No Change</v>
      </c>
    </row>
    <row r="775" spans="1:19" ht="120" hidden="1">
      <c r="A775" s="8" t="s">
        <v>525</v>
      </c>
      <c r="B775" s="9" t="s">
        <v>13560</v>
      </c>
      <c r="C775" s="37" t="s">
        <v>4963</v>
      </c>
      <c r="D775" s="24"/>
      <c r="E775" s="24"/>
      <c r="F775" s="24" t="str">
        <v>X061</v>
      </c>
      <c r="G775" s="24" t="str">
        <v>0+ out of 10</v>
      </c>
      <c r="H775" s="24" t="str">
        <v>https://nycdoe.sharepoint.com/:w:/s/BAP/EcADVbG3PWFOmthjx0gqejcBVpewYHv89sgsCX3yrJUc_A</v>
      </c>
      <c r="I775" s="23">
        <v>746</v>
      </c>
      <c r="J775" s="24" t="str">
        <v>-</v>
      </c>
      <c r="K775" s="24">
        <v>1867</v>
      </c>
      <c r="L775" s="24" t="str">
        <v>N/A out of 10</v>
      </c>
      <c r="M775" s="23" t="b">
        <f t="shared" si="24"/>
        <v>0</v>
      </c>
      <c r="N775" s="23" t="str">
        <v>0+ out of 10</v>
      </c>
      <c r="O775" s="23"/>
      <c r="P775" s="42" t="str">
        <v>0+</v>
      </c>
      <c r="Q775" s="42" t="str">
        <v>N/A</v>
      </c>
      <c r="R775" s="42" t="str">
        <v>0+</v>
      </c>
      <c r="S775" s="10" t="str">
        <f t="shared" si="25"/>
        <v>No Change</v>
      </c>
    </row>
    <row r="776" spans="1:19" ht="120" hidden="1">
      <c r="A776" s="8" t="s">
        <v>192</v>
      </c>
      <c r="B776" s="9" t="s">
        <v>13558</v>
      </c>
      <c r="C776" s="37" t="s">
        <v>4624</v>
      </c>
      <c r="D776" s="24"/>
      <c r="E776" s="24"/>
      <c r="F776" s="24" t="str">
        <v>X065</v>
      </c>
      <c r="G776" s="24" t="str">
        <v>6 out of 10</v>
      </c>
      <c r="H776" s="24" t="str">
        <v>https://nycdoe.sharepoint.com/:w:/s/BAP/ETqUxfLwMLJPhKska00Np-AB4ZRQeOFodJQXirCDBGXoog</v>
      </c>
      <c r="I776" s="23">
        <v>747</v>
      </c>
      <c r="J776" s="24" t="str">
        <v>-</v>
      </c>
      <c r="K776" s="24">
        <v>1874</v>
      </c>
      <c r="L776" s="24" t="str">
        <v>6 out of 10</v>
      </c>
      <c r="M776" s="23" t="b">
        <f t="shared" si="24"/>
        <v>1</v>
      </c>
      <c r="N776" s="23" t="str">
        <v>6 out of 10</v>
      </c>
      <c r="O776" s="23"/>
      <c r="P776" s="42" t="str">
        <v>6</v>
      </c>
      <c r="Q776" s="42" t="str">
        <v>6</v>
      </c>
      <c r="R776" s="42" t="str">
        <v>6</v>
      </c>
      <c r="S776" s="10" t="str">
        <f t="shared" si="25"/>
        <v>No Change</v>
      </c>
    </row>
    <row r="777" spans="1:19" ht="120" hidden="1">
      <c r="A777" s="8" t="s">
        <v>757</v>
      </c>
      <c r="B777" s="9" t="s">
        <v>13557</v>
      </c>
      <c r="C777" s="37" t="s">
        <v>5190</v>
      </c>
      <c r="D777" s="24"/>
      <c r="E777" s="24"/>
      <c r="F777" s="24" t="str">
        <v>X068</v>
      </c>
      <c r="G777" s="24" t="str">
        <v>4 out of 10</v>
      </c>
      <c r="H777" s="24" t="str">
        <v>https://nycdoe.sharepoint.com/:w:/s/BAP/EagkvEY_0MxOmTH7Q3Nf1gcBYsbWmn8IcjIarf6x1D9XMg</v>
      </c>
      <c r="I777" s="23">
        <v>748</v>
      </c>
      <c r="J777" s="24" t="str">
        <v>-</v>
      </c>
      <c r="K777" s="24">
        <v>1880</v>
      </c>
      <c r="L777" s="24" t="str">
        <v>4 out of 10</v>
      </c>
      <c r="M777" s="23" t="b">
        <f t="shared" si="24"/>
        <v>1</v>
      </c>
      <c r="N777" s="23" t="str">
        <v>4 out of 10</v>
      </c>
      <c r="O777" s="23"/>
      <c r="P777" s="42" t="str">
        <v>4</v>
      </c>
      <c r="Q777" s="42" t="str">
        <v>4</v>
      </c>
      <c r="R777" s="42" t="str">
        <v>4</v>
      </c>
      <c r="S777" s="10" t="str">
        <f t="shared" si="25"/>
        <v>No Change</v>
      </c>
    </row>
    <row r="778" spans="1:19" ht="120" hidden="1">
      <c r="A778" s="8" t="s">
        <v>949</v>
      </c>
      <c r="B778" s="9" t="s">
        <v>13558</v>
      </c>
      <c r="C778" s="37" t="s">
        <v>5356</v>
      </c>
      <c r="D778" s="24"/>
      <c r="E778" s="24"/>
      <c r="F778" s="24" t="str">
        <v>X070</v>
      </c>
      <c r="G778" s="24" t="str">
        <v>0+ out of 10</v>
      </c>
      <c r="H778" s="24" t="str">
        <v>https://nycdoe.sharepoint.com/:w:/s/BAP/EfBElt2M0mJNs9khJbw35VABp_h9suG1ZACZG6kXsiZrVA</v>
      </c>
      <c r="I778" s="23">
        <v>749</v>
      </c>
      <c r="J778" s="24" t="str">
        <v>-</v>
      </c>
      <c r="K778" s="24">
        <v>1882</v>
      </c>
      <c r="L778" s="24" t="str">
        <v>N/A out of 10</v>
      </c>
      <c r="M778" s="23" t="b">
        <f t="shared" si="24"/>
        <v>0</v>
      </c>
      <c r="N778" s="23" t="str">
        <v>0+ out of 10</v>
      </c>
      <c r="O778" s="23"/>
      <c r="P778" s="42" t="str">
        <v>0+</v>
      </c>
      <c r="Q778" s="42" t="str">
        <v>N/A</v>
      </c>
      <c r="R778" s="42" t="str">
        <v>0+</v>
      </c>
      <c r="S778" s="10" t="str">
        <f t="shared" si="25"/>
        <v>No Change</v>
      </c>
    </row>
    <row r="779" spans="1:19" ht="120" hidden="1">
      <c r="A779" s="8" t="s">
        <v>203</v>
      </c>
      <c r="B779" s="9" t="s">
        <v>13558</v>
      </c>
      <c r="C779" s="37" t="s">
        <v>4632</v>
      </c>
      <c r="D779" s="24"/>
      <c r="E779" s="24"/>
      <c r="F779" s="24" t="str">
        <v>X072</v>
      </c>
      <c r="G779" s="24" t="str">
        <v>9 out of 10</v>
      </c>
      <c r="H779" s="24" t="str">
        <v>https://nycdoe.sharepoint.com/:w:/s/BAP/EdKr_AAcjgFGswRYz6GgpTABWR0TsSkQWb_ylxVYEu1oZA</v>
      </c>
      <c r="I779" s="23">
        <v>750</v>
      </c>
      <c r="J779" s="24" t="str">
        <v>-</v>
      </c>
      <c r="K779" s="24">
        <v>1884</v>
      </c>
      <c r="L779" s="24" t="str">
        <v>9 out of 10</v>
      </c>
      <c r="M779" s="23" t="b">
        <f t="shared" si="24"/>
        <v>1</v>
      </c>
      <c r="N779" s="23" t="str">
        <v>9 out of 10</v>
      </c>
      <c r="O779" s="23"/>
      <c r="P779" s="42" t="str">
        <v>9</v>
      </c>
      <c r="Q779" s="42" t="str">
        <v>9</v>
      </c>
      <c r="R779" s="42" t="str">
        <v>9</v>
      </c>
      <c r="S779" s="10" t="str">
        <f t="shared" si="25"/>
        <v>No Change</v>
      </c>
    </row>
    <row r="780" spans="1:19" ht="120" hidden="1">
      <c r="A780" s="8" t="s">
        <v>321</v>
      </c>
      <c r="B780" s="9" t="s">
        <v>13557</v>
      </c>
      <c r="C780" s="37" t="s">
        <v>4748</v>
      </c>
      <c r="D780" s="24"/>
      <c r="E780" s="24"/>
      <c r="F780" s="24" t="str">
        <v>X074</v>
      </c>
      <c r="G780" s="24" t="str">
        <v>8 out of 10</v>
      </c>
      <c r="H780" s="24" t="str">
        <v>https://nycdoe.sharepoint.com/:w:/s/BAP/EakJs7u3_8VJgEPNO3w5tCABjBVHYNyXBQ3ZKrMsFfd9Fw</v>
      </c>
      <c r="I780" s="23">
        <v>751</v>
      </c>
      <c r="J780" s="24" t="str">
        <v>-</v>
      </c>
      <c r="K780" s="24">
        <v>1886</v>
      </c>
      <c r="L780" s="24" t="str">
        <v>8 out of 10</v>
      </c>
      <c r="M780" s="23" t="b">
        <f t="shared" si="24"/>
        <v>1</v>
      </c>
      <c r="N780" s="23" t="str">
        <v>8 out of 10</v>
      </c>
      <c r="O780" s="23"/>
      <c r="P780" s="42" t="str">
        <v>8</v>
      </c>
      <c r="Q780" s="42" t="str">
        <v>8</v>
      </c>
      <c r="R780" s="42" t="str">
        <v>8</v>
      </c>
      <c r="S780" s="10" t="str">
        <f t="shared" si="25"/>
        <v>No Change</v>
      </c>
    </row>
    <row r="781" spans="1:19" ht="120" hidden="1">
      <c r="A781" s="8" t="s">
        <v>956</v>
      </c>
      <c r="B781" s="9" t="s">
        <v>13558</v>
      </c>
      <c r="C781" s="37" t="s">
        <v>5360</v>
      </c>
      <c r="D781" s="24"/>
      <c r="E781" s="24"/>
      <c r="F781" s="24" t="str">
        <v>X079</v>
      </c>
      <c r="G781" s="24" t="str">
        <v>9 out of 10</v>
      </c>
      <c r="H781" s="24" t="str">
        <v>https://nycdoe.sharepoint.com/:w:/s/BAP/EV7Xwj13kJhKoAW2_rbhy08B29kbTarRmC8s8Q_qeYNoug</v>
      </c>
      <c r="I781" s="23">
        <v>752</v>
      </c>
      <c r="J781" s="24" t="str">
        <v>-</v>
      </c>
      <c r="K781" s="24">
        <v>1895</v>
      </c>
      <c r="L781" s="24" t="str">
        <v>9 out of 10</v>
      </c>
      <c r="M781" s="23" t="b">
        <f t="shared" si="24"/>
        <v>1</v>
      </c>
      <c r="N781" s="23" t="str">
        <v>9 out of 10</v>
      </c>
      <c r="O781" s="23"/>
      <c r="P781" s="42" t="str">
        <v>9</v>
      </c>
      <c r="Q781" s="42" t="str">
        <v>9</v>
      </c>
      <c r="R781" s="42" t="str">
        <v>9</v>
      </c>
      <c r="S781" s="10" t="str">
        <f t="shared" si="25"/>
        <v>No Change</v>
      </c>
    </row>
    <row r="782" spans="1:19" ht="120" hidden="1">
      <c r="A782" s="8" t="s">
        <v>529</v>
      </c>
      <c r="B782" s="9" t="s">
        <v>13560</v>
      </c>
      <c r="C782" s="37" t="s">
        <v>4969</v>
      </c>
      <c r="D782" s="24"/>
      <c r="E782" s="24"/>
      <c r="F782" s="24" t="str">
        <v>X080</v>
      </c>
      <c r="G782" s="24" t="str">
        <v>8 out of 10</v>
      </c>
      <c r="H782" s="24" t="str">
        <v>https://nycdoe.sharepoint.com/:w:/s/BAP/ETQutMvf_pNEuKUKB_zrkxcBHj2zW42-XlUpbxCAHKf_qA</v>
      </c>
      <c r="I782" s="23">
        <v>753</v>
      </c>
      <c r="J782" s="24" t="str">
        <v>-</v>
      </c>
      <c r="K782" s="24">
        <v>1898</v>
      </c>
      <c r="L782" s="24" t="str">
        <v>8 out of 10</v>
      </c>
      <c r="M782" s="23" t="b">
        <f t="shared" si="24"/>
        <v>1</v>
      </c>
      <c r="N782" s="23" t="str">
        <v>8 out of 10</v>
      </c>
      <c r="O782" s="23"/>
      <c r="P782" s="42" t="str">
        <v>8</v>
      </c>
      <c r="Q782" s="42" t="str">
        <v>8</v>
      </c>
      <c r="R782" s="42" t="str">
        <v>8</v>
      </c>
      <c r="S782" s="10" t="str">
        <f t="shared" si="25"/>
        <v>No Change</v>
      </c>
    </row>
    <row r="783" spans="1:19" ht="120" hidden="1">
      <c r="A783" s="8" t="s">
        <v>13149</v>
      </c>
      <c r="B783" s="9" t="s">
        <v>13550</v>
      </c>
      <c r="C783" s="37" t="s">
        <v>13661</v>
      </c>
      <c r="D783" s="24"/>
      <c r="E783" s="24"/>
      <c r="F783" s="24" t="str">
        <v>X082</v>
      </c>
      <c r="G783" s="24" t="str">
        <v>9 out of 10</v>
      </c>
      <c r="H783" s="24" t="str">
        <v>https://nycdoe.sharepoint.com/:w:/s/BAP/EaVaQN88XE1KlxXGoHrOABwBfTrIZKX4SNtHu_rQR79vsw</v>
      </c>
      <c r="I783" s="23">
        <v>754</v>
      </c>
      <c r="J783" s="24" t="str">
        <v>-</v>
      </c>
      <c r="K783" s="24">
        <v>1901</v>
      </c>
      <c r="L783" s="24" t="str">
        <v>9 out of 10</v>
      </c>
      <c r="M783" s="23" t="b">
        <f t="shared" si="24"/>
        <v>1</v>
      </c>
      <c r="N783" s="23" t="str">
        <v>9 out of 10</v>
      </c>
      <c r="O783" s="23"/>
      <c r="P783" s="42" t="str">
        <v>9</v>
      </c>
      <c r="Q783" s="42" t="str">
        <v>9</v>
      </c>
      <c r="R783" s="42" t="str">
        <v>9</v>
      </c>
      <c r="S783" s="10" t="str">
        <f t="shared" si="25"/>
        <v>No Change</v>
      </c>
    </row>
    <row r="784" spans="1:19" ht="120" hidden="1">
      <c r="A784" s="8" t="s">
        <v>537</v>
      </c>
      <c r="B784" s="9" t="s">
        <v>13555</v>
      </c>
      <c r="C784" s="37" t="s">
        <v>4976</v>
      </c>
      <c r="D784" s="24"/>
      <c r="E784" s="24"/>
      <c r="F784" s="24" t="str">
        <v>X083</v>
      </c>
      <c r="G784" s="24" t="str">
        <v>9 out of 10</v>
      </c>
      <c r="H784" s="24" t="str">
        <v>https://nycdoe.sharepoint.com/:w:/s/BAP/EUiYpiolWb5PmfwFiSUHcy8BlG99JLas4BtLnbaf9LEfNA</v>
      </c>
      <c r="I784" s="23">
        <v>755</v>
      </c>
      <c r="J784" s="24" t="str">
        <v>-</v>
      </c>
      <c r="K784" s="24">
        <v>1904</v>
      </c>
      <c r="L784" s="24" t="str">
        <v>9 out of 10</v>
      </c>
      <c r="M784" s="23" t="b">
        <f t="shared" si="24"/>
        <v>1</v>
      </c>
      <c r="N784" s="23" t="str">
        <v>9 out of 10</v>
      </c>
      <c r="O784" s="23"/>
      <c r="P784" s="42" t="str">
        <v>9</v>
      </c>
      <c r="Q784" s="42" t="str">
        <v>9</v>
      </c>
      <c r="R784" s="42" t="str">
        <v>9</v>
      </c>
      <c r="S784" s="10" t="str">
        <f t="shared" si="25"/>
        <v>No Change</v>
      </c>
    </row>
    <row r="785" spans="1:19" ht="120" hidden="1">
      <c r="A785" s="8" t="s">
        <v>13155</v>
      </c>
      <c r="B785" s="11" t="s">
        <v>13561</v>
      </c>
      <c r="C785" s="37" t="s">
        <v>13662</v>
      </c>
      <c r="D785" s="24"/>
      <c r="E785" s="24"/>
      <c r="F785" s="24" t="str">
        <v>X084</v>
      </c>
      <c r="G785" s="24" t="str">
        <v>9 out of 10</v>
      </c>
      <c r="H785" s="24" t="str">
        <v>https://nycdoe.sharepoint.com/:w:/s/BAP/ET52hvelqQZCm__7saWGCeYBI9ISiy01l4rupmlx6yqO3g</v>
      </c>
      <c r="I785" s="23">
        <v>756</v>
      </c>
      <c r="J785" s="24" t="str">
        <v>-</v>
      </c>
      <c r="K785" s="24">
        <v>1905</v>
      </c>
      <c r="L785" s="24" t="str">
        <v>9 out of 10</v>
      </c>
      <c r="M785" s="23" t="b">
        <f t="shared" si="24"/>
        <v>1</v>
      </c>
      <c r="N785" s="23" t="str">
        <v>9 out of 10</v>
      </c>
      <c r="O785" s="23"/>
      <c r="P785" s="42" t="str">
        <v>9</v>
      </c>
      <c r="Q785" s="42" t="str">
        <v>9</v>
      </c>
      <c r="R785" s="42" t="str">
        <v>9</v>
      </c>
      <c r="S785" s="10" t="str">
        <f t="shared" si="25"/>
        <v>No Change</v>
      </c>
    </row>
    <row r="786" spans="1:19" ht="120" hidden="1">
      <c r="A786" s="8" t="s">
        <v>764</v>
      </c>
      <c r="B786" s="9" t="s">
        <v>13559</v>
      </c>
      <c r="C786" s="37" t="s">
        <v>5199</v>
      </c>
      <c r="D786" s="24"/>
      <c r="E786" s="24"/>
      <c r="F786" s="24" t="str">
        <v>X085</v>
      </c>
      <c r="G786" s="24" t="str">
        <v>3 out of 10</v>
      </c>
      <c r="H786" s="24" t="str">
        <v>https://nycdoe.sharepoint.com/:w:/s/BAP/EW0VqEYSde5IvRDeATLU-9cBf7dHE-v4InumM5zr2K6dxw</v>
      </c>
      <c r="I786" s="23">
        <v>757</v>
      </c>
      <c r="J786" s="24" t="str">
        <v>-</v>
      </c>
      <c r="K786" s="24">
        <v>1906</v>
      </c>
      <c r="L786" s="24" t="str">
        <v>3 out of 10</v>
      </c>
      <c r="M786" s="23" t="b">
        <f t="shared" si="24"/>
        <v>1</v>
      </c>
      <c r="N786" s="23" t="str">
        <v>3 out of 10</v>
      </c>
      <c r="O786" s="23"/>
      <c r="P786" s="42" t="str">
        <v>3</v>
      </c>
      <c r="Q786" s="42" t="str">
        <v>3</v>
      </c>
      <c r="R786" s="42" t="str">
        <v>3</v>
      </c>
      <c r="S786" s="10" t="str">
        <f t="shared" si="25"/>
        <v>No Change</v>
      </c>
    </row>
    <row r="787" spans="1:19" ht="120" hidden="1">
      <c r="A787" s="8" t="s">
        <v>13171</v>
      </c>
      <c r="B787" s="11" t="s">
        <v>13550</v>
      </c>
      <c r="C787" s="37" t="s">
        <v>13663</v>
      </c>
      <c r="D787" s="24"/>
      <c r="E787" s="24"/>
      <c r="F787" s="24" t="str">
        <v>X086</v>
      </c>
      <c r="G787" s="24" t="str">
        <v>1 out of 10</v>
      </c>
      <c r="H787" s="24" t="str">
        <v>https://nycdoe.sharepoint.com/:w:/s/BAP/EdreDHZUMs1FgqS3fNwGm4MBURTlt1aUUctebull5a0r-A</v>
      </c>
      <c r="I787" s="23">
        <v>758</v>
      </c>
      <c r="J787" s="24" t="str">
        <v>-</v>
      </c>
      <c r="K787" s="24">
        <v>1907</v>
      </c>
      <c r="L787" s="24" t="str">
        <v>1 out of 10</v>
      </c>
      <c r="M787" s="23" t="b">
        <f t="shared" si="24"/>
        <v>1</v>
      </c>
      <c r="N787" s="23" t="str">
        <v>1 out of 10</v>
      </c>
      <c r="O787" s="23"/>
      <c r="P787" s="42" t="str">
        <v>1</v>
      </c>
      <c r="Q787" s="42" t="str">
        <v>1</v>
      </c>
      <c r="R787" s="42" t="str">
        <v>1</v>
      </c>
      <c r="S787" s="10" t="str">
        <f t="shared" si="25"/>
        <v>No Change</v>
      </c>
    </row>
    <row r="788" spans="1:19" ht="120" hidden="1">
      <c r="A788" s="8" t="s">
        <v>325</v>
      </c>
      <c r="B788" s="9" t="s">
        <v>13558</v>
      </c>
      <c r="C788" s="37" t="s">
        <v>4752</v>
      </c>
      <c r="D788" s="24"/>
      <c r="E788" s="24"/>
      <c r="F788" s="24" t="str">
        <v>X090</v>
      </c>
      <c r="G788" s="24" t="str">
        <v>3 out of 10</v>
      </c>
      <c r="H788" s="24" t="str">
        <v>https://nycdoe.sharepoint.com/:w:/s/BAP/ET3RHO3FKDVBgZ2N9AzXrcMBVuOzjyWIvihzB8PkbavbSQ</v>
      </c>
      <c r="I788" s="23">
        <v>759</v>
      </c>
      <c r="J788" s="24" t="str">
        <v>-</v>
      </c>
      <c r="K788" s="24">
        <v>1912</v>
      </c>
      <c r="L788" s="24" t="str">
        <v>3 out of 10</v>
      </c>
      <c r="M788" s="23" t="b">
        <f t="shared" si="24"/>
        <v>1</v>
      </c>
      <c r="N788" s="23" t="str">
        <v>3 out of 10</v>
      </c>
      <c r="O788" s="23"/>
      <c r="P788" s="42" t="str">
        <v>3</v>
      </c>
      <c r="Q788" s="42" t="str">
        <v>3</v>
      </c>
      <c r="R788" s="42" t="str">
        <v>3</v>
      </c>
      <c r="S788" s="10" t="str">
        <f t="shared" si="25"/>
        <v>No Change</v>
      </c>
    </row>
    <row r="789" spans="1:19" ht="120" hidden="1">
      <c r="A789" s="8" t="s">
        <v>35</v>
      </c>
      <c r="B789" s="9" t="s">
        <v>13564</v>
      </c>
      <c r="C789" s="37" t="s">
        <v>4478</v>
      </c>
      <c r="D789" s="24"/>
      <c r="E789" s="24"/>
      <c r="F789" s="24" t="str">
        <v>X092</v>
      </c>
      <c r="G789" s="24" t="str">
        <v>4 out of 10</v>
      </c>
      <c r="H789" s="24" t="str">
        <v>https://nycdoe.sharepoint.com/:w:/s/BAP/ERKLjFeS-uxOsURUNKmUsikBRplsLFDZPw-r0ncq1gEypw</v>
      </c>
      <c r="I789" s="23">
        <v>760</v>
      </c>
      <c r="J789" s="24" t="str">
        <v>-</v>
      </c>
      <c r="K789" s="24">
        <v>1915</v>
      </c>
      <c r="L789" s="24" t="str">
        <v>4 out of 10</v>
      </c>
      <c r="M789" s="23" t="b">
        <f t="shared" si="24"/>
        <v>1</v>
      </c>
      <c r="N789" s="23" t="str">
        <v>4 out of 10</v>
      </c>
      <c r="O789" s="23"/>
      <c r="P789" s="42" t="str">
        <v>4</v>
      </c>
      <c r="Q789" s="42" t="str">
        <v>4</v>
      </c>
      <c r="R789" s="42" t="str">
        <v>4</v>
      </c>
      <c r="S789" s="10" t="str">
        <f t="shared" si="25"/>
        <v>No Change</v>
      </c>
    </row>
    <row r="790" spans="1:19" ht="120" hidden="1">
      <c r="A790" s="8" t="s">
        <v>213</v>
      </c>
      <c r="B790" s="9" t="s">
        <v>13558</v>
      </c>
      <c r="C790" s="37" t="s">
        <v>4640</v>
      </c>
      <c r="D790" s="24"/>
      <c r="E790" s="24"/>
      <c r="F790" s="24" t="str">
        <v>X095</v>
      </c>
      <c r="G790" s="24" t="str">
        <v>9 out of 10</v>
      </c>
      <c r="H790" s="24" t="str">
        <v>https://nycdoe.sharepoint.com/:w:/s/BAP/EXqOlw0ueF5KudmbwA1aoGwBcVl8BWK2TBEpw93iwScNyQ</v>
      </c>
      <c r="I790" s="23">
        <v>761</v>
      </c>
      <c r="J790" s="24" t="str">
        <v>-</v>
      </c>
      <c r="K790" s="24">
        <v>1920</v>
      </c>
      <c r="L790" s="24" t="str">
        <v>9 out of 10</v>
      </c>
      <c r="M790" s="23" t="b">
        <f t="shared" si="24"/>
        <v>1</v>
      </c>
      <c r="N790" s="23" t="str">
        <v>9 out of 10</v>
      </c>
      <c r="O790" s="23"/>
      <c r="P790" s="42" t="str">
        <v>9</v>
      </c>
      <c r="Q790" s="42" t="str">
        <v>9</v>
      </c>
      <c r="R790" s="42" t="str">
        <v>9</v>
      </c>
      <c r="S790" s="10" t="str">
        <f t="shared" si="25"/>
        <v>No Change</v>
      </c>
    </row>
    <row r="791" spans="1:19" ht="120" hidden="1">
      <c r="A791" s="8" t="s">
        <v>774</v>
      </c>
      <c r="B791" s="9" t="s">
        <v>13555</v>
      </c>
      <c r="C791" s="37" t="s">
        <v>5207</v>
      </c>
      <c r="D791" s="24"/>
      <c r="E791" s="24"/>
      <c r="F791" s="24" t="str">
        <v>X096</v>
      </c>
      <c r="G791" s="24" t="str">
        <v>10 out of 10</v>
      </c>
      <c r="H791" s="24" t="str">
        <v>https://nycdoe.sharepoint.com/:w:/s/BAP/ESoXm0exfa5Cjlpo8V9Yw9QBhZfqaE-t1D8rV32LL2bhLw</v>
      </c>
      <c r="I791" s="23">
        <v>762</v>
      </c>
      <c r="J791" s="24" t="str">
        <v>-</v>
      </c>
      <c r="K791" s="24">
        <v>1922</v>
      </c>
      <c r="L791" s="24" t="str">
        <v>10 out of 10</v>
      </c>
      <c r="M791" s="23" t="b">
        <f t="shared" si="24"/>
        <v>1</v>
      </c>
      <c r="N791" s="23" t="str">
        <v>10 out of 10</v>
      </c>
      <c r="O791" s="23"/>
      <c r="P791" s="42" t="str">
        <v>10</v>
      </c>
      <c r="Q791" s="42" t="str">
        <v>10</v>
      </c>
      <c r="R791" s="42" t="str">
        <v>10</v>
      </c>
      <c r="S791" s="10" t="str">
        <f t="shared" si="25"/>
        <v>No Change</v>
      </c>
    </row>
    <row r="792" spans="1:19" ht="120" hidden="1">
      <c r="A792" s="8" t="s">
        <v>47</v>
      </c>
      <c r="B792" s="9" t="s">
        <v>13560</v>
      </c>
      <c r="C792" s="37" t="s">
        <v>4494</v>
      </c>
      <c r="D792" s="24"/>
      <c r="E792" s="24"/>
      <c r="F792" s="24" t="str">
        <v>X097</v>
      </c>
      <c r="G792" s="24" t="str">
        <v>9 out of 10</v>
      </c>
      <c r="H792" s="24" t="str">
        <v>https://nycdoe.sharepoint.com/:w:/s/BAP/ER-K5KIBTSJIp7zmBvCwPOQB0G9ZfLtfaLQcbFiXXUQQKQ</v>
      </c>
      <c r="I792" s="23">
        <v>763</v>
      </c>
      <c r="J792" s="24" t="str">
        <v>-</v>
      </c>
      <c r="K792" s="24">
        <v>1923</v>
      </c>
      <c r="L792" s="24" t="str">
        <v>9 out of 10</v>
      </c>
      <c r="M792" s="23" t="b">
        <f t="shared" si="24"/>
        <v>1</v>
      </c>
      <c r="N792" s="23" t="str">
        <v>9 out of 10</v>
      </c>
      <c r="O792" s="23"/>
      <c r="P792" s="42" t="str">
        <v>9</v>
      </c>
      <c r="Q792" s="42" t="str">
        <v>9</v>
      </c>
      <c r="R792" s="42" t="str">
        <v>9</v>
      </c>
      <c r="S792" s="10" t="str">
        <f t="shared" si="25"/>
        <v>No Change</v>
      </c>
    </row>
    <row r="793" spans="1:19" ht="120" hidden="1">
      <c r="A793" s="8" t="s">
        <v>57</v>
      </c>
      <c r="B793" s="9" t="s">
        <v>13555</v>
      </c>
      <c r="C793" s="37" t="s">
        <v>4501</v>
      </c>
      <c r="D793" s="24"/>
      <c r="E793" s="24"/>
      <c r="F793" s="24" t="str">
        <v>X099</v>
      </c>
      <c r="G793" s="24" t="str">
        <v>9 out of 10</v>
      </c>
      <c r="H793" s="24" t="str">
        <v>https://nycdoe.sharepoint.com/:w:/s/BAP/EU0G_D8FUc1AlloJaXmAXj0BAsoO3qUkGVJN344edSO9KQ</v>
      </c>
      <c r="I793" s="23">
        <v>764</v>
      </c>
      <c r="J793" s="24" t="str">
        <v>-</v>
      </c>
      <c r="K793" s="24">
        <v>1928</v>
      </c>
      <c r="L793" s="24" t="str">
        <v>9 out of 10</v>
      </c>
      <c r="M793" s="23" t="b">
        <f t="shared" si="24"/>
        <v>1</v>
      </c>
      <c r="N793" s="23" t="str">
        <v>9 out of 10</v>
      </c>
      <c r="O793" s="23"/>
      <c r="P793" s="42" t="str">
        <v>9</v>
      </c>
      <c r="Q793" s="42" t="str">
        <v>9</v>
      </c>
      <c r="R793" s="42" t="str">
        <v>9</v>
      </c>
      <c r="S793" s="10" t="str">
        <f t="shared" si="25"/>
        <v>No Change</v>
      </c>
    </row>
    <row r="794" spans="1:19" ht="120" hidden="1">
      <c r="A794" s="8" t="s">
        <v>958</v>
      </c>
      <c r="B794" s="9" t="s">
        <v>13555</v>
      </c>
      <c r="C794" s="37" t="s">
        <v>5364</v>
      </c>
      <c r="D794" s="24"/>
      <c r="E794" s="24"/>
      <c r="F794" s="24" t="str">
        <v>X101</v>
      </c>
      <c r="G794" s="24" t="str">
        <v>4 out of 10</v>
      </c>
      <c r="H794" s="24" t="str">
        <v>https://nycdoe.sharepoint.com/:w:/s/BAP/EQuUMs8o-tVChDUwKjgKA1QBSXLv61dRvTcsm24weljjJQ</v>
      </c>
      <c r="I794" s="23">
        <v>765</v>
      </c>
      <c r="J794" s="24" t="str">
        <v>-</v>
      </c>
      <c r="K794" s="24">
        <v>1931</v>
      </c>
      <c r="L794" s="24" t="str">
        <v>4 out of 10</v>
      </c>
      <c r="M794" s="23" t="b">
        <f t="shared" si="24"/>
        <v>1</v>
      </c>
      <c r="N794" s="23" t="str">
        <v>4 out of 10</v>
      </c>
      <c r="O794" s="23"/>
      <c r="P794" s="42" t="str">
        <v>4</v>
      </c>
      <c r="Q794" s="42" t="str">
        <v>4</v>
      </c>
      <c r="R794" s="42" t="str">
        <v>4</v>
      </c>
      <c r="S794" s="10" t="str">
        <f t="shared" si="25"/>
        <v>No Change</v>
      </c>
    </row>
    <row r="795" spans="1:19" ht="135" hidden="1">
      <c r="A795" s="8" t="s">
        <v>781</v>
      </c>
      <c r="B795" s="9" t="s">
        <v>13557</v>
      </c>
      <c r="C795" s="37" t="s">
        <v>5212</v>
      </c>
      <c r="D795" s="24"/>
      <c r="E795" s="24"/>
      <c r="F795" s="24" t="str">
        <v>X102</v>
      </c>
      <c r="G795" s="24" t="str">
        <v>8 out of 10</v>
      </c>
      <c r="H795" s="24" t="str">
        <v>https://nycdoe.sharepoint.com/:w:/s/BAP/ERJJySPLjgRLkFqBUyBOkgwBeknyHJfZXRvmhGJuJJv6UQ</v>
      </c>
      <c r="I795" s="23">
        <v>766</v>
      </c>
      <c r="J795" s="24" t="str">
        <v>-</v>
      </c>
      <c r="K795" s="24">
        <v>1934</v>
      </c>
      <c r="L795" s="24" t="str">
        <v>8 out of 10</v>
      </c>
      <c r="M795" s="23" t="b">
        <f t="shared" si="24"/>
        <v>1</v>
      </c>
      <c r="N795" s="23" t="str">
        <v>8 out of 10</v>
      </c>
      <c r="O795" s="23"/>
      <c r="P795" s="42" t="str">
        <v>8</v>
      </c>
      <c r="Q795" s="42" t="str">
        <v>8</v>
      </c>
      <c r="R795" s="42" t="str">
        <v>8</v>
      </c>
      <c r="S795" s="10" t="str">
        <f t="shared" si="25"/>
        <v>No Change</v>
      </c>
    </row>
    <row r="796" spans="1:19" ht="120" hidden="1">
      <c r="A796" s="8" t="s">
        <v>69</v>
      </c>
      <c r="B796" s="11" t="s">
        <v>13555</v>
      </c>
      <c r="C796" s="37" t="s">
        <v>4515</v>
      </c>
      <c r="D796" s="24"/>
      <c r="E796" s="24"/>
      <c r="F796" s="24" t="str">
        <v>X105</v>
      </c>
      <c r="G796" s="24" t="str">
        <v>6 out of 10</v>
      </c>
      <c r="H796" s="24" t="str">
        <v>https://nycdoe.sharepoint.com/:w:/s/BAP/ESkC3WppzI5GvlDB0UYpcJ0BjfchP3jy05S4VJVqkgp0Kw</v>
      </c>
      <c r="I796" s="23">
        <v>767</v>
      </c>
      <c r="J796" s="24" t="str">
        <v>-</v>
      </c>
      <c r="K796" s="24">
        <v>1940</v>
      </c>
      <c r="L796" s="24" t="str">
        <v>6 out of 10</v>
      </c>
      <c r="M796" s="23" t="b">
        <f t="shared" si="24"/>
        <v>1</v>
      </c>
      <c r="N796" s="23" t="str">
        <v>6 out of 10</v>
      </c>
      <c r="O796" s="23"/>
      <c r="P796" s="42" t="str">
        <v>6</v>
      </c>
      <c r="Q796" s="42" t="str">
        <v>6</v>
      </c>
      <c r="R796" s="42" t="str">
        <v>6</v>
      </c>
      <c r="S796" s="10" t="str">
        <f t="shared" si="25"/>
        <v>No Change</v>
      </c>
    </row>
    <row r="797" spans="1:19" ht="135" hidden="1">
      <c r="A797" s="8" t="s">
        <v>73</v>
      </c>
      <c r="B797" s="9" t="s">
        <v>13565</v>
      </c>
      <c r="C797" s="37" t="s">
        <v>4522</v>
      </c>
      <c r="D797" s="24"/>
      <c r="E797" s="24"/>
      <c r="F797" s="24" t="str">
        <v>X106</v>
      </c>
      <c r="G797" s="24" t="str">
        <v>10 out of 10</v>
      </c>
      <c r="H797" s="24" t="str">
        <v>https://nycdoe.sharepoint.com/:w:/s/BAP/ER2b3GM_xwpGh253joadCswB6gv1ZCENgVqDajyf9OTZxg</v>
      </c>
      <c r="I797" s="23">
        <v>768</v>
      </c>
      <c r="J797" s="24" t="str">
        <v>-</v>
      </c>
      <c r="K797" s="24">
        <v>1941</v>
      </c>
      <c r="L797" s="24" t="str">
        <v>10 out of 10</v>
      </c>
      <c r="M797" s="23" t="b">
        <f t="shared" si="24"/>
        <v>1</v>
      </c>
      <c r="N797" s="23" t="str">
        <v>10 out of 10</v>
      </c>
      <c r="O797" s="23"/>
      <c r="P797" s="42" t="str">
        <v>10</v>
      </c>
      <c r="Q797" s="42" t="str">
        <v>10</v>
      </c>
      <c r="R797" s="42" t="str">
        <v>10</v>
      </c>
      <c r="S797" s="10" t="str">
        <f t="shared" si="25"/>
        <v>No Change</v>
      </c>
    </row>
    <row r="798" spans="1:19" ht="120" hidden="1">
      <c r="A798" s="8" t="s">
        <v>336</v>
      </c>
      <c r="B798" s="11" t="s">
        <v>13555</v>
      </c>
      <c r="C798" s="37" t="s">
        <v>4771</v>
      </c>
      <c r="D798" s="24"/>
      <c r="E798" s="24"/>
      <c r="F798" s="24" t="str">
        <v>X111</v>
      </c>
      <c r="G798" s="24" t="str">
        <v>1 out of 10</v>
      </c>
      <c r="H798" s="24" t="str">
        <v>https://nycdoe.sharepoint.com/:w:/s/BAP/EVmv2PKLJJ5HqW16E7uBxcQBrBrnKjZ5cKGy3E-2R0AXLg</v>
      </c>
      <c r="I798" s="23">
        <v>769</v>
      </c>
      <c r="J798" s="24" t="str">
        <v>-</v>
      </c>
      <c r="K798" s="24">
        <v>1948</v>
      </c>
      <c r="L798" s="24" t="str">
        <v>1 out of 10</v>
      </c>
      <c r="M798" s="23" t="b">
        <f t="shared" si="24"/>
        <v>1</v>
      </c>
      <c r="N798" s="23" t="str">
        <v>1 out of 10</v>
      </c>
      <c r="O798" s="23"/>
      <c r="P798" s="42" t="str">
        <v>1</v>
      </c>
      <c r="Q798" s="42" t="str">
        <v>1</v>
      </c>
      <c r="R798" s="42" t="str">
        <v>1</v>
      </c>
      <c r="S798" s="10" t="str">
        <f t="shared" si="25"/>
        <v>No Change</v>
      </c>
    </row>
    <row r="799" spans="1:19" ht="120" hidden="1">
      <c r="A799" s="8" t="s">
        <v>969</v>
      </c>
      <c r="B799" s="9" t="s">
        <v>13555</v>
      </c>
      <c r="C799" s="37" t="s">
        <v>5371</v>
      </c>
      <c r="D799" s="24"/>
      <c r="E799" s="24"/>
      <c r="F799" s="24" t="str">
        <v>X113</v>
      </c>
      <c r="G799" s="24" t="str">
        <v>5 out of 10</v>
      </c>
      <c r="H799" s="24" t="str">
        <v>https://nycdoe.sharepoint.com/:w:/s/BAP/EfhCZrR1meNDvXoYkWAcV-UBQ9Ufa0ULyStjyVTNElmCpg</v>
      </c>
      <c r="I799" s="23">
        <v>770</v>
      </c>
      <c r="J799" s="24" t="str">
        <v>-</v>
      </c>
      <c r="K799" s="24">
        <v>1952</v>
      </c>
      <c r="L799" s="24" t="str">
        <v>5 out of 10</v>
      </c>
      <c r="M799" s="23" t="b">
        <f t="shared" si="24"/>
        <v>1</v>
      </c>
      <c r="N799" s="23" t="str">
        <v>5 out of 10</v>
      </c>
      <c r="O799" s="23"/>
      <c r="P799" s="42" t="str">
        <v>5</v>
      </c>
      <c r="Q799" s="42" t="str">
        <v>5</v>
      </c>
      <c r="R799" s="42" t="str">
        <v>5</v>
      </c>
      <c r="S799" s="10" t="str">
        <f t="shared" si="25"/>
        <v>No Change</v>
      </c>
    </row>
    <row r="800" spans="1:19" ht="120" hidden="1">
      <c r="A800" s="8" t="s">
        <v>788</v>
      </c>
      <c r="B800" s="9" t="s">
        <v>13553</v>
      </c>
      <c r="C800" s="37" t="s">
        <v>5218</v>
      </c>
      <c r="D800" s="24"/>
      <c r="E800" s="24"/>
      <c r="F800" s="24" t="str">
        <v>X114</v>
      </c>
      <c r="G800" s="24" t="str">
        <v>0 out of 10</v>
      </c>
      <c r="H800" s="24" t="str">
        <v>https://nycdoe.sharepoint.com/:w:/s/BAP/EV8eIRlE_UxBsr74Xb5LvysB0yjna7Yzps0kjKrxYcSdEQ</v>
      </c>
      <c r="I800" s="23">
        <v>771</v>
      </c>
      <c r="J800" s="24" t="str">
        <v>-</v>
      </c>
      <c r="K800" s="24">
        <v>1954</v>
      </c>
      <c r="L800" s="24" t="str">
        <v>N/A out of 10</v>
      </c>
      <c r="M800" s="23" t="b">
        <f t="shared" si="24"/>
        <v>0</v>
      </c>
      <c r="N800" s="23" t="str">
        <v>0 out of 10</v>
      </c>
      <c r="O800" s="23"/>
      <c r="P800" s="42" t="str">
        <v>0</v>
      </c>
      <c r="Q800" s="42" t="str">
        <v>N/A</v>
      </c>
      <c r="R800" s="42" t="str">
        <v>0</v>
      </c>
      <c r="S800" s="10" t="str">
        <f t="shared" si="25"/>
        <v>No Change</v>
      </c>
    </row>
    <row r="801" spans="1:19" ht="120" hidden="1">
      <c r="A801" s="8" t="s">
        <v>13239</v>
      </c>
      <c r="B801" s="9" t="s">
        <v>13561</v>
      </c>
      <c r="C801" s="37" t="s">
        <v>13664</v>
      </c>
      <c r="D801" s="24"/>
      <c r="E801" s="24"/>
      <c r="F801" s="24" t="str">
        <v>X115</v>
      </c>
      <c r="G801" s="24" t="str">
        <v>3 out of 10</v>
      </c>
      <c r="H801" s="24" t="str">
        <v>https://nycdoe.sharepoint.com/:w:/s/BAP/EYVAkKVH1ulCv6xcilCiPvUBFOHgLyHfhV8W2NdiAuvbHw</v>
      </c>
      <c r="I801" s="23">
        <v>772</v>
      </c>
      <c r="J801" s="24" t="str">
        <v>-</v>
      </c>
      <c r="K801" s="24">
        <v>1955</v>
      </c>
      <c r="L801" s="24" t="str">
        <v>3 out of 10</v>
      </c>
      <c r="M801" s="23" t="b">
        <f t="shared" si="24"/>
        <v>1</v>
      </c>
      <c r="N801" s="23" t="str">
        <v>3 out of 10</v>
      </c>
      <c r="O801" s="23"/>
      <c r="P801" s="42" t="str">
        <v>3</v>
      </c>
      <c r="Q801" s="42" t="str">
        <v>3</v>
      </c>
      <c r="R801" s="42" t="str">
        <v>3</v>
      </c>
      <c r="S801" s="10" t="str">
        <f t="shared" si="25"/>
        <v>No Change</v>
      </c>
    </row>
    <row r="802" spans="1:19" ht="120" hidden="1">
      <c r="A802" s="8" t="s">
        <v>4776</v>
      </c>
      <c r="B802" s="9" t="s">
        <v>13553</v>
      </c>
      <c r="C802" s="37" t="s">
        <v>4781</v>
      </c>
      <c r="D802" s="24"/>
      <c r="E802" s="24"/>
      <c r="F802" s="24" t="str">
        <v>X116</v>
      </c>
      <c r="G802" s="24" t="str">
        <v>1 out of 10</v>
      </c>
      <c r="H802" s="24" t="str">
        <v>https://nycdoe.sharepoint.com/:w:/s/BAP/EeFKl5hl5DVMpUbtQ4OPz-MB84iIQmubxg-Smshjm8e0Jg</v>
      </c>
      <c r="I802" s="23">
        <v>773</v>
      </c>
      <c r="J802" s="24" t="str">
        <v>-</v>
      </c>
      <c r="K802" s="24">
        <v>1956</v>
      </c>
      <c r="L802" s="24" t="str">
        <v>1 out of 10</v>
      </c>
      <c r="M802" s="23" t="b">
        <f t="shared" si="24"/>
        <v>1</v>
      </c>
      <c r="N802" s="23" t="str">
        <v>1 out of 10</v>
      </c>
      <c r="O802" s="23"/>
      <c r="P802" s="42" t="str">
        <v>1</v>
      </c>
      <c r="Q802" s="42" t="str">
        <v>1</v>
      </c>
      <c r="R802" s="42" t="str">
        <v>1</v>
      </c>
      <c r="S802" s="10" t="str">
        <f t="shared" si="25"/>
        <v>No Change</v>
      </c>
    </row>
    <row r="803" spans="1:19" ht="120" hidden="1">
      <c r="A803" s="8" t="s">
        <v>4782</v>
      </c>
      <c r="B803" s="9" t="s">
        <v>13553</v>
      </c>
      <c r="C803" s="37" t="s">
        <v>4784</v>
      </c>
      <c r="D803" s="24"/>
      <c r="E803" s="24"/>
      <c r="F803" s="24" t="str">
        <v>X118</v>
      </c>
      <c r="G803" s="24" t="str">
        <v>4 out of 10</v>
      </c>
      <c r="H803" s="24" t="str">
        <v>https://nycdoe.sharepoint.com/:w:/s/BAP/EcSCV3gKSGhCrVQk0KYMha8BEdu_ooQHrlPQZnh71JzY3A</v>
      </c>
      <c r="I803" s="23">
        <v>774</v>
      </c>
      <c r="J803" s="24" t="str">
        <v>-</v>
      </c>
      <c r="K803" s="24">
        <v>1961</v>
      </c>
      <c r="L803" s="24" t="str">
        <v>4 out of 10</v>
      </c>
      <c r="M803" s="23" t="b">
        <f t="shared" si="24"/>
        <v>1</v>
      </c>
      <c r="N803" s="23" t="str">
        <v>4 out of 10</v>
      </c>
      <c r="O803" s="23"/>
      <c r="P803" s="42" t="str">
        <v>4</v>
      </c>
      <c r="Q803" s="42" t="str">
        <v>4</v>
      </c>
      <c r="R803" s="42" t="str">
        <v>4</v>
      </c>
      <c r="S803" s="10" t="str">
        <f t="shared" si="25"/>
        <v>No Change</v>
      </c>
    </row>
    <row r="804" spans="1:19" ht="120" hidden="1">
      <c r="A804" s="8" t="s">
        <v>347</v>
      </c>
      <c r="B804" s="9" t="s">
        <v>13553</v>
      </c>
      <c r="C804" s="37" t="s">
        <v>4788</v>
      </c>
      <c r="D804" s="24"/>
      <c r="E804" s="24"/>
      <c r="F804" s="24" t="str">
        <v>X125</v>
      </c>
      <c r="G804" s="24" t="str">
        <v>1 out of 10</v>
      </c>
      <c r="H804" s="24" t="str">
        <v>https://nycdoe.sharepoint.com/:w:/s/BAP/Edu4YCDmAdJNlVE5493odP8BjDzItTVFhC7gv9SVnqn6aA</v>
      </c>
      <c r="I804" s="23">
        <v>775</v>
      </c>
      <c r="J804" s="24" t="str">
        <v>-</v>
      </c>
      <c r="K804" s="24">
        <v>1970</v>
      </c>
      <c r="L804" s="24" t="str">
        <v>1 out of 10</v>
      </c>
      <c r="M804" s="23" t="b">
        <f t="shared" si="24"/>
        <v>1</v>
      </c>
      <c r="N804" s="23" t="str">
        <v>1 out of 10</v>
      </c>
      <c r="O804" s="23"/>
      <c r="P804" s="42" t="str">
        <v>1</v>
      </c>
      <c r="Q804" s="42" t="str">
        <v>1</v>
      </c>
      <c r="R804" s="42" t="str">
        <v>1</v>
      </c>
      <c r="S804" s="10" t="str">
        <f t="shared" si="25"/>
        <v>No Change</v>
      </c>
    </row>
    <row r="805" spans="1:19" ht="120" hidden="1">
      <c r="A805" s="8" t="s">
        <v>217</v>
      </c>
      <c r="B805" s="9" t="s">
        <v>13558</v>
      </c>
      <c r="C805" s="38" t="s">
        <v>13665</v>
      </c>
      <c r="D805" s="24"/>
      <c r="E805" s="24"/>
      <c r="F805" s="24" t="str">
        <v>X127</v>
      </c>
      <c r="G805" s="24" t="str">
        <v>9 out of 10</v>
      </c>
      <c r="H805" s="24" t="str">
        <v>https://nycdoe.sharepoint.com/:w:/s/BAP/EVHLyjLrnNZBtOhGAKnATH4BGrZ5StStNUJwJ6YAgDY9wg</v>
      </c>
      <c r="I805" s="23">
        <v>776</v>
      </c>
      <c r="J805" s="24" t="str">
        <v>9 out of 10</v>
      </c>
      <c r="K805" s="24">
        <v>1974</v>
      </c>
      <c r="L805" s="24" t="str">
        <v>9 out of 10</v>
      </c>
      <c r="M805" s="23" t="b">
        <f t="shared" si="24"/>
        <v>1</v>
      </c>
      <c r="N805" s="23" t="str">
        <v>9 out of 10</v>
      </c>
      <c r="O805" s="23"/>
      <c r="P805" s="42" t="str">
        <v>9</v>
      </c>
      <c r="Q805" s="42" t="str">
        <v>9</v>
      </c>
      <c r="R805" s="42" t="str">
        <v>9</v>
      </c>
      <c r="S805" s="10" t="str">
        <f t="shared" si="25"/>
        <v>No Change</v>
      </c>
    </row>
    <row r="806" spans="1:19" ht="120" hidden="1">
      <c r="A806" s="8" t="s">
        <v>5219</v>
      </c>
      <c r="B806" s="9" t="s">
        <v>13550</v>
      </c>
      <c r="C806" s="37" t="s">
        <v>5223</v>
      </c>
      <c r="D806" s="24"/>
      <c r="E806" s="24"/>
      <c r="F806" s="24" t="str">
        <v>X129</v>
      </c>
      <c r="G806" s="24" t="str">
        <v>1 out of 10</v>
      </c>
      <c r="H806" s="24" t="str">
        <v>https://nycdoe.sharepoint.com/:w:/s/BAP/EfNl9YScSBtCuJQgOtUvN9IB1nTztmKMDTqsdnLfvpUj6g</v>
      </c>
      <c r="I806" s="23">
        <v>777</v>
      </c>
      <c r="J806" s="24" t="str">
        <v>-</v>
      </c>
      <c r="K806" s="24">
        <v>1976</v>
      </c>
      <c r="L806" s="24" t="str">
        <v>1 out of 10</v>
      </c>
      <c r="M806" s="23" t="b">
        <f t="shared" si="24"/>
        <v>1</v>
      </c>
      <c r="N806" s="23" t="str">
        <v>1 out of 10</v>
      </c>
      <c r="O806" s="23"/>
      <c r="P806" s="42" t="str">
        <v>1</v>
      </c>
      <c r="Q806" s="42" t="str">
        <v>1</v>
      </c>
      <c r="R806" s="42" t="str">
        <v>1</v>
      </c>
      <c r="S806" s="10" t="str">
        <f t="shared" si="25"/>
        <v>No Change</v>
      </c>
    </row>
    <row r="807" spans="1:19" ht="135" hidden="1">
      <c r="A807" s="8" t="s">
        <v>541</v>
      </c>
      <c r="B807" s="9" t="s">
        <v>13553</v>
      </c>
      <c r="C807" s="37" t="s">
        <v>4989</v>
      </c>
      <c r="D807" s="24"/>
      <c r="E807" s="24"/>
      <c r="F807" s="24" t="str">
        <v>X131</v>
      </c>
      <c r="G807" s="24" t="str">
        <v>1 out of 10</v>
      </c>
      <c r="H807" s="24" t="str">
        <v>https://nycdoe.sharepoint.com/:w:/s/BAP/ESbEwyznayZKmG5wQjv7Mb4BTxiY2C5hkTNKdPCczCoGWA</v>
      </c>
      <c r="I807" s="23">
        <v>778</v>
      </c>
      <c r="J807" s="24" t="str">
        <v>-</v>
      </c>
      <c r="K807" s="24">
        <v>1979</v>
      </c>
      <c r="L807" s="24" t="str">
        <v>1 out of 10</v>
      </c>
      <c r="M807" s="23" t="b">
        <f t="shared" si="24"/>
        <v>1</v>
      </c>
      <c r="N807" s="23" t="str">
        <v>1 out of 10</v>
      </c>
      <c r="O807" s="23"/>
      <c r="P807" s="42" t="str">
        <v>1</v>
      </c>
      <c r="Q807" s="42" t="str">
        <v>1</v>
      </c>
      <c r="R807" s="42" t="str">
        <v>1</v>
      </c>
      <c r="S807" s="10" t="str">
        <f t="shared" si="25"/>
        <v>No Change</v>
      </c>
    </row>
    <row r="808" spans="1:19" ht="120" hidden="1">
      <c r="A808" s="8" t="s">
        <v>792</v>
      </c>
      <c r="B808" s="9" t="s">
        <v>13557</v>
      </c>
      <c r="C808" s="37" t="s">
        <v>5227</v>
      </c>
      <c r="D808" s="24"/>
      <c r="E808" s="24"/>
      <c r="F808" s="24" t="str">
        <v>X132</v>
      </c>
      <c r="G808" s="24" t="str">
        <v>8 out of 10</v>
      </c>
      <c r="H808" s="24" t="str">
        <v>https://nycdoe.sharepoint.com/:w:/s/BAP/EU-WK4WOSRpDiWbttiwGxEkBJ_JloGYmgzfQIO34mz-BtA</v>
      </c>
      <c r="I808" s="23">
        <v>779</v>
      </c>
      <c r="J808" s="24" t="str">
        <v>-</v>
      </c>
      <c r="K808" s="24">
        <v>1982</v>
      </c>
      <c r="L808" s="24" t="str">
        <v>8 out of 10</v>
      </c>
      <c r="M808" s="23" t="b">
        <f t="shared" si="24"/>
        <v>1</v>
      </c>
      <c r="N808" s="23" t="str">
        <v>8 out of 10</v>
      </c>
      <c r="O808" s="23"/>
      <c r="P808" s="42" t="str">
        <v>8</v>
      </c>
      <c r="Q808" s="42" t="str">
        <v>8</v>
      </c>
      <c r="R808" s="42" t="str">
        <v>8</v>
      </c>
      <c r="S808" s="10" t="str">
        <f t="shared" si="25"/>
        <v>No Change</v>
      </c>
    </row>
    <row r="809" spans="1:19" ht="120" hidden="1">
      <c r="A809" s="8" t="s">
        <v>796</v>
      </c>
      <c r="B809" s="9" t="s">
        <v>13555</v>
      </c>
      <c r="C809" s="37" t="s">
        <v>5231</v>
      </c>
      <c r="D809" s="24"/>
      <c r="E809" s="24"/>
      <c r="F809" s="24" t="str">
        <v>X136</v>
      </c>
      <c r="G809" s="24" t="str">
        <v>1 out of 10</v>
      </c>
      <c r="H809" s="24" t="str">
        <v>https://nycdoe.sharepoint.com/:w:/s/BAP/ERlkk4SxFpJMrmMDkr0mW20BA51wMXPLoGT_81Xf4Sm6Mw</v>
      </c>
      <c r="I809" s="23">
        <v>780</v>
      </c>
      <c r="J809" s="24" t="str">
        <v>-</v>
      </c>
      <c r="K809" s="24">
        <v>1987</v>
      </c>
      <c r="L809" s="24" t="str">
        <v>1 out of 10</v>
      </c>
      <c r="M809" s="23" t="b">
        <f t="shared" si="24"/>
        <v>1</v>
      </c>
      <c r="N809" s="23" t="str">
        <v>1 out of 10</v>
      </c>
      <c r="O809" s="23"/>
      <c r="P809" s="42" t="str">
        <v>1</v>
      </c>
      <c r="Q809" s="42" t="str">
        <v>1</v>
      </c>
      <c r="R809" s="42" t="str">
        <v>1</v>
      </c>
      <c r="S809" s="10" t="str">
        <f t="shared" si="25"/>
        <v>No Change</v>
      </c>
    </row>
    <row r="810" spans="1:19" ht="120" hidden="1">
      <c r="A810" s="8" t="s">
        <v>800</v>
      </c>
      <c r="B810" s="9" t="s">
        <v>13560</v>
      </c>
      <c r="C810" s="37" t="s">
        <v>5233</v>
      </c>
      <c r="D810" s="24"/>
      <c r="E810" s="24"/>
      <c r="F810" s="24" t="str">
        <v>X137</v>
      </c>
      <c r="G810" s="24" t="str">
        <v>4 out of 10</v>
      </c>
      <c r="H810" s="24" t="str">
        <v>https://nycdoe.sharepoint.com/:w:/s/BAP/EUelwVdNzl1CmLPXmtyuQnYB3BLbjq243IPOu79ltFsHkw</v>
      </c>
      <c r="I810" s="23">
        <v>781</v>
      </c>
      <c r="J810" s="24" t="str">
        <v>-</v>
      </c>
      <c r="K810" s="24">
        <v>1988</v>
      </c>
      <c r="L810" s="24" t="str">
        <v>4 out of 10</v>
      </c>
      <c r="M810" s="23" t="b">
        <f t="shared" si="24"/>
        <v>1</v>
      </c>
      <c r="N810" s="23" t="str">
        <v>4 out of 10</v>
      </c>
      <c r="O810" s="23"/>
      <c r="P810" s="42" t="str">
        <v>4</v>
      </c>
      <c r="Q810" s="42" t="str">
        <v>4</v>
      </c>
      <c r="R810" s="42" t="str">
        <v>4</v>
      </c>
      <c r="S810" s="10" t="str">
        <f t="shared" si="25"/>
        <v>No Change</v>
      </c>
    </row>
    <row r="811" spans="1:19" ht="120" hidden="1">
      <c r="A811" s="8" t="s">
        <v>88</v>
      </c>
      <c r="B811" s="9" t="s">
        <v>13571</v>
      </c>
      <c r="C811" s="37" t="s">
        <v>4528</v>
      </c>
      <c r="D811" s="24"/>
      <c r="E811" s="24"/>
      <c r="F811" s="24" t="str">
        <v>X140</v>
      </c>
      <c r="G811" s="24" t="str">
        <v>0+ out of 10</v>
      </c>
      <c r="H811" s="24" t="str">
        <v>https://nycdoe.sharepoint.com/:w:/s/BAP/EX1XjeOSnfxMmHEspxaTj9cBJXvR4F6x1jYhFZJMJAWxtA</v>
      </c>
      <c r="I811" s="23">
        <v>782</v>
      </c>
      <c r="J811" s="24" t="str">
        <v>-</v>
      </c>
      <c r="K811" s="24">
        <v>1994</v>
      </c>
      <c r="L811" s="24" t="str">
        <v>N/A out of 10</v>
      </c>
      <c r="M811" s="23" t="b">
        <f t="shared" si="24"/>
        <v>0</v>
      </c>
      <c r="N811" s="23" t="str">
        <v>0+ out of 10</v>
      </c>
      <c r="O811" s="23"/>
      <c r="P811" s="42" t="str">
        <v>0+</v>
      </c>
      <c r="Q811" s="42" t="str">
        <v>N/A</v>
      </c>
      <c r="R811" s="42" t="str">
        <v>0+</v>
      </c>
      <c r="S811" s="10" t="str">
        <f t="shared" si="25"/>
        <v>No Change</v>
      </c>
    </row>
    <row r="812" spans="1:19" ht="120" hidden="1">
      <c r="A812" s="8" t="s">
        <v>96</v>
      </c>
      <c r="B812" s="9" t="s">
        <v>13558</v>
      </c>
      <c r="C812" s="37" t="s">
        <v>4534</v>
      </c>
      <c r="D812" s="24"/>
      <c r="E812" s="24"/>
      <c r="F812" s="24" t="str">
        <v>X141</v>
      </c>
      <c r="G812" s="24" t="str">
        <v>9 out of 10</v>
      </c>
      <c r="H812" s="24" t="str">
        <v>https://nycdoe.sharepoint.com/:w:/s/BAP/EVthhIlQ2MhLmRWvvNBMBQgBWrff8MrwelDZvwBtanDwBA</v>
      </c>
      <c r="I812" s="23">
        <v>783</v>
      </c>
      <c r="J812" s="24" t="str">
        <v>-</v>
      </c>
      <c r="K812" s="24">
        <v>1997</v>
      </c>
      <c r="L812" s="24" t="str">
        <v>9 out of 10</v>
      </c>
      <c r="M812" s="23" t="b">
        <f t="shared" si="24"/>
        <v>1</v>
      </c>
      <c r="N812" s="23" t="str">
        <v>9 out of 10</v>
      </c>
      <c r="O812" s="23"/>
      <c r="P812" s="42" t="str">
        <v>9</v>
      </c>
      <c r="Q812" s="42" t="str">
        <v>9</v>
      </c>
      <c r="R812" s="42" t="str">
        <v>9</v>
      </c>
      <c r="S812" s="10" t="str">
        <f t="shared" si="25"/>
        <v>No Change</v>
      </c>
    </row>
    <row r="813" spans="1:19" ht="120" hidden="1">
      <c r="A813" s="8" t="s">
        <v>807</v>
      </c>
      <c r="B813" s="9" t="s">
        <v>13553</v>
      </c>
      <c r="C813" s="37" t="s">
        <v>5239</v>
      </c>
      <c r="D813" s="24"/>
      <c r="E813" s="24"/>
      <c r="F813" s="24" t="str">
        <v>X142</v>
      </c>
      <c r="G813" s="24" t="str">
        <v>0 out of 10</v>
      </c>
      <c r="H813" s="24" t="str">
        <v>https://nycdoe.sharepoint.com/:w:/s/BAP/EWT2aK4IWnZGoegXyZvFeQYB8E8-7c1jvy_d_n-zJKYwTg</v>
      </c>
      <c r="I813" s="23">
        <v>784</v>
      </c>
      <c r="J813" s="24" t="str">
        <v>-</v>
      </c>
      <c r="K813" s="24">
        <v>1998</v>
      </c>
      <c r="L813" s="24" t="str">
        <v>N/A out of 10</v>
      </c>
      <c r="M813" s="23" t="b">
        <f t="shared" si="24"/>
        <v>0</v>
      </c>
      <c r="N813" s="23" t="str">
        <v>0 out of 10</v>
      </c>
      <c r="O813" s="23"/>
      <c r="P813" s="42" t="str">
        <v>0</v>
      </c>
      <c r="Q813" s="42" t="str">
        <v>N/A</v>
      </c>
      <c r="R813" s="42" t="str">
        <v>0</v>
      </c>
      <c r="S813" s="10" t="str">
        <f t="shared" si="25"/>
        <v>No Change</v>
      </c>
    </row>
    <row r="814" spans="1:19" ht="135" hidden="1">
      <c r="A814" s="8" t="s">
        <v>228</v>
      </c>
      <c r="B814" s="9" t="s">
        <v>13557</v>
      </c>
      <c r="C814" s="37" t="s">
        <v>4652</v>
      </c>
      <c r="D814" s="24"/>
      <c r="E814" s="24"/>
      <c r="F814" s="24" t="str">
        <v>X144</v>
      </c>
      <c r="G814" s="24" t="str">
        <v>3 out of 10</v>
      </c>
      <c r="H814" s="24" t="str">
        <v>https://nycdoe.sharepoint.com/:w:/s/BAP/EehGb_2ciDJCl167dbYKtwEBUvAFKBQRe-SlYeO9l8lOcw</v>
      </c>
      <c r="I814" s="23">
        <v>785</v>
      </c>
      <c r="J814" s="24" t="str">
        <v>-</v>
      </c>
      <c r="K814" s="24">
        <v>2003</v>
      </c>
      <c r="L814" s="24" t="str">
        <v>3 out of 10</v>
      </c>
      <c r="M814" s="23" t="b">
        <f t="shared" si="24"/>
        <v>1</v>
      </c>
      <c r="N814" s="23" t="str">
        <v>3 out of 10</v>
      </c>
      <c r="O814" s="23"/>
      <c r="P814" s="42" t="str">
        <v>3</v>
      </c>
      <c r="Q814" s="42" t="str">
        <v>3</v>
      </c>
      <c r="R814" s="42" t="str">
        <v>3</v>
      </c>
      <c r="S814" s="10" t="str">
        <f t="shared" si="25"/>
        <v>No Change</v>
      </c>
    </row>
    <row r="815" spans="1:19" ht="120" hidden="1">
      <c r="A815" s="8" t="s">
        <v>977</v>
      </c>
      <c r="B815" s="9" t="s">
        <v>13555</v>
      </c>
      <c r="C815" s="37" t="s">
        <v>5377</v>
      </c>
      <c r="D815" s="24"/>
      <c r="E815" s="24"/>
      <c r="F815" s="24" t="str">
        <v>X145</v>
      </c>
      <c r="G815" s="24" t="str">
        <v>0+ out of 10</v>
      </c>
      <c r="H815" s="24" t="str">
        <v>https://nycdoe.sharepoint.com/:w:/s/BAP/EYj_PK-FLfpHl4T2IqPXK1sBB_6_yyNKDTPXnvn0UPH76Q</v>
      </c>
      <c r="I815" s="23">
        <v>786</v>
      </c>
      <c r="J815" s="24" t="str">
        <v>-</v>
      </c>
      <c r="K815" s="24">
        <v>2006</v>
      </c>
      <c r="L815" s="24" t="str">
        <v>N/A out of 10</v>
      </c>
      <c r="M815" s="23" t="b">
        <f t="shared" si="24"/>
        <v>0</v>
      </c>
      <c r="N815" s="23" t="str">
        <v>0+ out of 10</v>
      </c>
      <c r="O815" s="23"/>
      <c r="P815" s="42" t="str">
        <v>0+</v>
      </c>
      <c r="Q815" s="42" t="str">
        <v>N/A</v>
      </c>
      <c r="R815" s="42" t="str">
        <v>0+</v>
      </c>
      <c r="S815" s="10" t="str">
        <f t="shared" si="25"/>
        <v>No Change</v>
      </c>
    </row>
    <row r="816" spans="1:19" ht="135" hidden="1">
      <c r="A816" s="8" t="s">
        <v>814</v>
      </c>
      <c r="B816" s="9" t="s">
        <v>13553</v>
      </c>
      <c r="C816" s="37" t="s">
        <v>5243</v>
      </c>
      <c r="D816" s="24"/>
      <c r="E816" s="24"/>
      <c r="F816" s="24" t="str">
        <v>X147</v>
      </c>
      <c r="G816" s="24" t="str">
        <v>1 out of 10</v>
      </c>
      <c r="H816" s="24" t="str">
        <v>https://nycdoe.sharepoint.com/:w:/s/BAP/EcuBhFGcB-5Cs56EJPYMcSEB4grABFmBJqEahAhQ9jbB-A</v>
      </c>
      <c r="I816" s="23">
        <v>787</v>
      </c>
      <c r="J816" s="24" t="str">
        <v>-</v>
      </c>
      <c r="K816" s="24">
        <v>2012</v>
      </c>
      <c r="L816" s="24" t="str">
        <v>1 out of 10</v>
      </c>
      <c r="M816" s="23" t="b">
        <f t="shared" si="24"/>
        <v>1</v>
      </c>
      <c r="N816" s="23" t="str">
        <v>1 out of 10</v>
      </c>
      <c r="O816" s="23"/>
      <c r="P816" s="42" t="str">
        <v>1</v>
      </c>
      <c r="Q816" s="42" t="str">
        <v>1</v>
      </c>
      <c r="R816" s="42" t="str">
        <v>1</v>
      </c>
      <c r="S816" s="10" t="str">
        <f t="shared" si="25"/>
        <v>No Change</v>
      </c>
    </row>
    <row r="817" spans="1:19" ht="120" hidden="1">
      <c r="A817" s="8" t="s">
        <v>987</v>
      </c>
      <c r="B817" s="9" t="s">
        <v>13558</v>
      </c>
      <c r="C817" s="37" t="s">
        <v>5382</v>
      </c>
      <c r="D817" s="24"/>
      <c r="E817" s="24"/>
      <c r="F817" s="24" t="str">
        <v>X151</v>
      </c>
      <c r="G817" s="24" t="str">
        <v>6 out of 10</v>
      </c>
      <c r="H817" s="24" t="str">
        <v>https://nycdoe.sharepoint.com/:w:/s/BAP/ESKAyjKkrohBrpnHG4ra0wsBjb4dRj4frAWKrFTxvLY97Q</v>
      </c>
      <c r="I817" s="23">
        <v>788</v>
      </c>
      <c r="J817" s="24" t="str">
        <v>-</v>
      </c>
      <c r="K817" s="24">
        <v>2021</v>
      </c>
      <c r="L817" s="24" t="str">
        <v>6 out of 10</v>
      </c>
      <c r="M817" s="23" t="b">
        <f t="shared" si="24"/>
        <v>1</v>
      </c>
      <c r="N817" s="23" t="str">
        <v>6 out of 10</v>
      </c>
      <c r="O817" s="23"/>
      <c r="P817" s="42" t="str">
        <v>6</v>
      </c>
      <c r="Q817" s="42" t="str">
        <v>6</v>
      </c>
      <c r="R817" s="42" t="str">
        <v>6</v>
      </c>
      <c r="S817" s="10" t="str">
        <f t="shared" si="25"/>
        <v>No Change</v>
      </c>
    </row>
    <row r="818" spans="1:19" ht="120" hidden="1">
      <c r="A818" s="8" t="s">
        <v>546</v>
      </c>
      <c r="B818" s="9" t="s">
        <v>13558</v>
      </c>
      <c r="C818" s="37" t="s">
        <v>4993</v>
      </c>
      <c r="D818" s="24"/>
      <c r="E818" s="24"/>
      <c r="F818" s="24" t="str">
        <v>X152</v>
      </c>
      <c r="G818" s="24" t="str">
        <v>1 out of 10</v>
      </c>
      <c r="H818" s="24" t="str">
        <v>https://nycdoe.sharepoint.com/:w:/s/BAP/EdO2e1qENwhAlxbWvntm4r0BauMKKTFyME4wvfbb3Y7gjQ</v>
      </c>
      <c r="I818" s="23">
        <v>789</v>
      </c>
      <c r="J818" s="24" t="str">
        <v>-</v>
      </c>
      <c r="K818" s="24">
        <v>2024</v>
      </c>
      <c r="L818" s="24" t="str">
        <v>1 out of 10</v>
      </c>
      <c r="M818" s="23" t="b">
        <f t="shared" si="24"/>
        <v>1</v>
      </c>
      <c r="N818" s="23" t="str">
        <v>1 out of 10</v>
      </c>
      <c r="O818" s="23"/>
      <c r="P818" s="42" t="str">
        <v>1</v>
      </c>
      <c r="Q818" s="42" t="str">
        <v>1</v>
      </c>
      <c r="R818" s="42" t="str">
        <v>1</v>
      </c>
      <c r="S818" s="10" t="str">
        <f t="shared" si="25"/>
        <v>No Change</v>
      </c>
    </row>
    <row r="819" spans="1:19" ht="120" hidden="1">
      <c r="A819" s="8" t="s">
        <v>13270</v>
      </c>
      <c r="B819" s="9" t="s">
        <v>13550</v>
      </c>
      <c r="C819" s="37" t="s">
        <v>13666</v>
      </c>
      <c r="D819" s="24"/>
      <c r="E819" s="24"/>
      <c r="F819" s="24" t="str">
        <v>X153</v>
      </c>
      <c r="G819" s="24" t="str">
        <v>9 out of 10</v>
      </c>
      <c r="H819" s="24" t="str">
        <v>https://nycdoe.sharepoint.com/:w:/s/BAP/ETdV54QCP2BOsVz1NjwfGbQBOpY3Mb9DRLln6bVhKxhkuw</v>
      </c>
      <c r="I819" s="23">
        <v>790</v>
      </c>
      <c r="J819" s="24" t="str">
        <v>-</v>
      </c>
      <c r="K819" s="24">
        <v>2025</v>
      </c>
      <c r="L819" s="24" t="str">
        <v>9 out of 10</v>
      </c>
      <c r="M819" s="23" t="b">
        <f t="shared" si="24"/>
        <v>1</v>
      </c>
      <c r="N819" s="23" t="str">
        <v>9 out of 10</v>
      </c>
      <c r="O819" s="23"/>
      <c r="P819" s="42" t="str">
        <v>9</v>
      </c>
      <c r="Q819" s="42" t="str">
        <v>9</v>
      </c>
      <c r="R819" s="42" t="str">
        <v>9</v>
      </c>
      <c r="S819" s="10" t="str">
        <f t="shared" si="25"/>
        <v>No Change</v>
      </c>
    </row>
    <row r="820" spans="1:19" ht="120" hidden="1">
      <c r="A820" s="8" t="s">
        <v>550</v>
      </c>
      <c r="B820" s="9" t="s">
        <v>13553</v>
      </c>
      <c r="C820" s="37" t="s">
        <v>4996</v>
      </c>
      <c r="D820" s="24"/>
      <c r="E820" s="24"/>
      <c r="F820" s="24" t="str">
        <v>X155</v>
      </c>
      <c r="G820" s="24" t="str">
        <v>4 out of 10</v>
      </c>
      <c r="H820" s="24" t="str">
        <v>https://nycdoe.sharepoint.com/:w:/s/BAP/EV4uZBykX7FKklYC02Pz6PcBK7KixLH8x9WZzt_DZqhhsA</v>
      </c>
      <c r="I820" s="23">
        <v>791</v>
      </c>
      <c r="J820" s="24" t="str">
        <v>-</v>
      </c>
      <c r="K820" s="24">
        <v>2029</v>
      </c>
      <c r="L820" s="24" t="str">
        <v>4 out of 10</v>
      </c>
      <c r="M820" s="23" t="b">
        <f t="shared" si="24"/>
        <v>1</v>
      </c>
      <c r="N820" s="23" t="str">
        <v>4 out of 10</v>
      </c>
      <c r="O820" s="23"/>
      <c r="P820" s="42" t="str">
        <v>4</v>
      </c>
      <c r="Q820" s="42" t="str">
        <v>4</v>
      </c>
      <c r="R820" s="42" t="str">
        <v>4</v>
      </c>
      <c r="S820" s="10" t="str">
        <f t="shared" si="25"/>
        <v>No Change</v>
      </c>
    </row>
    <row r="821" spans="1:19" ht="120" hidden="1">
      <c r="A821" s="8" t="s">
        <v>555</v>
      </c>
      <c r="B821" s="9" t="s">
        <v>13558</v>
      </c>
      <c r="C821" s="37" t="s">
        <v>5000</v>
      </c>
      <c r="D821" s="24"/>
      <c r="E821" s="24"/>
      <c r="F821" s="24" t="str">
        <v>X156</v>
      </c>
      <c r="G821" s="24" t="str">
        <v>9 out of 10</v>
      </c>
      <c r="H821" s="24" t="str">
        <v>https://nycdoe.sharepoint.com/:w:/s/BAP/EdUiihksNBRLq00zSsALy34BWhshrcAeY6VhYFOpXJsdoQ</v>
      </c>
      <c r="I821" s="23">
        <v>792</v>
      </c>
      <c r="J821" s="24" t="str">
        <v>-</v>
      </c>
      <c r="K821" s="24">
        <v>2032</v>
      </c>
      <c r="L821" s="24" t="str">
        <v>9 out of 10</v>
      </c>
      <c r="M821" s="23" t="b">
        <f t="shared" si="24"/>
        <v>1</v>
      </c>
      <c r="N821" s="23" t="str">
        <v>9 out of 10</v>
      </c>
      <c r="O821" s="23"/>
      <c r="P821" s="42" t="str">
        <v>9</v>
      </c>
      <c r="Q821" s="42" t="str">
        <v>9</v>
      </c>
      <c r="R821" s="42" t="str">
        <v>9</v>
      </c>
      <c r="S821" s="10" t="str">
        <f t="shared" si="25"/>
        <v>No Change</v>
      </c>
    </row>
    <row r="822" spans="1:19" ht="120" hidden="1">
      <c r="A822" s="8" t="s">
        <v>352</v>
      </c>
      <c r="B822" s="9" t="s">
        <v>13557</v>
      </c>
      <c r="C822" s="37" t="s">
        <v>4792</v>
      </c>
      <c r="D822" s="24"/>
      <c r="E822" s="24"/>
      <c r="F822" s="24" t="str">
        <v>X158</v>
      </c>
      <c r="G822" s="24" t="str">
        <v>9 out of 10</v>
      </c>
      <c r="H822" s="24" t="str">
        <v>https://nycdoe.sharepoint.com/:w:/s/BAP/ETR-SsA7jgdBqbhGHHDFLRgBYF7Jy_9BifIMOg9xif1JYQ</v>
      </c>
      <c r="I822" s="23">
        <v>793</v>
      </c>
      <c r="J822" s="24" t="str">
        <v>-</v>
      </c>
      <c r="K822" s="24">
        <v>2036</v>
      </c>
      <c r="L822" s="24" t="str">
        <v>9 out of 10</v>
      </c>
      <c r="M822" s="23" t="b">
        <f t="shared" si="24"/>
        <v>1</v>
      </c>
      <c r="N822" s="23" t="str">
        <v>9 out of 10</v>
      </c>
      <c r="O822" s="23"/>
      <c r="P822" s="42" t="str">
        <v>9</v>
      </c>
      <c r="Q822" s="42" t="str">
        <v>9</v>
      </c>
      <c r="R822" s="42" t="str">
        <v>9</v>
      </c>
      <c r="S822" s="10" t="str">
        <f t="shared" si="25"/>
        <v>No Change</v>
      </c>
    </row>
    <row r="823" spans="1:19" ht="120" hidden="1">
      <c r="A823" s="8" t="s">
        <v>996</v>
      </c>
      <c r="B823" s="9" t="s">
        <v>13558</v>
      </c>
      <c r="C823" s="37" t="s">
        <v>5388</v>
      </c>
      <c r="D823" s="24"/>
      <c r="E823" s="24"/>
      <c r="F823" s="24" t="str">
        <v>X160</v>
      </c>
      <c r="G823" s="24" t="str">
        <v>8 out of 10</v>
      </c>
      <c r="H823" s="24" t="str">
        <v>https://nycdoe.sharepoint.com/:w:/s/BAP/EVDGdyqwHjtMiw2dQ8R8KhUB2YaJepCbJu-5hwpAGCeqBA</v>
      </c>
      <c r="I823" s="23">
        <v>794</v>
      </c>
      <c r="J823" s="24" t="str">
        <v>-</v>
      </c>
      <c r="K823" s="24">
        <v>2040</v>
      </c>
      <c r="L823" s="24" t="str">
        <v>8 out of 10</v>
      </c>
      <c r="M823" s="23" t="b">
        <f t="shared" si="24"/>
        <v>1</v>
      </c>
      <c r="N823" s="23" t="str">
        <v>8 out of 10</v>
      </c>
      <c r="O823" s="23"/>
      <c r="P823" s="42" t="str">
        <v>8</v>
      </c>
      <c r="Q823" s="42" t="str">
        <v>8</v>
      </c>
      <c r="R823" s="42" t="str">
        <v>8</v>
      </c>
      <c r="S823" s="10" t="str">
        <f t="shared" si="25"/>
        <v>No Change</v>
      </c>
    </row>
    <row r="824" spans="1:19" ht="120" hidden="1">
      <c r="A824" s="8" t="s">
        <v>359</v>
      </c>
      <c r="B824" s="9" t="s">
        <v>13553</v>
      </c>
      <c r="C824" s="37" t="s">
        <v>4798</v>
      </c>
      <c r="D824" s="24"/>
      <c r="E824" s="24"/>
      <c r="F824" s="24" t="str">
        <v>X161</v>
      </c>
      <c r="G824" s="24" t="str">
        <v>9 out of 10</v>
      </c>
      <c r="H824" s="24" t="str">
        <v>https://nycdoe.sharepoint.com/:w:/s/BAP/EXPhd8cz6vZOgUhRl2Xx7k4B33coucX5SguhJE4gCsYGag</v>
      </c>
      <c r="I824" s="23">
        <v>795</v>
      </c>
      <c r="J824" s="24" t="str">
        <v>-</v>
      </c>
      <c r="K824" s="24">
        <v>2043</v>
      </c>
      <c r="L824" s="24" t="str">
        <v>9 out of 10</v>
      </c>
      <c r="M824" s="23" t="b">
        <f t="shared" si="24"/>
        <v>1</v>
      </c>
      <c r="N824" s="23" t="str">
        <v>9 out of 10</v>
      </c>
      <c r="O824" s="23"/>
      <c r="P824" s="42" t="str">
        <v>9</v>
      </c>
      <c r="Q824" s="42" t="str">
        <v>9</v>
      </c>
      <c r="R824" s="42" t="str">
        <v>9</v>
      </c>
      <c r="S824" s="10" t="str">
        <f t="shared" si="25"/>
        <v>No Change</v>
      </c>
    </row>
    <row r="825" spans="1:19" ht="120" hidden="1">
      <c r="A825" s="8" t="s">
        <v>367</v>
      </c>
      <c r="B825" s="9" t="s">
        <v>13553</v>
      </c>
      <c r="C825" s="37" t="s">
        <v>4800</v>
      </c>
      <c r="D825" s="24"/>
      <c r="E825" s="24"/>
      <c r="F825" s="24" t="str">
        <v>X162</v>
      </c>
      <c r="G825" s="24" t="str">
        <v>5 out of 10</v>
      </c>
      <c r="H825" s="24" t="str">
        <v>https://nycdoe.sharepoint.com/:w:/s/BAP/ETcsVfGfUVlCs-WZKQyMmzcBSvwvAjkFl9O9XT_Wy5umsg</v>
      </c>
      <c r="I825" s="23">
        <v>796</v>
      </c>
      <c r="J825" s="24" t="str">
        <v>-</v>
      </c>
      <c r="K825" s="24">
        <v>2046</v>
      </c>
      <c r="L825" s="24" t="str">
        <v>5 out of 10</v>
      </c>
      <c r="M825" s="23" t="b">
        <f t="shared" si="24"/>
        <v>1</v>
      </c>
      <c r="N825" s="23" t="str">
        <v>5 out of 10</v>
      </c>
      <c r="O825" s="23"/>
      <c r="P825" s="42" t="str">
        <v>5</v>
      </c>
      <c r="Q825" s="42" t="str">
        <v>5</v>
      </c>
      <c r="R825" s="42" t="str">
        <v>5</v>
      </c>
      <c r="S825" s="10" t="str">
        <f t="shared" si="25"/>
        <v>No Change</v>
      </c>
    </row>
    <row r="826" spans="1:19" ht="120" hidden="1">
      <c r="A826" s="8" t="s">
        <v>560</v>
      </c>
      <c r="B826" s="9" t="s">
        <v>13553</v>
      </c>
      <c r="C826" s="37" t="s">
        <v>5003</v>
      </c>
      <c r="D826" s="24"/>
      <c r="E826" s="24"/>
      <c r="F826" s="24" t="str">
        <v>X166</v>
      </c>
      <c r="G826" s="24" t="str">
        <v>9 out of 10</v>
      </c>
      <c r="H826" s="24" t="str">
        <v>https://nycdoe.sharepoint.com/:w:/s/BAP/Eb6GfUZOFcZPvIGG1bEYR5kBzTTOROFp9zE4CZCggzKheg</v>
      </c>
      <c r="I826" s="23">
        <v>797</v>
      </c>
      <c r="J826" s="24" t="str">
        <v>-</v>
      </c>
      <c r="K826" s="24">
        <v>2051</v>
      </c>
      <c r="L826" s="24" t="str">
        <v>9 out of 10</v>
      </c>
      <c r="M826" s="23" t="b">
        <f t="shared" si="24"/>
        <v>1</v>
      </c>
      <c r="N826" s="23" t="str">
        <v>9 out of 10</v>
      </c>
      <c r="O826" s="23"/>
      <c r="P826" s="42" t="str">
        <v>9</v>
      </c>
      <c r="Q826" s="42" t="str">
        <v>9</v>
      </c>
      <c r="R826" s="42" t="str">
        <v>9</v>
      </c>
      <c r="S826" s="10" t="str">
        <f t="shared" si="25"/>
        <v>No Change</v>
      </c>
    </row>
    <row r="827" spans="1:19" ht="120" hidden="1">
      <c r="A827" s="14" t="s">
        <v>564</v>
      </c>
      <c r="B827" s="15" t="s">
        <v>13553</v>
      </c>
      <c r="C827" s="40" t="s">
        <v>5007</v>
      </c>
      <c r="D827" s="24"/>
      <c r="E827" s="24"/>
      <c r="F827" s="24" t="str">
        <v>X167</v>
      </c>
      <c r="G827" s="24" t="str">
        <v>9 out of 10</v>
      </c>
      <c r="H827" s="24" t="str">
        <v>https://nycdoe.sharepoint.com/:w:/s/BAP/ETXD6mZPo9dIqm4VTxJI-TwBDJEJv2oEwSBxmxUQa-y3ew</v>
      </c>
      <c r="I827" s="23">
        <v>798</v>
      </c>
      <c r="J827" s="24" t="str">
        <v>-</v>
      </c>
      <c r="K827" s="24">
        <v>2054</v>
      </c>
      <c r="L827" s="24" t="str">
        <v>9 out of 10</v>
      </c>
      <c r="M827" s="23" t="b">
        <f t="shared" si="24"/>
        <v>1</v>
      </c>
      <c r="N827" s="23" t="str">
        <v>9 out of 10</v>
      </c>
      <c r="O827" s="23"/>
      <c r="P827" s="42" t="str">
        <v>9</v>
      </c>
      <c r="Q827" s="42" t="str">
        <v>9</v>
      </c>
      <c r="R827" s="42" t="str">
        <v>9</v>
      </c>
      <c r="S827" s="10" t="str">
        <f t="shared" si="25"/>
        <v>No Change</v>
      </c>
    </row>
    <row r="828" spans="1:19" ht="120" hidden="1">
      <c r="A828" s="14" t="s">
        <v>568</v>
      </c>
      <c r="B828" s="15" t="s">
        <v>13555</v>
      </c>
      <c r="C828" s="40" t="s">
        <v>5011</v>
      </c>
      <c r="D828" s="24"/>
      <c r="E828" s="24"/>
      <c r="F828" s="24" t="str">
        <v>X169</v>
      </c>
      <c r="G828" s="24" t="str">
        <v>10 out of 10</v>
      </c>
      <c r="H828" s="24" t="str">
        <v>https://nycdoe.sharepoint.com/:w:/s/BAP/EcpeziHX8nNLnJGoXefDGSwBic__d4bwnqakMOtgkk3sQQ</v>
      </c>
      <c r="I828" s="23">
        <v>799</v>
      </c>
      <c r="J828" s="24" t="str">
        <v>-</v>
      </c>
      <c r="K828" s="24">
        <v>2056</v>
      </c>
      <c r="L828" s="24" t="str">
        <v>10 out of 10</v>
      </c>
      <c r="M828" s="23" t="b">
        <f t="shared" si="24"/>
        <v>1</v>
      </c>
      <c r="N828" s="23" t="str">
        <v>10 out of 10</v>
      </c>
      <c r="O828" s="23"/>
      <c r="P828" s="42" t="str">
        <v>10</v>
      </c>
      <c r="Q828" s="42" t="str">
        <v>10</v>
      </c>
      <c r="R828" s="42" t="str">
        <v>10</v>
      </c>
      <c r="S828" s="10" t="str">
        <f t="shared" si="25"/>
        <v>No Change</v>
      </c>
    </row>
    <row r="829" spans="1:19" ht="120" hidden="1">
      <c r="A829" s="14" t="s">
        <v>375</v>
      </c>
      <c r="B829" s="15" t="s">
        <v>13553</v>
      </c>
      <c r="C829" s="40" t="s">
        <v>4808</v>
      </c>
      <c r="D829" s="24"/>
      <c r="E829" s="24"/>
      <c r="F829" s="24" t="str">
        <v>X170</v>
      </c>
      <c r="G829" s="24" t="str">
        <v>0 out of 10</v>
      </c>
      <c r="H829" s="24" t="str">
        <v>https://nycdoe.sharepoint.com/:w:/s/BAP/ETQIHgUS-91BnyMruzb0CyQBK_FhUSt5KKlCOw1y11Hn6g</v>
      </c>
      <c r="I829" s="23">
        <v>800</v>
      </c>
      <c r="J829" s="24" t="str">
        <v>-</v>
      </c>
      <c r="K829" s="24">
        <v>2057</v>
      </c>
      <c r="L829" s="24" t="str">
        <v>N/A out of 10</v>
      </c>
      <c r="M829" s="23" t="b">
        <f t="shared" si="24"/>
        <v>0</v>
      </c>
      <c r="N829" s="23" t="str">
        <v>0 out of 10</v>
      </c>
      <c r="O829" s="23"/>
      <c r="P829" s="42" t="str">
        <v>0</v>
      </c>
      <c r="Q829" s="42" t="str">
        <v>N/A</v>
      </c>
      <c r="R829" s="42" t="str">
        <v>0</v>
      </c>
      <c r="S829" s="10" t="str">
        <f t="shared" si="25"/>
        <v>No Change</v>
      </c>
    </row>
    <row r="830" spans="1:19" ht="135" hidden="1">
      <c r="A830" s="14" t="s">
        <v>818</v>
      </c>
      <c r="B830" s="15" t="s">
        <v>13553</v>
      </c>
      <c r="C830" s="40" t="s">
        <v>5248</v>
      </c>
      <c r="D830" s="24"/>
      <c r="E830" s="24"/>
      <c r="F830" s="24" t="str">
        <v>X171</v>
      </c>
      <c r="G830" s="24" t="str">
        <v>10 out of 10</v>
      </c>
      <c r="H830" s="24" t="str">
        <v>https://nycdoe.sharepoint.com/:w:/s/BAP/EQHD4Ko05MVIoLXFZYWOC_ABUFSSNUanPLVCw-6VyD-X0Q</v>
      </c>
      <c r="I830" s="23">
        <v>801</v>
      </c>
      <c r="J830" s="24" t="str">
        <v>-</v>
      </c>
      <c r="K830" s="24">
        <v>2058</v>
      </c>
      <c r="L830" s="24" t="str">
        <v>10 out of 10</v>
      </c>
      <c r="M830" s="23" t="b">
        <f t="shared" si="24"/>
        <v>1</v>
      </c>
      <c r="N830" s="23" t="str">
        <v>10 out of 10</v>
      </c>
      <c r="O830" s="23"/>
      <c r="P830" s="42" t="str">
        <v>10</v>
      </c>
      <c r="Q830" s="42" t="str">
        <v>10</v>
      </c>
      <c r="R830" s="42" t="str">
        <v>10</v>
      </c>
      <c r="S830" s="10" t="str">
        <f t="shared" si="25"/>
        <v>No Change</v>
      </c>
    </row>
    <row r="831" spans="1:19" ht="120" hidden="1">
      <c r="A831" s="14" t="s">
        <v>573</v>
      </c>
      <c r="B831" s="9" t="s">
        <v>13553</v>
      </c>
      <c r="C831" s="40" t="s">
        <v>5013</v>
      </c>
      <c r="D831" s="24"/>
      <c r="E831" s="24"/>
      <c r="F831" s="24" t="str">
        <v>X172</v>
      </c>
      <c r="G831" s="24" t="str">
        <v>10 out of 10</v>
      </c>
      <c r="H831" s="24" t="str">
        <v>https://nycdoe.sharepoint.com/:w:/s/BAP/Ea98sXT3L05LiyJxyh7n0XEBqFWPsq9oLIT0tOwIjH22zQ</v>
      </c>
      <c r="I831" s="23">
        <v>802</v>
      </c>
      <c r="J831" s="24" t="str">
        <v>-</v>
      </c>
      <c r="K831" s="24">
        <v>2059</v>
      </c>
      <c r="L831" s="24" t="str">
        <v>10 out of 10</v>
      </c>
      <c r="M831" s="23" t="b">
        <f t="shared" si="24"/>
        <v>1</v>
      </c>
      <c r="N831" s="23" t="str">
        <v>10 out of 10</v>
      </c>
      <c r="O831" s="23"/>
      <c r="P831" s="42" t="str">
        <v>10</v>
      </c>
      <c r="Q831" s="42" t="str">
        <v>10</v>
      </c>
      <c r="R831" s="42" t="str">
        <v>10</v>
      </c>
      <c r="S831" s="10" t="str">
        <f t="shared" si="25"/>
        <v>No Change</v>
      </c>
    </row>
    <row r="832" spans="1:19" ht="120" hidden="1">
      <c r="A832" s="14" t="s">
        <v>12904</v>
      </c>
      <c r="B832" s="15" t="s">
        <v>13561</v>
      </c>
      <c r="C832" s="40" t="s">
        <v>13667</v>
      </c>
      <c r="D832" s="24"/>
      <c r="E832" s="24"/>
      <c r="F832" s="24" t="str">
        <v>X173</v>
      </c>
      <c r="G832" s="24" t="str">
        <v>10 out of 10</v>
      </c>
      <c r="H832" s="24" t="str">
        <v>https://nycdoe.sharepoint.com/:w:/s/BAP/ERL3Mc9YDmJDj_SEzYKE5mUBlmSyGJEUdEHpVQnh4vRJlg</v>
      </c>
      <c r="I832" s="23">
        <v>803</v>
      </c>
      <c r="J832" s="24" t="str">
        <v>-</v>
      </c>
      <c r="K832" s="24">
        <v>2060</v>
      </c>
      <c r="L832" s="24" t="str">
        <v>10 out of 10</v>
      </c>
      <c r="M832" s="23" t="b">
        <f t="shared" si="24"/>
        <v>1</v>
      </c>
      <c r="N832" s="23" t="str">
        <v>10 out of 10</v>
      </c>
      <c r="O832" s="23"/>
      <c r="P832" s="42" t="str">
        <v>10</v>
      </c>
      <c r="Q832" s="42" t="str">
        <v>10</v>
      </c>
      <c r="R832" s="42" t="str">
        <v>10</v>
      </c>
      <c r="S832" s="10" t="str">
        <f t="shared" si="25"/>
        <v>No Change</v>
      </c>
    </row>
    <row r="833" spans="1:19" ht="120" hidden="1">
      <c r="A833" s="14" t="s">
        <v>239</v>
      </c>
      <c r="B833" s="9" t="s">
        <v>13553</v>
      </c>
      <c r="C833" s="40" t="s">
        <v>4659</v>
      </c>
      <c r="D833" s="24"/>
      <c r="E833" s="24"/>
      <c r="F833" s="24" t="str">
        <v>X174</v>
      </c>
      <c r="G833" s="24" t="str">
        <v>1 out of 10</v>
      </c>
      <c r="H833" s="24" t="str">
        <v>https://nycdoe.sharepoint.com/:w:/s/BAP/EW6GVOFJnqlNleGT_TJzJGMB8F-aMvt1sK5PvaD99pd0kw</v>
      </c>
      <c r="I833" s="23">
        <v>804</v>
      </c>
      <c r="J833" s="24" t="str">
        <v>-</v>
      </c>
      <c r="K833" s="24">
        <v>2061</v>
      </c>
      <c r="L833" s="24" t="str">
        <v>1 out of 10</v>
      </c>
      <c r="M833" s="23" t="b">
        <f t="shared" si="24"/>
        <v>1</v>
      </c>
      <c r="N833" s="23" t="str">
        <v>1 out of 10</v>
      </c>
      <c r="O833" s="23"/>
      <c r="P833" s="42" t="str">
        <v>1</v>
      </c>
      <c r="Q833" s="42" t="str">
        <v>1</v>
      </c>
      <c r="R833" s="42" t="str">
        <v>1</v>
      </c>
      <c r="S833" s="10" t="str">
        <f t="shared" si="25"/>
        <v>No Change</v>
      </c>
    </row>
    <row r="834" spans="1:19" ht="120" hidden="1">
      <c r="A834" s="14" t="s">
        <v>839</v>
      </c>
      <c r="B834" s="16" t="s">
        <v>13553</v>
      </c>
      <c r="C834" s="40" t="s">
        <v>5395</v>
      </c>
      <c r="D834" s="24"/>
      <c r="E834" s="24"/>
      <c r="F834" s="24" t="str">
        <v>X175</v>
      </c>
      <c r="G834" s="24" t="str">
        <v>0+ out of 10</v>
      </c>
      <c r="H834" s="24" t="str">
        <v>https://nycdoe.sharepoint.com/:w:/s/BAP/EVLk2KG5vXNLnitm6roTTTwBAVmMtwwvsQTMxa7ZLXCYrQ</v>
      </c>
      <c r="I834" s="23">
        <v>805</v>
      </c>
      <c r="J834" s="24" t="str">
        <v>-</v>
      </c>
      <c r="K834" s="24">
        <v>2065</v>
      </c>
      <c r="L834" s="24" t="str">
        <v>N/A out of 10</v>
      </c>
      <c r="M834" s="23" t="b">
        <f t="shared" si="24"/>
        <v>0</v>
      </c>
      <c r="N834" s="23" t="str">
        <v>0+ out of 10</v>
      </c>
      <c r="O834" s="23"/>
      <c r="P834" s="42" t="str">
        <v>0+</v>
      </c>
      <c r="Q834" s="42" t="str">
        <v>N/A</v>
      </c>
      <c r="R834" s="42" t="str">
        <v>0+</v>
      </c>
      <c r="S834" s="10" t="str">
        <f t="shared" si="25"/>
        <v>No Change</v>
      </c>
    </row>
    <row r="835" spans="1:19" ht="120" hidden="1">
      <c r="A835" s="14" t="s">
        <v>380</v>
      </c>
      <c r="B835" s="15" t="s">
        <v>13553</v>
      </c>
      <c r="C835" s="40" t="s">
        <v>4812</v>
      </c>
      <c r="D835" s="24"/>
      <c r="E835" s="24"/>
      <c r="F835" s="24" t="str">
        <v>X177</v>
      </c>
      <c r="G835" s="24" t="str">
        <v>10 out of 10</v>
      </c>
      <c r="H835" s="24" t="str">
        <v>https://nycdoe.sharepoint.com/:w:/s/BAP/EcS-umI_XclLsfX87DxJ2G8B_V9wmdAHOuG0WWXrYHjwnQ</v>
      </c>
      <c r="I835" s="23">
        <v>806</v>
      </c>
      <c r="J835" s="24" t="str">
        <v>-</v>
      </c>
      <c r="K835" s="24">
        <v>2066</v>
      </c>
      <c r="L835" s="24" t="str">
        <v>10 out of 10</v>
      </c>
      <c r="M835" s="23" t="b">
        <f t="shared" ref="M835:M898" si="26">G835=L835</f>
        <v>1</v>
      </c>
      <c r="N835" s="23" t="str">
        <v>10 out of 10</v>
      </c>
      <c r="O835" s="23"/>
      <c r="P835" s="42" t="str">
        <v>10</v>
      </c>
      <c r="Q835" s="42" t="str">
        <v>10</v>
      </c>
      <c r="R835" s="42" t="str">
        <v>10</v>
      </c>
      <c r="S835" s="10" t="str">
        <f t="shared" ref="S835:S898" si="27">IFERROR(IF(OR(R835="0+",R835=0,AND(Q835="N/A")),"No Change",IF(R835&lt;&gt;Q835,"Change",IF(R835=Q835,"No Change",))),"Check BAP")</f>
        <v>No Change</v>
      </c>
    </row>
    <row r="836" spans="1:19" ht="120" hidden="1">
      <c r="A836" s="14" t="s">
        <v>580</v>
      </c>
      <c r="B836" s="15" t="s">
        <v>13555</v>
      </c>
      <c r="C836" s="40" t="s">
        <v>5019</v>
      </c>
      <c r="D836" s="24"/>
      <c r="E836" s="24"/>
      <c r="F836" s="24" t="str">
        <v>X178</v>
      </c>
      <c r="G836" s="24" t="str">
        <v>8 out of 10</v>
      </c>
      <c r="H836" s="24" t="str">
        <v>https://nycdoe.sharepoint.com/:w:/s/BAP/EXT7LKexbVlFi_3JBHs4H-EBs6EGHAu0F2GQG4BoAsu1Dw</v>
      </c>
      <c r="I836" s="23">
        <v>807</v>
      </c>
      <c r="J836" s="24" t="str">
        <v>-</v>
      </c>
      <c r="K836" s="24">
        <v>2068</v>
      </c>
      <c r="L836" s="24" t="str">
        <v>8 out of 10</v>
      </c>
      <c r="M836" s="23" t="b">
        <f t="shared" si="26"/>
        <v>1</v>
      </c>
      <c r="N836" s="23" t="str">
        <v>8 out of 10</v>
      </c>
      <c r="O836" s="23"/>
      <c r="P836" s="42" t="str">
        <v>8</v>
      </c>
      <c r="Q836" s="42" t="str">
        <v>8</v>
      </c>
      <c r="R836" s="42" t="str">
        <v>8</v>
      </c>
      <c r="S836" s="10" t="str">
        <f t="shared" si="27"/>
        <v>No Change</v>
      </c>
    </row>
    <row r="837" spans="1:19" ht="120" hidden="1">
      <c r="A837" s="8" t="s">
        <v>5020</v>
      </c>
      <c r="B837" s="9" t="s">
        <v>13553</v>
      </c>
      <c r="C837" s="37" t="s">
        <v>5025</v>
      </c>
      <c r="D837" s="24"/>
      <c r="E837" s="24"/>
      <c r="F837" s="24" t="str">
        <v>X180</v>
      </c>
      <c r="G837" s="24" t="str">
        <v>9 out of 10</v>
      </c>
      <c r="H837" s="24" t="str">
        <v>https://nycdoe.sharepoint.com/:w:/s/BAP/EeIBk0qojSRJpI-v_ZCidYsBTz3NIG2PdPkAqB8paDJC-g</v>
      </c>
      <c r="I837" s="23">
        <v>808</v>
      </c>
      <c r="J837" s="24" t="str">
        <v>-</v>
      </c>
      <c r="K837" s="24">
        <v>2070</v>
      </c>
      <c r="L837" s="24" t="str">
        <v>9 out of 10</v>
      </c>
      <c r="M837" s="23" t="b">
        <f t="shared" si="26"/>
        <v>1</v>
      </c>
      <c r="N837" s="23" t="str">
        <v>9 out of 10</v>
      </c>
      <c r="O837" s="23"/>
      <c r="P837" s="42" t="str">
        <v>9</v>
      </c>
      <c r="Q837" s="42" t="str">
        <v>9</v>
      </c>
      <c r="R837" s="42" t="str">
        <v>9</v>
      </c>
      <c r="S837" s="10" t="str">
        <f t="shared" si="27"/>
        <v>No Change</v>
      </c>
    </row>
    <row r="838" spans="1:19" ht="120" hidden="1">
      <c r="A838" s="14" t="s">
        <v>5396</v>
      </c>
      <c r="B838" s="15" t="s">
        <v>13553</v>
      </c>
      <c r="C838" s="40" t="s">
        <v>5398</v>
      </c>
      <c r="D838" s="24"/>
      <c r="E838" s="24"/>
      <c r="F838" s="24" t="str">
        <v>X181</v>
      </c>
      <c r="G838" s="24" t="str">
        <v>4 out of 10</v>
      </c>
      <c r="H838" s="24" t="str">
        <v>https://nycdoe.sharepoint.com/:w:/s/BAP/EZH-ttEM_BRNpp-bTgfbA0YBw4orGJQiFC_rHYxmfGfBMQ</v>
      </c>
      <c r="I838" s="23">
        <v>809</v>
      </c>
      <c r="J838" s="24" t="str">
        <v>-</v>
      </c>
      <c r="K838" s="24">
        <v>2071</v>
      </c>
      <c r="L838" s="24" t="str">
        <v>4 out of 10</v>
      </c>
      <c r="M838" s="23" t="b">
        <f t="shared" si="26"/>
        <v>1</v>
      </c>
      <c r="N838" s="23" t="str">
        <v>4 out of 10</v>
      </c>
      <c r="O838" s="23"/>
      <c r="P838" s="42" t="str">
        <v>4</v>
      </c>
      <c r="Q838" s="42" t="str">
        <v>4</v>
      </c>
      <c r="R838" s="42" t="str">
        <v>4</v>
      </c>
      <c r="S838" s="10" t="str">
        <f t="shared" si="27"/>
        <v>No Change</v>
      </c>
    </row>
    <row r="839" spans="1:19" ht="120" hidden="1">
      <c r="A839" s="14" t="s">
        <v>584</v>
      </c>
      <c r="B839" s="9" t="s">
        <v>13553</v>
      </c>
      <c r="C839" s="40" t="s">
        <v>5028</v>
      </c>
      <c r="D839" s="24"/>
      <c r="E839" s="24"/>
      <c r="F839" s="24" t="str">
        <v>X183</v>
      </c>
      <c r="G839" s="24" t="str">
        <v>7 out of 10</v>
      </c>
      <c r="H839" s="24" t="str">
        <v>https://nycdoe.sharepoint.com/:w:/s/BAP/ERhSUMbs0p9DvU5uQFjyFTYB_5OlilkJVlz2roXqR8ROtA</v>
      </c>
      <c r="I839" s="23">
        <v>810</v>
      </c>
      <c r="J839" s="24" t="str">
        <v>-</v>
      </c>
      <c r="K839" s="24">
        <v>2074</v>
      </c>
      <c r="L839" s="24" t="str">
        <v>7 out of 10</v>
      </c>
      <c r="M839" s="23" t="b">
        <f t="shared" si="26"/>
        <v>1</v>
      </c>
      <c r="N839" s="23" t="str">
        <v>7 out of 10</v>
      </c>
      <c r="O839" s="23"/>
      <c r="P839" s="42" t="str">
        <v>7</v>
      </c>
      <c r="Q839" s="42" t="str">
        <v>7</v>
      </c>
      <c r="R839" s="42" t="str">
        <v>7</v>
      </c>
      <c r="S839" s="10" t="str">
        <f t="shared" si="27"/>
        <v>No Change</v>
      </c>
    </row>
    <row r="840" spans="1:19" ht="120" hidden="1">
      <c r="A840" s="14" t="s">
        <v>376</v>
      </c>
      <c r="B840" s="15" t="s">
        <v>13553</v>
      </c>
      <c r="C840" s="40" t="s">
        <v>5033</v>
      </c>
      <c r="D840" s="24"/>
      <c r="E840" s="24"/>
      <c r="F840" s="24" t="str">
        <v>X184</v>
      </c>
      <c r="G840" s="24" t="str">
        <v>1 out of 10</v>
      </c>
      <c r="H840" s="24" t="str">
        <v>https://nycdoe.sharepoint.com/:w:/s/BAP/ERhUZBs1yFRDqhUMJZN157oBM2qaKqIKjTArIBtfrTGb8A</v>
      </c>
      <c r="I840" s="23">
        <v>811</v>
      </c>
      <c r="J840" s="24" t="str">
        <v>-</v>
      </c>
      <c r="K840" s="24">
        <v>2077</v>
      </c>
      <c r="L840" s="24" t="str">
        <v>1 out of 10</v>
      </c>
      <c r="M840" s="23" t="b">
        <f t="shared" si="26"/>
        <v>1</v>
      </c>
      <c r="N840" s="23" t="str">
        <v>1 out of 10</v>
      </c>
      <c r="O840" s="23"/>
      <c r="P840" s="42" t="str">
        <v>1</v>
      </c>
      <c r="Q840" s="42" t="str">
        <v>1</v>
      </c>
      <c r="R840" s="42" t="str">
        <v>1</v>
      </c>
      <c r="S840" s="10" t="str">
        <f t="shared" si="27"/>
        <v>No Change</v>
      </c>
    </row>
    <row r="841" spans="1:19" ht="120" hidden="1">
      <c r="A841" s="14" t="s">
        <v>823</v>
      </c>
      <c r="B841" s="15" t="s">
        <v>13553</v>
      </c>
      <c r="C841" s="40" t="s">
        <v>5252</v>
      </c>
      <c r="D841" s="24"/>
      <c r="E841" s="24"/>
      <c r="F841" s="24" t="str">
        <v>X189</v>
      </c>
      <c r="G841" s="24" t="str">
        <v>10 out of 10</v>
      </c>
      <c r="H841" s="24" t="str">
        <v>https://nycdoe.sharepoint.com/:w:/s/BAP/EcA9ofOirI1Hj5xn6rogKdABM32L88RVtl-vbiPEpNkxjQ</v>
      </c>
      <c r="I841" s="23">
        <v>812</v>
      </c>
      <c r="J841" s="24" t="str">
        <v>-</v>
      </c>
      <c r="K841" s="24">
        <v>2082</v>
      </c>
      <c r="L841" s="24" t="str">
        <v>10 out of 10</v>
      </c>
      <c r="M841" s="23" t="b">
        <f t="shared" si="26"/>
        <v>1</v>
      </c>
      <c r="N841" s="23" t="str">
        <v>10 out of 10</v>
      </c>
      <c r="O841" s="23"/>
      <c r="P841" s="42" t="str">
        <v>10</v>
      </c>
      <c r="Q841" s="42" t="str">
        <v>10</v>
      </c>
      <c r="R841" s="42" t="str">
        <v>10</v>
      </c>
      <c r="S841" s="10" t="str">
        <f t="shared" si="27"/>
        <v>No Change</v>
      </c>
    </row>
    <row r="842" spans="1:19" ht="120" hidden="1">
      <c r="A842" s="8" t="s">
        <v>588</v>
      </c>
      <c r="B842" s="9" t="s">
        <v>13553</v>
      </c>
      <c r="C842" s="37" t="s">
        <v>5037</v>
      </c>
      <c r="D842" s="24"/>
      <c r="E842" s="24"/>
      <c r="F842" s="24" t="str">
        <v>X192</v>
      </c>
      <c r="G842" s="24" t="str">
        <v>8 out of 10</v>
      </c>
      <c r="H842" s="24" t="str">
        <v>https://nycdoe.sharepoint.com/:w:/s/BAP/EUUfE8-dq3ZCm-b5qjW28IQByV-yZA_QiiSL0TSTtls7lA</v>
      </c>
      <c r="I842" s="23">
        <v>813</v>
      </c>
      <c r="J842" s="24" t="str">
        <v>-</v>
      </c>
      <c r="K842" s="24">
        <v>2085</v>
      </c>
      <c r="L842" s="24" t="str">
        <v>8 out of 10</v>
      </c>
      <c r="M842" s="23" t="b">
        <f t="shared" si="26"/>
        <v>1</v>
      </c>
      <c r="N842" s="23" t="str">
        <v>8 out of 10</v>
      </c>
      <c r="O842" s="23"/>
      <c r="P842" s="42" t="str">
        <v>8</v>
      </c>
      <c r="Q842" s="42" t="str">
        <v>8</v>
      </c>
      <c r="R842" s="42" t="str">
        <v>8</v>
      </c>
      <c r="S842" s="10" t="str">
        <f t="shared" si="27"/>
        <v>No Change</v>
      </c>
    </row>
    <row r="843" spans="1:19" ht="120" hidden="1">
      <c r="A843" s="14" t="s">
        <v>233</v>
      </c>
      <c r="B843" s="15" t="s">
        <v>13553</v>
      </c>
      <c r="C843" s="40" t="s">
        <v>4663</v>
      </c>
      <c r="D843" s="24"/>
      <c r="E843" s="24"/>
      <c r="F843" s="24" t="str">
        <v>X193</v>
      </c>
      <c r="G843" s="24" t="str">
        <v>9 out of 10</v>
      </c>
      <c r="H843" s="24" t="str">
        <v>https://nycdoe.sharepoint.com/:w:/s/BAP/EbU_pOxA7yRIga33OFiZbEUB9JPsHjqkULjeCkleGTxVVQ</v>
      </c>
      <c r="I843" s="23">
        <v>814</v>
      </c>
      <c r="J843" s="24" t="str">
        <v>-</v>
      </c>
      <c r="K843" s="24">
        <v>2088</v>
      </c>
      <c r="L843" s="24" t="str">
        <v>9 out of 10</v>
      </c>
      <c r="M843" s="23" t="b">
        <f t="shared" si="26"/>
        <v>1</v>
      </c>
      <c r="N843" s="23" t="str">
        <v>9 out of 10</v>
      </c>
      <c r="O843" s="23"/>
      <c r="P843" s="42" t="str">
        <v>9</v>
      </c>
      <c r="Q843" s="42" t="str">
        <v>9</v>
      </c>
      <c r="R843" s="42" t="str">
        <v>9</v>
      </c>
      <c r="S843" s="10" t="str">
        <f t="shared" si="27"/>
        <v>No Change</v>
      </c>
    </row>
    <row r="844" spans="1:19" ht="120" hidden="1">
      <c r="A844" s="14" t="s">
        <v>385</v>
      </c>
      <c r="B844" s="15" t="s">
        <v>13564</v>
      </c>
      <c r="C844" s="40" t="s">
        <v>4817</v>
      </c>
      <c r="D844" s="24"/>
      <c r="E844" s="24"/>
      <c r="F844" s="24" t="str">
        <v>X194</v>
      </c>
      <c r="G844" s="24" t="str">
        <v>10 out of 10</v>
      </c>
      <c r="H844" s="24" t="str">
        <v>https://nycdoe.sharepoint.com/:w:/s/BAP/Eb_WAWTOAJ1EiR6XpR-P-bwBa2ugNP9PHKZBSCOI2UN37w</v>
      </c>
      <c r="I844" s="23">
        <v>815</v>
      </c>
      <c r="J844" s="24" t="str">
        <v>-</v>
      </c>
      <c r="K844" s="24">
        <v>2091</v>
      </c>
      <c r="L844" s="24" t="str">
        <v>10 out of 10</v>
      </c>
      <c r="M844" s="23" t="b">
        <f t="shared" si="26"/>
        <v>1</v>
      </c>
      <c r="N844" s="23" t="str">
        <v>10 out of 10</v>
      </c>
      <c r="O844" s="23"/>
      <c r="P844" s="42" t="str">
        <v>10</v>
      </c>
      <c r="Q844" s="42" t="str">
        <v>10</v>
      </c>
      <c r="R844" s="42" t="str">
        <v>10</v>
      </c>
      <c r="S844" s="10" t="str">
        <f t="shared" si="27"/>
        <v>No Change</v>
      </c>
    </row>
    <row r="845" spans="1:19" ht="120" hidden="1">
      <c r="A845" s="14" t="s">
        <v>834</v>
      </c>
      <c r="B845" s="15" t="s">
        <v>13564</v>
      </c>
      <c r="C845" s="40" t="s">
        <v>5260</v>
      </c>
      <c r="D845" s="24"/>
      <c r="E845" s="24"/>
      <c r="F845" s="24" t="str">
        <v>X198</v>
      </c>
      <c r="G845" s="24" t="str">
        <v>1 out of 10</v>
      </c>
      <c r="H845" s="24" t="str">
        <v>https://nycdoe.sharepoint.com/:w:/s/BAP/EYHfYd4rNi9Kj5ldUKA3aY8BWjnBZGvU3tGnSLUNWY6ANw</v>
      </c>
      <c r="I845" s="23">
        <v>816</v>
      </c>
      <c r="J845" s="24" t="str">
        <v>-</v>
      </c>
      <c r="K845" s="24">
        <v>2093</v>
      </c>
      <c r="L845" s="24" t="str">
        <v>1 out of 10</v>
      </c>
      <c r="M845" s="23" t="b">
        <f t="shared" si="26"/>
        <v>1</v>
      </c>
      <c r="N845" s="23" t="str">
        <v>1 out of 10</v>
      </c>
      <c r="O845" s="23"/>
      <c r="P845" s="42" t="str">
        <v>1</v>
      </c>
      <c r="Q845" s="42" t="str">
        <v>1</v>
      </c>
      <c r="R845" s="42" t="str">
        <v>1</v>
      </c>
      <c r="S845" s="10" t="str">
        <f t="shared" si="27"/>
        <v>No Change</v>
      </c>
    </row>
    <row r="846" spans="1:19" ht="120" hidden="1">
      <c r="A846" s="14" t="s">
        <v>399</v>
      </c>
      <c r="B846" s="15" t="s">
        <v>13564</v>
      </c>
      <c r="C846" s="40" t="s">
        <v>4825</v>
      </c>
      <c r="D846" s="24"/>
      <c r="E846" s="24"/>
      <c r="F846" s="24" t="str">
        <v>X205</v>
      </c>
      <c r="G846" s="24" t="str">
        <v>1 out of 10</v>
      </c>
      <c r="H846" s="24" t="str">
        <v>https://nycdoe.sharepoint.com/:w:/s/BAP/EYd_-Ej3w9dNkR9MUKoXTnYBAadJHM8zKMEXruQu_ZxrGg</v>
      </c>
      <c r="I846" s="23">
        <v>817</v>
      </c>
      <c r="J846" s="24" t="str">
        <v>-</v>
      </c>
      <c r="K846" s="24">
        <v>2096</v>
      </c>
      <c r="L846" s="24" t="str">
        <v>1 out of 10</v>
      </c>
      <c r="M846" s="23" t="b">
        <f t="shared" si="26"/>
        <v>1</v>
      </c>
      <c r="N846" s="23" t="str">
        <v>1 out of 10</v>
      </c>
      <c r="O846" s="23"/>
      <c r="P846" s="42" t="str">
        <v>1</v>
      </c>
      <c r="Q846" s="42" t="str">
        <v>1</v>
      </c>
      <c r="R846" s="42" t="str">
        <v>1</v>
      </c>
      <c r="S846" s="10" t="str">
        <f t="shared" si="27"/>
        <v>No Change</v>
      </c>
    </row>
    <row r="847" spans="1:19" ht="120" hidden="1">
      <c r="A847" s="14" t="s">
        <v>853</v>
      </c>
      <c r="B847" s="15" t="s">
        <v>13560</v>
      </c>
      <c r="C847" s="40" t="s">
        <v>5272</v>
      </c>
      <c r="D847" s="24"/>
      <c r="E847" s="24"/>
      <c r="F847" s="24" t="str">
        <v>X206</v>
      </c>
      <c r="G847" s="24" t="str">
        <v>0+ out of 10</v>
      </c>
      <c r="H847" s="24" t="str">
        <v>https://nycdoe.sharepoint.com/:w:/s/BAP/ESfzIZZm6qpPvW_0pCf0xWABcJoIe3EfUwHBOtNJM0EQ9Q</v>
      </c>
      <c r="I847" s="23">
        <v>818</v>
      </c>
      <c r="J847" s="24" t="str">
        <v>-</v>
      </c>
      <c r="K847" s="24">
        <v>2097</v>
      </c>
      <c r="L847" s="24" t="str">
        <v>N/A out of 10</v>
      </c>
      <c r="M847" s="23" t="b">
        <f t="shared" si="26"/>
        <v>0</v>
      </c>
      <c r="N847" s="23" t="str">
        <v>0+ out of 10</v>
      </c>
      <c r="O847" s="23"/>
      <c r="P847" s="42" t="str">
        <v>0+</v>
      </c>
      <c r="Q847" s="42" t="str">
        <v>N/A</v>
      </c>
      <c r="R847" s="42" t="str">
        <v>0+</v>
      </c>
      <c r="S847" s="10" t="str">
        <f t="shared" si="27"/>
        <v>No Change</v>
      </c>
    </row>
    <row r="848" spans="1:19" ht="120" hidden="1">
      <c r="A848" s="14" t="s">
        <v>1001</v>
      </c>
      <c r="B848" s="9" t="s">
        <v>13571</v>
      </c>
      <c r="C848" s="40" t="s">
        <v>5402</v>
      </c>
      <c r="D848" s="24"/>
      <c r="E848" s="24"/>
      <c r="F848" s="24" t="str">
        <v>X209</v>
      </c>
      <c r="G848" s="24" t="str">
        <v>10 out of 10</v>
      </c>
      <c r="H848" s="24" t="str">
        <v>https://nycdoe.sharepoint.com/:w:/s/BAP/EZTR-mjYpPpNlOYj74hhxIcBIQFq609AsLL8woxn_mIbVQ</v>
      </c>
      <c r="I848" s="23">
        <v>819</v>
      </c>
      <c r="J848" s="24" t="str">
        <v>-</v>
      </c>
      <c r="K848" s="24">
        <v>2098</v>
      </c>
      <c r="L848" s="24" t="str">
        <v>10 out of 10</v>
      </c>
      <c r="M848" s="23" t="b">
        <f t="shared" si="26"/>
        <v>1</v>
      </c>
      <c r="N848" s="23" t="str">
        <v>10 out of 10</v>
      </c>
      <c r="O848" s="23"/>
      <c r="P848" s="42" t="str">
        <v>10</v>
      </c>
      <c r="Q848" s="42" t="str">
        <v>10</v>
      </c>
      <c r="R848" s="42" t="str">
        <v>10</v>
      </c>
      <c r="S848" s="10" t="str">
        <f t="shared" si="27"/>
        <v>No Change</v>
      </c>
    </row>
    <row r="849" spans="1:19" ht="120" hidden="1">
      <c r="A849" s="14" t="s">
        <v>1015</v>
      </c>
      <c r="B849" s="15" t="s">
        <v>13553</v>
      </c>
      <c r="C849" s="40" t="s">
        <v>5410</v>
      </c>
      <c r="D849" s="24"/>
      <c r="E849" s="24"/>
      <c r="F849" s="24" t="str">
        <v>X211</v>
      </c>
      <c r="G849" s="24" t="str">
        <v>1 out of 10</v>
      </c>
      <c r="H849" s="24" t="str">
        <v>https://nycdoe.sharepoint.com/:w:/s/BAP/ETHpadBdKhlGrQP32C1czOoBh5rJUjKhCiIkM-22JLvfLA</v>
      </c>
      <c r="I849" s="23">
        <v>820</v>
      </c>
      <c r="J849" s="24" t="str">
        <v>-</v>
      </c>
      <c r="K849" s="24">
        <v>2099</v>
      </c>
      <c r="L849" s="24" t="str">
        <v>1 out of 10</v>
      </c>
      <c r="M849" s="23" t="b">
        <f t="shared" si="26"/>
        <v>1</v>
      </c>
      <c r="N849" s="23" t="str">
        <v>1 out of 10</v>
      </c>
      <c r="O849" s="23"/>
      <c r="P849" s="42" t="str">
        <v>1</v>
      </c>
      <c r="Q849" s="42" t="str">
        <v>1</v>
      </c>
      <c r="R849" s="42" t="str">
        <v>1</v>
      </c>
      <c r="S849" s="10" t="str">
        <f t="shared" si="27"/>
        <v>No Change</v>
      </c>
    </row>
    <row r="850" spans="1:19" ht="120" hidden="1">
      <c r="A850" s="14" t="s">
        <v>870</v>
      </c>
      <c r="B850" s="9" t="s">
        <v>13555</v>
      </c>
      <c r="C850" s="40" t="s">
        <v>5284</v>
      </c>
      <c r="D850" s="24"/>
      <c r="E850" s="24"/>
      <c r="F850" s="24" t="str">
        <v>X229</v>
      </c>
      <c r="G850" s="24" t="str">
        <v>8 out of 10</v>
      </c>
      <c r="H850" s="24" t="str">
        <v>https://nycdoe.sharepoint.com/:w:/s/BAP/EdFPs-LzmYNBgfBFH09okCIBC3eciXpqxutICSSPm7wQnQ</v>
      </c>
      <c r="I850" s="23">
        <v>821</v>
      </c>
      <c r="J850" s="24" t="str">
        <v>-</v>
      </c>
      <c r="K850" s="24">
        <v>2100</v>
      </c>
      <c r="L850" s="24" t="str">
        <v>8 out of 10</v>
      </c>
      <c r="M850" s="23" t="b">
        <f t="shared" si="26"/>
        <v>1</v>
      </c>
      <c r="N850" s="23" t="str">
        <v>8 out of 10</v>
      </c>
      <c r="O850" s="23"/>
      <c r="P850" s="42" t="str">
        <v>8</v>
      </c>
      <c r="Q850" s="42" t="str">
        <v>8</v>
      </c>
      <c r="R850" s="42" t="str">
        <v>8</v>
      </c>
      <c r="S850" s="10" t="str">
        <f t="shared" si="27"/>
        <v>No Change</v>
      </c>
    </row>
    <row r="851" spans="1:19" ht="120" hidden="1">
      <c r="A851" s="14" t="s">
        <v>595</v>
      </c>
      <c r="B851" s="15" t="s">
        <v>13555</v>
      </c>
      <c r="C851" s="40" t="s">
        <v>5043</v>
      </c>
      <c r="D851" s="24"/>
      <c r="E851" s="24"/>
      <c r="F851" s="24" t="str">
        <v>X234</v>
      </c>
      <c r="G851" s="24" t="str">
        <v>1 out of 10</v>
      </c>
      <c r="H851" s="24" t="str">
        <v>https://nycdoe.sharepoint.com/:w:/s/BAP/EasI7SuaU3NCqdySh40AUnwBHNxODWdxVMsL8uWVH-FZDQ</v>
      </c>
      <c r="I851" s="23">
        <v>822</v>
      </c>
      <c r="J851" s="24" t="str">
        <v>-</v>
      </c>
      <c r="K851" s="24">
        <v>2102</v>
      </c>
      <c r="L851" s="24" t="str">
        <v>1 out of 10</v>
      </c>
      <c r="M851" s="23" t="b">
        <f t="shared" si="26"/>
        <v>1</v>
      </c>
      <c r="N851" s="23" t="str">
        <v>1 out of 10</v>
      </c>
      <c r="O851" s="23"/>
      <c r="P851" s="42" t="str">
        <v>1</v>
      </c>
      <c r="Q851" s="42" t="str">
        <v>1</v>
      </c>
      <c r="R851" s="42" t="str">
        <v>1</v>
      </c>
      <c r="S851" s="10" t="str">
        <f t="shared" si="27"/>
        <v>No Change</v>
      </c>
    </row>
    <row r="852" spans="1:19" ht="105" hidden="1">
      <c r="A852" s="14" t="s">
        <v>612</v>
      </c>
      <c r="B852" s="15" t="s">
        <v>13557</v>
      </c>
      <c r="C852" s="40" t="s">
        <v>5055</v>
      </c>
      <c r="D852" s="24"/>
      <c r="E852" s="24"/>
      <c r="F852" s="24" t="str">
        <v>X235</v>
      </c>
      <c r="G852" s="24" t="str">
        <v>10 out of 10</v>
      </c>
      <c r="H852" s="24" t="str">
        <v>https://nycdoe.sharepoint.com/:w:/s/BAP/EeVwZDuwVx5ImdJ3z2jCKccBGNI71cPAOR96GHHlxcTVsw</v>
      </c>
      <c r="I852" s="23">
        <v>823</v>
      </c>
      <c r="J852" s="24" t="str">
        <v>-</v>
      </c>
      <c r="K852" s="24">
        <v>2104</v>
      </c>
      <c r="L852" s="24" t="str">
        <v>10 out of 10</v>
      </c>
      <c r="M852" s="23" t="b">
        <f t="shared" si="26"/>
        <v>1</v>
      </c>
      <c r="N852" s="23" t="str">
        <v>10 out of 10</v>
      </c>
      <c r="O852" s="23"/>
      <c r="P852" s="42" t="str">
        <v>10</v>
      </c>
      <c r="Q852" s="42" t="str">
        <v>10</v>
      </c>
      <c r="R852" s="42" t="str">
        <v>10</v>
      </c>
      <c r="S852" s="10" t="str">
        <f t="shared" si="27"/>
        <v>No Change</v>
      </c>
    </row>
    <row r="853" spans="1:19" ht="120" hidden="1">
      <c r="A853" s="14" t="s">
        <v>632</v>
      </c>
      <c r="B853" s="15" t="s">
        <v>13564</v>
      </c>
      <c r="C853" s="40" t="s">
        <v>5067</v>
      </c>
      <c r="D853" s="24"/>
      <c r="E853" s="24"/>
      <c r="F853" s="24" t="str">
        <v>X240</v>
      </c>
      <c r="G853" s="24" t="str">
        <v>10 out of 10</v>
      </c>
      <c r="H853" s="24" t="str">
        <v>https://nycdoe.sharepoint.com/:w:/s/BAP/EeRn77K6CwBNhtTPlsIM8jYBj_SYqeKyNwXTdmU371_KUQ</v>
      </c>
      <c r="I853" s="23">
        <v>824</v>
      </c>
      <c r="J853" s="24" t="str">
        <v>-</v>
      </c>
      <c r="K853" s="24">
        <v>2107</v>
      </c>
      <c r="L853" s="24" t="str">
        <v>10 out of 10</v>
      </c>
      <c r="M853" s="23" t="b">
        <f t="shared" si="26"/>
        <v>1</v>
      </c>
      <c r="N853" s="23" t="str">
        <v>10 out of 10</v>
      </c>
      <c r="O853" s="23"/>
      <c r="P853" s="42" t="str">
        <v>10</v>
      </c>
      <c r="Q853" s="42" t="str">
        <v>10</v>
      </c>
      <c r="R853" s="42" t="str">
        <v>10</v>
      </c>
      <c r="S853" s="10" t="str">
        <f t="shared" si="27"/>
        <v>No Change</v>
      </c>
    </row>
    <row r="854" spans="1:19" ht="120" hidden="1">
      <c r="A854" s="14" t="s">
        <v>642</v>
      </c>
      <c r="B854" s="15" t="s">
        <v>13560</v>
      </c>
      <c r="C854" s="40" t="s">
        <v>5077</v>
      </c>
      <c r="D854" s="24"/>
      <c r="E854" s="24"/>
      <c r="F854" s="24" t="str">
        <v>X254</v>
      </c>
      <c r="G854" s="24" t="str">
        <v>10 out of 10</v>
      </c>
      <c r="H854" s="24" t="str">
        <v>https://nycdoe.sharepoint.com/:w:/s/BAP/EeyTEJ9FGB9Ol_f17fw-gN8B-P9zYrDkq_6leMvMS-BhOQ</v>
      </c>
      <c r="I854" s="23">
        <v>825</v>
      </c>
      <c r="J854" s="24" t="str">
        <v>-</v>
      </c>
      <c r="K854" s="24">
        <v>2110</v>
      </c>
      <c r="L854" s="24" t="str">
        <v>10 out of 10</v>
      </c>
      <c r="M854" s="23" t="b">
        <f t="shared" si="26"/>
        <v>1</v>
      </c>
      <c r="N854" s="23" t="str">
        <v>10 out of 10</v>
      </c>
      <c r="O854" s="23"/>
      <c r="P854" s="42" t="str">
        <v>10</v>
      </c>
      <c r="Q854" s="42" t="str">
        <v>10</v>
      </c>
      <c r="R854" s="42" t="str">
        <v>10</v>
      </c>
      <c r="S854" s="10" t="str">
        <f t="shared" si="27"/>
        <v>No Change</v>
      </c>
    </row>
    <row r="855" spans="1:19" ht="135" hidden="1">
      <c r="A855" s="14" t="s">
        <v>207</v>
      </c>
      <c r="B855" s="16" t="s">
        <v>13553</v>
      </c>
      <c r="C855" s="40" t="s">
        <v>5079</v>
      </c>
      <c r="D855" s="24"/>
      <c r="E855" s="24"/>
      <c r="F855" s="24" t="str">
        <v>X279</v>
      </c>
      <c r="G855" s="24" t="str">
        <v>10 out of 10</v>
      </c>
      <c r="H855" s="24" t="str">
        <v>https://nycdoe.sharepoint.com/:w:/s/BAP/EYciaf3naQhNhASzJX58ZZcB12Qys7_O24yLmBynq0TVGQ</v>
      </c>
      <c r="I855" s="23">
        <v>826</v>
      </c>
      <c r="J855" s="24" t="str">
        <v>-</v>
      </c>
      <c r="K855" s="24">
        <v>2111</v>
      </c>
      <c r="L855" s="24" t="str">
        <v>10 out of 10</v>
      </c>
      <c r="M855" s="23" t="b">
        <f t="shared" si="26"/>
        <v>1</v>
      </c>
      <c r="N855" s="23" t="str">
        <v>10 out of 10</v>
      </c>
      <c r="O855" s="23"/>
      <c r="P855" s="42" t="str">
        <v>10</v>
      </c>
      <c r="Q855" s="42" t="str">
        <v>10</v>
      </c>
      <c r="R855" s="42" t="str">
        <v>10</v>
      </c>
      <c r="S855" s="10" t="str">
        <f t="shared" si="27"/>
        <v>No Change</v>
      </c>
    </row>
    <row r="856" spans="1:19" ht="120" hidden="1">
      <c r="A856" s="14" t="s">
        <v>251</v>
      </c>
      <c r="B856" s="15" t="s">
        <v>13564</v>
      </c>
      <c r="C856" s="40" t="s">
        <v>13668</v>
      </c>
      <c r="D856" s="24"/>
      <c r="E856" s="24"/>
      <c r="F856" s="24" t="str">
        <v>X283</v>
      </c>
      <c r="G856" s="24" t="str">
        <v>9 out of 10</v>
      </c>
      <c r="H856" s="24" t="str">
        <v>https://nycdoe.sharepoint.com/:w:/s/BAP/EQas3DpNUi5Drv159BeXSSMBMARp6K-91An8nIIFIS2N-A</v>
      </c>
      <c r="I856" s="23">
        <v>827</v>
      </c>
      <c r="J856" s="24" t="str">
        <v>-</v>
      </c>
      <c r="K856" s="24">
        <v>2112</v>
      </c>
      <c r="L856" s="24" t="str">
        <v>9 out of 10</v>
      </c>
      <c r="M856" s="23" t="b">
        <f t="shared" si="26"/>
        <v>1</v>
      </c>
      <c r="N856" s="23" t="str">
        <v>9 out of 10</v>
      </c>
      <c r="O856" s="23"/>
      <c r="P856" s="42" t="str">
        <v>9</v>
      </c>
      <c r="Q856" s="42" t="str">
        <v>9</v>
      </c>
      <c r="R856" s="42" t="str">
        <v>9</v>
      </c>
      <c r="S856" s="10" t="str">
        <f t="shared" si="27"/>
        <v>No Change</v>
      </c>
    </row>
    <row r="857" spans="1:19" ht="120" hidden="1">
      <c r="A857" s="14" t="s">
        <v>890</v>
      </c>
      <c r="B857" s="15" t="s">
        <v>13565</v>
      </c>
      <c r="C857" s="40" t="s">
        <v>5296</v>
      </c>
      <c r="D857" s="24"/>
      <c r="E857" s="24"/>
      <c r="F857" s="24" t="str">
        <v>X285</v>
      </c>
      <c r="G857" s="24" t="str">
        <v>10 out of 10</v>
      </c>
      <c r="H857" s="24" t="str">
        <v>https://nycdoe.sharepoint.com/:w:/s/BAP/EWPqQb6Aw7hNulLpWhFWhdkBL5AhGfrd6YTzJc64KfNFEA</v>
      </c>
      <c r="I857" s="23">
        <v>828</v>
      </c>
      <c r="J857" s="24" t="str">
        <v>-</v>
      </c>
      <c r="K857" s="24">
        <v>2113</v>
      </c>
      <c r="L857" s="24" t="str">
        <v>10 out of 10</v>
      </c>
      <c r="M857" s="23" t="b">
        <f t="shared" si="26"/>
        <v>1</v>
      </c>
      <c r="N857" s="23" t="str">
        <v>10 out of 10</v>
      </c>
      <c r="O857" s="23"/>
      <c r="P857" s="42" t="str">
        <v>10</v>
      </c>
      <c r="Q857" s="42" t="str">
        <v>10</v>
      </c>
      <c r="R857" s="42" t="str">
        <v>10</v>
      </c>
      <c r="S857" s="10" t="str">
        <f t="shared" si="27"/>
        <v>No Change</v>
      </c>
    </row>
    <row r="858" spans="1:19" ht="120" hidden="1">
      <c r="A858" s="14" t="s">
        <v>419</v>
      </c>
      <c r="B858" s="15" t="s">
        <v>13553</v>
      </c>
      <c r="C858" s="40" t="s">
        <v>4839</v>
      </c>
      <c r="D858" s="24"/>
      <c r="E858" s="24"/>
      <c r="F858" s="24" t="str">
        <v>X292</v>
      </c>
      <c r="G858" s="24" t="str">
        <v>10 out of 10</v>
      </c>
      <c r="H858" s="24" t="str">
        <v>https://nycdoe.sharepoint.com/:w:/s/BAP/EdgoAfoHmzhLo-8GGUNNT40BVqD0ZBYIkad2LeCTmrxVVw</v>
      </c>
      <c r="I858" s="23">
        <v>829</v>
      </c>
      <c r="J858" s="24" t="str">
        <v>-</v>
      </c>
      <c r="K858" s="24">
        <v>2114</v>
      </c>
      <c r="L858" s="24" t="str">
        <v>10 out of 10</v>
      </c>
      <c r="M858" s="23" t="b">
        <f t="shared" si="26"/>
        <v>1</v>
      </c>
      <c r="N858" s="23" t="str">
        <v>10 out of 10</v>
      </c>
      <c r="O858" s="23"/>
      <c r="P858" s="42" t="str">
        <v>10</v>
      </c>
      <c r="Q858" s="42" t="str">
        <v>10</v>
      </c>
      <c r="R858" s="42" t="str">
        <v>10</v>
      </c>
      <c r="S858" s="10" t="str">
        <f t="shared" si="27"/>
        <v>No Change</v>
      </c>
    </row>
    <row r="859" spans="1:19" ht="120" hidden="1">
      <c r="A859" s="14" t="s">
        <v>424</v>
      </c>
      <c r="B859" s="15" t="s">
        <v>13553</v>
      </c>
      <c r="C859" s="40" t="s">
        <v>4843</v>
      </c>
      <c r="D859" s="24"/>
      <c r="E859" s="24"/>
      <c r="F859" s="24" t="str">
        <v>X306</v>
      </c>
      <c r="G859" s="24" t="str">
        <v>10 out of 10</v>
      </c>
      <c r="H859" s="24" t="str">
        <v>https://nycdoe.sharepoint.com/:w:/s/BAP/EfZi2A3kljhHjr4VLQ09FWMB9NdSF8WONxH1A405Vw9MNA</v>
      </c>
      <c r="I859" s="23">
        <v>830</v>
      </c>
      <c r="J859" s="24" t="str">
        <v>-</v>
      </c>
      <c r="K859" s="24">
        <v>2115</v>
      </c>
      <c r="L859" s="24" t="str">
        <v>10 out of 10</v>
      </c>
      <c r="M859" s="23" t="b">
        <f t="shared" si="26"/>
        <v>1</v>
      </c>
      <c r="N859" s="23" t="str">
        <v>10 out of 10</v>
      </c>
      <c r="O859" s="23"/>
      <c r="P859" s="42" t="str">
        <v>10</v>
      </c>
      <c r="Q859" s="42" t="str">
        <v>10</v>
      </c>
      <c r="R859" s="42" t="str">
        <v>10</v>
      </c>
      <c r="S859" s="10" t="str">
        <f t="shared" si="27"/>
        <v>No Change</v>
      </c>
    </row>
    <row r="860" spans="1:19" ht="120" hidden="1">
      <c r="A860" s="14" t="s">
        <v>646</v>
      </c>
      <c r="B860" s="15" t="s">
        <v>13564</v>
      </c>
      <c r="C860" s="40" t="s">
        <v>5083</v>
      </c>
      <c r="D860" s="24"/>
      <c r="E860" s="24"/>
      <c r="F860" s="24" t="str">
        <v>X311</v>
      </c>
      <c r="G860" s="24" t="str">
        <v>0 out of 10</v>
      </c>
      <c r="H860" s="24" t="str">
        <v>https://nycdoe.sharepoint.com/:w:/s/BAP/EaAb7oAmhABJmkbr5swIq1EBkJDa4mb4QqPQxV-RNiJ-2w</v>
      </c>
      <c r="I860" s="23">
        <v>831</v>
      </c>
      <c r="J860" s="24" t="str">
        <v>-</v>
      </c>
      <c r="K860" s="24">
        <v>2118</v>
      </c>
      <c r="L860" s="24" t="str">
        <v>N/A out of 10</v>
      </c>
      <c r="M860" s="23" t="b">
        <f t="shared" si="26"/>
        <v>0</v>
      </c>
      <c r="N860" s="23" t="str">
        <v>0 out of 10</v>
      </c>
      <c r="O860" s="23"/>
      <c r="P860" s="42" t="str">
        <v>0</v>
      </c>
      <c r="Q860" s="42" t="str">
        <v>N/A</v>
      </c>
      <c r="R860" s="42" t="str">
        <v>0</v>
      </c>
      <c r="S860" s="10" t="str">
        <f t="shared" si="27"/>
        <v>No Change</v>
      </c>
    </row>
    <row r="861" spans="1:19" ht="120" hidden="1">
      <c r="A861" s="14" t="s">
        <v>897</v>
      </c>
      <c r="B861" s="15" t="s">
        <v>13553</v>
      </c>
      <c r="C861" s="40" t="s">
        <v>5304</v>
      </c>
      <c r="D861" s="24"/>
      <c r="E861" s="24"/>
      <c r="F861" s="24" t="str">
        <v>X317</v>
      </c>
      <c r="G861" s="24" t="str">
        <v>10 out of 10</v>
      </c>
      <c r="H861" s="24" t="str">
        <v>https://nycdoe.sharepoint.com/:w:/s/BAP/EUgAnupij61Hg6ivD9zssy8BVzDJuoQZqWx7UeFLhbUaDA</v>
      </c>
      <c r="I861" s="23">
        <v>832</v>
      </c>
      <c r="J861" s="24" t="str">
        <v>-</v>
      </c>
      <c r="K861" s="24">
        <v>2120</v>
      </c>
      <c r="L861" s="24" t="str">
        <v>10 out of 10</v>
      </c>
      <c r="M861" s="23" t="b">
        <f t="shared" si="26"/>
        <v>1</v>
      </c>
      <c r="N861" s="23" t="str">
        <v>10 out of 10</v>
      </c>
      <c r="O861" s="23"/>
      <c r="P861" s="42" t="str">
        <v>10</v>
      </c>
      <c r="Q861" s="42" t="str">
        <v>10</v>
      </c>
      <c r="R861" s="42" t="str">
        <v>10</v>
      </c>
      <c r="S861" s="10" t="str">
        <f t="shared" si="27"/>
        <v>No Change</v>
      </c>
    </row>
    <row r="862" spans="1:19" ht="120" hidden="1">
      <c r="A862" s="14" t="s">
        <v>13392</v>
      </c>
      <c r="B862" s="15" t="s">
        <v>13553</v>
      </c>
      <c r="C862" s="40" t="s">
        <v>13669</v>
      </c>
      <c r="D862" s="24"/>
      <c r="E862" s="24"/>
      <c r="F862" s="24" t="str">
        <v>X320</v>
      </c>
      <c r="G862" s="24" t="str">
        <v>10 out of 10</v>
      </c>
      <c r="H862" s="24" t="str">
        <v>https://nycdoe.sharepoint.com/:w:/s/BAP/EfWOXBIQc_RJjBLUNDYQPCoBmIkSSSl21WJQKE_DESXD9w</v>
      </c>
      <c r="I862" s="23">
        <v>833</v>
      </c>
      <c r="J862" s="24" t="str">
        <v>-</v>
      </c>
      <c r="K862" s="24">
        <v>2121</v>
      </c>
      <c r="L862" s="24" t="str">
        <v>10 out of 10</v>
      </c>
      <c r="M862" s="23" t="b">
        <f t="shared" si="26"/>
        <v>1</v>
      </c>
      <c r="N862" s="23" t="str">
        <v>10 out of 10</v>
      </c>
      <c r="O862" s="23"/>
      <c r="P862" s="42" t="str">
        <v>10</v>
      </c>
      <c r="Q862" s="42" t="str">
        <v>10</v>
      </c>
      <c r="R862" s="42" t="str">
        <v>10</v>
      </c>
      <c r="S862" s="10" t="str">
        <f t="shared" si="27"/>
        <v>No Change</v>
      </c>
    </row>
    <row r="863" spans="1:19" ht="120" hidden="1">
      <c r="A863" s="14" t="s">
        <v>107</v>
      </c>
      <c r="B863" s="15" t="s">
        <v>13559</v>
      </c>
      <c r="C863" s="40" t="s">
        <v>4553</v>
      </c>
      <c r="D863" s="24"/>
      <c r="E863" s="24"/>
      <c r="F863" s="24" t="str">
        <v>X338</v>
      </c>
      <c r="G863" s="24" t="str">
        <v>10 out of 10</v>
      </c>
      <c r="H863" s="24" t="str">
        <v>https://nycdoe.sharepoint.com/:w:/s/BAP/ESOC7w2To_ZHtfGZjJeW0qoB565-lge8Zn1DvEj3icj-eQ</v>
      </c>
      <c r="I863" s="23">
        <v>834</v>
      </c>
      <c r="J863" s="24" t="str">
        <v>-</v>
      </c>
      <c r="K863" s="24">
        <v>2122</v>
      </c>
      <c r="L863" s="24" t="str">
        <v>10 out of 10</v>
      </c>
      <c r="M863" s="23" t="b">
        <f t="shared" si="26"/>
        <v>1</v>
      </c>
      <c r="N863" s="23" t="str">
        <v>10 out of 10</v>
      </c>
      <c r="O863" s="23"/>
      <c r="P863" s="42" t="str">
        <v>10</v>
      </c>
      <c r="Q863" s="42" t="str">
        <v>10</v>
      </c>
      <c r="R863" s="42" t="str">
        <v>10</v>
      </c>
      <c r="S863" s="10" t="str">
        <f t="shared" si="27"/>
        <v>No Change</v>
      </c>
    </row>
    <row r="864" spans="1:19" ht="105" hidden="1">
      <c r="A864" s="14" t="s">
        <v>271</v>
      </c>
      <c r="B864" s="15" t="s">
        <v>13555</v>
      </c>
      <c r="C864" s="40" t="s">
        <v>4683</v>
      </c>
      <c r="D864" s="24"/>
      <c r="E864" s="24"/>
      <c r="F864" s="24" t="str">
        <v>X340</v>
      </c>
      <c r="G864" s="24" t="str">
        <v>9 out of 10</v>
      </c>
      <c r="H864" s="24" t="str">
        <v>https://nycdoe.sharepoint.com/:w:/s/BAP/EdNKWqB6rUZFggAbc5_kjfMBVxTzRBojEZ3N2rXoxI8Kyw</v>
      </c>
      <c r="I864" s="23">
        <v>835</v>
      </c>
      <c r="J864" s="24" t="str">
        <v>-</v>
      </c>
      <c r="K864" s="24">
        <v>2124</v>
      </c>
      <c r="L864" s="24" t="str">
        <v>9 out of 10</v>
      </c>
      <c r="M864" s="23" t="b">
        <f t="shared" si="26"/>
        <v>1</v>
      </c>
      <c r="N864" s="23" t="str">
        <v>9 out of 10</v>
      </c>
      <c r="O864" s="23"/>
      <c r="P864" s="42" t="str">
        <v>9</v>
      </c>
      <c r="Q864" s="42" t="str">
        <v>9</v>
      </c>
      <c r="R864" s="42" t="str">
        <v>9</v>
      </c>
      <c r="S864" s="10" t="str">
        <f t="shared" si="27"/>
        <v>No Change</v>
      </c>
    </row>
    <row r="865" spans="1:19" ht="120" hidden="1">
      <c r="A865" s="14" t="s">
        <v>117</v>
      </c>
      <c r="B865" s="15" t="s">
        <v>13558</v>
      </c>
      <c r="C865" s="40" t="s">
        <v>4561</v>
      </c>
      <c r="D865" s="24"/>
      <c r="E865" s="24"/>
      <c r="F865" s="24" t="str">
        <v>X347</v>
      </c>
      <c r="G865" s="24" t="str">
        <v>10 out of 10</v>
      </c>
      <c r="H865" s="24" t="str">
        <v>https://nycdoe.sharepoint.com/:w:/s/BAP/ES0w3lv1YuVAn2D12BJx6WcB9CA03n_Y7b_RyIN7QXKJCw</v>
      </c>
      <c r="I865" s="23">
        <v>836</v>
      </c>
      <c r="J865" s="24" t="str">
        <v>-</v>
      </c>
      <c r="K865" s="24">
        <v>2125</v>
      </c>
      <c r="L865" s="24" t="str">
        <v>10 out of 10</v>
      </c>
      <c r="M865" s="23" t="b">
        <f t="shared" si="26"/>
        <v>1</v>
      </c>
      <c r="N865" s="23" t="str">
        <v>10 out of 10</v>
      </c>
      <c r="O865" s="23"/>
      <c r="P865" s="42" t="str">
        <v>10</v>
      </c>
      <c r="Q865" s="42" t="str">
        <v>10</v>
      </c>
      <c r="R865" s="42" t="str">
        <v>10</v>
      </c>
      <c r="S865" s="10" t="str">
        <f t="shared" si="27"/>
        <v>No Change</v>
      </c>
    </row>
    <row r="866" spans="1:19" ht="120" hidden="1">
      <c r="A866" s="14" t="s">
        <v>669</v>
      </c>
      <c r="B866" s="15" t="s">
        <v>13565</v>
      </c>
      <c r="C866" s="40" t="s">
        <v>5099</v>
      </c>
      <c r="D866" s="24"/>
      <c r="E866" s="24"/>
      <c r="F866" s="24" t="str">
        <v>X358</v>
      </c>
      <c r="G866" s="24" t="str">
        <v>10 out of 10</v>
      </c>
      <c r="H866" s="24" t="str">
        <v>https://nycdoe.sharepoint.com/:w:/s/BAP/EV3kA7nfwelHqgpDGJjnPHsBGvXnTnsydsrajOHLt8p0Gw</v>
      </c>
      <c r="I866" s="23">
        <v>837</v>
      </c>
      <c r="J866" s="24" t="str">
        <v>-</v>
      </c>
      <c r="K866" s="24">
        <v>2128</v>
      </c>
      <c r="L866" s="24" t="str">
        <v>10 out of 10</v>
      </c>
      <c r="M866" s="23" t="b">
        <f t="shared" si="26"/>
        <v>1</v>
      </c>
      <c r="N866" s="23" t="str">
        <v>10 out of 10</v>
      </c>
      <c r="O866" s="23"/>
      <c r="P866" s="42" t="str">
        <v>10</v>
      </c>
      <c r="Q866" s="42" t="str">
        <v>10</v>
      </c>
      <c r="R866" s="42" t="str">
        <v>10</v>
      </c>
      <c r="S866" s="10" t="str">
        <f t="shared" si="27"/>
        <v>No Change</v>
      </c>
    </row>
    <row r="867" spans="1:19" ht="120" hidden="1">
      <c r="A867" s="14" t="s">
        <v>1023</v>
      </c>
      <c r="B867" s="15" t="s">
        <v>13555</v>
      </c>
      <c r="C867" s="40" t="s">
        <v>5416</v>
      </c>
      <c r="D867" s="24"/>
      <c r="E867" s="24"/>
      <c r="F867" s="24" t="str">
        <v>X360</v>
      </c>
      <c r="G867" s="24" t="str">
        <v>10 out of 10</v>
      </c>
      <c r="H867" s="24" t="str">
        <v>https://nycdoe.sharepoint.com/:w:/s/BAP/EfK83fDrmI5Al4sd9VzH5kABdFqQUfJTIMgv7fFy3j9W9Q</v>
      </c>
      <c r="I867" s="23">
        <v>838</v>
      </c>
      <c r="J867" s="24" t="str">
        <v>-</v>
      </c>
      <c r="K867" s="24">
        <v>2129</v>
      </c>
      <c r="L867" s="24" t="str">
        <v>10 out of 10</v>
      </c>
      <c r="M867" s="23" t="b">
        <f t="shared" si="26"/>
        <v>1</v>
      </c>
      <c r="N867" s="23" t="str">
        <v>10 out of 10</v>
      </c>
      <c r="O867" s="23"/>
      <c r="P867" s="42" t="str">
        <v>10</v>
      </c>
      <c r="Q867" s="42" t="str">
        <v>10</v>
      </c>
      <c r="R867" s="42" t="str">
        <v>10</v>
      </c>
      <c r="S867" s="10" t="str">
        <f t="shared" si="27"/>
        <v>No Change</v>
      </c>
    </row>
    <row r="868" spans="1:19" ht="120" hidden="1">
      <c r="A868" s="14" t="s">
        <v>904</v>
      </c>
      <c r="B868" s="15" t="s">
        <v>13558</v>
      </c>
      <c r="C868" s="40" t="s">
        <v>5308</v>
      </c>
      <c r="D868" s="24"/>
      <c r="E868" s="24"/>
      <c r="F868" s="24" t="str">
        <v>X361</v>
      </c>
      <c r="G868" s="24" t="str">
        <v>10 out of 10</v>
      </c>
      <c r="H868" s="24" t="str">
        <v>https://nycdoe.sharepoint.com/:w:/s/BAP/EYCKymSpfexPlbMrxTpt0DIBOo-gEBsr5j7AYKTFf6-6zQ</v>
      </c>
      <c r="I868" s="23">
        <v>839</v>
      </c>
      <c r="J868" s="24" t="str">
        <v>-</v>
      </c>
      <c r="K868" s="24">
        <v>2130</v>
      </c>
      <c r="L868" s="24" t="str">
        <v>10 out of 10</v>
      </c>
      <c r="M868" s="23" t="b">
        <f t="shared" si="26"/>
        <v>1</v>
      </c>
      <c r="N868" s="23" t="str">
        <v>10 out of 10</v>
      </c>
      <c r="O868" s="23"/>
      <c r="P868" s="42" t="str">
        <v>10</v>
      </c>
      <c r="Q868" s="42" t="str">
        <v>10</v>
      </c>
      <c r="R868" s="42" t="str">
        <v>10</v>
      </c>
      <c r="S868" s="10" t="str">
        <f t="shared" si="27"/>
        <v>No Change</v>
      </c>
    </row>
    <row r="869" spans="1:19" ht="120" hidden="1">
      <c r="A869" s="14" t="s">
        <v>680</v>
      </c>
      <c r="B869" s="15" t="s">
        <v>13558</v>
      </c>
      <c r="C869" s="40" t="s">
        <v>5107</v>
      </c>
      <c r="D869" s="24"/>
      <c r="E869" s="24"/>
      <c r="F869" s="24" t="str">
        <v>X362</v>
      </c>
      <c r="G869" s="24" t="str">
        <v>10 out of 10</v>
      </c>
      <c r="H869" s="24" t="str">
        <v>https://nycdoe.sharepoint.com/:w:/s/BAP/EUWvNmql0ZVBh1QGf7kQlZsBADMivbxY3FICVAo2-TK9hg</v>
      </c>
      <c r="I869" s="23">
        <v>840</v>
      </c>
      <c r="J869" s="24" t="str">
        <v>-</v>
      </c>
      <c r="K869" s="24">
        <v>2131</v>
      </c>
      <c r="L869" s="24" t="str">
        <v>10 out of 10</v>
      </c>
      <c r="M869" s="23" t="b">
        <f t="shared" si="26"/>
        <v>1</v>
      </c>
      <c r="N869" s="23" t="str">
        <v>10 out of 10</v>
      </c>
      <c r="O869" s="23"/>
      <c r="P869" s="42" t="str">
        <v>10</v>
      </c>
      <c r="Q869" s="42" t="str">
        <v>10</v>
      </c>
      <c r="R869" s="42" t="str">
        <v>10</v>
      </c>
      <c r="S869" s="10" t="str">
        <f t="shared" si="27"/>
        <v>No Change</v>
      </c>
    </row>
    <row r="870" spans="1:19" ht="120" hidden="1">
      <c r="A870" s="14" t="s">
        <v>125</v>
      </c>
      <c r="B870" s="15" t="s">
        <v>13553</v>
      </c>
      <c r="C870" s="40" t="s">
        <v>4568</v>
      </c>
      <c r="D870" s="24"/>
      <c r="E870" s="24"/>
      <c r="F870" s="24" t="str">
        <v>X368</v>
      </c>
      <c r="G870" s="24" t="str">
        <v>10 out of 10</v>
      </c>
      <c r="H870" s="24" t="str">
        <v>https://nycdoe.sharepoint.com/:w:/s/BAP/EQOH641De-lNjsVJ07eE9l4BT8bpanVsVvSmtBqorsoIcg</v>
      </c>
      <c r="I870" s="23">
        <v>841</v>
      </c>
      <c r="J870" s="24" t="str">
        <v>-</v>
      </c>
      <c r="K870" s="24">
        <v>2135</v>
      </c>
      <c r="L870" s="24" t="str">
        <v>10 out of 10</v>
      </c>
      <c r="M870" s="23" t="b">
        <f t="shared" si="26"/>
        <v>1</v>
      </c>
      <c r="N870" s="23" t="str">
        <v>10 out of 10</v>
      </c>
      <c r="O870" s="23"/>
      <c r="P870" s="42" t="str">
        <v>10</v>
      </c>
      <c r="Q870" s="42" t="str">
        <v>10</v>
      </c>
      <c r="R870" s="42" t="str">
        <v>10</v>
      </c>
      <c r="S870" s="10" t="str">
        <f t="shared" si="27"/>
        <v>No Change</v>
      </c>
    </row>
    <row r="871" spans="1:19" ht="120" hidden="1">
      <c r="A871" s="14" t="s">
        <v>5417</v>
      </c>
      <c r="B871" s="15" t="s">
        <v>13555</v>
      </c>
      <c r="C871" s="40" t="s">
        <v>5419</v>
      </c>
      <c r="D871" s="24"/>
      <c r="E871" s="24"/>
      <c r="F871" s="24" t="str">
        <v>X392</v>
      </c>
      <c r="G871" s="24" t="str">
        <v>10 out of 10</v>
      </c>
      <c r="H871" s="24" t="str">
        <v>https://nycdoe.sharepoint.com/:w:/s/BAP/ERhjR5Zz2wZJhLzDEMALfCoBsdzEhjulaikKPW4G3PhPOg</v>
      </c>
      <c r="I871" s="23">
        <v>842</v>
      </c>
      <c r="J871" s="24" t="str">
        <v>-</v>
      </c>
      <c r="K871" s="24">
        <v>2139</v>
      </c>
      <c r="L871" s="24" t="str">
        <v>10 out of 10</v>
      </c>
      <c r="M871" s="23" t="b">
        <f t="shared" si="26"/>
        <v>1</v>
      </c>
      <c r="N871" s="23" t="str">
        <v>10 out of 10</v>
      </c>
      <c r="O871" s="23"/>
      <c r="P871" s="42" t="str">
        <v>10</v>
      </c>
      <c r="Q871" s="42" t="str">
        <v>10</v>
      </c>
      <c r="R871" s="42" t="str">
        <v>10</v>
      </c>
      <c r="S871" s="10" t="str">
        <f t="shared" si="27"/>
        <v>No Change</v>
      </c>
    </row>
    <row r="872" spans="1:19" ht="120" hidden="1">
      <c r="A872" s="14" t="s">
        <v>4686</v>
      </c>
      <c r="B872" s="15" t="s">
        <v>13558</v>
      </c>
      <c r="C872" s="40" t="s">
        <v>4691</v>
      </c>
      <c r="D872" s="24"/>
      <c r="E872" s="24"/>
      <c r="F872" s="24" t="str">
        <v>X400</v>
      </c>
      <c r="G872" s="24" t="str">
        <v>6 out of 10</v>
      </c>
      <c r="H872" s="24" t="str">
        <v>https://nycdoe.sharepoint.com/:w:/s/BAP/EZ25paNmN49MhSrjFB2WJhoBa_409CP5L4OrWy6BZj_nYw</v>
      </c>
      <c r="I872" s="23">
        <v>843</v>
      </c>
      <c r="J872" s="24" t="str">
        <v>-</v>
      </c>
      <c r="K872" s="24">
        <v>2141</v>
      </c>
      <c r="L872" s="24" t="str">
        <v>6 out of 10</v>
      </c>
      <c r="M872" s="23" t="b">
        <f t="shared" si="26"/>
        <v>1</v>
      </c>
      <c r="N872" s="23" t="str">
        <v>6 out of 10</v>
      </c>
      <c r="O872" s="23"/>
      <c r="P872" s="42" t="str">
        <v>6</v>
      </c>
      <c r="Q872" s="42" t="str">
        <v>6</v>
      </c>
      <c r="R872" s="42" t="str">
        <v>6</v>
      </c>
      <c r="S872" s="10" t="str">
        <f t="shared" si="27"/>
        <v>No Change</v>
      </c>
    </row>
    <row r="873" spans="1:19" ht="120" hidden="1">
      <c r="A873" s="14" t="s">
        <v>685</v>
      </c>
      <c r="B873" s="15" t="s">
        <v>13555</v>
      </c>
      <c r="C873" s="40" t="s">
        <v>5116</v>
      </c>
      <c r="D873" s="24"/>
      <c r="E873" s="24"/>
      <c r="F873" s="24" t="str">
        <v>X405</v>
      </c>
      <c r="G873" s="24" t="str">
        <v>6 out of 10</v>
      </c>
      <c r="H873" s="24" t="str">
        <v>https://nycdoe.sharepoint.com/:w:/s/BAP/EZ75nWLFlatAjjwiTSkjRWEBWqJS78C26qWJH7sAWVYEKw</v>
      </c>
      <c r="I873" s="23">
        <v>844</v>
      </c>
      <c r="J873" s="24" t="str">
        <v>-</v>
      </c>
      <c r="K873" s="24">
        <v>2149</v>
      </c>
      <c r="L873" s="24" t="str">
        <v>6 out of 10</v>
      </c>
      <c r="M873" s="23" t="b">
        <f t="shared" si="26"/>
        <v>1</v>
      </c>
      <c r="N873" s="23" t="str">
        <v>6 out of 10</v>
      </c>
      <c r="O873" s="23"/>
      <c r="P873" s="42" t="str">
        <v>6</v>
      </c>
      <c r="Q873" s="42" t="str">
        <v>6</v>
      </c>
      <c r="R873" s="42" t="str">
        <v>6</v>
      </c>
      <c r="S873" s="10" t="str">
        <f t="shared" si="27"/>
        <v>No Change</v>
      </c>
    </row>
    <row r="874" spans="1:19" ht="120" hidden="1">
      <c r="A874" s="14" t="s">
        <v>5117</v>
      </c>
      <c r="B874" s="15" t="s">
        <v>13555</v>
      </c>
      <c r="C874" s="40" t="s">
        <v>5119</v>
      </c>
      <c r="D874" s="24"/>
      <c r="E874" s="24"/>
      <c r="F874" s="24" t="str">
        <v>X410</v>
      </c>
      <c r="G874" s="24" t="str">
        <v>6 out of 10</v>
      </c>
      <c r="H874" s="24" t="str">
        <v>https://nycdoe.sharepoint.com/:w:/s/BAP/Eb_abUxEHtFMstxD5gSqFccBER-dwJOvdp55UJ6Nc3RDdA</v>
      </c>
      <c r="I874" s="23">
        <v>845</v>
      </c>
      <c r="J874" s="24" t="str">
        <v>-</v>
      </c>
      <c r="K874" s="24">
        <v>2156</v>
      </c>
      <c r="L874" s="24" t="str">
        <v>6 out of 10</v>
      </c>
      <c r="M874" s="23" t="b">
        <f t="shared" si="26"/>
        <v>1</v>
      </c>
      <c r="N874" s="23" t="str">
        <v>6 out of 10</v>
      </c>
      <c r="O874" s="23"/>
      <c r="P874" s="42" t="str">
        <v>6</v>
      </c>
      <c r="Q874" s="42" t="str">
        <v>6</v>
      </c>
      <c r="R874" s="42" t="str">
        <v>6</v>
      </c>
      <c r="S874" s="10" t="str">
        <f t="shared" si="27"/>
        <v>No Change</v>
      </c>
    </row>
    <row r="875" spans="1:19" ht="120" hidden="1">
      <c r="A875" s="14" t="s">
        <v>906</v>
      </c>
      <c r="B875" s="15" t="s">
        <v>13555</v>
      </c>
      <c r="C875" s="40" t="s">
        <v>5312</v>
      </c>
      <c r="D875" s="24"/>
      <c r="E875" s="24"/>
      <c r="F875" s="24" t="str">
        <v>X415</v>
      </c>
      <c r="G875" s="24" t="str">
        <v>4 out of 10</v>
      </c>
      <c r="H875" s="24" t="str">
        <v>https://nycdoe.sharepoint.com/:w:/s/BAP/EcImm7XKDhJImEZ-pioOvnkBxFGsROP_3MyDm_LBt6r3wA</v>
      </c>
      <c r="I875" s="23">
        <v>846</v>
      </c>
      <c r="J875" s="24" t="str">
        <v>-</v>
      </c>
      <c r="K875" s="24">
        <v>2163</v>
      </c>
      <c r="L875" s="24" t="str">
        <v>4 out of 10</v>
      </c>
      <c r="M875" s="23" t="b">
        <f t="shared" si="26"/>
        <v>1</v>
      </c>
      <c r="N875" s="23" t="str">
        <v>4 out of 10</v>
      </c>
      <c r="O875" s="23"/>
      <c r="P875" s="42" t="str">
        <v>4</v>
      </c>
      <c r="Q875" s="42" t="str">
        <v>4</v>
      </c>
      <c r="R875" s="42" t="str">
        <v>4</v>
      </c>
      <c r="S875" s="10" t="str">
        <f t="shared" si="27"/>
        <v>No Change</v>
      </c>
    </row>
    <row r="876" spans="1:19" ht="120" hidden="1">
      <c r="A876" s="14" t="s">
        <v>4692</v>
      </c>
      <c r="B876" s="15" t="s">
        <v>13558</v>
      </c>
      <c r="C876" s="40" t="s">
        <v>4694</v>
      </c>
      <c r="D876" s="24"/>
      <c r="E876" s="24"/>
      <c r="F876" s="24" t="str">
        <v>X420</v>
      </c>
      <c r="G876" s="24" t="str">
        <v>7 out of 10</v>
      </c>
      <c r="H876" s="24" t="str">
        <v>https://nycdoe.sharepoint.com/:w:/s/BAP/EZuVEmE3jApBqd5AHJiDmyABh27uHCkL_bK3FcHWnYVubg</v>
      </c>
      <c r="I876" s="23">
        <v>847</v>
      </c>
      <c r="J876" s="24" t="str">
        <v>-</v>
      </c>
      <c r="K876" s="24">
        <v>2169</v>
      </c>
      <c r="L876" s="24" t="str">
        <v>7 out of 10</v>
      </c>
      <c r="M876" s="23" t="b">
        <f t="shared" si="26"/>
        <v>1</v>
      </c>
      <c r="N876" s="23" t="str">
        <v>7 out of 10</v>
      </c>
      <c r="O876" s="23"/>
      <c r="P876" s="42" t="str">
        <v>7</v>
      </c>
      <c r="Q876" s="42" t="str">
        <v>7</v>
      </c>
      <c r="R876" s="42" t="str">
        <v>7</v>
      </c>
      <c r="S876" s="10" t="str">
        <f t="shared" si="27"/>
        <v>No Change</v>
      </c>
    </row>
    <row r="877" spans="1:19" ht="120" hidden="1">
      <c r="A877" s="14" t="s">
        <v>690</v>
      </c>
      <c r="B877" s="15" t="s">
        <v>13558</v>
      </c>
      <c r="C877" s="40" t="s">
        <v>5125</v>
      </c>
      <c r="D877" s="24"/>
      <c r="E877" s="24"/>
      <c r="F877" s="24" t="str">
        <v>X423</v>
      </c>
      <c r="G877" s="24" t="str">
        <v>10 out of 10</v>
      </c>
      <c r="H877" s="24" t="str">
        <v>https://nycdoe.sharepoint.com/:w:/s/BAP/EefIIt--1e9DnS_XKVRa-PoB-uSdCd9VOJNhSadJANl5-w</v>
      </c>
      <c r="I877" s="23">
        <v>848</v>
      </c>
      <c r="J877" s="24" t="str">
        <v>-</v>
      </c>
      <c r="K877" s="24">
        <v>2173</v>
      </c>
      <c r="L877" s="24" t="str">
        <v>10 out of 10</v>
      </c>
      <c r="M877" s="23" t="b">
        <f t="shared" si="26"/>
        <v>1</v>
      </c>
      <c r="N877" s="23" t="str">
        <v>10 out of 10</v>
      </c>
      <c r="O877" s="23"/>
      <c r="P877" s="42" t="str">
        <v>10</v>
      </c>
      <c r="Q877" s="42" t="str">
        <v>10</v>
      </c>
      <c r="R877" s="42" t="str">
        <v>10</v>
      </c>
      <c r="S877" s="10" t="str">
        <f t="shared" si="27"/>
        <v>No Change</v>
      </c>
    </row>
    <row r="878" spans="1:19" ht="120" hidden="1">
      <c r="A878" s="14" t="s">
        <v>695</v>
      </c>
      <c r="B878" s="15" t="s">
        <v>13555</v>
      </c>
      <c r="C878" s="40" t="s">
        <v>5129</v>
      </c>
      <c r="D878" s="24"/>
      <c r="E878" s="24"/>
      <c r="F878" s="24" t="str">
        <v>X425</v>
      </c>
      <c r="G878" s="24" t="str">
        <v>9 out of 10</v>
      </c>
      <c r="H878" s="24" t="str">
        <v>https://nycdoe.sharepoint.com/:w:/s/BAP/ETOD0OOfvrZLlgbJ0gAiS9cB9kkUK9RWYRGf_mX4yPwv9A</v>
      </c>
      <c r="I878" s="23">
        <v>849</v>
      </c>
      <c r="J878" s="24" t="str">
        <v>-</v>
      </c>
      <c r="K878" s="24">
        <v>2176</v>
      </c>
      <c r="L878" s="24" t="str">
        <v>9 out of 10</v>
      </c>
      <c r="M878" s="23" t="b">
        <f t="shared" si="26"/>
        <v>1</v>
      </c>
      <c r="N878" s="23" t="str">
        <v>9 out of 10</v>
      </c>
      <c r="O878" s="23"/>
      <c r="P878" s="42" t="str">
        <v>9</v>
      </c>
      <c r="Q878" s="42" t="str">
        <v>9</v>
      </c>
      <c r="R878" s="42" t="str">
        <v>9</v>
      </c>
      <c r="S878" s="10" t="str">
        <f t="shared" si="27"/>
        <v>No Change</v>
      </c>
    </row>
    <row r="879" spans="1:19" ht="120" hidden="1">
      <c r="A879" s="14" t="s">
        <v>13454</v>
      </c>
      <c r="B879" s="15" t="s">
        <v>13561</v>
      </c>
      <c r="C879" s="40" t="s">
        <v>13670</v>
      </c>
      <c r="D879" s="24"/>
      <c r="E879" s="24"/>
      <c r="F879" s="24" t="str">
        <v>X430</v>
      </c>
      <c r="G879" s="24" t="str">
        <v>9 out of 10</v>
      </c>
      <c r="H879" s="24" t="str">
        <v>https://nycdoe.sharepoint.com/:w:/s/BAP/EfAzzkW-PhNPlg3YfhwvaoQBauAq0dxjremCLVnWvKRVVg</v>
      </c>
      <c r="I879" s="23">
        <v>850</v>
      </c>
      <c r="J879" s="24" t="str">
        <v>-</v>
      </c>
      <c r="K879" s="24">
        <v>2183</v>
      </c>
      <c r="L879" s="24" t="str">
        <v>9 out of 10</v>
      </c>
      <c r="M879" s="23" t="b">
        <f t="shared" si="26"/>
        <v>1</v>
      </c>
      <c r="N879" s="23" t="str">
        <v>9 out of 10</v>
      </c>
      <c r="O879" s="23"/>
      <c r="P879" s="42" t="str">
        <v>9</v>
      </c>
      <c r="Q879" s="42" t="str">
        <v>9</v>
      </c>
      <c r="R879" s="42" t="str">
        <v>9</v>
      </c>
      <c r="S879" s="10" t="str">
        <f t="shared" si="27"/>
        <v>No Change</v>
      </c>
    </row>
    <row r="880" spans="1:19" ht="120" hidden="1">
      <c r="A880" s="14" t="s">
        <v>429</v>
      </c>
      <c r="B880" s="15" t="s">
        <v>13555</v>
      </c>
      <c r="C880" s="40" t="s">
        <v>4858</v>
      </c>
      <c r="D880" s="24"/>
      <c r="E880" s="24"/>
      <c r="F880" s="24" t="str">
        <v>X435</v>
      </c>
      <c r="G880" s="24" t="str">
        <v>8 out of 10</v>
      </c>
      <c r="H880" s="24" t="str">
        <v>https://nycdoe.sharepoint.com/:w:/s/BAP/Eeued8N6ZFlIvSxifuIOregBnKinbTIRC34Lcv31NJkpfw</v>
      </c>
      <c r="I880" s="23">
        <v>851</v>
      </c>
      <c r="J880" s="24" t="str">
        <v>-</v>
      </c>
      <c r="K880" s="24">
        <v>2189</v>
      </c>
      <c r="L880" s="24" t="str">
        <v>8 out of 10</v>
      </c>
      <c r="M880" s="23" t="b">
        <f t="shared" si="26"/>
        <v>1</v>
      </c>
      <c r="N880" s="23" t="str">
        <v>8 out of 10</v>
      </c>
      <c r="O880" s="23"/>
      <c r="P880" s="42" t="str">
        <v>8</v>
      </c>
      <c r="Q880" s="42" t="str">
        <v>8</v>
      </c>
      <c r="R880" s="42" t="str">
        <v>8</v>
      </c>
      <c r="S880" s="10" t="str">
        <f t="shared" si="27"/>
        <v>No Change</v>
      </c>
    </row>
    <row r="881" spans="1:19" ht="120" hidden="1">
      <c r="A881" s="14" t="s">
        <v>1028</v>
      </c>
      <c r="B881" s="15" t="s">
        <v>13555</v>
      </c>
      <c r="C881" s="40" t="s">
        <v>5423</v>
      </c>
      <c r="D881" s="24"/>
      <c r="E881" s="24"/>
      <c r="F881" s="24" t="str">
        <v>X440</v>
      </c>
      <c r="G881" s="24" t="str">
        <v>6 out of 10</v>
      </c>
      <c r="H881" s="24" t="str">
        <v>https://nycdoe.sharepoint.com/:w:/s/BAP/EWF0UWsw76xNjUrg6KGDAmcBtMx_jgHcVIIACiT3pjQLtA</v>
      </c>
      <c r="I881" s="23">
        <v>852</v>
      </c>
      <c r="J881" s="24" t="str">
        <v>-</v>
      </c>
      <c r="K881" s="24">
        <v>2195</v>
      </c>
      <c r="L881" s="24" t="str">
        <v>6 out of 10</v>
      </c>
      <c r="M881" s="23" t="b">
        <f t="shared" si="26"/>
        <v>1</v>
      </c>
      <c r="N881" s="23" t="str">
        <v>6 out of 10</v>
      </c>
      <c r="O881" s="23"/>
      <c r="P881" s="42" t="str">
        <v>6</v>
      </c>
      <c r="Q881" s="42" t="str">
        <v>6</v>
      </c>
      <c r="R881" s="42" t="str">
        <v>6</v>
      </c>
      <c r="S881" s="10" t="str">
        <f t="shared" si="27"/>
        <v>No Change</v>
      </c>
    </row>
    <row r="882" spans="1:19" ht="120" hidden="1">
      <c r="A882" s="14" t="s">
        <v>1033</v>
      </c>
      <c r="B882" s="15" t="s">
        <v>13553</v>
      </c>
      <c r="C882" s="40" t="s">
        <v>5427</v>
      </c>
      <c r="D882" s="24"/>
      <c r="E882" s="24"/>
      <c r="F882" s="24" t="str">
        <v>X445</v>
      </c>
      <c r="G882" s="24" t="str">
        <v>4 out of 10</v>
      </c>
      <c r="H882" s="24" t="str">
        <v>https://nycdoe.sharepoint.com/:w:/s/BAP/EW2nJwOQD6BBnEY85VXxyCoBcqOG-jPk0s-XqFdYlqN5vA</v>
      </c>
      <c r="I882" s="23">
        <v>853</v>
      </c>
      <c r="J882" s="24" t="str">
        <v>-</v>
      </c>
      <c r="K882" s="24">
        <v>2202</v>
      </c>
      <c r="L882" s="24" t="str">
        <v>4 out of 10</v>
      </c>
      <c r="M882" s="23" t="b">
        <f t="shared" si="26"/>
        <v>1</v>
      </c>
      <c r="N882" s="23" t="str">
        <v>4 out of 10</v>
      </c>
      <c r="O882" s="23"/>
      <c r="P882" s="42" t="str">
        <v>4</v>
      </c>
      <c r="Q882" s="42" t="str">
        <v>4</v>
      </c>
      <c r="R882" s="42" t="str">
        <v>4</v>
      </c>
      <c r="S882" s="10" t="str">
        <f t="shared" si="27"/>
        <v>No Change</v>
      </c>
    </row>
    <row r="883" spans="1:19" ht="120" hidden="1">
      <c r="A883" s="14" t="s">
        <v>139</v>
      </c>
      <c r="B883" s="15" t="s">
        <v>13553</v>
      </c>
      <c r="C883" s="40" t="s">
        <v>4579</v>
      </c>
      <c r="D883" s="24"/>
      <c r="E883" s="24"/>
      <c r="F883" s="24" t="str">
        <v>X448</v>
      </c>
      <c r="G883" s="24" t="str">
        <v>10 out of 10</v>
      </c>
      <c r="H883" s="24" t="str">
        <v>https://nycdoe.sharepoint.com/:w:/s/BAP/EZxFS-Wr3CBIliMC0MIYVGUBIc4XmFCV-nW7hV5Lwz8SEw</v>
      </c>
      <c r="I883" s="23">
        <v>854</v>
      </c>
      <c r="J883" s="24" t="str">
        <v>-</v>
      </c>
      <c r="K883" s="24">
        <v>2203</v>
      </c>
      <c r="L883" s="24" t="str">
        <v>10 out of 10</v>
      </c>
      <c r="M883" s="23" t="b">
        <f t="shared" si="26"/>
        <v>1</v>
      </c>
      <c r="N883" s="23" t="str">
        <v>10 out of 10</v>
      </c>
      <c r="O883" s="23"/>
      <c r="P883" s="42" t="str">
        <v>10</v>
      </c>
      <c r="Q883" s="42" t="str">
        <v>10</v>
      </c>
      <c r="R883" s="42" t="str">
        <v>10</v>
      </c>
      <c r="S883" s="10" t="str">
        <f t="shared" si="27"/>
        <v>No Change</v>
      </c>
    </row>
    <row r="884" spans="1:19" ht="28.5" customHeight="1">
      <c r="A884" s="14" t="s">
        <v>700</v>
      </c>
      <c r="B884" s="15" t="s">
        <v>13565</v>
      </c>
      <c r="C884" s="40" t="s">
        <v>5133</v>
      </c>
      <c r="D884" s="24"/>
      <c r="E884" s="24"/>
      <c r="F884" s="24" t="str">
        <v>X450</v>
      </c>
      <c r="G884" s="24" t="str">
        <v>8 out of 10</v>
      </c>
      <c r="H884" s="24" t="str">
        <v>https://nycdoe.sharepoint.com/:w:/s/BAP/EcnfaZ-JOBpGvfT-LfHqxYABvMsAC3hMP7WshI9CWSZqWQ</v>
      </c>
      <c r="I884" s="23">
        <v>855</v>
      </c>
      <c r="J884" s="24" t="str">
        <v>8 out of 10</v>
      </c>
      <c r="K884" s="24">
        <v>2204</v>
      </c>
      <c r="L884" s="24" t="str">
        <v>6 out of 10</v>
      </c>
      <c r="M884" s="23" t="b">
        <f t="shared" si="26"/>
        <v>0</v>
      </c>
      <c r="N884" s="23" t="str">
        <v>8 out of 10</v>
      </c>
      <c r="O884" s="23"/>
      <c r="P884" s="42" t="str">
        <v>8</v>
      </c>
      <c r="Q884" s="42" t="str">
        <v>6</v>
      </c>
      <c r="R884" s="42" t="str">
        <v>8</v>
      </c>
      <c r="S884" s="10" t="str">
        <f t="shared" si="27"/>
        <v>Change</v>
      </c>
    </row>
    <row r="885" spans="1:19" ht="58.5" hidden="1" customHeight="1">
      <c r="A885" s="14" t="s">
        <v>13500</v>
      </c>
      <c r="B885" s="15" t="s">
        <v>13553</v>
      </c>
      <c r="C885" s="40" t="s">
        <v>13671</v>
      </c>
      <c r="D885" s="24"/>
      <c r="E885" s="24"/>
      <c r="F885" s="24" t="str">
        <v>X455</v>
      </c>
      <c r="G885" s="24" t="str">
        <v>5 out of 10</v>
      </c>
      <c r="H885" s="24" t="str">
        <v>https://nycdoe.sharepoint.com/:w:/s/BAP/EajNAH3CXoBNhGTR6zvvHUQB6ifxetZv9YFf73p6UyVnrg</v>
      </c>
      <c r="I885" s="23">
        <v>856</v>
      </c>
      <c r="J885" s="24" t="str">
        <v>-</v>
      </c>
      <c r="K885" s="24">
        <v>2211</v>
      </c>
      <c r="L885" s="24" t="str">
        <v>5 out of 10</v>
      </c>
      <c r="M885" s="23" t="b">
        <f t="shared" si="26"/>
        <v>1</v>
      </c>
      <c r="N885" s="23" t="str">
        <v>5 out of 10</v>
      </c>
      <c r="O885" s="23"/>
      <c r="P885" s="42" t="str">
        <v>5</v>
      </c>
      <c r="Q885" s="42" t="str">
        <v>5</v>
      </c>
      <c r="R885" s="42" t="str">
        <v>5</v>
      </c>
      <c r="S885" s="10" t="str">
        <f t="shared" si="27"/>
        <v>No Change</v>
      </c>
    </row>
    <row r="886" spans="1:19" ht="120" hidden="1">
      <c r="A886" s="14" t="s">
        <v>705</v>
      </c>
      <c r="B886" s="15" t="s">
        <v>13553</v>
      </c>
      <c r="C886" s="40" t="s">
        <v>5137</v>
      </c>
      <c r="D886" s="24"/>
      <c r="E886" s="24"/>
      <c r="F886" s="24" t="str">
        <v>X460</v>
      </c>
      <c r="G886" s="24" t="str">
        <v>10 out of 10</v>
      </c>
      <c r="H886" s="24" t="str">
        <v>https://nycdoe.sharepoint.com/:w:/s/BAP/EQexBVKIbMhJnYlmLqWasPwBIDE3koqVb36jZ4LVL6fzbw</v>
      </c>
      <c r="I886" s="23">
        <v>857</v>
      </c>
      <c r="J886" s="24" t="str">
        <v>-</v>
      </c>
      <c r="K886" s="24">
        <v>2214</v>
      </c>
      <c r="L886" s="24" t="str">
        <v>10 out of 10</v>
      </c>
      <c r="M886" s="23" t="b">
        <f t="shared" si="26"/>
        <v>1</v>
      </c>
      <c r="N886" s="23" t="str">
        <v>10 out of 10</v>
      </c>
      <c r="O886" s="23"/>
      <c r="P886" s="42" t="str">
        <v>10</v>
      </c>
      <c r="Q886" s="42" t="str">
        <v>10</v>
      </c>
      <c r="R886" s="42" t="str">
        <v>10</v>
      </c>
      <c r="S886" s="10" t="str">
        <f t="shared" si="27"/>
        <v>No Change</v>
      </c>
    </row>
    <row r="887" spans="1:19" ht="120" hidden="1">
      <c r="A887" s="14" t="s">
        <v>4859</v>
      </c>
      <c r="B887" s="15" t="s">
        <v>13553</v>
      </c>
      <c r="C887" s="40" t="s">
        <v>4861</v>
      </c>
      <c r="D887" s="24"/>
      <c r="E887" s="24"/>
      <c r="F887" s="24" t="str">
        <v>X465</v>
      </c>
      <c r="G887" s="24" t="str">
        <v>10 out of 10</v>
      </c>
      <c r="H887" s="24" t="str">
        <v>https://nycdoe.sharepoint.com/:w:/s/BAP/EWcnt219-fVMiRsvyW_Ih4UBhATzAxceQs3-eSTd6hCW_w</v>
      </c>
      <c r="I887" s="23">
        <v>858</v>
      </c>
      <c r="J887" s="24" t="str">
        <v>-</v>
      </c>
      <c r="K887" s="24">
        <v>2215</v>
      </c>
      <c r="L887" s="24" t="str">
        <v>10 out of 10</v>
      </c>
      <c r="M887" s="23" t="b">
        <f t="shared" si="26"/>
        <v>1</v>
      </c>
      <c r="N887" s="23" t="str">
        <v>10 out of 10</v>
      </c>
      <c r="O887" s="23"/>
      <c r="P887" s="42" t="str">
        <v>10</v>
      </c>
      <c r="Q887" s="42" t="str">
        <v>10</v>
      </c>
      <c r="R887" s="42" t="str">
        <v>10</v>
      </c>
      <c r="S887" s="10" t="str">
        <f t="shared" si="27"/>
        <v>No Change</v>
      </c>
    </row>
    <row r="888" spans="1:19" ht="135" hidden="1">
      <c r="A888" s="14" t="s">
        <v>13509</v>
      </c>
      <c r="B888" s="9" t="s">
        <v>13561</v>
      </c>
      <c r="C888" s="40" t="s">
        <v>13672</v>
      </c>
      <c r="D888" s="24"/>
      <c r="E888" s="24"/>
      <c r="F888" s="24" t="str">
        <v>X475</v>
      </c>
      <c r="G888" s="24" t="str">
        <v>6 out of 10</v>
      </c>
      <c r="H888" s="24" t="str">
        <v>https://nycdoe.sharepoint.com/:w:/s/BAP/EfOPUnvUcxZNsuI2tSwaWjMBh_5o1wdi-s4tzKtY8El3Fg</v>
      </c>
      <c r="I888" s="23">
        <v>859</v>
      </c>
      <c r="J888" s="24" t="str">
        <v>-</v>
      </c>
      <c r="K888" s="24">
        <v>2219</v>
      </c>
      <c r="L888" s="24" t="str">
        <v>6 out of 10</v>
      </c>
      <c r="M888" s="23" t="b">
        <f t="shared" si="26"/>
        <v>1</v>
      </c>
      <c r="N888" s="23" t="str">
        <v>6 out of 10</v>
      </c>
      <c r="O888" s="23"/>
      <c r="P888" s="42" t="str">
        <v>6</v>
      </c>
      <c r="Q888" s="42" t="str">
        <v>6</v>
      </c>
      <c r="R888" s="42" t="str">
        <v>6</v>
      </c>
      <c r="S888" s="10" t="str">
        <f t="shared" si="27"/>
        <v>No Change</v>
      </c>
    </row>
    <row r="889" spans="1:19" ht="120" hidden="1">
      <c r="A889" s="14" t="s">
        <v>13517</v>
      </c>
      <c r="B889" s="15" t="s">
        <v>13561</v>
      </c>
      <c r="C889" s="40" t="s">
        <v>13673</v>
      </c>
      <c r="D889" s="24"/>
      <c r="E889" s="24"/>
      <c r="F889" s="24" t="str">
        <v>X498</v>
      </c>
      <c r="G889" s="24" t="str">
        <v>10 out of 10</v>
      </c>
      <c r="H889" s="24" t="str">
        <v>https://nycdoe.sharepoint.com/:w:/s/BAP/EdYpHLi3cGJArHrFRuRMyRcB7Y2fS0qKHbQhIik1GfU1_Q</v>
      </c>
      <c r="I889" s="23">
        <v>860</v>
      </c>
      <c r="J889" s="24" t="str">
        <v>-</v>
      </c>
      <c r="K889" s="24">
        <v>2230</v>
      </c>
      <c r="L889" s="24" t="str">
        <v>10 out of 10</v>
      </c>
      <c r="M889" s="23" t="b">
        <f t="shared" si="26"/>
        <v>1</v>
      </c>
      <c r="N889" s="23" t="str">
        <v>10 out of 10</v>
      </c>
      <c r="O889" s="23"/>
      <c r="P889" s="42" t="str">
        <v>10</v>
      </c>
      <c r="Q889" s="42" t="str">
        <v>10</v>
      </c>
      <c r="R889" s="42" t="str">
        <v>10</v>
      </c>
      <c r="S889" s="10" t="str">
        <f t="shared" si="27"/>
        <v>No Change</v>
      </c>
    </row>
    <row r="890" spans="1:19" ht="120" hidden="1">
      <c r="A890" s="14" t="s">
        <v>5138</v>
      </c>
      <c r="B890" s="15" t="s">
        <v>13553</v>
      </c>
      <c r="C890" s="40" t="s">
        <v>5139</v>
      </c>
      <c r="D890" s="24"/>
      <c r="E890" s="24"/>
      <c r="F890" s="24" t="str">
        <v>X582</v>
      </c>
      <c r="G890" s="24" t="str">
        <v>10 out of 10</v>
      </c>
      <c r="H890" s="24" t="str">
        <v>https://nycdoe.sharepoint.com/:w:/s/BAP/EUybSMJtcThEplZBdc_iVOkBw_GkP6b5PWem_0CQEaKpKw</v>
      </c>
      <c r="I890" s="23">
        <v>861</v>
      </c>
      <c r="J890" s="24" t="str">
        <v>-</v>
      </c>
      <c r="K890" s="24">
        <v>2233</v>
      </c>
      <c r="L890" s="24" t="str">
        <v>10 out of 10</v>
      </c>
      <c r="M890" s="23" t="b">
        <f t="shared" si="26"/>
        <v>1</v>
      </c>
      <c r="N890" s="23" t="str">
        <v>10 out of 10</v>
      </c>
      <c r="O890" s="23"/>
      <c r="P890" s="42" t="str">
        <v>10</v>
      </c>
      <c r="Q890" s="42" t="str">
        <v>10</v>
      </c>
      <c r="R890" s="42" t="str">
        <v>10</v>
      </c>
      <c r="S890" s="10" t="str">
        <f t="shared" si="27"/>
        <v>No Change</v>
      </c>
    </row>
    <row r="891" spans="1:19" ht="120" hidden="1">
      <c r="A891" s="14" t="s">
        <v>434</v>
      </c>
      <c r="B891" s="15" t="s">
        <v>13553</v>
      </c>
      <c r="C891" s="40" t="s">
        <v>4868</v>
      </c>
      <c r="D891" s="24"/>
      <c r="E891" s="24"/>
      <c r="F891" s="24" t="str">
        <v>X600</v>
      </c>
      <c r="G891" s="24" t="str">
        <v>3 out of 10</v>
      </c>
      <c r="H891" s="24" t="str">
        <v>https://nycdoe.sharepoint.com/:w:/s/BAP/EXwnomyqQZNDuD-CBS1FuF8BEW1sG8jRqNasXCgjmKz1jw</v>
      </c>
      <c r="I891" s="23">
        <v>862</v>
      </c>
      <c r="J891" s="24" t="str">
        <v>-</v>
      </c>
      <c r="K891" s="24">
        <v>2234</v>
      </c>
      <c r="L891" s="24" t="str">
        <v>3 out of 10</v>
      </c>
      <c r="M891" s="23" t="b">
        <f t="shared" si="26"/>
        <v>1</v>
      </c>
      <c r="N891" s="23" t="str">
        <v>3 out of 10</v>
      </c>
      <c r="O891" s="23"/>
      <c r="P891" s="42" t="str">
        <v>3</v>
      </c>
      <c r="Q891" s="42" t="str">
        <v>3</v>
      </c>
      <c r="R891" s="42" t="str">
        <v>3</v>
      </c>
      <c r="S891" s="10" t="str">
        <f t="shared" si="27"/>
        <v>No Change</v>
      </c>
    </row>
    <row r="892" spans="1:19" ht="135" hidden="1">
      <c r="A892" s="14" t="s">
        <v>279</v>
      </c>
      <c r="B892" s="15" t="s">
        <v>13553</v>
      </c>
      <c r="C892" s="40" t="s">
        <v>4698</v>
      </c>
      <c r="D892" s="24"/>
      <c r="E892" s="24"/>
      <c r="F892" s="24" t="str">
        <v>X650</v>
      </c>
      <c r="G892" s="24" t="str">
        <v>9 out of 10</v>
      </c>
      <c r="H892" s="24" t="str">
        <v>https://nycdoe.sharepoint.com/:w:/s/BAP/EVJ7F0fi779Egsu4uFIA08IBjDv2niEwz5bgAssNUI8beQ</v>
      </c>
      <c r="I892" s="23">
        <v>863</v>
      </c>
      <c r="J892" s="24" t="str">
        <v>-</v>
      </c>
      <c r="K892" s="24">
        <v>2237</v>
      </c>
      <c r="L892" s="24" t="str">
        <v>9 out of 10</v>
      </c>
      <c r="M892" s="23" t="b">
        <f t="shared" si="26"/>
        <v>1</v>
      </c>
      <c r="N892" s="23" t="str">
        <v>9 out of 10</v>
      </c>
      <c r="O892" s="23"/>
      <c r="P892" s="42" t="str">
        <v>9</v>
      </c>
      <c r="Q892" s="42" t="str">
        <v>9</v>
      </c>
      <c r="R892" s="42" t="str">
        <v>9</v>
      </c>
      <c r="S892" s="10" t="str">
        <f t="shared" si="27"/>
        <v>No Change</v>
      </c>
    </row>
    <row r="893" spans="1:19" ht="120" hidden="1">
      <c r="A893" s="8" t="s">
        <v>1038</v>
      </c>
      <c r="B893" s="15" t="s">
        <v>13553</v>
      </c>
      <c r="C893" s="40" t="s">
        <v>5429</v>
      </c>
      <c r="D893" s="24"/>
      <c r="E893" s="24"/>
      <c r="F893" s="24" t="str">
        <v>X655</v>
      </c>
      <c r="G893" s="24" t="str">
        <v>1 out of 10</v>
      </c>
      <c r="H893" s="24" t="str">
        <v>https://nycdoe.sharepoint.com/:w:/s/BAP/EUuBiVpIv3hBlgfUojG2mzcB5xpY83YNfum9jIPePeMfyA</v>
      </c>
      <c r="I893" s="23">
        <v>864</v>
      </c>
      <c r="J893" s="24" t="str">
        <v>-</v>
      </c>
      <c r="K893" s="24">
        <v>2239</v>
      </c>
      <c r="L893" s="24" t="str">
        <v>1 out of 10</v>
      </c>
      <c r="M893" s="23" t="b">
        <f t="shared" si="26"/>
        <v>1</v>
      </c>
      <c r="N893" s="23" t="str">
        <v>1 out of 10</v>
      </c>
      <c r="O893" s="23"/>
      <c r="P893" s="42" t="str">
        <v>1</v>
      </c>
      <c r="Q893" s="42" t="str">
        <v>1</v>
      </c>
      <c r="R893" s="42" t="str">
        <v>1</v>
      </c>
      <c r="S893" s="10" t="str">
        <f t="shared" si="27"/>
        <v>No Change</v>
      </c>
    </row>
    <row r="894" spans="1:19" ht="120" hidden="1">
      <c r="A894" s="14" t="s">
        <v>4873</v>
      </c>
      <c r="B894" s="15" t="s">
        <v>13553</v>
      </c>
      <c r="C894" s="40" t="s">
        <v>4875</v>
      </c>
      <c r="D894" s="24"/>
      <c r="E894" s="24"/>
      <c r="F894" s="24" t="str">
        <v>X660</v>
      </c>
      <c r="G894" s="24" t="str">
        <v>5 out of 10</v>
      </c>
      <c r="H894" s="24" t="str">
        <v>https://nycdoe.sharepoint.com/:w:/s/BAP/EcZoeqGqwAtEgEc1QkwowGYBPbWPEnDRTt34qRr1Esyp2w</v>
      </c>
      <c r="I894" s="23">
        <v>865</v>
      </c>
      <c r="J894" s="24" t="str">
        <v>-</v>
      </c>
      <c r="K894" s="24">
        <v>2241</v>
      </c>
      <c r="L894" s="24" t="str">
        <v>5 out of 10</v>
      </c>
      <c r="M894" s="23" t="b">
        <f t="shared" si="26"/>
        <v>1</v>
      </c>
      <c r="N894" s="23" t="str">
        <v>5 out of 10</v>
      </c>
      <c r="O894" s="23"/>
      <c r="P894" s="42" t="str">
        <v>5</v>
      </c>
      <c r="Q894" s="42" t="str">
        <v>5</v>
      </c>
      <c r="R894" s="42" t="str">
        <v>5</v>
      </c>
      <c r="S894" s="10" t="str">
        <f t="shared" si="27"/>
        <v>No Change</v>
      </c>
    </row>
    <row r="895" spans="1:19" hidden="1">
      <c r="D895" s="24"/>
      <c r="E895" s="24"/>
      <c r="F895" s="24" t="str">
        <v>X716</v>
      </c>
      <c r="G895" s="24" t="str">
        <v>9 out of 10</v>
      </c>
      <c r="H895" s="24" t="str">
        <v>https://nycdoe.sharepoint.com/:w:/s/BAP/EdU_jt9qY7NEmxlbkBepm4kBLpEHWWFnK5cVofrHr1gHxg</v>
      </c>
      <c r="I895" s="23">
        <v>866</v>
      </c>
      <c r="J895" s="24" t="str">
        <v>-</v>
      </c>
      <c r="K895" s="24">
        <v>2245</v>
      </c>
      <c r="L895" s="24" t="str">
        <v>9 out of 10</v>
      </c>
      <c r="M895" s="23" t="b">
        <f t="shared" si="26"/>
        <v>1</v>
      </c>
      <c r="N895" s="23" t="str">
        <v>9 out of 10</v>
      </c>
      <c r="O895" s="23"/>
      <c r="P895" s="42" t="str">
        <v>9</v>
      </c>
      <c r="Q895" s="42" t="str">
        <v>9</v>
      </c>
      <c r="R895" s="42" t="str">
        <v>9</v>
      </c>
      <c r="S895" s="10" t="str">
        <f t="shared" si="27"/>
        <v>No Change</v>
      </c>
    </row>
    <row r="896" spans="1:19" hidden="1">
      <c r="D896" s="24"/>
      <c r="E896" s="24"/>
      <c r="F896" s="24" t="str">
        <v>X722</v>
      </c>
      <c r="G896" s="24" t="str">
        <v>1 out of 10</v>
      </c>
      <c r="H896" s="24" t="str">
        <v>https://nycdoe.sharepoint.com/:w:/s/BAP/Ec0KJn4J4GFHl3L-BrBVI04BaTNRvH6jKmcZJwjpK61fOg</v>
      </c>
      <c r="I896" s="23">
        <v>867</v>
      </c>
      <c r="J896" s="24" t="str">
        <v>-</v>
      </c>
      <c r="K896" s="24">
        <v>2247</v>
      </c>
      <c r="L896" s="24" t="str">
        <v>1 out of 10</v>
      </c>
      <c r="M896" s="23" t="b">
        <f t="shared" si="26"/>
        <v>1</v>
      </c>
      <c r="N896" s="23" t="str">
        <v>1 out of 10</v>
      </c>
      <c r="O896" s="23"/>
      <c r="P896" s="42" t="str">
        <v>1</v>
      </c>
      <c r="Q896" s="42" t="str">
        <v>1</v>
      </c>
      <c r="R896" s="42" t="str">
        <v>1</v>
      </c>
      <c r="S896" s="10" t="str">
        <f t="shared" si="27"/>
        <v>No Change</v>
      </c>
    </row>
    <row r="897" spans="4:19" hidden="1">
      <c r="D897" s="24"/>
      <c r="E897" s="24"/>
      <c r="F897" s="24" t="str">
        <v>X781</v>
      </c>
      <c r="G897" s="24" t="str">
        <v>1 out of 10</v>
      </c>
      <c r="H897" s="24" t="str">
        <v>https://nycdoe.sharepoint.com/:w:/s/BAP/ETZRIiBF1spFpSfI_frxe5UBrAwoNbylggOpNEWsHh3CHg</v>
      </c>
      <c r="I897" s="23">
        <v>868</v>
      </c>
      <c r="J897" s="24" t="str">
        <v>-</v>
      </c>
      <c r="K897" s="24">
        <v>2250</v>
      </c>
      <c r="L897" s="24" t="str">
        <v>1 out of 10</v>
      </c>
      <c r="M897" s="23" t="b">
        <f t="shared" si="26"/>
        <v>1</v>
      </c>
      <c r="N897" s="23" t="str">
        <v>1 out of 10</v>
      </c>
      <c r="O897" s="23"/>
      <c r="P897" s="42" t="str">
        <v>1</v>
      </c>
      <c r="Q897" s="42" t="str">
        <v>1</v>
      </c>
      <c r="R897" s="42" t="str">
        <v>1</v>
      </c>
      <c r="S897" s="10" t="str">
        <f t="shared" si="27"/>
        <v>No Change</v>
      </c>
    </row>
    <row r="898" spans="4:19" hidden="1">
      <c r="D898" s="24"/>
      <c r="E898" s="24"/>
      <c r="F898" s="24" t="str">
        <v>X790</v>
      </c>
      <c r="G898" s="24" t="str">
        <v>10 out of 10</v>
      </c>
      <c r="H898" s="24" t="str">
        <v>https://nycdoe.sharepoint.com/:w:/s/BAP/EaRNIEgs60hPivIL38Op0WsBS8730-4FjoqvhlcB3F7vMA</v>
      </c>
      <c r="I898" s="23">
        <v>869</v>
      </c>
      <c r="J898" s="24" t="str">
        <v>-</v>
      </c>
      <c r="K898" s="24">
        <v>2251</v>
      </c>
      <c r="L898" s="24" t="str">
        <v>10 out of 10</v>
      </c>
      <c r="M898" s="23" t="b">
        <f t="shared" si="26"/>
        <v>1</v>
      </c>
      <c r="N898" s="23" t="str">
        <v>10 out of 10</v>
      </c>
      <c r="O898" s="23"/>
      <c r="P898" s="42" t="str">
        <v>10</v>
      </c>
      <c r="Q898" s="42" t="str">
        <v>10</v>
      </c>
      <c r="R898" s="42" t="str">
        <v>10</v>
      </c>
      <c r="S898" s="10" t="str">
        <f t="shared" si="27"/>
        <v>No Change</v>
      </c>
    </row>
    <row r="899" spans="4:19" hidden="1">
      <c r="D899" s="24"/>
      <c r="E899" s="24"/>
      <c r="F899" s="24" t="str">
        <v>X817</v>
      </c>
      <c r="G899" s="24" t="str">
        <v>9 out of 10</v>
      </c>
      <c r="H899" s="24" t="str">
        <v>https://nycdoe.sharepoint.com/:w:/s/BAP/EbrQYu_T2fBHs1U-tjRun2UBF4a2nHD_jTeCddMmEuLCcA</v>
      </c>
      <c r="I899" s="23">
        <v>870</v>
      </c>
      <c r="J899" s="24" t="str">
        <v>-</v>
      </c>
      <c r="K899" s="24">
        <v>2257</v>
      </c>
      <c r="L899" s="24" t="str">
        <v>9 out of 10</v>
      </c>
      <c r="M899" s="23" t="b">
        <f t="shared" ref="M899:M922" si="28">G899=L899</f>
        <v>1</v>
      </c>
      <c r="N899" s="23" t="str">
        <v>9 out of 10</v>
      </c>
      <c r="O899" s="23"/>
      <c r="P899" s="42" t="str">
        <v>9</v>
      </c>
      <c r="Q899" s="42" t="str">
        <v>9</v>
      </c>
      <c r="R899" s="42" t="str">
        <v>9</v>
      </c>
      <c r="S899" s="10" t="str">
        <f t="shared" ref="S899:S922" si="29">IFERROR(IF(OR(R899="0+",R899=0,AND(Q899="N/A")),"No Change",IF(R899&lt;&gt;Q899,"Change",IF(R899=Q899,"No Change",))),"Check BAP")</f>
        <v>No Change</v>
      </c>
    </row>
    <row r="900" spans="4:19" hidden="1">
      <c r="D900" s="24"/>
      <c r="E900" s="24"/>
      <c r="F900" s="24" t="str">
        <v>X823</v>
      </c>
      <c r="G900" s="24" t="str">
        <v>1 out of 10</v>
      </c>
      <c r="H900" s="24" t="str">
        <v>https://nycdoe.sharepoint.com/:w:/s/BAP/EUlr5LYTyqdFpD52WpTRUu8BxV_bh7GvhoP2BnLpcqaiTw</v>
      </c>
      <c r="I900" s="23">
        <v>871</v>
      </c>
      <c r="J900" s="24" t="str">
        <v>-</v>
      </c>
      <c r="K900" s="24">
        <v>2260</v>
      </c>
      <c r="L900" s="24" t="str">
        <v>1 out of 10</v>
      </c>
      <c r="M900" s="23" t="b">
        <f t="shared" si="28"/>
        <v>1</v>
      </c>
      <c r="N900" s="23" t="str">
        <v>1 out of 10</v>
      </c>
      <c r="O900" s="23"/>
      <c r="P900" s="42" t="str">
        <v>1</v>
      </c>
      <c r="Q900" s="42" t="str">
        <v>1</v>
      </c>
      <c r="R900" s="42" t="str">
        <v>1</v>
      </c>
      <c r="S900" s="10" t="str">
        <f t="shared" si="29"/>
        <v>No Change</v>
      </c>
    </row>
    <row r="901" spans="4:19" hidden="1">
      <c r="D901" s="24"/>
      <c r="E901" s="24"/>
      <c r="F901" s="24" t="str">
        <v>X826</v>
      </c>
      <c r="G901" s="24" t="str">
        <v>9 out of 10</v>
      </c>
      <c r="H901" s="24" t="str">
        <v>https://nycdoe.sharepoint.com/:w:/s/BAP/EY_EaidlQ45On0SAAAuiccoBp8DywZM_3U7mEH38un0VbQ</v>
      </c>
      <c r="I901" s="23">
        <v>872</v>
      </c>
      <c r="J901" s="24" t="str">
        <v>-</v>
      </c>
      <c r="K901" s="24">
        <v>2261</v>
      </c>
      <c r="L901" s="24" t="str">
        <v>9 out of 10</v>
      </c>
      <c r="M901" s="23" t="b">
        <f t="shared" si="28"/>
        <v>1</v>
      </c>
      <c r="N901" s="23" t="str">
        <v>9 out of 10</v>
      </c>
      <c r="O901" s="23"/>
      <c r="P901" s="42" t="str">
        <v>9</v>
      </c>
      <c r="Q901" s="42" t="str">
        <v>9</v>
      </c>
      <c r="R901" s="42" t="str">
        <v>9</v>
      </c>
      <c r="S901" s="10" t="str">
        <f t="shared" si="29"/>
        <v>No Change</v>
      </c>
    </row>
    <row r="902" spans="4:19" hidden="1">
      <c r="D902" s="24"/>
      <c r="E902" s="24"/>
      <c r="F902" s="24" t="str">
        <v>X827</v>
      </c>
      <c r="G902" s="24" t="str">
        <v>9 out of 10</v>
      </c>
      <c r="H902" s="24" t="str">
        <v>https://nycdoe.sharepoint.com/:w:/s/BAP/EW0d8O9Sd61Jkn-g4MhbeC8BkHjqSD5c4cnmGpyIY2cP5A</v>
      </c>
      <c r="I902" s="23">
        <v>873</v>
      </c>
      <c r="J902" s="24" t="str">
        <v>-</v>
      </c>
      <c r="K902" s="24">
        <v>2262</v>
      </c>
      <c r="L902" s="24" t="str">
        <v>9 out of 10</v>
      </c>
      <c r="M902" s="23" t="b">
        <f t="shared" si="28"/>
        <v>1</v>
      </c>
      <c r="N902" s="23" t="str">
        <v>9 out of 10</v>
      </c>
      <c r="O902" s="23"/>
      <c r="P902" s="42" t="str">
        <v>9</v>
      </c>
      <c r="Q902" s="42" t="str">
        <v>9</v>
      </c>
      <c r="R902" s="42" t="str">
        <v>9</v>
      </c>
      <c r="S902" s="10" t="str">
        <f t="shared" si="29"/>
        <v>No Change</v>
      </c>
    </row>
    <row r="903" spans="4:19" hidden="1">
      <c r="D903" s="24"/>
      <c r="E903" s="24"/>
      <c r="F903" s="24" t="str">
        <v>X839</v>
      </c>
      <c r="G903" s="24" t="str">
        <v>9 out of 10</v>
      </c>
      <c r="H903" s="24" t="str">
        <v>https://nycdoe.sharepoint.com/:w:/s/BAP/EZLQJtCUecVJrmB8HNWu_QIBWMz_u170vlObL6Ly8ExTgw</v>
      </c>
      <c r="I903" s="23">
        <v>874</v>
      </c>
      <c r="J903" s="24" t="str">
        <v>-</v>
      </c>
      <c r="K903" s="24">
        <v>2264</v>
      </c>
      <c r="L903" s="24" t="str">
        <v>9 out of 10</v>
      </c>
      <c r="M903" s="23" t="b">
        <f t="shared" si="28"/>
        <v>1</v>
      </c>
      <c r="N903" s="23" t="str">
        <v>9 out of 10</v>
      </c>
      <c r="O903" s="23"/>
      <c r="P903" s="42" t="str">
        <v>9</v>
      </c>
      <c r="Q903" s="42" t="str">
        <v>9</v>
      </c>
      <c r="R903" s="42" t="str">
        <v>9</v>
      </c>
      <c r="S903" s="10" t="str">
        <f t="shared" si="29"/>
        <v>No Change</v>
      </c>
    </row>
    <row r="904" spans="4:19" hidden="1">
      <c r="D904" s="24"/>
      <c r="E904" s="24"/>
      <c r="F904" s="24" t="str">
        <v>X840</v>
      </c>
      <c r="G904" s="24" t="str">
        <v>1 out of 10</v>
      </c>
      <c r="H904" s="24" t="str">
        <v>https://nycdoe.sharepoint.com/:w:/s/BAP/EWdM-9wP7nZImbGCUo10HKgBNSXt0rhXhlQNZYmvJDdZMg</v>
      </c>
      <c r="I904" s="23">
        <v>875</v>
      </c>
      <c r="J904" s="24" t="str">
        <v>-</v>
      </c>
      <c r="K904" s="24">
        <v>2266</v>
      </c>
      <c r="L904" s="24" t="str">
        <v>1 out of 10</v>
      </c>
      <c r="M904" s="23" t="b">
        <f t="shared" si="28"/>
        <v>1</v>
      </c>
      <c r="N904" s="23" t="str">
        <v>1 out of 10</v>
      </c>
      <c r="O904" s="23"/>
      <c r="P904" s="42" t="str">
        <v>1</v>
      </c>
      <c r="Q904" s="42" t="str">
        <v>1</v>
      </c>
      <c r="R904" s="42" t="str">
        <v>1</v>
      </c>
      <c r="S904" s="10" t="str">
        <f t="shared" si="29"/>
        <v>No Change</v>
      </c>
    </row>
    <row r="905" spans="4:19" hidden="1">
      <c r="D905" s="24"/>
      <c r="E905" s="24"/>
      <c r="F905" s="24" t="str">
        <v>X843</v>
      </c>
      <c r="G905" s="24" t="str">
        <v>1 out of 10</v>
      </c>
      <c r="H905" s="24" t="str">
        <v>https://nycdoe.sharepoint.com/:w:/s/BAP/EY7ITX8iBL1Lka5braaz3vQBI0jQJeZPLA_rumyezue6xw</v>
      </c>
      <c r="I905" s="23">
        <v>876</v>
      </c>
      <c r="J905" s="24" t="str">
        <v>-</v>
      </c>
      <c r="K905" s="24">
        <v>2268</v>
      </c>
      <c r="L905" s="24" t="str">
        <v>1 out of 10</v>
      </c>
      <c r="M905" s="23" t="b">
        <f t="shared" si="28"/>
        <v>1</v>
      </c>
      <c r="N905" s="23" t="str">
        <v>1 out of 10</v>
      </c>
      <c r="O905" s="23"/>
      <c r="P905" s="42" t="str">
        <v>1</v>
      </c>
      <c r="Q905" s="42" t="str">
        <v>1</v>
      </c>
      <c r="R905" s="42" t="str">
        <v>1</v>
      </c>
      <c r="S905" s="10" t="str">
        <f t="shared" si="29"/>
        <v>No Change</v>
      </c>
    </row>
    <row r="906" spans="4:19" hidden="1">
      <c r="D906" s="24"/>
      <c r="E906" s="24"/>
      <c r="F906" s="24" t="str">
        <v>X852</v>
      </c>
      <c r="G906" s="24" t="str">
        <v>9 out of 10</v>
      </c>
      <c r="H906" s="24" t="str">
        <v>https://nycdoe.sharepoint.com/:w:/s/BAP/Ed7Oq08QwrVFrEPW2vc2v9IBuTaoPX-pK6t9MhS_Im0MkQ</v>
      </c>
      <c r="I906" s="23">
        <v>877</v>
      </c>
      <c r="J906" s="24" t="str">
        <v>-</v>
      </c>
      <c r="K906" s="24">
        <v>2271</v>
      </c>
      <c r="L906" s="24" t="str">
        <v>9 out of 10</v>
      </c>
      <c r="M906" s="23" t="b">
        <f t="shared" si="28"/>
        <v>1</v>
      </c>
      <c r="N906" s="23" t="str">
        <v>9 out of 10</v>
      </c>
      <c r="O906" s="23"/>
      <c r="P906" s="42" t="str">
        <v>9</v>
      </c>
      <c r="Q906" s="42" t="str">
        <v>9</v>
      </c>
      <c r="R906" s="42" t="str">
        <v>9</v>
      </c>
      <c r="S906" s="10" t="str">
        <f t="shared" si="29"/>
        <v>No Change</v>
      </c>
    </row>
    <row r="907" spans="4:19" hidden="1">
      <c r="D907" s="24"/>
      <c r="E907" s="24"/>
      <c r="F907" s="24" t="str">
        <v>X855</v>
      </c>
      <c r="G907" s="24" t="str">
        <v>0 out of 10</v>
      </c>
      <c r="H907" s="24" t="str">
        <v>https://nycdoe.sharepoint.com/:w:/s/BAP/EVfTyCjhl4FJvr4MTx3HhXIBmpEL9XovAD4I-draQDtt4w</v>
      </c>
      <c r="I907" s="23">
        <v>878</v>
      </c>
      <c r="J907" s="24" t="str">
        <v>-</v>
      </c>
      <c r="K907" s="24">
        <v>2273</v>
      </c>
      <c r="L907" s="24" t="str">
        <v>N/A out of 10</v>
      </c>
      <c r="M907" s="23" t="b">
        <f t="shared" si="28"/>
        <v>0</v>
      </c>
      <c r="N907" s="23" t="str">
        <v>0 out of 10</v>
      </c>
      <c r="O907" s="23"/>
      <c r="P907" s="42" t="str">
        <v>0</v>
      </c>
      <c r="Q907" s="42" t="str">
        <v>N/A</v>
      </c>
      <c r="R907" s="42" t="str">
        <v>0</v>
      </c>
      <c r="S907" s="10" t="str">
        <f t="shared" si="29"/>
        <v>No Change</v>
      </c>
    </row>
    <row r="908" spans="4:19" hidden="1">
      <c r="D908" s="24"/>
      <c r="E908" s="24"/>
      <c r="F908" s="24" t="str">
        <v>X876</v>
      </c>
      <c r="G908" s="24" t="str">
        <v>9 out of 10</v>
      </c>
      <c r="H908" s="24" t="str">
        <v>https://nycdoe.sharepoint.com/:w:/s/BAP/EaGTWHDc0s1Ag9I5tn9p6coB0HXNJeaWDhD9RHDtnn2dHQ</v>
      </c>
      <c r="I908" s="23">
        <v>879</v>
      </c>
      <c r="J908" s="24" t="str">
        <v>-</v>
      </c>
      <c r="K908" s="24">
        <v>2282</v>
      </c>
      <c r="L908" s="24" t="str">
        <v>9 out of 10</v>
      </c>
      <c r="M908" s="23" t="b">
        <f t="shared" si="28"/>
        <v>1</v>
      </c>
      <c r="N908" s="23" t="str">
        <v>9 out of 10</v>
      </c>
      <c r="O908" s="23"/>
      <c r="P908" s="42" t="str">
        <v>9</v>
      </c>
      <c r="Q908" s="42" t="str">
        <v>9</v>
      </c>
      <c r="R908" s="42" t="str">
        <v>9</v>
      </c>
      <c r="S908" s="10" t="str">
        <f t="shared" si="29"/>
        <v>No Change</v>
      </c>
    </row>
    <row r="909" spans="4:19" hidden="1">
      <c r="D909" s="24"/>
      <c r="E909" s="24"/>
      <c r="F909" s="24" t="str">
        <v>X878</v>
      </c>
      <c r="G909" s="24" t="str">
        <v>9 out of 10</v>
      </c>
      <c r="H909" s="24" t="str">
        <v>https://nycdoe.sharepoint.com/:w:/s/BAP/EUJP2BfMHRROjaEtlCWPHFkB7QcuoueUdwfK-V3NQdncGQ</v>
      </c>
      <c r="I909" s="23">
        <v>880</v>
      </c>
      <c r="J909" s="24" t="str">
        <v>-</v>
      </c>
      <c r="K909" s="24">
        <v>2283</v>
      </c>
      <c r="L909" s="24" t="str">
        <v>9 out of 10</v>
      </c>
      <c r="M909" s="23" t="b">
        <f t="shared" si="28"/>
        <v>1</v>
      </c>
      <c r="N909" s="23" t="str">
        <v>9 out of 10</v>
      </c>
      <c r="O909" s="23"/>
      <c r="P909" s="42" t="str">
        <v>9</v>
      </c>
      <c r="Q909" s="42" t="str">
        <v>9</v>
      </c>
      <c r="R909" s="42" t="str">
        <v>9</v>
      </c>
      <c r="S909" s="10" t="str">
        <f t="shared" si="29"/>
        <v>No Change</v>
      </c>
    </row>
    <row r="910" spans="4:19" hidden="1">
      <c r="D910" s="24"/>
      <c r="E910" s="24"/>
      <c r="F910" s="24" t="str">
        <v>X879</v>
      </c>
      <c r="G910" s="24" t="str">
        <v>10 out of 10</v>
      </c>
      <c r="H910" s="24" t="str">
        <v>https://nycdoe.sharepoint.com/:w:/s/BAP/EdHiPu7Ytd5OiAvalZ9OlcsBZiv3oy8PPChG7uUZkKs9gw</v>
      </c>
      <c r="I910" s="23">
        <v>881</v>
      </c>
      <c r="J910" s="24" t="str">
        <v>-</v>
      </c>
      <c r="K910" s="24">
        <v>2284</v>
      </c>
      <c r="L910" s="24" t="str">
        <v>10 out of 10</v>
      </c>
      <c r="M910" s="23" t="b">
        <f t="shared" si="28"/>
        <v>1</v>
      </c>
      <c r="N910" s="23" t="str">
        <v>10 out of 10</v>
      </c>
      <c r="O910" s="23"/>
      <c r="P910" s="42" t="str">
        <v>10</v>
      </c>
      <c r="Q910" s="42" t="str">
        <v>10</v>
      </c>
      <c r="R910" s="42" t="str">
        <v>10</v>
      </c>
      <c r="S910" s="10" t="str">
        <f t="shared" si="29"/>
        <v>No Change</v>
      </c>
    </row>
    <row r="911" spans="4:19" hidden="1">
      <c r="D911" s="24"/>
      <c r="E911" s="24"/>
      <c r="F911" s="24" t="str">
        <v>X884</v>
      </c>
      <c r="G911" s="24" t="str">
        <v>10 out of 10</v>
      </c>
      <c r="H911" s="24" t="str">
        <v>https://nycdoe.sharepoint.com/:w:/s/BAP/EUNQSRVlaLxAoMoj_kbrUykBoR7nltt02BPCMXj_HU4tnA</v>
      </c>
      <c r="I911" s="23">
        <v>882</v>
      </c>
      <c r="J911" s="24" t="str">
        <v>-</v>
      </c>
      <c r="K911" s="24">
        <v>2286</v>
      </c>
      <c r="L911" s="24" t="str">
        <v>10 out of 10</v>
      </c>
      <c r="M911" s="23" t="b">
        <f t="shared" si="28"/>
        <v>1</v>
      </c>
      <c r="N911" s="23" t="str">
        <v>10 out of 10</v>
      </c>
      <c r="O911" s="23"/>
      <c r="P911" s="42" t="str">
        <v>10</v>
      </c>
      <c r="Q911" s="42" t="str">
        <v>10</v>
      </c>
      <c r="R911" s="42" t="str">
        <v>10</v>
      </c>
      <c r="S911" s="10" t="str">
        <f t="shared" si="29"/>
        <v>No Change</v>
      </c>
    </row>
    <row r="912" spans="4:19" hidden="1">
      <c r="D912" s="24"/>
      <c r="E912" s="24"/>
      <c r="F912" s="24" t="str">
        <v>X886</v>
      </c>
      <c r="G912" s="24" t="str">
        <v>5 out of 10</v>
      </c>
      <c r="H912" s="24" t="str">
        <v>https://nycdoe.sharepoint.com/:w:/s/BAP/EYn0OHNzYZNHlFJRXCTwlT8BEqJSXZxqaitc43YyvvkKiA</v>
      </c>
      <c r="I912" s="23">
        <v>883</v>
      </c>
      <c r="J912" s="24" t="str">
        <v>-</v>
      </c>
      <c r="K912" s="24">
        <v>2289</v>
      </c>
      <c r="L912" s="24" t="str">
        <v>5 out of 10</v>
      </c>
      <c r="M912" s="23" t="b">
        <f t="shared" si="28"/>
        <v>1</v>
      </c>
      <c r="N912" s="23" t="str">
        <v>5 out of 10</v>
      </c>
      <c r="O912" s="23"/>
      <c r="P912" s="42" t="str">
        <v>5</v>
      </c>
      <c r="Q912" s="42" t="str">
        <v>5</v>
      </c>
      <c r="R912" s="42" t="str">
        <v>5</v>
      </c>
      <c r="S912" s="10" t="str">
        <f t="shared" si="29"/>
        <v>No Change</v>
      </c>
    </row>
    <row r="913" spans="4:19" hidden="1">
      <c r="D913" s="24"/>
      <c r="E913" s="24"/>
      <c r="F913" s="24" t="str">
        <v>X896</v>
      </c>
      <c r="G913" s="24" t="str">
        <v>10 out of 10</v>
      </c>
      <c r="H913" s="24" t="str">
        <v>https://nycdoe.sharepoint.com/:w:/s/BAP/EVbusL3FvnxOli6DvZgJwi8BZ7So1Rj4VzQ7s6oex6_lQQ</v>
      </c>
      <c r="I913" s="23">
        <v>884</v>
      </c>
      <c r="J913" s="24" t="str">
        <v>-</v>
      </c>
      <c r="K913" s="24">
        <v>2293</v>
      </c>
      <c r="L913" s="24" t="str">
        <v>10 out of 10</v>
      </c>
      <c r="M913" s="23" t="b">
        <f t="shared" si="28"/>
        <v>1</v>
      </c>
      <c r="N913" s="23" t="str">
        <v>10 out of 10</v>
      </c>
      <c r="O913" s="23"/>
      <c r="P913" s="42" t="str">
        <v>10</v>
      </c>
      <c r="Q913" s="42" t="str">
        <v>10</v>
      </c>
      <c r="R913" s="42" t="str">
        <v>10</v>
      </c>
      <c r="S913" s="10" t="str">
        <f t="shared" si="29"/>
        <v>No Change</v>
      </c>
    </row>
    <row r="914" spans="4:19" hidden="1">
      <c r="D914" s="24"/>
      <c r="E914" s="24"/>
      <c r="F914" s="24" t="str">
        <v>X905</v>
      </c>
      <c r="G914" s="24" t="str">
        <v>10 out of 10</v>
      </c>
      <c r="H914" s="24" t="str">
        <v>https://nycdoe.sharepoint.com/:w:/s/BAP/ESDgjiLRHsxAsGajcRDYU7QB2JxzYVYnc8iUsVbGpj5ynA</v>
      </c>
      <c r="I914" s="23">
        <v>885</v>
      </c>
      <c r="J914" s="24" t="str">
        <v>-</v>
      </c>
      <c r="K914" s="24">
        <v>2296</v>
      </c>
      <c r="L914" s="24" t="str">
        <v>10 out of 10</v>
      </c>
      <c r="M914" s="23" t="b">
        <f t="shared" si="28"/>
        <v>1</v>
      </c>
      <c r="N914" s="23" t="str">
        <v>10 out of 10</v>
      </c>
      <c r="O914" s="23"/>
      <c r="P914" s="42" t="str">
        <v>10</v>
      </c>
      <c r="Q914" s="42" t="str">
        <v>10</v>
      </c>
      <c r="R914" s="42" t="str">
        <v>10</v>
      </c>
      <c r="S914" s="10" t="str">
        <f t="shared" si="29"/>
        <v>No Change</v>
      </c>
    </row>
    <row r="915" spans="4:19" hidden="1">
      <c r="D915" s="24"/>
      <c r="E915" s="24"/>
      <c r="F915" s="24" t="str">
        <v>X909</v>
      </c>
      <c r="G915" s="24" t="str">
        <v>10 out of 10</v>
      </c>
      <c r="H915" s="24" t="str">
        <v>https://nycdoe.sharepoint.com/:w:/s/BAP/EV6XyZXApqJDripbmQcKQQcB37guYmHLGNbA5Utc9fDIDw</v>
      </c>
      <c r="I915" s="23">
        <v>886</v>
      </c>
      <c r="J915" s="24" t="str">
        <v>-</v>
      </c>
      <c r="K915" s="24">
        <v>2297</v>
      </c>
      <c r="L915" s="24" t="str">
        <v>10 out of 10</v>
      </c>
      <c r="M915" s="23" t="b">
        <f t="shared" si="28"/>
        <v>1</v>
      </c>
      <c r="N915" s="23" t="str">
        <v>10 out of 10</v>
      </c>
      <c r="O915" s="23"/>
      <c r="P915" s="42" t="str">
        <v>10</v>
      </c>
      <c r="Q915" s="42" t="str">
        <v>10</v>
      </c>
      <c r="R915" s="42" t="str">
        <v>10</v>
      </c>
      <c r="S915" s="10" t="str">
        <f t="shared" si="29"/>
        <v>No Change</v>
      </c>
    </row>
    <row r="916" spans="4:19" hidden="1">
      <c r="D916" s="24"/>
      <c r="E916" s="24"/>
      <c r="F916" s="24" t="str">
        <v>X919</v>
      </c>
      <c r="G916" s="24" t="str">
        <v>0 out of 10</v>
      </c>
      <c r="H916" s="24" t="str">
        <v>https://nycdoe.sharepoint.com/:w:/s/BAP/EaM3nGUDN79PhR8Od6aT4PsBuQJQZbdz-V6w8MU0TqpnEQ</v>
      </c>
      <c r="I916" s="23">
        <v>887</v>
      </c>
      <c r="J916" s="24" t="str">
        <v>-</v>
      </c>
      <c r="K916" s="24">
        <v>2299</v>
      </c>
      <c r="L916" s="24" t="str">
        <v>N/A out of 10</v>
      </c>
      <c r="M916" s="23" t="b">
        <f t="shared" si="28"/>
        <v>0</v>
      </c>
      <c r="N916" s="23" t="str">
        <v>0 out of 10</v>
      </c>
      <c r="O916" s="23"/>
      <c r="P916" s="42" t="str">
        <v>0</v>
      </c>
      <c r="Q916" s="42" t="str">
        <v>N/A</v>
      </c>
      <c r="R916" s="42" t="str">
        <v>0</v>
      </c>
      <c r="S916" s="10" t="str">
        <f t="shared" si="29"/>
        <v>No Change</v>
      </c>
    </row>
    <row r="917" spans="4:19" hidden="1">
      <c r="D917" s="24"/>
      <c r="E917" s="24"/>
      <c r="F917" s="24" t="str">
        <v>X930</v>
      </c>
      <c r="G917" s="24" t="str">
        <v>0 out of 10</v>
      </c>
      <c r="H917" s="24" t="str">
        <v>https://nycdoe.sharepoint.com/:w:/s/BAP/EbdIv5cnOB5KuqMQckiVRH4BycqoV29mcAvaAPrBfP3XFA</v>
      </c>
      <c r="I917" s="23">
        <v>888</v>
      </c>
      <c r="J917" s="24" t="str">
        <v>-</v>
      </c>
      <c r="K917" s="24">
        <v>2304</v>
      </c>
      <c r="L917" s="24" t="str">
        <v>N/A out of 10</v>
      </c>
      <c r="M917" s="23" t="b">
        <f t="shared" si="28"/>
        <v>0</v>
      </c>
      <c r="N917" s="23" t="str">
        <v>0 out of 10</v>
      </c>
      <c r="O917" s="23"/>
      <c r="P917" s="42" t="str">
        <v>0</v>
      </c>
      <c r="Q917" s="42" t="str">
        <v>N/A</v>
      </c>
      <c r="R917" s="42" t="str">
        <v>0</v>
      </c>
      <c r="S917" s="10" t="str">
        <f t="shared" si="29"/>
        <v>No Change</v>
      </c>
    </row>
    <row r="918" spans="4:19" hidden="1">
      <c r="D918" s="24"/>
      <c r="E918" s="24"/>
      <c r="F918" s="24" t="str">
        <v>X932</v>
      </c>
      <c r="G918" s="24" t="str">
        <v>10 out of 10</v>
      </c>
      <c r="H918" s="24" t="str">
        <v>https://nycdoe.sharepoint.com/:w:/s/BAP/EUdeeYgPTApJtHfnDA_6-pIBXnQ0IvOHiBx-KHXDnz-uBQ</v>
      </c>
      <c r="I918" s="23">
        <v>889</v>
      </c>
      <c r="J918" s="24" t="str">
        <v>-</v>
      </c>
      <c r="K918" s="24">
        <v>2306</v>
      </c>
      <c r="L918" s="24" t="str">
        <v>10 out of 10</v>
      </c>
      <c r="M918" s="23" t="b">
        <f t="shared" si="28"/>
        <v>1</v>
      </c>
      <c r="N918" s="23" t="str">
        <v>10 out of 10</v>
      </c>
      <c r="O918" s="23"/>
      <c r="P918" s="42" t="str">
        <v>10</v>
      </c>
      <c r="Q918" s="42" t="str">
        <v>10</v>
      </c>
      <c r="R918" s="42" t="str">
        <v>10</v>
      </c>
      <c r="S918" s="10" t="str">
        <f t="shared" si="29"/>
        <v>No Change</v>
      </c>
    </row>
    <row r="919" spans="4:19" hidden="1">
      <c r="D919" s="24"/>
      <c r="E919" s="24"/>
      <c r="F919" s="24" t="str">
        <v>X970</v>
      </c>
      <c r="G919" s="24" t="str">
        <v>10 out of 10</v>
      </c>
      <c r="H919" s="24" t="str">
        <v>https://nycdoe.sharepoint.com/:w:/s/BAP/EV-95d1zm2hChM1cKIqGyHgBcdTuVF8yz8fNN2Zpv6z6Lw</v>
      </c>
      <c r="I919" s="23">
        <v>890</v>
      </c>
      <c r="J919" s="24" t="str">
        <v>-</v>
      </c>
      <c r="K919" s="24">
        <v>2311</v>
      </c>
      <c r="L919" s="24" t="str">
        <v>10 out of 10</v>
      </c>
      <c r="M919" s="23" t="b">
        <f t="shared" si="28"/>
        <v>1</v>
      </c>
      <c r="N919" s="23" t="str">
        <v>10 out of 10</v>
      </c>
      <c r="O919" s="23"/>
      <c r="P919" s="42" t="str">
        <v>10</v>
      </c>
      <c r="Q919" s="42" t="str">
        <v>10</v>
      </c>
      <c r="R919" s="42" t="str">
        <v>10</v>
      </c>
      <c r="S919" s="10" t="str">
        <f t="shared" si="29"/>
        <v>No Change</v>
      </c>
    </row>
    <row r="920" spans="4:19" hidden="1">
      <c r="D920" s="24"/>
      <c r="E920" s="24"/>
      <c r="F920" s="24" t="str">
        <v>X972</v>
      </c>
      <c r="G920" s="24" t="str">
        <v>10 out of 10</v>
      </c>
      <c r="H920" s="24" t="str">
        <v>https://nycdoe.sharepoint.com/:w:/s/BAP/EU-9x7MckIVEso4NMJ4JzNUBMMpCrAszgWX5znfmL2BeiA</v>
      </c>
      <c r="I920" s="23">
        <v>891</v>
      </c>
      <c r="J920" s="24" t="str">
        <v>-</v>
      </c>
      <c r="K920" s="24">
        <v>2314</v>
      </c>
      <c r="L920" s="24" t="str">
        <v>10 out of 10</v>
      </c>
      <c r="M920" s="23" t="b">
        <f t="shared" si="28"/>
        <v>1</v>
      </c>
      <c r="N920" s="23" t="str">
        <v>10 out of 10</v>
      </c>
      <c r="O920" s="23"/>
      <c r="P920" s="42" t="str">
        <v>10</v>
      </c>
      <c r="Q920" s="42" t="str">
        <v>10</v>
      </c>
      <c r="R920" s="42" t="str">
        <v>10</v>
      </c>
      <c r="S920" s="10" t="str">
        <f t="shared" si="29"/>
        <v>No Change</v>
      </c>
    </row>
    <row r="921" spans="4:19" hidden="1">
      <c r="D921" s="24"/>
      <c r="E921" s="24"/>
      <c r="F921" s="24" t="str">
        <v>X973</v>
      </c>
      <c r="G921" s="24" t="str">
        <v>10 out of 10</v>
      </c>
      <c r="H921" s="24" t="str">
        <v>https://nycdoe.sharepoint.com/:w:/s/BAP/EUgz_OZPuLpFjLf81xRODVUB4gvPJ4caBn3glXzmoVcrSw</v>
      </c>
      <c r="I921" s="23">
        <v>892</v>
      </c>
      <c r="J921" s="24" t="str">
        <v>-</v>
      </c>
      <c r="K921" s="24">
        <v>2316</v>
      </c>
      <c r="L921" s="24" t="str">
        <v>10 out of 10</v>
      </c>
      <c r="M921" s="23" t="b">
        <f t="shared" si="28"/>
        <v>1</v>
      </c>
      <c r="N921" s="23" t="str">
        <v>10 out of 10</v>
      </c>
      <c r="O921" s="23"/>
      <c r="P921" s="42" t="str">
        <v>10</v>
      </c>
      <c r="Q921" s="42" t="str">
        <v>10</v>
      </c>
      <c r="R921" s="42" t="str">
        <v>10</v>
      </c>
      <c r="S921" s="10" t="str">
        <f t="shared" si="29"/>
        <v>No Change</v>
      </c>
    </row>
    <row r="922" spans="4:19" hidden="1">
      <c r="D922" s="24"/>
      <c r="E922" s="24"/>
      <c r="F922" s="24" t="str">
        <v>X980</v>
      </c>
      <c r="G922" s="24" t="str">
        <v>10 out of 10</v>
      </c>
      <c r="H922" s="24" t="str">
        <v>https://nycdoe.sharepoint.com/:w:/s/BAP/EQBcDxf1D4hKqBQI4rKP4cEBtBmf6VGBe3LvDOj1THU_BA</v>
      </c>
      <c r="I922" s="23">
        <v>893</v>
      </c>
      <c r="J922" s="24" t="str">
        <v>-</v>
      </c>
      <c r="K922" s="24">
        <v>2318</v>
      </c>
      <c r="L922" s="24" t="str">
        <v>10 out of 10</v>
      </c>
      <c r="M922" s="23" t="b">
        <f t="shared" si="28"/>
        <v>1</v>
      </c>
      <c r="N922" s="23" t="str">
        <v>10 out of 10</v>
      </c>
      <c r="O922" s="23"/>
      <c r="P922" s="42" t="str">
        <v>10</v>
      </c>
      <c r="Q922" s="42" t="str">
        <v>10</v>
      </c>
      <c r="R922" s="42" t="str">
        <v>10</v>
      </c>
      <c r="S922" s="10" t="str">
        <f t="shared" si="29"/>
        <v>No Change</v>
      </c>
    </row>
  </sheetData>
  <autoFilter ref="P1:S922" xr:uid="{922233EA-AE0B-4101-AB5A-DF029ECA535F}">
    <filterColumn colId="1">
      <filters>
        <filter val="5"/>
        <filter val="6"/>
        <filter val="8"/>
      </filters>
    </filterColumn>
    <filterColumn colId="3">
      <filters>
        <filter val="Change"/>
      </filters>
    </filterColumn>
  </autoFilter>
  <conditionalFormatting sqref="A2">
    <cfRule type="duplicateValues" dxfId="8" priority="10"/>
  </conditionalFormatting>
  <conditionalFormatting sqref="A3:A894">
    <cfRule type="duplicateValues" dxfId="7" priority="11"/>
  </conditionalFormatting>
  <conditionalFormatting sqref="I2:I922">
    <cfRule type="containsText" dxfId="6" priority="9" operator="containsText" text="New">
      <formula>NOT(ISERROR(SEARCH("New",I2)))</formula>
    </cfRule>
  </conditionalFormatting>
  <conditionalFormatting sqref="S2:S922">
    <cfRule type="beginsWith" dxfId="5" priority="1" operator="beginsWith" text="Change">
      <formula>LEFT(S2,LEN("Change"))="Change"</formula>
    </cfRule>
  </conditionalFormatting>
  <hyperlinks>
    <hyperlink ref="C347" r:id="rId1" xr:uid="{8F8E48F8-8B3C-42EF-8DC4-BB83A2AD0DE8}"/>
    <hyperlink ref="C346" r:id="rId2" xr:uid="{802E5209-2110-40C9-A902-BD797DB9631F}"/>
    <hyperlink ref="C523" r:id="rId3" xr:uid="{EE5F4DB7-B948-4932-B952-CE5925B81BA8}"/>
    <hyperlink ref="C4" r:id="rId4" xr:uid="{DB83113E-1783-4A18-8F1C-CE5F3DA9ECEA}"/>
    <hyperlink ref="C5" r:id="rId5" xr:uid="{AE7803FA-8888-407F-A63C-3B2E1636F721}"/>
    <hyperlink ref="C6" r:id="rId6" xr:uid="{E2BBA9B3-906D-4419-ADCE-3C23199E457F}"/>
    <hyperlink ref="C7" r:id="rId7" xr:uid="{F2064BDB-B102-40DD-922B-38EDC3FC83A9}"/>
    <hyperlink ref="C8" r:id="rId8" xr:uid="{67E43172-1265-447F-B54C-DF75D60B0181}"/>
    <hyperlink ref="C805" r:id="rId9" xr:uid="{6546532C-1865-43F9-A64C-8EC36B47FD36}"/>
    <hyperlink ref="C22" r:id="rId10" xr:uid="{2DD67647-996F-454A-B01C-08A22EA2B9DB}"/>
    <hyperlink ref="C3" r:id="rId11" xr:uid="{DB84AD18-5A28-4A15-9E05-88EB1021DDFA}"/>
    <hyperlink ref="C11" r:id="rId12" xr:uid="{FE955BBB-4484-465E-ACBB-8FBE91E06A72}"/>
    <hyperlink ref="C746" r:id="rId13" xr:uid="{6C241ED7-127D-4251-B4D9-8203E99ED0C1}"/>
    <hyperlink ref="C718" r:id="rId14" xr:uid="{F58A8C47-A897-40D7-A902-7F759AA78DDC}"/>
    <hyperlink ref="C476" r:id="rId15" xr:uid="{A9C2DFA6-CE92-4338-AB98-EA56C161F259}"/>
    <hyperlink ref="C192" r:id="rId16" xr:uid="{542A464E-4E17-44C4-B806-0B5A93E469D0}"/>
  </hyperlinks>
  <pageMargins left="0.7" right="0.7" top="0.75" bottom="0.75" header="0.3" footer="0.3"/>
  <legacyDrawing r:id="rId17"/>
  <tableParts count="1">
    <tablePart r:id="rId1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03764-463E-43E2-9633-34D7358B7401}">
  <sheetPr codeName="Sheet6"/>
  <dimension ref="A1:EE922"/>
  <sheetViews>
    <sheetView workbookViewId="0"/>
  </sheetViews>
  <sheetFormatPr defaultColWidth="8.85546875" defaultRowHeight="15"/>
  <cols>
    <col min="1" max="1" width="15.42578125" customWidth="1"/>
    <col min="2" max="2" width="20" customWidth="1"/>
    <col min="3" max="3" width="18" customWidth="1"/>
    <col min="4" max="4" width="20.42578125" customWidth="1"/>
    <col min="5" max="5" width="20.140625" customWidth="1"/>
    <col min="6" max="6" width="42.42578125" customWidth="1"/>
    <col min="7" max="7" width="19.140625" customWidth="1"/>
    <col min="8" max="8" width="24.85546875" customWidth="1"/>
    <col min="9" max="9" width="14.28515625" customWidth="1"/>
    <col min="10" max="10" width="20" customWidth="1"/>
    <col min="11" max="11" width="16.42578125" customWidth="1"/>
    <col min="12" max="12" width="22.140625" customWidth="1"/>
    <col min="13" max="13" width="42.140625" customWidth="1"/>
    <col min="14" max="14" width="26.7109375" customWidth="1"/>
    <col min="15" max="15" width="32.42578125" customWidth="1"/>
    <col min="16" max="16" width="28.7109375" customWidth="1"/>
    <col min="17" max="17" width="15" customWidth="1"/>
    <col min="18" max="18" width="35.42578125" customWidth="1"/>
    <col min="19" max="19" width="41.140625" customWidth="1"/>
    <col min="20" max="20" width="45.85546875" customWidth="1"/>
    <col min="21" max="21" width="14" customWidth="1"/>
    <col min="22" max="22" width="19.7109375" customWidth="1"/>
    <col min="23" max="23" width="18.42578125" customWidth="1"/>
    <col min="24" max="24" width="24.140625" customWidth="1"/>
    <col min="25" max="25" width="16.140625" customWidth="1"/>
    <col min="26" max="26" width="21.85546875" customWidth="1"/>
    <col min="27" max="27" width="38.7109375" customWidth="1"/>
    <col min="28" max="28" width="12.28515625" customWidth="1"/>
    <col min="29" max="29" width="23.7109375" customWidth="1"/>
    <col min="30" max="30" width="18" customWidth="1"/>
    <col min="31" max="31" width="17.42578125" customWidth="1"/>
    <col min="32" max="32" width="28.85546875" customWidth="1"/>
    <col min="33" max="33" width="23.140625" customWidth="1"/>
    <col min="34" max="34" width="13.140625" customWidth="1"/>
    <col min="35" max="35" width="24.42578125" customWidth="1"/>
    <col min="36" max="36" width="18.85546875" customWidth="1"/>
    <col min="37" max="37" width="18.28515625" customWidth="1"/>
    <col min="38" max="38" width="29.7109375" customWidth="1"/>
    <col min="39" max="39" width="24" customWidth="1"/>
    <col min="40" max="40" width="18.42578125" customWidth="1"/>
    <col min="41" max="41" width="29.85546875" customWidth="1"/>
    <col min="42" max="42" width="24.140625" customWidth="1"/>
    <col min="43" max="43" width="23.42578125" customWidth="1"/>
    <col min="44" max="44" width="35" customWidth="1"/>
    <col min="45" max="45" width="29.28515625" customWidth="1"/>
    <col min="47" max="47" width="20.42578125" customWidth="1"/>
    <col min="48" max="48" width="14.85546875" customWidth="1"/>
    <col min="49" max="49" width="14.28515625" customWidth="1"/>
    <col min="50" max="50" width="25.7109375" customWidth="1"/>
    <col min="51" max="51" width="20" customWidth="1"/>
    <col min="52" max="52" width="13.42578125" customWidth="1"/>
    <col min="53" max="53" width="25" customWidth="1"/>
    <col min="54" max="54" width="19.28515625" customWidth="1"/>
    <col min="55" max="55" width="19.140625" customWidth="1"/>
    <col min="56" max="56" width="30.140625" customWidth="1"/>
    <col min="57" max="57" width="24.42578125" customWidth="1"/>
    <col min="58" max="58" width="15.7109375" customWidth="1"/>
    <col min="59" max="59" width="27.140625" customWidth="1"/>
    <col min="60" max="60" width="21.42578125" customWidth="1"/>
    <col min="61" max="61" width="20.85546875" customWidth="1"/>
    <col min="62" max="62" width="32.28515625" customWidth="1"/>
    <col min="63" max="63" width="26.42578125" customWidth="1"/>
    <col min="64" max="64" width="13.28515625" customWidth="1"/>
    <col min="65" max="65" width="24.7109375" customWidth="1"/>
    <col min="66" max="66" width="19" customWidth="1"/>
    <col min="67" max="67" width="18.42578125" customWidth="1"/>
    <col min="68" max="68" width="29.85546875" customWidth="1"/>
    <col min="69" max="69" width="24.140625" customWidth="1"/>
    <col min="70" max="70" width="47.42578125" customWidth="1"/>
    <col min="71" max="71" width="13.28515625" customWidth="1"/>
    <col min="72" max="72" width="24.7109375" customWidth="1"/>
    <col min="73" max="73" width="19" customWidth="1"/>
    <col min="74" max="74" width="18.42578125" customWidth="1"/>
    <col min="75" max="75" width="29.85546875" customWidth="1"/>
    <col min="76" max="76" width="24.140625" customWidth="1"/>
    <col min="77" max="77" width="11.28515625" customWidth="1"/>
    <col min="78" max="78" width="22.7109375" customWidth="1"/>
    <col min="79" max="79" width="17" customWidth="1"/>
    <col min="80" max="80" width="16.42578125" customWidth="1"/>
    <col min="81" max="81" width="28.28515625" customWidth="1"/>
    <col min="82" max="82" width="22.140625" customWidth="1"/>
    <col min="83" max="83" width="13.7109375" customWidth="1"/>
    <col min="84" max="84" width="25.140625" customWidth="1"/>
    <col min="85" max="85" width="19.42578125" customWidth="1"/>
    <col min="86" max="86" width="18.85546875" customWidth="1"/>
    <col min="87" max="87" width="30.28515625" customWidth="1"/>
    <col min="88" max="88" width="24.42578125" customWidth="1"/>
    <col min="89" max="89" width="21.42578125" customWidth="1"/>
    <col min="90" max="90" width="33" customWidth="1"/>
    <col min="91" max="91" width="27.28515625" customWidth="1"/>
    <col min="92" max="92" width="26.7109375" customWidth="1"/>
    <col min="93" max="93" width="38.140625" customWidth="1"/>
    <col min="94" max="94" width="32.42578125" customWidth="1"/>
    <col min="96" max="96" width="18.42578125" customWidth="1"/>
    <col min="97" max="97" width="12.85546875" customWidth="1"/>
    <col min="98" max="98" width="26.42578125" customWidth="1"/>
    <col min="99" max="99" width="16.42578125" customWidth="1"/>
    <col min="100" max="100" width="27.85546875" customWidth="1"/>
    <col min="101" max="101" width="22.140625" customWidth="1"/>
    <col min="102" max="102" width="21.42578125" customWidth="1"/>
    <col min="103" max="103" width="33" customWidth="1"/>
    <col min="104" max="104" width="27.28515625" customWidth="1"/>
    <col min="105" max="105" width="16.42578125" customWidth="1"/>
    <col min="106" max="106" width="27.85546875" customWidth="1"/>
    <col min="107" max="107" width="22.140625" customWidth="1"/>
    <col min="108" max="108" width="21.42578125" customWidth="1"/>
    <col min="109" max="109" width="33" customWidth="1"/>
    <col min="110" max="110" width="26.7109375" customWidth="1"/>
    <col min="111" max="111" width="16.42578125" customWidth="1"/>
    <col min="112" max="112" width="27.85546875" customWidth="1"/>
    <col min="113" max="113" width="22.140625" customWidth="1"/>
    <col min="114" max="114" width="21.42578125" customWidth="1"/>
    <col min="115" max="115" width="33" customWidth="1"/>
    <col min="116" max="116" width="27.28515625" customWidth="1"/>
    <col min="117" max="117" width="13.42578125" customWidth="1"/>
    <col min="118" max="118" width="24.85546875" customWidth="1"/>
    <col min="119" max="119" width="19.140625" customWidth="1"/>
    <col min="120" max="120" width="18.42578125" customWidth="1"/>
    <col min="121" max="121" width="30" customWidth="1"/>
    <col min="122" max="122" width="24.28515625" customWidth="1"/>
    <col min="123" max="123" width="12.85546875" customWidth="1"/>
    <col min="124" max="124" width="24.28515625" customWidth="1"/>
    <col min="125" max="125" width="18.42578125" customWidth="1"/>
    <col min="126" max="126" width="18" customWidth="1"/>
    <col min="127" max="127" width="29.42578125" customWidth="1"/>
    <col min="128" max="128" width="23.7109375" customWidth="1"/>
    <col min="129" max="129" width="16.42578125" customWidth="1"/>
    <col min="130" max="130" width="40.7109375" customWidth="1"/>
    <col min="131" max="131" width="26.28515625" customWidth="1"/>
    <col min="132" max="132" width="46.42578125" customWidth="1"/>
    <col min="133" max="133" width="13.42578125" customWidth="1"/>
    <col min="134" max="134" width="16.7109375" customWidth="1"/>
    <col min="135" max="135" width="10.42578125" customWidth="1"/>
  </cols>
  <sheetData>
    <row r="1" spans="1:135">
      <c r="A1" t="s">
        <v>2</v>
      </c>
      <c r="B1" t="s">
        <v>13674</v>
      </c>
      <c r="C1" t="s">
        <v>13675</v>
      </c>
      <c r="D1" t="s">
        <v>13676</v>
      </c>
      <c r="E1" t="s">
        <v>13541</v>
      </c>
      <c r="F1" t="s">
        <v>13677</v>
      </c>
      <c r="G1" t="s">
        <v>13678</v>
      </c>
      <c r="H1" t="s">
        <v>13679</v>
      </c>
      <c r="I1" t="s">
        <v>13680</v>
      </c>
      <c r="J1" t="s">
        <v>13681</v>
      </c>
      <c r="K1" t="s">
        <v>13682</v>
      </c>
      <c r="L1" t="s">
        <v>13683</v>
      </c>
      <c r="M1" t="s">
        <v>13684</v>
      </c>
      <c r="N1" t="s">
        <v>13685</v>
      </c>
      <c r="O1" t="s">
        <v>13686</v>
      </c>
      <c r="P1" t="s">
        <v>13687</v>
      </c>
      <c r="Q1" t="s">
        <v>13688</v>
      </c>
      <c r="R1" t="s">
        <v>13689</v>
      </c>
      <c r="S1" t="s">
        <v>13690</v>
      </c>
      <c r="T1" t="s">
        <v>13691</v>
      </c>
      <c r="U1" t="s">
        <v>13692</v>
      </c>
      <c r="V1" t="s">
        <v>13693</v>
      </c>
      <c r="W1" t="s">
        <v>13694</v>
      </c>
      <c r="X1" t="s">
        <v>13695</v>
      </c>
      <c r="Y1" t="s">
        <v>13696</v>
      </c>
      <c r="Z1" t="s">
        <v>13697</v>
      </c>
      <c r="AA1" t="s">
        <v>13698</v>
      </c>
      <c r="AB1" t="s">
        <v>13699</v>
      </c>
      <c r="AC1" t="s">
        <v>13700</v>
      </c>
      <c r="AD1" t="s">
        <v>13701</v>
      </c>
      <c r="AE1" t="s">
        <v>13702</v>
      </c>
      <c r="AF1" t="s">
        <v>13703</v>
      </c>
      <c r="AG1" t="s">
        <v>13704</v>
      </c>
      <c r="AH1" t="s">
        <v>13705</v>
      </c>
      <c r="AI1" t="s">
        <v>13706</v>
      </c>
      <c r="AJ1" t="s">
        <v>13707</v>
      </c>
      <c r="AK1" t="s">
        <v>13708</v>
      </c>
      <c r="AL1" t="s">
        <v>13709</v>
      </c>
      <c r="AM1" t="s">
        <v>13710</v>
      </c>
      <c r="AN1" t="s">
        <v>13711</v>
      </c>
      <c r="AO1" t="s">
        <v>13712</v>
      </c>
      <c r="AP1" t="s">
        <v>13713</v>
      </c>
      <c r="AQ1" t="s">
        <v>13714</v>
      </c>
      <c r="AR1" t="s">
        <v>13715</v>
      </c>
      <c r="AS1" t="s">
        <v>13716</v>
      </c>
      <c r="AT1" t="s">
        <v>13717</v>
      </c>
      <c r="AU1" t="s">
        <v>13718</v>
      </c>
      <c r="AV1" t="s">
        <v>13719</v>
      </c>
      <c r="AW1" t="s">
        <v>13720</v>
      </c>
      <c r="AX1" t="s">
        <v>13721</v>
      </c>
      <c r="AY1" t="s">
        <v>13722</v>
      </c>
      <c r="AZ1" t="s">
        <v>13723</v>
      </c>
      <c r="BA1" t="s">
        <v>13724</v>
      </c>
      <c r="BB1" t="s">
        <v>13725</v>
      </c>
      <c r="BC1" t="s">
        <v>13726</v>
      </c>
      <c r="BD1" t="s">
        <v>13727</v>
      </c>
      <c r="BE1" t="s">
        <v>13728</v>
      </c>
      <c r="BF1" t="s">
        <v>13729</v>
      </c>
      <c r="BG1" t="s">
        <v>13730</v>
      </c>
      <c r="BH1" t="s">
        <v>13731</v>
      </c>
      <c r="BI1" t="s">
        <v>13732</v>
      </c>
      <c r="BJ1" t="s">
        <v>13733</v>
      </c>
      <c r="BK1" t="s">
        <v>13734</v>
      </c>
      <c r="BL1" t="s">
        <v>13735</v>
      </c>
      <c r="BM1" t="s">
        <v>13736</v>
      </c>
      <c r="BN1" t="s">
        <v>13737</v>
      </c>
      <c r="BO1" t="s">
        <v>13738</v>
      </c>
      <c r="BP1" t="s">
        <v>13739</v>
      </c>
      <c r="BQ1" t="s">
        <v>13740</v>
      </c>
      <c r="BR1" t="s">
        <v>13741</v>
      </c>
      <c r="BS1" t="s">
        <v>13742</v>
      </c>
      <c r="BT1" t="s">
        <v>13743</v>
      </c>
      <c r="BU1" t="s">
        <v>13744</v>
      </c>
      <c r="BV1" t="s">
        <v>13745</v>
      </c>
      <c r="BW1" t="s">
        <v>13746</v>
      </c>
      <c r="BX1" t="s">
        <v>13747</v>
      </c>
      <c r="BY1" t="s">
        <v>13748</v>
      </c>
      <c r="BZ1" t="s">
        <v>13749</v>
      </c>
      <c r="CA1" t="s">
        <v>13750</v>
      </c>
      <c r="CB1" t="s">
        <v>13751</v>
      </c>
      <c r="CC1" t="s">
        <v>13752</v>
      </c>
      <c r="CD1" t="s">
        <v>13753</v>
      </c>
      <c r="CE1" t="s">
        <v>13754</v>
      </c>
      <c r="CF1" t="s">
        <v>13755</v>
      </c>
      <c r="CG1" t="s">
        <v>13756</v>
      </c>
      <c r="CH1" t="s">
        <v>13757</v>
      </c>
      <c r="CI1" t="s">
        <v>13758</v>
      </c>
      <c r="CJ1" t="s">
        <v>13759</v>
      </c>
      <c r="CK1" t="s">
        <v>13760</v>
      </c>
      <c r="CL1" t="s">
        <v>13761</v>
      </c>
      <c r="CM1" t="s">
        <v>13762</v>
      </c>
      <c r="CN1" t="s">
        <v>13763</v>
      </c>
      <c r="CO1" t="s">
        <v>13764</v>
      </c>
      <c r="CP1" t="s">
        <v>13765</v>
      </c>
      <c r="CQ1" t="s">
        <v>13766</v>
      </c>
      <c r="CR1" t="s">
        <v>13767</v>
      </c>
      <c r="CS1" t="s">
        <v>13768</v>
      </c>
      <c r="CT1" t="s">
        <v>13769</v>
      </c>
      <c r="CU1" t="s">
        <v>13770</v>
      </c>
      <c r="CV1" t="s">
        <v>13771</v>
      </c>
      <c r="CW1" t="s">
        <v>13772</v>
      </c>
      <c r="CX1" t="s">
        <v>13773</v>
      </c>
      <c r="CY1" t="s">
        <v>13774</v>
      </c>
      <c r="CZ1" t="s">
        <v>13775</v>
      </c>
      <c r="DA1" t="s">
        <v>13776</v>
      </c>
      <c r="DB1" t="s">
        <v>13777</v>
      </c>
      <c r="DC1" t="s">
        <v>13778</v>
      </c>
      <c r="DD1" t="s">
        <v>13779</v>
      </c>
      <c r="DE1" t="s">
        <v>13780</v>
      </c>
      <c r="DF1" t="s">
        <v>13781</v>
      </c>
      <c r="DG1" t="s">
        <v>13782</v>
      </c>
      <c r="DH1" t="s">
        <v>13783</v>
      </c>
      <c r="DI1" t="s">
        <v>13784</v>
      </c>
      <c r="DJ1" t="s">
        <v>13785</v>
      </c>
      <c r="DK1" t="s">
        <v>13786</v>
      </c>
      <c r="DL1" t="s">
        <v>13787</v>
      </c>
      <c r="DM1" t="s">
        <v>13788</v>
      </c>
      <c r="DN1" t="s">
        <v>13789</v>
      </c>
      <c r="DO1" t="s">
        <v>13790</v>
      </c>
      <c r="DP1" t="s">
        <v>13791</v>
      </c>
      <c r="DQ1" t="s">
        <v>13792</v>
      </c>
      <c r="DR1" t="s">
        <v>13793</v>
      </c>
      <c r="DS1" t="s">
        <v>13794</v>
      </c>
      <c r="DT1" t="s">
        <v>13795</v>
      </c>
      <c r="DU1" t="s">
        <v>13796</v>
      </c>
      <c r="DV1" t="s">
        <v>13797</v>
      </c>
      <c r="DW1" t="s">
        <v>13798</v>
      </c>
      <c r="DX1" t="s">
        <v>13799</v>
      </c>
      <c r="DY1" t="s">
        <v>13800</v>
      </c>
      <c r="DZ1" t="s">
        <v>13801</v>
      </c>
      <c r="EA1" t="s">
        <v>13802</v>
      </c>
      <c r="EB1" t="s">
        <v>13803</v>
      </c>
      <c r="EC1" t="s">
        <v>13804</v>
      </c>
      <c r="ED1" t="s">
        <v>13805</v>
      </c>
      <c r="EE1" t="s">
        <v>4447</v>
      </c>
    </row>
    <row r="2" spans="1:135">
      <c r="A2" t="s">
        <v>5822</v>
      </c>
      <c r="B2" t="s">
        <v>1246</v>
      </c>
      <c r="C2" t="s">
        <v>13806</v>
      </c>
      <c r="D2">
        <v>44652</v>
      </c>
      <c r="E2" t="s">
        <v>13550</v>
      </c>
      <c r="F2" t="s">
        <v>13807</v>
      </c>
      <c r="G2" t="s">
        <v>13808</v>
      </c>
      <c r="I2" t="s">
        <v>13809</v>
      </c>
      <c r="K2" t="s">
        <v>13808</v>
      </c>
      <c r="L2" t="s">
        <v>13810</v>
      </c>
      <c r="M2" t="s">
        <v>13811</v>
      </c>
      <c r="N2" t="s">
        <v>13808</v>
      </c>
      <c r="P2" t="s">
        <v>13808</v>
      </c>
      <c r="R2" t="s">
        <v>13808</v>
      </c>
      <c r="T2" t="s">
        <v>13812</v>
      </c>
      <c r="U2" t="s">
        <v>13808</v>
      </c>
      <c r="V2" t="s">
        <v>13813</v>
      </c>
      <c r="W2" t="s">
        <v>13809</v>
      </c>
      <c r="Y2" t="s">
        <v>13809</v>
      </c>
      <c r="AA2" t="s">
        <v>13814</v>
      </c>
      <c r="AB2" t="s">
        <v>13815</v>
      </c>
      <c r="AC2" t="s">
        <v>13808</v>
      </c>
      <c r="AH2" t="s">
        <v>13816</v>
      </c>
      <c r="AI2" t="s">
        <v>13808</v>
      </c>
      <c r="AK2" t="s">
        <v>13817</v>
      </c>
      <c r="AL2" t="s">
        <v>13818</v>
      </c>
      <c r="AM2" t="s">
        <v>13819</v>
      </c>
      <c r="AN2" t="s">
        <v>13711</v>
      </c>
      <c r="AO2" t="s">
        <v>13809</v>
      </c>
      <c r="AT2" t="s">
        <v>13820</v>
      </c>
      <c r="AU2" t="s">
        <v>13818</v>
      </c>
      <c r="AV2" t="s">
        <v>13819</v>
      </c>
      <c r="AZ2" t="s">
        <v>13821</v>
      </c>
      <c r="BA2" t="s">
        <v>13818</v>
      </c>
      <c r="BB2" t="s">
        <v>13819</v>
      </c>
      <c r="BF2" t="s">
        <v>13822</v>
      </c>
      <c r="BG2" t="s">
        <v>13818</v>
      </c>
      <c r="BH2" t="s">
        <v>13819</v>
      </c>
      <c r="BL2" t="s">
        <v>13735</v>
      </c>
      <c r="BM2" t="s">
        <v>13809</v>
      </c>
      <c r="BR2" t="s">
        <v>13823</v>
      </c>
      <c r="BS2" t="s">
        <v>13824</v>
      </c>
      <c r="BT2" t="s">
        <v>13808</v>
      </c>
      <c r="BU2" t="s">
        <v>13825</v>
      </c>
      <c r="BY2" t="s">
        <v>13826</v>
      </c>
      <c r="BZ2" t="s">
        <v>13818</v>
      </c>
      <c r="CA2" t="s">
        <v>13827</v>
      </c>
      <c r="CE2" t="s">
        <v>13828</v>
      </c>
      <c r="CF2" t="s">
        <v>13808</v>
      </c>
      <c r="CG2" t="s">
        <v>13829</v>
      </c>
      <c r="CK2" t="s">
        <v>13760</v>
      </c>
      <c r="CL2" t="s">
        <v>13809</v>
      </c>
      <c r="CQ2" t="s">
        <v>13766</v>
      </c>
      <c r="CR2" t="s">
        <v>13809</v>
      </c>
      <c r="CT2" t="s">
        <v>13830</v>
      </c>
      <c r="CU2" t="s">
        <v>13831</v>
      </c>
      <c r="CV2" t="s">
        <v>13808</v>
      </c>
      <c r="CX2" t="s">
        <v>13832</v>
      </c>
      <c r="CY2" t="s">
        <v>13818</v>
      </c>
      <c r="DA2" t="s">
        <v>13833</v>
      </c>
      <c r="DB2" t="s">
        <v>13808</v>
      </c>
      <c r="DD2" t="s">
        <v>13832</v>
      </c>
      <c r="DE2" t="s">
        <v>13818</v>
      </c>
      <c r="DG2" t="s">
        <v>13834</v>
      </c>
      <c r="DH2" t="s">
        <v>13808</v>
      </c>
      <c r="DJ2" t="s">
        <v>13835</v>
      </c>
      <c r="DK2" t="s">
        <v>13818</v>
      </c>
      <c r="DM2" t="s">
        <v>13836</v>
      </c>
      <c r="DN2" t="s">
        <v>13818</v>
      </c>
      <c r="DO2" t="s">
        <v>13837</v>
      </c>
      <c r="DP2" t="s">
        <v>13838</v>
      </c>
      <c r="DQ2" t="s">
        <v>13818</v>
      </c>
      <c r="DR2" t="s">
        <v>13839</v>
      </c>
      <c r="DY2" t="s">
        <v>13840</v>
      </c>
      <c r="DZ2" t="s">
        <v>13841</v>
      </c>
      <c r="EA2" t="s">
        <v>13842</v>
      </c>
      <c r="EC2">
        <v>44658</v>
      </c>
      <c r="ED2" t="s">
        <v>13843</v>
      </c>
      <c r="EE2" t="s">
        <v>13551</v>
      </c>
    </row>
    <row r="3" spans="1:135">
      <c r="A3" t="s">
        <v>1443</v>
      </c>
      <c r="B3" t="s">
        <v>1442</v>
      </c>
      <c r="C3" t="s">
        <v>13844</v>
      </c>
      <c r="D3">
        <v>43747</v>
      </c>
      <c r="E3" t="s">
        <v>13553</v>
      </c>
      <c r="F3" t="s">
        <v>13845</v>
      </c>
      <c r="G3" t="s">
        <v>13808</v>
      </c>
      <c r="I3" t="s">
        <v>13809</v>
      </c>
      <c r="K3" t="s">
        <v>13809</v>
      </c>
      <c r="M3" s="24" t="s">
        <v>13846</v>
      </c>
      <c r="N3" s="24" t="s">
        <v>13808</v>
      </c>
      <c r="O3" s="24"/>
      <c r="P3" s="24" t="s">
        <v>13808</v>
      </c>
      <c r="Q3" s="24"/>
      <c r="R3" s="24" t="s">
        <v>13808</v>
      </c>
      <c r="S3" s="24"/>
      <c r="T3" t="s">
        <v>13847</v>
      </c>
      <c r="U3" t="s">
        <v>13808</v>
      </c>
      <c r="W3" t="s">
        <v>13808</v>
      </c>
      <c r="X3" t="s">
        <v>13848</v>
      </c>
      <c r="AA3" t="s">
        <v>13849</v>
      </c>
      <c r="AB3" t="s">
        <v>13850</v>
      </c>
      <c r="AC3" t="s">
        <v>13809</v>
      </c>
      <c r="AH3" t="s">
        <v>13851</v>
      </c>
      <c r="AI3" t="s">
        <v>13808</v>
      </c>
      <c r="AN3" t="s">
        <v>13852</v>
      </c>
      <c r="AO3" t="s">
        <v>13808</v>
      </c>
      <c r="AT3" t="s">
        <v>13853</v>
      </c>
      <c r="AU3" t="s">
        <v>13808</v>
      </c>
      <c r="AZ3" t="s">
        <v>13854</v>
      </c>
      <c r="BA3" t="s">
        <v>13808</v>
      </c>
      <c r="BF3" t="s">
        <v>13855</v>
      </c>
      <c r="BG3" t="s">
        <v>13808</v>
      </c>
      <c r="BL3" t="s">
        <v>13856</v>
      </c>
      <c r="BM3" t="s">
        <v>13808</v>
      </c>
      <c r="BR3" t="s">
        <v>13857</v>
      </c>
      <c r="BS3" t="s">
        <v>13858</v>
      </c>
      <c r="BT3" t="s">
        <v>13808</v>
      </c>
      <c r="BU3" t="s">
        <v>13859</v>
      </c>
      <c r="BY3" t="s">
        <v>13860</v>
      </c>
      <c r="BZ3" t="s">
        <v>13808</v>
      </c>
      <c r="CA3" t="s">
        <v>13861</v>
      </c>
      <c r="CE3" t="s">
        <v>13862</v>
      </c>
      <c r="CF3" t="s">
        <v>13808</v>
      </c>
      <c r="CG3" t="s">
        <v>13863</v>
      </c>
      <c r="CK3" t="s">
        <v>13760</v>
      </c>
      <c r="CL3" t="s">
        <v>13809</v>
      </c>
      <c r="CQ3" t="s">
        <v>13766</v>
      </c>
      <c r="CR3" t="s">
        <v>13809</v>
      </c>
      <c r="CT3" t="s">
        <v>13864</v>
      </c>
      <c r="CU3" t="s">
        <v>13865</v>
      </c>
      <c r="CV3" t="s">
        <v>13808</v>
      </c>
      <c r="DA3" t="s">
        <v>13866</v>
      </c>
      <c r="DB3" t="s">
        <v>13808</v>
      </c>
      <c r="DH3" t="s">
        <v>13808</v>
      </c>
      <c r="DM3" t="s">
        <v>13867</v>
      </c>
      <c r="DN3" t="s">
        <v>13808</v>
      </c>
      <c r="DP3" t="s">
        <v>13868</v>
      </c>
      <c r="DQ3" t="s">
        <v>13808</v>
      </c>
      <c r="DY3" t="s">
        <v>13869</v>
      </c>
      <c r="DZ3" t="s">
        <v>13870</v>
      </c>
      <c r="EA3" t="s">
        <v>13871</v>
      </c>
      <c r="EC3">
        <v>44622</v>
      </c>
      <c r="ED3" t="s">
        <v>13843</v>
      </c>
      <c r="EE3" t="s">
        <v>5905</v>
      </c>
    </row>
    <row r="4" spans="1:135">
      <c r="A4" t="s">
        <v>1450</v>
      </c>
      <c r="B4" t="s">
        <v>1442</v>
      </c>
      <c r="C4" t="s">
        <v>13872</v>
      </c>
      <c r="D4">
        <v>43676</v>
      </c>
      <c r="E4" t="s">
        <v>13555</v>
      </c>
      <c r="F4" t="s">
        <v>13873</v>
      </c>
      <c r="G4" t="s">
        <v>13808</v>
      </c>
      <c r="I4" t="s">
        <v>13809</v>
      </c>
      <c r="K4" t="s">
        <v>13809</v>
      </c>
      <c r="M4" s="24" t="s">
        <v>13874</v>
      </c>
      <c r="N4" s="24" t="s">
        <v>13808</v>
      </c>
      <c r="O4" s="24"/>
      <c r="P4" s="24" t="s">
        <v>13808</v>
      </c>
      <c r="Q4" s="24"/>
      <c r="R4" s="24" t="s">
        <v>13808</v>
      </c>
      <c r="S4" s="24"/>
      <c r="T4" t="s">
        <v>13875</v>
      </c>
      <c r="U4" t="s">
        <v>13809</v>
      </c>
      <c r="W4" t="s">
        <v>13808</v>
      </c>
      <c r="X4" t="s">
        <v>13876</v>
      </c>
      <c r="Y4" t="s">
        <v>13808</v>
      </c>
      <c r="AA4" t="s">
        <v>13877</v>
      </c>
      <c r="AB4" t="s">
        <v>13878</v>
      </c>
      <c r="AC4" t="s">
        <v>13808</v>
      </c>
      <c r="AH4" t="s">
        <v>13879</v>
      </c>
      <c r="AI4" t="s">
        <v>13808</v>
      </c>
      <c r="AN4" t="s">
        <v>13880</v>
      </c>
      <c r="AO4" t="s">
        <v>13808</v>
      </c>
      <c r="AT4" t="s">
        <v>13881</v>
      </c>
      <c r="AU4" t="s">
        <v>13808</v>
      </c>
      <c r="AZ4" t="s">
        <v>13882</v>
      </c>
      <c r="BA4" t="s">
        <v>13808</v>
      </c>
      <c r="BF4" t="s">
        <v>13883</v>
      </c>
      <c r="BG4" t="s">
        <v>13808</v>
      </c>
      <c r="BM4" t="s">
        <v>13809</v>
      </c>
      <c r="BR4" t="s">
        <v>13884</v>
      </c>
      <c r="BS4" t="s">
        <v>13885</v>
      </c>
      <c r="BT4" t="s">
        <v>13808</v>
      </c>
      <c r="BU4" t="s">
        <v>13886</v>
      </c>
      <c r="BY4" t="s">
        <v>13887</v>
      </c>
      <c r="BZ4" t="s">
        <v>13808</v>
      </c>
      <c r="CA4" t="s">
        <v>13888</v>
      </c>
      <c r="CE4" t="s">
        <v>13887</v>
      </c>
      <c r="CF4" t="s">
        <v>13808</v>
      </c>
      <c r="CK4" t="s">
        <v>13809</v>
      </c>
      <c r="CQ4" t="s">
        <v>13809</v>
      </c>
      <c r="CT4" t="s">
        <v>13889</v>
      </c>
      <c r="CU4" t="s">
        <v>13890</v>
      </c>
      <c r="CV4" t="s">
        <v>13808</v>
      </c>
      <c r="DA4" t="s">
        <v>13891</v>
      </c>
      <c r="DB4" t="s">
        <v>13808</v>
      </c>
      <c r="DG4" t="s">
        <v>13892</v>
      </c>
      <c r="DH4" t="s">
        <v>13808</v>
      </c>
      <c r="DI4" t="s">
        <v>13893</v>
      </c>
      <c r="DJ4" t="s">
        <v>13894</v>
      </c>
      <c r="DK4" t="s">
        <v>13808</v>
      </c>
      <c r="DL4" t="s">
        <v>13895</v>
      </c>
      <c r="DM4" t="s">
        <v>13896</v>
      </c>
      <c r="DN4" t="s">
        <v>13897</v>
      </c>
      <c r="DO4" t="s">
        <v>13898</v>
      </c>
      <c r="DP4" t="s">
        <v>13899</v>
      </c>
      <c r="DR4" t="s">
        <v>13808</v>
      </c>
      <c r="DY4" t="s">
        <v>13900</v>
      </c>
      <c r="DZ4" t="s">
        <v>13901</v>
      </c>
      <c r="EA4" t="s">
        <v>13902</v>
      </c>
      <c r="ED4" t="s">
        <v>13903</v>
      </c>
      <c r="EE4" t="s">
        <v>5911</v>
      </c>
    </row>
    <row r="5" spans="1:135">
      <c r="A5" t="s">
        <v>1684</v>
      </c>
      <c r="B5" t="s">
        <v>1683</v>
      </c>
      <c r="C5" t="s">
        <v>13904</v>
      </c>
      <c r="D5">
        <v>43746</v>
      </c>
      <c r="E5" t="s">
        <v>13553</v>
      </c>
      <c r="F5" t="s">
        <v>13905</v>
      </c>
      <c r="G5" t="s">
        <v>13808</v>
      </c>
      <c r="I5" t="s">
        <v>13809</v>
      </c>
      <c r="K5" t="s">
        <v>13809</v>
      </c>
      <c r="M5" s="24" t="s">
        <v>13906</v>
      </c>
      <c r="N5" s="24" t="s">
        <v>13808</v>
      </c>
      <c r="O5" s="24"/>
      <c r="P5" s="24" t="s">
        <v>13808</v>
      </c>
      <c r="Q5" s="24"/>
      <c r="R5" s="24" t="s">
        <v>13808</v>
      </c>
      <c r="S5" s="24"/>
      <c r="T5" t="s">
        <v>13907</v>
      </c>
      <c r="U5" t="s">
        <v>13809</v>
      </c>
      <c r="W5" t="s">
        <v>13808</v>
      </c>
      <c r="X5" t="s">
        <v>13908</v>
      </c>
      <c r="Y5" t="s">
        <v>13809</v>
      </c>
      <c r="AA5" t="s">
        <v>13877</v>
      </c>
      <c r="AC5" t="s">
        <v>13809</v>
      </c>
      <c r="AH5" t="s">
        <v>13909</v>
      </c>
      <c r="AI5" t="s">
        <v>13808</v>
      </c>
      <c r="AO5" t="s">
        <v>13809</v>
      </c>
      <c r="AT5" t="s">
        <v>13910</v>
      </c>
      <c r="AU5" t="s">
        <v>13808</v>
      </c>
      <c r="AZ5" t="s">
        <v>13911</v>
      </c>
      <c r="BA5" t="s">
        <v>13808</v>
      </c>
      <c r="BF5" t="s">
        <v>13912</v>
      </c>
      <c r="BG5" t="s">
        <v>13808</v>
      </c>
      <c r="BM5" t="s">
        <v>13809</v>
      </c>
      <c r="BR5" t="s">
        <v>13913</v>
      </c>
      <c r="BS5" t="s">
        <v>13887</v>
      </c>
      <c r="BT5" t="s">
        <v>13808</v>
      </c>
      <c r="BU5" t="s">
        <v>13914</v>
      </c>
      <c r="BY5" t="s">
        <v>13887</v>
      </c>
      <c r="BZ5" t="s">
        <v>13808</v>
      </c>
      <c r="CA5" t="s">
        <v>13888</v>
      </c>
      <c r="CE5" t="s">
        <v>13885</v>
      </c>
      <c r="CF5" t="s">
        <v>13808</v>
      </c>
      <c r="CL5" t="s">
        <v>13809</v>
      </c>
      <c r="CR5" t="s">
        <v>13809</v>
      </c>
      <c r="CT5" t="s">
        <v>13915</v>
      </c>
      <c r="CU5" t="s">
        <v>13916</v>
      </c>
      <c r="CV5" t="s">
        <v>13808</v>
      </c>
      <c r="DA5" t="s">
        <v>13917</v>
      </c>
      <c r="DB5" t="s">
        <v>13808</v>
      </c>
      <c r="DH5" t="s">
        <v>13809</v>
      </c>
      <c r="DM5" t="s">
        <v>13918</v>
      </c>
      <c r="DN5" t="s">
        <v>13808</v>
      </c>
      <c r="DP5" t="s">
        <v>13919</v>
      </c>
      <c r="DQ5" t="s">
        <v>13808</v>
      </c>
      <c r="DY5" t="s">
        <v>13920</v>
      </c>
      <c r="DZ5" t="s">
        <v>13921</v>
      </c>
      <c r="EA5" t="s">
        <v>13922</v>
      </c>
      <c r="EC5">
        <v>43955</v>
      </c>
      <c r="ED5" t="s">
        <v>13903</v>
      </c>
      <c r="EE5" t="s">
        <v>6199</v>
      </c>
    </row>
    <row r="6" spans="1:135">
      <c r="A6" t="s">
        <v>1045</v>
      </c>
      <c r="B6" t="s">
        <v>1043</v>
      </c>
      <c r="C6" t="s">
        <v>13923</v>
      </c>
      <c r="D6">
        <v>43235</v>
      </c>
      <c r="E6" t="s">
        <v>13557</v>
      </c>
      <c r="F6" t="s">
        <v>13924</v>
      </c>
      <c r="G6" t="s">
        <v>13808</v>
      </c>
      <c r="I6" t="s">
        <v>13809</v>
      </c>
      <c r="K6" t="s">
        <v>13809</v>
      </c>
      <c r="M6" s="24" t="s">
        <v>13925</v>
      </c>
      <c r="N6" s="24" t="s">
        <v>13808</v>
      </c>
      <c r="O6" s="24"/>
      <c r="P6" s="24" t="s">
        <v>13808</v>
      </c>
      <c r="Q6" s="24"/>
      <c r="R6" s="24" t="s">
        <v>13808</v>
      </c>
      <c r="S6" s="24"/>
      <c r="T6" t="s">
        <v>13926</v>
      </c>
      <c r="U6" t="s">
        <v>13809</v>
      </c>
      <c r="W6" t="s">
        <v>13808</v>
      </c>
      <c r="X6" t="s">
        <v>13927</v>
      </c>
      <c r="Y6" t="s">
        <v>13809</v>
      </c>
      <c r="AA6" t="s">
        <v>13928</v>
      </c>
      <c r="AB6" t="s">
        <v>13929</v>
      </c>
      <c r="AC6" t="s">
        <v>13808</v>
      </c>
      <c r="AH6" t="s">
        <v>13851</v>
      </c>
      <c r="AI6" t="s">
        <v>13808</v>
      </c>
      <c r="AN6" t="s">
        <v>13930</v>
      </c>
      <c r="AO6" t="s">
        <v>13808</v>
      </c>
      <c r="AT6" t="s">
        <v>13931</v>
      </c>
      <c r="AU6" t="s">
        <v>13808</v>
      </c>
      <c r="AZ6" t="s">
        <v>13932</v>
      </c>
      <c r="BA6" t="s">
        <v>13808</v>
      </c>
      <c r="BF6" t="s">
        <v>13933</v>
      </c>
      <c r="BG6" t="s">
        <v>13808</v>
      </c>
      <c r="BL6" t="s">
        <v>13934</v>
      </c>
      <c r="BM6" t="s">
        <v>13809</v>
      </c>
      <c r="BR6" t="s">
        <v>13935</v>
      </c>
      <c r="BS6" t="s">
        <v>13824</v>
      </c>
      <c r="BT6" t="s">
        <v>13808</v>
      </c>
      <c r="BU6" t="s">
        <v>13936</v>
      </c>
      <c r="BY6" t="s">
        <v>13826</v>
      </c>
      <c r="BZ6" t="s">
        <v>13808</v>
      </c>
      <c r="CA6" t="s">
        <v>13937</v>
      </c>
      <c r="CE6" t="s">
        <v>13938</v>
      </c>
      <c r="CF6" t="s">
        <v>13808</v>
      </c>
      <c r="CK6" t="s">
        <v>13760</v>
      </c>
      <c r="CL6" t="s">
        <v>13809</v>
      </c>
      <c r="CQ6" t="s">
        <v>13766</v>
      </c>
      <c r="CR6" t="s">
        <v>13809</v>
      </c>
      <c r="CT6" t="s">
        <v>13939</v>
      </c>
      <c r="CU6" t="s">
        <v>13940</v>
      </c>
      <c r="CV6" t="s">
        <v>13808</v>
      </c>
      <c r="CX6" t="s">
        <v>13941</v>
      </c>
      <c r="CY6" t="s">
        <v>13818</v>
      </c>
      <c r="DA6" t="s">
        <v>13942</v>
      </c>
      <c r="DB6" t="s">
        <v>13808</v>
      </c>
      <c r="DD6" t="s">
        <v>13943</v>
      </c>
      <c r="DE6" t="s">
        <v>13818</v>
      </c>
      <c r="DG6" t="s">
        <v>13944</v>
      </c>
      <c r="DH6" t="s">
        <v>13818</v>
      </c>
      <c r="DM6" t="s">
        <v>13945</v>
      </c>
      <c r="DN6" t="s">
        <v>13808</v>
      </c>
      <c r="DZ6" t="s">
        <v>13946</v>
      </c>
      <c r="EA6" t="s">
        <v>13947</v>
      </c>
      <c r="EC6">
        <v>44705</v>
      </c>
      <c r="ED6" t="s">
        <v>13843</v>
      </c>
      <c r="EE6" t="s">
        <v>5435</v>
      </c>
    </row>
    <row r="7" spans="1:135">
      <c r="A7" t="s">
        <v>1049</v>
      </c>
      <c r="B7" t="s">
        <v>1043</v>
      </c>
      <c r="C7" t="s">
        <v>13948</v>
      </c>
      <c r="D7">
        <v>43089</v>
      </c>
      <c r="E7" t="s">
        <v>13558</v>
      </c>
      <c r="F7" t="s">
        <v>13949</v>
      </c>
      <c r="G7" t="s">
        <v>13808</v>
      </c>
      <c r="I7" t="s">
        <v>13809</v>
      </c>
      <c r="K7" t="s">
        <v>13809</v>
      </c>
      <c r="M7" s="24" t="s">
        <v>13950</v>
      </c>
      <c r="N7" s="24" t="s">
        <v>13808</v>
      </c>
      <c r="O7" s="24"/>
      <c r="P7" s="24" t="s">
        <v>13808</v>
      </c>
      <c r="Q7" s="24"/>
      <c r="R7" s="24" t="s">
        <v>13808</v>
      </c>
      <c r="S7" s="24"/>
      <c r="T7" t="s">
        <v>13951</v>
      </c>
      <c r="U7" t="s">
        <v>13809</v>
      </c>
      <c r="W7" t="s">
        <v>13808</v>
      </c>
      <c r="X7" t="s">
        <v>13952</v>
      </c>
      <c r="Y7" t="s">
        <v>13809</v>
      </c>
      <c r="AA7" t="s">
        <v>13953</v>
      </c>
      <c r="AC7" t="s">
        <v>13809</v>
      </c>
      <c r="AH7" t="s">
        <v>13909</v>
      </c>
      <c r="AI7" t="s">
        <v>13808</v>
      </c>
      <c r="AN7" t="s">
        <v>13954</v>
      </c>
      <c r="AO7" t="s">
        <v>13808</v>
      </c>
      <c r="AT7" t="s">
        <v>13955</v>
      </c>
      <c r="AU7" t="s">
        <v>13808</v>
      </c>
      <c r="AZ7" t="s">
        <v>13956</v>
      </c>
      <c r="BA7" t="s">
        <v>13808</v>
      </c>
      <c r="BF7" t="s">
        <v>13957</v>
      </c>
      <c r="BG7" t="s">
        <v>13808</v>
      </c>
      <c r="BL7" t="s">
        <v>13958</v>
      </c>
      <c r="BM7" t="s">
        <v>13808</v>
      </c>
      <c r="BR7" t="s">
        <v>13959</v>
      </c>
      <c r="BS7" t="s">
        <v>13887</v>
      </c>
      <c r="BT7" t="s">
        <v>13808</v>
      </c>
      <c r="BU7" t="s">
        <v>13960</v>
      </c>
      <c r="BY7" t="s">
        <v>13887</v>
      </c>
      <c r="BZ7" t="s">
        <v>13808</v>
      </c>
      <c r="CA7" t="s">
        <v>13961</v>
      </c>
      <c r="CE7" t="s">
        <v>13887</v>
      </c>
      <c r="CF7" t="s">
        <v>13808</v>
      </c>
      <c r="CK7" t="s">
        <v>13809</v>
      </c>
      <c r="CQ7" t="s">
        <v>13809</v>
      </c>
      <c r="CT7" t="s">
        <v>13962</v>
      </c>
      <c r="CU7" t="s">
        <v>13963</v>
      </c>
      <c r="CV7" t="s">
        <v>13818</v>
      </c>
      <c r="DA7" t="s">
        <v>13964</v>
      </c>
      <c r="DB7" t="s">
        <v>13818</v>
      </c>
      <c r="DG7" t="s">
        <v>13965</v>
      </c>
      <c r="DH7" t="s">
        <v>13818</v>
      </c>
      <c r="DI7" t="s">
        <v>13966</v>
      </c>
      <c r="DJ7" t="s">
        <v>13967</v>
      </c>
      <c r="DK7" t="s">
        <v>13818</v>
      </c>
      <c r="DL7" t="s">
        <v>13968</v>
      </c>
      <c r="DM7" t="s">
        <v>13969</v>
      </c>
      <c r="DN7" t="s">
        <v>13818</v>
      </c>
      <c r="DZ7" t="s">
        <v>13970</v>
      </c>
      <c r="EA7" t="s">
        <v>13971</v>
      </c>
      <c r="ED7" t="s">
        <v>13903</v>
      </c>
      <c r="EE7" t="s">
        <v>5439</v>
      </c>
    </row>
    <row r="8" spans="1:135">
      <c r="A8" t="s">
        <v>1247</v>
      </c>
      <c r="B8" t="s">
        <v>1246</v>
      </c>
      <c r="C8" t="s">
        <v>13972</v>
      </c>
      <c r="D8">
        <v>44631</v>
      </c>
      <c r="E8" t="s">
        <v>13559</v>
      </c>
      <c r="F8" t="s">
        <v>13973</v>
      </c>
      <c r="G8" t="s">
        <v>13808</v>
      </c>
      <c r="I8" t="s">
        <v>13809</v>
      </c>
      <c r="K8" t="s">
        <v>13808</v>
      </c>
      <c r="L8" t="s">
        <v>13974</v>
      </c>
      <c r="M8" s="24" t="s">
        <v>13975</v>
      </c>
      <c r="N8" s="24" t="s">
        <v>13808</v>
      </c>
      <c r="O8" s="24"/>
      <c r="P8" s="24" t="s">
        <v>13808</v>
      </c>
      <c r="Q8" s="24"/>
      <c r="R8" s="24" t="s">
        <v>13808</v>
      </c>
      <c r="S8" s="24"/>
      <c r="T8" t="s">
        <v>13907</v>
      </c>
      <c r="U8" t="s">
        <v>13808</v>
      </c>
      <c r="W8" t="s">
        <v>13808</v>
      </c>
      <c r="X8" t="s">
        <v>13976</v>
      </c>
      <c r="Y8" t="s">
        <v>13809</v>
      </c>
      <c r="AA8" t="s">
        <v>13977</v>
      </c>
      <c r="AB8" t="s">
        <v>13978</v>
      </c>
      <c r="AC8" t="s">
        <v>13808</v>
      </c>
      <c r="AH8" t="s">
        <v>13851</v>
      </c>
      <c r="AI8" t="s">
        <v>13808</v>
      </c>
      <c r="AN8" t="s">
        <v>13979</v>
      </c>
      <c r="AO8" t="s">
        <v>13808</v>
      </c>
      <c r="AT8" t="s">
        <v>13980</v>
      </c>
      <c r="AU8" t="s">
        <v>13808</v>
      </c>
      <c r="AZ8" t="s">
        <v>13981</v>
      </c>
      <c r="BA8" t="s">
        <v>13808</v>
      </c>
      <c r="BF8" t="s">
        <v>13982</v>
      </c>
      <c r="BG8" t="s">
        <v>13808</v>
      </c>
      <c r="BL8" t="s">
        <v>13983</v>
      </c>
      <c r="BM8" t="s">
        <v>13808</v>
      </c>
      <c r="BR8" t="s">
        <v>13984</v>
      </c>
      <c r="BS8" t="s">
        <v>13824</v>
      </c>
      <c r="BT8" t="s">
        <v>13808</v>
      </c>
      <c r="BU8" t="s">
        <v>13985</v>
      </c>
      <c r="BY8" t="s">
        <v>13986</v>
      </c>
      <c r="BZ8" t="s">
        <v>13808</v>
      </c>
      <c r="CA8" t="s">
        <v>13937</v>
      </c>
      <c r="CE8" t="s">
        <v>13862</v>
      </c>
      <c r="CF8" t="s">
        <v>13808</v>
      </c>
      <c r="CK8" t="s">
        <v>13760</v>
      </c>
      <c r="CL8" t="s">
        <v>13809</v>
      </c>
      <c r="CQ8" t="s">
        <v>13766</v>
      </c>
      <c r="CR8" t="s">
        <v>13809</v>
      </c>
      <c r="CT8" t="s">
        <v>13987</v>
      </c>
      <c r="CU8" t="s">
        <v>13988</v>
      </c>
      <c r="CV8" t="s">
        <v>13808</v>
      </c>
      <c r="CX8" t="s">
        <v>13989</v>
      </c>
      <c r="CY8" t="s">
        <v>13818</v>
      </c>
      <c r="CZ8" t="s">
        <v>13990</v>
      </c>
      <c r="DA8" t="s">
        <v>13991</v>
      </c>
      <c r="DB8" t="s">
        <v>13808</v>
      </c>
      <c r="DD8" t="s">
        <v>13989</v>
      </c>
      <c r="DE8" t="s">
        <v>13818</v>
      </c>
      <c r="DF8" t="s">
        <v>13992</v>
      </c>
      <c r="DH8" t="s">
        <v>13808</v>
      </c>
      <c r="DM8" t="s">
        <v>13993</v>
      </c>
      <c r="DN8" t="s">
        <v>13818</v>
      </c>
      <c r="DO8" t="s">
        <v>13994</v>
      </c>
      <c r="DY8" t="s">
        <v>13869</v>
      </c>
      <c r="DZ8" t="s">
        <v>13995</v>
      </c>
      <c r="EA8" t="s">
        <v>13996</v>
      </c>
      <c r="EC8">
        <v>44635</v>
      </c>
      <c r="ED8" t="s">
        <v>13843</v>
      </c>
      <c r="EE8" t="s">
        <v>5675</v>
      </c>
    </row>
    <row r="9" spans="1:135">
      <c r="A9" t="s">
        <v>1053</v>
      </c>
      <c r="B9" t="s">
        <v>1043</v>
      </c>
      <c r="C9" t="s">
        <v>13997</v>
      </c>
      <c r="D9">
        <v>43235</v>
      </c>
      <c r="E9" t="s">
        <v>13558</v>
      </c>
      <c r="F9" t="s">
        <v>13998</v>
      </c>
      <c r="G9" t="s">
        <v>13808</v>
      </c>
      <c r="I9" t="s">
        <v>13809</v>
      </c>
      <c r="K9" t="s">
        <v>13809</v>
      </c>
      <c r="M9" s="24" t="s">
        <v>13999</v>
      </c>
      <c r="N9" s="24" t="s">
        <v>13808</v>
      </c>
      <c r="O9" s="24"/>
      <c r="P9" s="24" t="s">
        <v>13808</v>
      </c>
      <c r="Q9" s="24"/>
      <c r="R9" s="24" t="s">
        <v>13808</v>
      </c>
      <c r="S9" s="24"/>
      <c r="T9" t="s">
        <v>14000</v>
      </c>
      <c r="U9" t="s">
        <v>13809</v>
      </c>
      <c r="W9" t="s">
        <v>13809</v>
      </c>
      <c r="Y9" t="s">
        <v>13809</v>
      </c>
      <c r="AA9" t="s">
        <v>14001</v>
      </c>
      <c r="AB9" t="s">
        <v>14002</v>
      </c>
      <c r="AC9" t="s">
        <v>13808</v>
      </c>
      <c r="AH9" t="s">
        <v>14003</v>
      </c>
      <c r="AI9" t="s">
        <v>13808</v>
      </c>
      <c r="AK9" t="s">
        <v>14004</v>
      </c>
      <c r="AL9" t="s">
        <v>13818</v>
      </c>
      <c r="AN9" t="s">
        <v>14005</v>
      </c>
      <c r="AO9" t="s">
        <v>13818</v>
      </c>
      <c r="AT9" t="s">
        <v>14006</v>
      </c>
      <c r="AU9" t="s">
        <v>13818</v>
      </c>
      <c r="AZ9" t="s">
        <v>14007</v>
      </c>
      <c r="BA9" t="s">
        <v>13818</v>
      </c>
      <c r="BF9" t="s">
        <v>14008</v>
      </c>
      <c r="BG9" t="s">
        <v>13818</v>
      </c>
      <c r="BM9" t="s">
        <v>13809</v>
      </c>
      <c r="BR9" t="s">
        <v>14009</v>
      </c>
      <c r="BS9" t="s">
        <v>14003</v>
      </c>
      <c r="BT9" t="s">
        <v>13808</v>
      </c>
      <c r="BU9" t="s">
        <v>14010</v>
      </c>
      <c r="BY9" t="s">
        <v>14003</v>
      </c>
      <c r="BZ9" t="s">
        <v>13808</v>
      </c>
      <c r="CA9" t="s">
        <v>13888</v>
      </c>
      <c r="CE9" t="s">
        <v>14003</v>
      </c>
      <c r="CF9" t="s">
        <v>13808</v>
      </c>
      <c r="CL9" t="s">
        <v>13809</v>
      </c>
      <c r="CR9" t="s">
        <v>13809</v>
      </c>
      <c r="CT9" t="s">
        <v>14011</v>
      </c>
      <c r="CU9" t="s">
        <v>13909</v>
      </c>
      <c r="CV9" t="s">
        <v>13818</v>
      </c>
      <c r="DA9" t="s">
        <v>13909</v>
      </c>
      <c r="DB9" t="s">
        <v>13818</v>
      </c>
      <c r="DG9" t="s">
        <v>13909</v>
      </c>
      <c r="DH9" t="s">
        <v>13818</v>
      </c>
      <c r="DY9" t="s">
        <v>13900</v>
      </c>
      <c r="DZ9" t="s">
        <v>14012</v>
      </c>
      <c r="EA9" t="s">
        <v>14013</v>
      </c>
      <c r="EC9">
        <v>44102</v>
      </c>
      <c r="ED9" t="s">
        <v>13903</v>
      </c>
      <c r="EE9" t="s">
        <v>5443</v>
      </c>
    </row>
    <row r="10" spans="1:135">
      <c r="A10" t="s">
        <v>2099</v>
      </c>
      <c r="B10" t="s">
        <v>2098</v>
      </c>
      <c r="C10" t="s">
        <v>14014</v>
      </c>
      <c r="D10">
        <v>43761</v>
      </c>
      <c r="E10" t="s">
        <v>13553</v>
      </c>
      <c r="F10" t="s">
        <v>14015</v>
      </c>
      <c r="G10" t="s">
        <v>13808</v>
      </c>
      <c r="I10" t="s">
        <v>13809</v>
      </c>
      <c r="K10" t="s">
        <v>13809</v>
      </c>
      <c r="M10" s="24" t="s">
        <v>13906</v>
      </c>
      <c r="N10" s="24" t="s">
        <v>13808</v>
      </c>
      <c r="O10" s="24"/>
      <c r="P10" s="24" t="s">
        <v>13808</v>
      </c>
      <c r="Q10" s="24"/>
      <c r="R10" s="24" t="s">
        <v>13808</v>
      </c>
      <c r="S10" s="24"/>
      <c r="T10" t="s">
        <v>14016</v>
      </c>
      <c r="U10" t="s">
        <v>13809</v>
      </c>
      <c r="W10" t="s">
        <v>13808</v>
      </c>
      <c r="X10" t="s">
        <v>14017</v>
      </c>
      <c r="Y10" t="s">
        <v>13809</v>
      </c>
      <c r="AA10" t="s">
        <v>13877</v>
      </c>
      <c r="AB10" t="s">
        <v>14018</v>
      </c>
      <c r="AC10" t="s">
        <v>13808</v>
      </c>
      <c r="AH10" t="s">
        <v>13909</v>
      </c>
      <c r="AI10" t="s">
        <v>13808</v>
      </c>
      <c r="AN10" t="s">
        <v>14019</v>
      </c>
      <c r="AO10" t="s">
        <v>13808</v>
      </c>
      <c r="AT10" t="s">
        <v>14020</v>
      </c>
      <c r="AU10" t="s">
        <v>13808</v>
      </c>
      <c r="AZ10" t="s">
        <v>14021</v>
      </c>
      <c r="BA10" t="s">
        <v>13808</v>
      </c>
      <c r="BF10" t="s">
        <v>14022</v>
      </c>
      <c r="BG10" t="s">
        <v>13808</v>
      </c>
      <c r="BL10" t="s">
        <v>14023</v>
      </c>
      <c r="BM10" t="s">
        <v>13808</v>
      </c>
      <c r="BR10" t="s">
        <v>14024</v>
      </c>
      <c r="BS10" t="s">
        <v>13887</v>
      </c>
      <c r="BT10" t="s">
        <v>13808</v>
      </c>
      <c r="BU10" t="s">
        <v>14025</v>
      </c>
      <c r="BY10" t="s">
        <v>13887</v>
      </c>
      <c r="BZ10" t="s">
        <v>13808</v>
      </c>
      <c r="CA10" t="s">
        <v>14026</v>
      </c>
      <c r="CE10" t="s">
        <v>13887</v>
      </c>
      <c r="CF10" t="s">
        <v>13808</v>
      </c>
      <c r="CL10" t="s">
        <v>13809</v>
      </c>
      <c r="CR10" t="s">
        <v>13809</v>
      </c>
      <c r="CT10" t="s">
        <v>14027</v>
      </c>
      <c r="CU10" t="s">
        <v>14028</v>
      </c>
      <c r="CV10" t="s">
        <v>13808</v>
      </c>
      <c r="DA10" t="s">
        <v>14029</v>
      </c>
      <c r="DB10" t="s">
        <v>13808</v>
      </c>
      <c r="DH10" t="s">
        <v>13809</v>
      </c>
      <c r="DM10" t="s">
        <v>14030</v>
      </c>
      <c r="DN10" t="s">
        <v>13808</v>
      </c>
      <c r="DY10" t="s">
        <v>13900</v>
      </c>
      <c r="DZ10" t="s">
        <v>14031</v>
      </c>
      <c r="EA10" t="s">
        <v>13922</v>
      </c>
      <c r="EC10">
        <v>43955</v>
      </c>
      <c r="ED10" t="s">
        <v>13903</v>
      </c>
      <c r="EE10" t="s">
        <v>6739</v>
      </c>
    </row>
    <row r="11" spans="1:135">
      <c r="A11" t="s">
        <v>1688</v>
      </c>
      <c r="B11" t="s">
        <v>1683</v>
      </c>
      <c r="C11" t="s">
        <v>14032</v>
      </c>
      <c r="D11">
        <v>43768</v>
      </c>
      <c r="E11" t="s">
        <v>13558</v>
      </c>
      <c r="F11" t="s">
        <v>14033</v>
      </c>
      <c r="G11" t="s">
        <v>13808</v>
      </c>
      <c r="I11" t="s">
        <v>13809</v>
      </c>
      <c r="K11" t="s">
        <v>13809</v>
      </c>
      <c r="M11" s="24" t="s">
        <v>13874</v>
      </c>
      <c r="N11" s="24" t="s">
        <v>13808</v>
      </c>
      <c r="O11" s="24"/>
      <c r="P11" s="24" t="s">
        <v>13818</v>
      </c>
      <c r="Q11" s="24"/>
      <c r="R11" s="24" t="s">
        <v>13808</v>
      </c>
      <c r="S11" s="24"/>
      <c r="T11" t="s">
        <v>14034</v>
      </c>
      <c r="U11" t="s">
        <v>13809</v>
      </c>
      <c r="W11" t="s">
        <v>13808</v>
      </c>
      <c r="X11" t="s">
        <v>14035</v>
      </c>
      <c r="Y11" t="s">
        <v>13809</v>
      </c>
      <c r="AA11" t="s">
        <v>14036</v>
      </c>
      <c r="AC11" t="s">
        <v>13809</v>
      </c>
      <c r="AH11" t="s">
        <v>13909</v>
      </c>
      <c r="AI11" t="s">
        <v>13808</v>
      </c>
      <c r="AN11" t="s">
        <v>14023</v>
      </c>
      <c r="AO11" t="s">
        <v>13808</v>
      </c>
      <c r="AT11" t="s">
        <v>14037</v>
      </c>
      <c r="AU11" t="s">
        <v>13808</v>
      </c>
      <c r="AZ11" t="s">
        <v>14038</v>
      </c>
      <c r="BA11" t="s">
        <v>13808</v>
      </c>
      <c r="BF11" t="s">
        <v>14039</v>
      </c>
      <c r="BG11" t="s">
        <v>13808</v>
      </c>
      <c r="BL11" t="s">
        <v>14040</v>
      </c>
      <c r="BM11" t="s">
        <v>13808</v>
      </c>
      <c r="BR11" t="s">
        <v>14041</v>
      </c>
      <c r="BS11" t="s">
        <v>13887</v>
      </c>
      <c r="BT11" t="s">
        <v>13808</v>
      </c>
      <c r="BU11" t="s">
        <v>14042</v>
      </c>
      <c r="BY11" t="s">
        <v>13887</v>
      </c>
      <c r="BZ11" t="s">
        <v>13808</v>
      </c>
      <c r="CA11" t="s">
        <v>14026</v>
      </c>
      <c r="CE11" t="s">
        <v>13887</v>
      </c>
      <c r="CF11" t="s">
        <v>13808</v>
      </c>
      <c r="CL11" t="s">
        <v>13809</v>
      </c>
      <c r="CR11" t="s">
        <v>13809</v>
      </c>
      <c r="CT11" t="s">
        <v>14043</v>
      </c>
      <c r="CU11" t="s">
        <v>14044</v>
      </c>
      <c r="CV11" t="s">
        <v>13818</v>
      </c>
      <c r="DA11" t="s">
        <v>14045</v>
      </c>
      <c r="DB11" t="s">
        <v>13818</v>
      </c>
      <c r="DG11" t="s">
        <v>14046</v>
      </c>
      <c r="DH11" t="s">
        <v>13818</v>
      </c>
      <c r="DI11" t="s">
        <v>13893</v>
      </c>
      <c r="DJ11" t="s">
        <v>14047</v>
      </c>
      <c r="DK11" t="s">
        <v>13818</v>
      </c>
      <c r="DL11" t="s">
        <v>13895</v>
      </c>
      <c r="DY11" t="s">
        <v>13900</v>
      </c>
      <c r="DZ11" t="s">
        <v>14048</v>
      </c>
      <c r="EA11" t="s">
        <v>14049</v>
      </c>
      <c r="EC11">
        <v>43788</v>
      </c>
      <c r="ED11" t="s">
        <v>13903</v>
      </c>
      <c r="EE11" t="s">
        <v>6203</v>
      </c>
    </row>
    <row r="12" spans="1:135">
      <c r="A12" t="s">
        <v>2027</v>
      </c>
      <c r="B12" t="s">
        <v>2026</v>
      </c>
      <c r="C12" t="s">
        <v>14050</v>
      </c>
      <c r="D12">
        <v>42905</v>
      </c>
      <c r="E12" t="s">
        <v>13560</v>
      </c>
      <c r="F12" t="s">
        <v>14051</v>
      </c>
      <c r="G12" t="s">
        <v>13808</v>
      </c>
      <c r="I12" t="s">
        <v>13809</v>
      </c>
      <c r="K12" t="s">
        <v>13808</v>
      </c>
      <c r="M12" s="24" t="s">
        <v>14052</v>
      </c>
      <c r="N12" s="24" t="s">
        <v>13808</v>
      </c>
      <c r="O12" s="24"/>
      <c r="P12" s="24" t="s">
        <v>13808</v>
      </c>
      <c r="Q12" s="24"/>
      <c r="R12" s="24" t="s">
        <v>13808</v>
      </c>
      <c r="S12" s="24"/>
      <c r="T12" t="s">
        <v>14053</v>
      </c>
      <c r="U12" t="s">
        <v>13808</v>
      </c>
      <c r="W12" t="s">
        <v>13808</v>
      </c>
      <c r="X12" t="s">
        <v>14054</v>
      </c>
      <c r="Y12" t="s">
        <v>13809</v>
      </c>
      <c r="AA12" t="s">
        <v>14055</v>
      </c>
      <c r="AB12" t="s">
        <v>14056</v>
      </c>
      <c r="AC12" t="s">
        <v>13808</v>
      </c>
      <c r="AH12" t="s">
        <v>13909</v>
      </c>
      <c r="AI12" t="s">
        <v>13808</v>
      </c>
      <c r="AN12" t="s">
        <v>14057</v>
      </c>
      <c r="AO12" t="s">
        <v>13808</v>
      </c>
      <c r="AT12" t="s">
        <v>14058</v>
      </c>
      <c r="AU12" t="s">
        <v>13808</v>
      </c>
      <c r="AZ12" t="s">
        <v>13892</v>
      </c>
      <c r="BA12" t="s">
        <v>13808</v>
      </c>
      <c r="BF12" t="s">
        <v>14059</v>
      </c>
      <c r="BG12" t="s">
        <v>13808</v>
      </c>
      <c r="BL12" t="s">
        <v>13809</v>
      </c>
      <c r="BR12" t="s">
        <v>14060</v>
      </c>
      <c r="BS12" t="s">
        <v>13887</v>
      </c>
      <c r="BT12" t="s">
        <v>13808</v>
      </c>
      <c r="BU12" t="s">
        <v>14061</v>
      </c>
      <c r="BY12" t="s">
        <v>14062</v>
      </c>
      <c r="BZ12" t="s">
        <v>13808</v>
      </c>
      <c r="CA12" t="s">
        <v>13888</v>
      </c>
      <c r="CE12" t="s">
        <v>13887</v>
      </c>
      <c r="CF12" t="s">
        <v>13808</v>
      </c>
      <c r="CL12" t="s">
        <v>13809</v>
      </c>
      <c r="CR12" t="s">
        <v>13809</v>
      </c>
      <c r="CT12" t="s">
        <v>14063</v>
      </c>
      <c r="CU12" t="s">
        <v>13909</v>
      </c>
      <c r="CV12" t="s">
        <v>13818</v>
      </c>
      <c r="DA12" t="s">
        <v>14007</v>
      </c>
      <c r="DB12" t="s">
        <v>13808</v>
      </c>
      <c r="DD12" t="s">
        <v>14064</v>
      </c>
      <c r="DE12" t="s">
        <v>13818</v>
      </c>
      <c r="DG12" t="s">
        <v>14065</v>
      </c>
      <c r="DH12" t="s">
        <v>13808</v>
      </c>
      <c r="DJ12" t="s">
        <v>14066</v>
      </c>
      <c r="DK12" t="s">
        <v>13818</v>
      </c>
      <c r="DZ12" t="s">
        <v>14067</v>
      </c>
      <c r="EA12" t="s">
        <v>13971</v>
      </c>
      <c r="EC12">
        <v>43480</v>
      </c>
      <c r="ED12" t="s">
        <v>13903</v>
      </c>
      <c r="EE12" t="s">
        <v>6631</v>
      </c>
    </row>
    <row r="13" spans="1:135">
      <c r="A13" t="s">
        <v>5557</v>
      </c>
      <c r="B13" t="s">
        <v>1155</v>
      </c>
      <c r="C13" t="s">
        <v>14068</v>
      </c>
      <c r="D13" s="47">
        <v>45063</v>
      </c>
      <c r="E13" t="s">
        <v>13559</v>
      </c>
      <c r="F13" t="s">
        <v>14069</v>
      </c>
      <c r="G13" t="s">
        <v>13808</v>
      </c>
      <c r="I13" t="s">
        <v>13809</v>
      </c>
      <c r="K13" t="s">
        <v>13809</v>
      </c>
      <c r="M13" s="24" t="s">
        <v>14070</v>
      </c>
      <c r="N13" s="24" t="s">
        <v>13808</v>
      </c>
      <c r="O13" s="24"/>
      <c r="P13" s="24" t="s">
        <v>13808</v>
      </c>
      <c r="Q13" s="24"/>
      <c r="R13" s="24" t="s">
        <v>13808</v>
      </c>
      <c r="S13" s="24"/>
      <c r="T13" t="s">
        <v>14071</v>
      </c>
      <c r="U13" t="s">
        <v>13809</v>
      </c>
      <c r="W13" t="s">
        <v>13809</v>
      </c>
      <c r="Y13" t="s">
        <v>13809</v>
      </c>
      <c r="AA13" t="s">
        <v>14072</v>
      </c>
      <c r="AB13" t="s">
        <v>13699</v>
      </c>
      <c r="AC13" t="s">
        <v>13809</v>
      </c>
      <c r="AH13" t="s">
        <v>14073</v>
      </c>
      <c r="AI13" t="s">
        <v>13808</v>
      </c>
      <c r="AK13" t="s">
        <v>14074</v>
      </c>
      <c r="AL13" t="s">
        <v>13818</v>
      </c>
      <c r="AM13" t="s">
        <v>13819</v>
      </c>
      <c r="AN13" t="s">
        <v>14075</v>
      </c>
      <c r="AO13" t="s">
        <v>13818</v>
      </c>
      <c r="AP13" t="s">
        <v>13819</v>
      </c>
      <c r="AT13" t="s">
        <v>14076</v>
      </c>
      <c r="AU13" t="s">
        <v>13818</v>
      </c>
      <c r="AV13" t="s">
        <v>13819</v>
      </c>
      <c r="AZ13" t="s">
        <v>14077</v>
      </c>
      <c r="BA13" t="s">
        <v>13818</v>
      </c>
      <c r="BB13" t="s">
        <v>13819</v>
      </c>
      <c r="BF13" t="s">
        <v>14078</v>
      </c>
      <c r="BG13" t="s">
        <v>13818</v>
      </c>
      <c r="BH13" t="s">
        <v>13819</v>
      </c>
      <c r="BL13" t="s">
        <v>13735</v>
      </c>
      <c r="BM13" t="s">
        <v>13809</v>
      </c>
      <c r="BR13" t="s">
        <v>14079</v>
      </c>
      <c r="BS13" t="s">
        <v>13824</v>
      </c>
      <c r="BT13" t="s">
        <v>13808</v>
      </c>
      <c r="BU13" t="s">
        <v>14080</v>
      </c>
      <c r="BY13" t="s">
        <v>13860</v>
      </c>
      <c r="BZ13" t="s">
        <v>13808</v>
      </c>
      <c r="CA13" t="s">
        <v>13937</v>
      </c>
      <c r="CE13" t="s">
        <v>13862</v>
      </c>
      <c r="CF13" t="s">
        <v>13818</v>
      </c>
      <c r="CG13" t="s">
        <v>13819</v>
      </c>
      <c r="CK13" t="s">
        <v>14081</v>
      </c>
      <c r="CL13" t="s">
        <v>13818</v>
      </c>
      <c r="CM13" t="s">
        <v>13819</v>
      </c>
      <c r="CQ13" t="s">
        <v>13766</v>
      </c>
      <c r="CR13" t="s">
        <v>13809</v>
      </c>
      <c r="CT13" t="s">
        <v>14082</v>
      </c>
      <c r="CU13" t="s">
        <v>14083</v>
      </c>
      <c r="CV13" t="s">
        <v>13808</v>
      </c>
      <c r="CW13" t="s">
        <v>13819</v>
      </c>
      <c r="CX13" t="s">
        <v>14084</v>
      </c>
      <c r="CY13" t="s">
        <v>13818</v>
      </c>
      <c r="DA13" t="s">
        <v>14085</v>
      </c>
      <c r="DB13" t="s">
        <v>13808</v>
      </c>
      <c r="DC13" t="s">
        <v>13819</v>
      </c>
      <c r="DD13" t="s">
        <v>14086</v>
      </c>
      <c r="DE13" t="s">
        <v>13818</v>
      </c>
      <c r="DG13" t="s">
        <v>14087</v>
      </c>
      <c r="DH13" t="s">
        <v>13818</v>
      </c>
      <c r="DM13" t="s">
        <v>14088</v>
      </c>
      <c r="DN13" t="s">
        <v>13808</v>
      </c>
      <c r="DO13" t="s">
        <v>14089</v>
      </c>
      <c r="DS13" t="s">
        <v>14090</v>
      </c>
      <c r="DT13" t="s">
        <v>13818</v>
      </c>
      <c r="DY13" t="s">
        <v>13840</v>
      </c>
      <c r="DZ13" t="s">
        <v>13841</v>
      </c>
      <c r="EA13" t="s">
        <v>14091</v>
      </c>
      <c r="EC13">
        <v>45069</v>
      </c>
      <c r="ED13" t="s">
        <v>13843</v>
      </c>
      <c r="EE13" t="s">
        <v>5561</v>
      </c>
    </row>
    <row r="14" spans="1:135">
      <c r="A14" t="s">
        <v>5570</v>
      </c>
      <c r="B14" t="s">
        <v>1155</v>
      </c>
      <c r="C14" t="s">
        <v>14092</v>
      </c>
      <c r="D14">
        <v>45063</v>
      </c>
      <c r="E14" t="s">
        <v>13559</v>
      </c>
      <c r="F14" t="s">
        <v>14093</v>
      </c>
      <c r="G14" t="s">
        <v>13808</v>
      </c>
      <c r="I14" t="s">
        <v>13809</v>
      </c>
      <c r="K14" t="s">
        <v>13809</v>
      </c>
      <c r="M14" s="24" t="s">
        <v>14094</v>
      </c>
      <c r="N14" s="24" t="s">
        <v>13808</v>
      </c>
      <c r="O14" s="24"/>
      <c r="P14" s="24" t="s">
        <v>13808</v>
      </c>
      <c r="Q14" s="24"/>
      <c r="R14" s="24" t="s">
        <v>13818</v>
      </c>
      <c r="S14" s="24" t="s">
        <v>14095</v>
      </c>
      <c r="T14" t="s">
        <v>14096</v>
      </c>
      <c r="U14" t="s">
        <v>13809</v>
      </c>
      <c r="W14" t="s">
        <v>13809</v>
      </c>
      <c r="Y14" t="s">
        <v>13809</v>
      </c>
      <c r="AA14" t="s">
        <v>14072</v>
      </c>
      <c r="AB14" t="s">
        <v>14097</v>
      </c>
      <c r="AC14" t="s">
        <v>13818</v>
      </c>
      <c r="AD14" t="s">
        <v>13819</v>
      </c>
      <c r="AH14" t="s">
        <v>13816</v>
      </c>
      <c r="AI14" t="s">
        <v>13808</v>
      </c>
      <c r="AK14" t="s">
        <v>14098</v>
      </c>
      <c r="AL14" t="s">
        <v>13818</v>
      </c>
      <c r="AM14" t="s">
        <v>13819</v>
      </c>
      <c r="AN14" t="s">
        <v>14099</v>
      </c>
      <c r="AO14" t="s">
        <v>13818</v>
      </c>
      <c r="AP14" t="s">
        <v>13819</v>
      </c>
      <c r="AT14" t="s">
        <v>14100</v>
      </c>
      <c r="AU14" t="s">
        <v>13818</v>
      </c>
      <c r="AV14" t="s">
        <v>13819</v>
      </c>
      <c r="AZ14" t="s">
        <v>14101</v>
      </c>
      <c r="BA14" t="s">
        <v>13818</v>
      </c>
      <c r="BB14" t="s">
        <v>13819</v>
      </c>
      <c r="BF14" t="s">
        <v>14102</v>
      </c>
      <c r="BG14" t="s">
        <v>13818</v>
      </c>
      <c r="BH14" t="s">
        <v>13819</v>
      </c>
      <c r="BL14" t="s">
        <v>13735</v>
      </c>
      <c r="BM14" t="s">
        <v>13809</v>
      </c>
      <c r="BR14" t="s">
        <v>14103</v>
      </c>
      <c r="BS14" t="s">
        <v>14104</v>
      </c>
      <c r="BT14" t="s">
        <v>13818</v>
      </c>
      <c r="BU14" t="s">
        <v>14105</v>
      </c>
      <c r="BY14" t="s">
        <v>14106</v>
      </c>
      <c r="BZ14" t="s">
        <v>13818</v>
      </c>
      <c r="CA14" t="s">
        <v>14107</v>
      </c>
      <c r="CE14" t="s">
        <v>14108</v>
      </c>
      <c r="CF14" t="s">
        <v>13808</v>
      </c>
      <c r="CK14" t="s">
        <v>13760</v>
      </c>
      <c r="CL14" t="s">
        <v>13809</v>
      </c>
      <c r="CQ14" t="s">
        <v>13766</v>
      </c>
      <c r="CR14" t="s">
        <v>13809</v>
      </c>
      <c r="CT14" t="s">
        <v>14109</v>
      </c>
      <c r="CU14" t="s">
        <v>14110</v>
      </c>
      <c r="CV14" t="s">
        <v>13808</v>
      </c>
      <c r="CW14" t="s">
        <v>13819</v>
      </c>
      <c r="CX14" t="s">
        <v>14111</v>
      </c>
      <c r="CY14" t="s">
        <v>13818</v>
      </c>
      <c r="DA14" t="s">
        <v>14112</v>
      </c>
      <c r="DB14" t="s">
        <v>13808</v>
      </c>
      <c r="DC14" t="s">
        <v>13819</v>
      </c>
      <c r="DD14" t="s">
        <v>14113</v>
      </c>
      <c r="DE14" t="s">
        <v>13818</v>
      </c>
      <c r="DG14" t="s">
        <v>14114</v>
      </c>
      <c r="DH14" t="s">
        <v>13818</v>
      </c>
      <c r="DI14" t="s">
        <v>14115</v>
      </c>
      <c r="DM14" t="s">
        <v>14116</v>
      </c>
      <c r="DN14" t="s">
        <v>13808</v>
      </c>
      <c r="DO14" t="s">
        <v>14117</v>
      </c>
      <c r="DY14" t="s">
        <v>13840</v>
      </c>
      <c r="DZ14" t="s">
        <v>13841</v>
      </c>
      <c r="EA14" t="s">
        <v>14118</v>
      </c>
      <c r="EC14">
        <v>45064</v>
      </c>
      <c r="ED14" t="s">
        <v>13843</v>
      </c>
      <c r="EE14" t="s">
        <v>5575</v>
      </c>
    </row>
    <row r="15" spans="1:135">
      <c r="A15" t="s">
        <v>1454</v>
      </c>
      <c r="B15" t="s">
        <v>1442</v>
      </c>
      <c r="C15" t="s">
        <v>14119</v>
      </c>
      <c r="D15">
        <v>43746</v>
      </c>
      <c r="E15" t="s">
        <v>13553</v>
      </c>
      <c r="F15" t="s">
        <v>14120</v>
      </c>
      <c r="G15" t="s">
        <v>13808</v>
      </c>
      <c r="I15" t="s">
        <v>13809</v>
      </c>
      <c r="K15" t="s">
        <v>13809</v>
      </c>
      <c r="M15" s="24" t="s">
        <v>14121</v>
      </c>
      <c r="N15" s="24" t="s">
        <v>13808</v>
      </c>
      <c r="O15" s="24"/>
      <c r="P15" s="24" t="s">
        <v>13818</v>
      </c>
      <c r="Q15" s="24"/>
      <c r="R15" s="24" t="s">
        <v>13808</v>
      </c>
      <c r="S15" s="24"/>
      <c r="T15" t="s">
        <v>13875</v>
      </c>
      <c r="U15" t="s">
        <v>13808</v>
      </c>
      <c r="W15" t="s">
        <v>13808</v>
      </c>
      <c r="X15" t="s">
        <v>14122</v>
      </c>
      <c r="Y15" t="s">
        <v>13809</v>
      </c>
      <c r="AA15" t="s">
        <v>13877</v>
      </c>
      <c r="AB15" t="s">
        <v>14123</v>
      </c>
      <c r="AC15" t="s">
        <v>13808</v>
      </c>
      <c r="AH15" t="s">
        <v>13909</v>
      </c>
      <c r="AI15" t="s">
        <v>13808</v>
      </c>
      <c r="AO15" t="s">
        <v>13809</v>
      </c>
      <c r="AT15" t="s">
        <v>14124</v>
      </c>
      <c r="AU15" t="s">
        <v>13808</v>
      </c>
      <c r="AZ15" t="s">
        <v>14125</v>
      </c>
      <c r="BA15" t="s">
        <v>13808</v>
      </c>
      <c r="BF15" t="s">
        <v>14126</v>
      </c>
      <c r="BG15" t="s">
        <v>13808</v>
      </c>
      <c r="BM15" t="s">
        <v>13809</v>
      </c>
      <c r="BR15" t="s">
        <v>14127</v>
      </c>
      <c r="BS15" t="s">
        <v>13885</v>
      </c>
      <c r="BT15" t="s">
        <v>13808</v>
      </c>
      <c r="BU15" t="s">
        <v>14128</v>
      </c>
      <c r="BY15" t="s">
        <v>13887</v>
      </c>
      <c r="BZ15" t="s">
        <v>13808</v>
      </c>
      <c r="CA15" t="s">
        <v>13888</v>
      </c>
      <c r="CE15" t="s">
        <v>13887</v>
      </c>
      <c r="CF15" t="s">
        <v>13808</v>
      </c>
      <c r="CL15" t="s">
        <v>13809</v>
      </c>
      <c r="CR15" t="s">
        <v>13809</v>
      </c>
      <c r="CT15" t="s">
        <v>14129</v>
      </c>
      <c r="CU15" t="s">
        <v>14130</v>
      </c>
      <c r="CV15" t="s">
        <v>13808</v>
      </c>
      <c r="DA15" t="s">
        <v>14131</v>
      </c>
      <c r="DB15" t="s">
        <v>13808</v>
      </c>
      <c r="DH15" t="s">
        <v>13809</v>
      </c>
      <c r="DM15" t="s">
        <v>14132</v>
      </c>
      <c r="DN15" t="s">
        <v>13808</v>
      </c>
      <c r="DY15" t="s">
        <v>13900</v>
      </c>
      <c r="DZ15" t="s">
        <v>14133</v>
      </c>
      <c r="EA15" t="s">
        <v>13922</v>
      </c>
      <c r="EC15">
        <v>43788</v>
      </c>
      <c r="ED15" t="s">
        <v>13903</v>
      </c>
      <c r="EE15" t="s">
        <v>5916</v>
      </c>
    </row>
    <row r="16" spans="1:135">
      <c r="A16" t="s">
        <v>1156</v>
      </c>
      <c r="B16" t="s">
        <v>1155</v>
      </c>
      <c r="C16" t="s">
        <v>14134</v>
      </c>
      <c r="D16">
        <v>45030</v>
      </c>
      <c r="E16" t="s">
        <v>13559</v>
      </c>
      <c r="F16" t="s">
        <v>14135</v>
      </c>
      <c r="G16" t="s">
        <v>13808</v>
      </c>
      <c r="I16" t="s">
        <v>13809</v>
      </c>
      <c r="K16" t="s">
        <v>13808</v>
      </c>
      <c r="M16" s="24" t="s">
        <v>14136</v>
      </c>
      <c r="N16" s="24" t="s">
        <v>13808</v>
      </c>
      <c r="O16" s="24"/>
      <c r="P16" s="24" t="s">
        <v>13808</v>
      </c>
      <c r="Q16" s="24"/>
      <c r="R16" s="24" t="s">
        <v>13808</v>
      </c>
      <c r="S16" s="24"/>
      <c r="T16" t="s">
        <v>14137</v>
      </c>
      <c r="U16" t="s">
        <v>13809</v>
      </c>
      <c r="W16" t="s">
        <v>13809</v>
      </c>
      <c r="Y16" t="s">
        <v>13809</v>
      </c>
      <c r="AA16" t="s">
        <v>14138</v>
      </c>
      <c r="AB16" t="s">
        <v>14139</v>
      </c>
      <c r="AC16" t="s">
        <v>13818</v>
      </c>
      <c r="AD16" t="s">
        <v>13819</v>
      </c>
      <c r="AH16" t="s">
        <v>14073</v>
      </c>
      <c r="AI16" t="s">
        <v>13808</v>
      </c>
      <c r="AK16" t="s">
        <v>14140</v>
      </c>
      <c r="AL16" t="s">
        <v>13818</v>
      </c>
      <c r="AM16" t="s">
        <v>13819</v>
      </c>
      <c r="AN16" t="s">
        <v>14141</v>
      </c>
      <c r="AO16" t="s">
        <v>13818</v>
      </c>
      <c r="AP16" t="s">
        <v>13819</v>
      </c>
      <c r="AT16" t="s">
        <v>14142</v>
      </c>
      <c r="AU16" t="s">
        <v>13818</v>
      </c>
      <c r="AV16" t="s">
        <v>13819</v>
      </c>
      <c r="AZ16" t="s">
        <v>14143</v>
      </c>
      <c r="BA16" t="s">
        <v>13808</v>
      </c>
      <c r="BC16" t="s">
        <v>14144</v>
      </c>
      <c r="BD16" t="s">
        <v>13818</v>
      </c>
      <c r="BE16" t="s">
        <v>13819</v>
      </c>
      <c r="BF16" t="s">
        <v>14145</v>
      </c>
      <c r="BG16" t="s">
        <v>13808</v>
      </c>
      <c r="BL16" t="s">
        <v>13735</v>
      </c>
      <c r="BM16" t="s">
        <v>13809</v>
      </c>
      <c r="BR16" t="s">
        <v>14146</v>
      </c>
      <c r="BS16" t="s">
        <v>13824</v>
      </c>
      <c r="BT16" t="s">
        <v>13808</v>
      </c>
      <c r="BU16" t="s">
        <v>14147</v>
      </c>
      <c r="BY16" t="s">
        <v>14148</v>
      </c>
      <c r="BZ16" t="s">
        <v>13808</v>
      </c>
      <c r="CA16" t="s">
        <v>13861</v>
      </c>
      <c r="CE16" t="s">
        <v>13828</v>
      </c>
      <c r="CF16" t="s">
        <v>13808</v>
      </c>
      <c r="CK16" t="s">
        <v>14149</v>
      </c>
      <c r="CL16" t="s">
        <v>13818</v>
      </c>
      <c r="CM16" t="s">
        <v>13819</v>
      </c>
      <c r="CN16" t="s">
        <v>14150</v>
      </c>
      <c r="CO16" t="s">
        <v>13808</v>
      </c>
      <c r="CQ16" t="s">
        <v>13766</v>
      </c>
      <c r="CR16" t="s">
        <v>13809</v>
      </c>
      <c r="CT16" t="s">
        <v>14151</v>
      </c>
      <c r="CU16" t="s">
        <v>14152</v>
      </c>
      <c r="CV16" t="s">
        <v>13808</v>
      </c>
      <c r="CW16" t="s">
        <v>13819</v>
      </c>
      <c r="CX16" t="s">
        <v>14153</v>
      </c>
      <c r="CY16" t="s">
        <v>13818</v>
      </c>
      <c r="DA16" t="s">
        <v>14154</v>
      </c>
      <c r="DB16" t="s">
        <v>13808</v>
      </c>
      <c r="DC16" t="s">
        <v>13819</v>
      </c>
      <c r="DD16" t="s">
        <v>14155</v>
      </c>
      <c r="DE16" t="s">
        <v>13818</v>
      </c>
      <c r="DG16" t="s">
        <v>14156</v>
      </c>
      <c r="DH16" t="s">
        <v>13808</v>
      </c>
      <c r="DJ16" t="s">
        <v>14157</v>
      </c>
      <c r="DK16" t="s">
        <v>13808</v>
      </c>
      <c r="DM16" t="s">
        <v>14158</v>
      </c>
      <c r="DN16" t="s">
        <v>13808</v>
      </c>
      <c r="DO16" t="s">
        <v>14159</v>
      </c>
      <c r="DY16" t="s">
        <v>14160</v>
      </c>
      <c r="DZ16" t="s">
        <v>13841</v>
      </c>
      <c r="EA16" t="s">
        <v>13842</v>
      </c>
      <c r="EC16">
        <v>45033</v>
      </c>
      <c r="ED16" t="s">
        <v>13843</v>
      </c>
      <c r="EE16" t="s">
        <v>5579</v>
      </c>
    </row>
    <row r="17" spans="1:135">
      <c r="A17" t="s">
        <v>1251</v>
      </c>
      <c r="B17" t="s">
        <v>1246</v>
      </c>
      <c r="C17" t="s">
        <v>14161</v>
      </c>
      <c r="D17">
        <v>43630</v>
      </c>
      <c r="E17" t="s">
        <v>13553</v>
      </c>
      <c r="F17" t="s">
        <v>14162</v>
      </c>
      <c r="G17" t="s">
        <v>13808</v>
      </c>
      <c r="I17" t="s">
        <v>13809</v>
      </c>
      <c r="K17" t="s">
        <v>13808</v>
      </c>
      <c r="M17" s="24" t="s">
        <v>14163</v>
      </c>
      <c r="N17" s="24" t="s">
        <v>13808</v>
      </c>
      <c r="O17" s="24"/>
      <c r="P17" s="24" t="s">
        <v>13808</v>
      </c>
      <c r="Q17" s="24"/>
      <c r="R17" s="24" t="s">
        <v>13808</v>
      </c>
      <c r="S17" s="24"/>
      <c r="T17" t="s">
        <v>14164</v>
      </c>
      <c r="U17" t="s">
        <v>13809</v>
      </c>
      <c r="W17" t="s">
        <v>13808</v>
      </c>
      <c r="X17" t="s">
        <v>14165</v>
      </c>
      <c r="Y17" t="s">
        <v>13809</v>
      </c>
      <c r="AA17" t="s">
        <v>13877</v>
      </c>
      <c r="AB17" t="s">
        <v>14166</v>
      </c>
      <c r="AC17" t="s">
        <v>13808</v>
      </c>
      <c r="AH17" t="s">
        <v>13909</v>
      </c>
      <c r="AI17" t="s">
        <v>13808</v>
      </c>
      <c r="AN17" t="s">
        <v>14167</v>
      </c>
      <c r="AO17" t="s">
        <v>13808</v>
      </c>
      <c r="AT17" t="s">
        <v>14168</v>
      </c>
      <c r="AU17" t="s">
        <v>13808</v>
      </c>
      <c r="AZ17" t="s">
        <v>14169</v>
      </c>
      <c r="BA17" t="s">
        <v>13808</v>
      </c>
      <c r="BF17" t="s">
        <v>14170</v>
      </c>
      <c r="BG17" t="s">
        <v>13808</v>
      </c>
      <c r="BM17" t="s">
        <v>13809</v>
      </c>
      <c r="BR17" t="s">
        <v>14171</v>
      </c>
      <c r="BS17" t="s">
        <v>13887</v>
      </c>
      <c r="BT17" t="s">
        <v>13808</v>
      </c>
      <c r="BU17" t="s">
        <v>14172</v>
      </c>
      <c r="BY17" t="s">
        <v>13887</v>
      </c>
      <c r="BZ17" t="s">
        <v>13808</v>
      </c>
      <c r="CA17" t="s">
        <v>14042</v>
      </c>
      <c r="CE17" t="s">
        <v>13885</v>
      </c>
      <c r="CF17" t="s">
        <v>13808</v>
      </c>
      <c r="CG17" t="s">
        <v>14173</v>
      </c>
      <c r="CL17" t="s">
        <v>13809</v>
      </c>
      <c r="CR17" t="s">
        <v>13809</v>
      </c>
      <c r="CT17" t="s">
        <v>14174</v>
      </c>
      <c r="CU17" t="s">
        <v>14175</v>
      </c>
      <c r="CV17" t="s">
        <v>13808</v>
      </c>
      <c r="DA17" t="s">
        <v>14176</v>
      </c>
      <c r="DB17" t="s">
        <v>13808</v>
      </c>
      <c r="DG17" t="s">
        <v>14177</v>
      </c>
      <c r="DH17" t="s">
        <v>13808</v>
      </c>
      <c r="DI17" t="s">
        <v>13893</v>
      </c>
      <c r="DJ17" t="s">
        <v>14008</v>
      </c>
      <c r="DK17" t="s">
        <v>13808</v>
      </c>
      <c r="DL17" t="s">
        <v>13895</v>
      </c>
      <c r="DM17" t="s">
        <v>14178</v>
      </c>
      <c r="DN17" t="s">
        <v>13808</v>
      </c>
      <c r="DO17" t="s">
        <v>14179</v>
      </c>
      <c r="DP17" t="s">
        <v>14180</v>
      </c>
      <c r="DQ17" t="s">
        <v>13808</v>
      </c>
      <c r="DY17" t="s">
        <v>13900</v>
      </c>
      <c r="DZ17" t="s">
        <v>14181</v>
      </c>
      <c r="EA17" t="s">
        <v>14182</v>
      </c>
      <c r="EC17">
        <v>43647</v>
      </c>
      <c r="ED17" t="s">
        <v>13903</v>
      </c>
      <c r="EE17" t="s">
        <v>5683</v>
      </c>
    </row>
    <row r="18" spans="1:135">
      <c r="A18" t="s">
        <v>1376</v>
      </c>
      <c r="B18" t="s">
        <v>1375</v>
      </c>
      <c r="C18" t="s">
        <v>14183</v>
      </c>
      <c r="D18" s="24">
        <v>43397</v>
      </c>
      <c r="E18" s="24" t="s">
        <v>13555</v>
      </c>
      <c r="F18" s="24" t="s">
        <v>14184</v>
      </c>
      <c r="G18" s="24" t="s">
        <v>13808</v>
      </c>
      <c r="H18" s="24"/>
      <c r="I18" s="24" t="s">
        <v>13809</v>
      </c>
      <c r="J18" s="24"/>
      <c r="K18" s="24" t="s">
        <v>13808</v>
      </c>
      <c r="L18" s="24"/>
      <c r="M18" s="24" t="s">
        <v>14185</v>
      </c>
      <c r="N18" s="24" t="s">
        <v>13808</v>
      </c>
      <c r="O18" s="24"/>
      <c r="P18" s="24" t="s">
        <v>13808</v>
      </c>
      <c r="Q18" s="24"/>
      <c r="R18" s="24" t="s">
        <v>13808</v>
      </c>
      <c r="S18" s="24"/>
      <c r="T18" t="s">
        <v>14186</v>
      </c>
      <c r="U18" t="s">
        <v>13808</v>
      </c>
      <c r="W18" t="s">
        <v>13808</v>
      </c>
      <c r="X18" t="s">
        <v>14187</v>
      </c>
      <c r="Y18" t="s">
        <v>13808</v>
      </c>
      <c r="AA18" t="s">
        <v>14188</v>
      </c>
      <c r="AB18" t="s">
        <v>14189</v>
      </c>
      <c r="AC18" t="s">
        <v>13808</v>
      </c>
      <c r="AH18" t="s">
        <v>13909</v>
      </c>
      <c r="AI18" t="s">
        <v>13808</v>
      </c>
      <c r="AN18" t="s">
        <v>14190</v>
      </c>
      <c r="AO18" t="s">
        <v>13808</v>
      </c>
      <c r="AT18" t="s">
        <v>14126</v>
      </c>
      <c r="AU18" t="s">
        <v>13808</v>
      </c>
      <c r="AZ18" t="s">
        <v>14191</v>
      </c>
      <c r="BA18" t="s">
        <v>13808</v>
      </c>
      <c r="BF18" t="s">
        <v>14192</v>
      </c>
      <c r="BG18" t="s">
        <v>13808</v>
      </c>
      <c r="BL18" t="s">
        <v>14193</v>
      </c>
      <c r="BM18" t="s">
        <v>13808</v>
      </c>
      <c r="BR18" t="s">
        <v>14194</v>
      </c>
      <c r="BS18" t="s">
        <v>14003</v>
      </c>
      <c r="BT18" t="s">
        <v>13808</v>
      </c>
      <c r="BU18" t="s">
        <v>14195</v>
      </c>
      <c r="BY18" t="s">
        <v>14003</v>
      </c>
      <c r="BZ18" t="s">
        <v>13808</v>
      </c>
      <c r="CA18" t="s">
        <v>13937</v>
      </c>
      <c r="CE18" t="s">
        <v>14003</v>
      </c>
      <c r="CF18" t="s">
        <v>13808</v>
      </c>
      <c r="CL18" t="s">
        <v>13809</v>
      </c>
      <c r="CR18" t="s">
        <v>13809</v>
      </c>
      <c r="CT18" t="s">
        <v>14196</v>
      </c>
      <c r="CU18" t="s">
        <v>13909</v>
      </c>
      <c r="CV18" t="s">
        <v>13818</v>
      </c>
      <c r="DA18" t="s">
        <v>13909</v>
      </c>
      <c r="DB18" t="s">
        <v>13818</v>
      </c>
      <c r="DG18" t="s">
        <v>14197</v>
      </c>
      <c r="DH18" t="s">
        <v>13808</v>
      </c>
      <c r="DI18" t="s">
        <v>14198</v>
      </c>
      <c r="DJ18" t="s">
        <v>13887</v>
      </c>
      <c r="DK18" t="s">
        <v>13808</v>
      </c>
      <c r="DL18" t="s">
        <v>14199</v>
      </c>
      <c r="DM18" t="s">
        <v>13909</v>
      </c>
      <c r="DN18" t="s">
        <v>13808</v>
      </c>
      <c r="DZ18" t="s">
        <v>14200</v>
      </c>
      <c r="EA18" t="s">
        <v>14201</v>
      </c>
      <c r="EC18">
        <v>43480</v>
      </c>
      <c r="ED18" t="s">
        <v>13903</v>
      </c>
      <c r="EE18" t="s">
        <v>5847</v>
      </c>
    </row>
    <row r="19" spans="1:135">
      <c r="A19" t="s">
        <v>9552</v>
      </c>
      <c r="B19" t="s">
        <v>1246</v>
      </c>
      <c r="C19" t="s">
        <v>14202</v>
      </c>
      <c r="D19" s="24">
        <v>44652</v>
      </c>
      <c r="E19" s="24" t="s">
        <v>13561</v>
      </c>
      <c r="F19" s="24" t="s">
        <v>14203</v>
      </c>
      <c r="G19" s="24" t="s">
        <v>13808</v>
      </c>
      <c r="H19" s="24"/>
      <c r="I19" s="24" t="s">
        <v>13809</v>
      </c>
      <c r="J19" s="24"/>
      <c r="K19" s="24" t="s">
        <v>13808</v>
      </c>
      <c r="L19" s="24" t="s">
        <v>14204</v>
      </c>
      <c r="M19" s="24" t="s">
        <v>14205</v>
      </c>
      <c r="N19" s="24" t="s">
        <v>13808</v>
      </c>
      <c r="O19" s="24"/>
      <c r="P19" s="24" t="s">
        <v>13808</v>
      </c>
      <c r="Q19" s="24"/>
      <c r="R19" s="24" t="s">
        <v>13808</v>
      </c>
      <c r="S19" s="24"/>
      <c r="T19" t="s">
        <v>13812</v>
      </c>
      <c r="U19" t="s">
        <v>13809</v>
      </c>
      <c r="W19" t="s">
        <v>13809</v>
      </c>
      <c r="Y19" t="s">
        <v>13809</v>
      </c>
      <c r="AA19" t="s">
        <v>13814</v>
      </c>
      <c r="AB19" t="s">
        <v>14206</v>
      </c>
      <c r="AC19" t="s">
        <v>13818</v>
      </c>
      <c r="AD19" t="s">
        <v>13819</v>
      </c>
      <c r="AH19" t="s">
        <v>14207</v>
      </c>
      <c r="AI19" t="s">
        <v>13808</v>
      </c>
      <c r="AK19" t="s">
        <v>14208</v>
      </c>
      <c r="AL19" t="s">
        <v>13818</v>
      </c>
      <c r="AM19" t="s">
        <v>13819</v>
      </c>
      <c r="AN19" t="s">
        <v>13711</v>
      </c>
      <c r="AO19" t="s">
        <v>13809</v>
      </c>
      <c r="AT19" t="s">
        <v>14209</v>
      </c>
      <c r="AU19" t="s">
        <v>13818</v>
      </c>
      <c r="AV19" t="s">
        <v>13819</v>
      </c>
      <c r="AZ19" t="s">
        <v>14210</v>
      </c>
      <c r="BA19" t="s">
        <v>13818</v>
      </c>
      <c r="BB19" t="s">
        <v>13819</v>
      </c>
      <c r="BF19" t="s">
        <v>14211</v>
      </c>
      <c r="BG19" t="s">
        <v>13818</v>
      </c>
      <c r="BH19" t="s">
        <v>13819</v>
      </c>
      <c r="BL19" t="s">
        <v>13735</v>
      </c>
      <c r="BM19" t="s">
        <v>13809</v>
      </c>
      <c r="BR19" t="s">
        <v>14212</v>
      </c>
      <c r="BS19" t="s">
        <v>14213</v>
      </c>
      <c r="BT19" t="s">
        <v>13818</v>
      </c>
      <c r="BU19" t="s">
        <v>14214</v>
      </c>
      <c r="BY19" t="s">
        <v>13860</v>
      </c>
      <c r="BZ19" t="s">
        <v>13808</v>
      </c>
      <c r="CA19" t="s">
        <v>13937</v>
      </c>
      <c r="CE19" t="s">
        <v>14215</v>
      </c>
      <c r="CF19" t="s">
        <v>13818</v>
      </c>
      <c r="CG19" t="s">
        <v>13819</v>
      </c>
      <c r="CK19" t="s">
        <v>14216</v>
      </c>
      <c r="CL19" t="s">
        <v>13818</v>
      </c>
      <c r="CM19" t="s">
        <v>13819</v>
      </c>
      <c r="CQ19" t="s">
        <v>13766</v>
      </c>
      <c r="CR19" t="s">
        <v>13809</v>
      </c>
      <c r="CT19" t="s">
        <v>13830</v>
      </c>
      <c r="CU19" t="s">
        <v>14217</v>
      </c>
      <c r="CV19" t="s">
        <v>13818</v>
      </c>
      <c r="DA19" t="s">
        <v>14218</v>
      </c>
      <c r="DB19" t="s">
        <v>13818</v>
      </c>
      <c r="DG19" t="s">
        <v>14219</v>
      </c>
      <c r="DH19" t="s">
        <v>13818</v>
      </c>
      <c r="DM19" t="s">
        <v>14220</v>
      </c>
      <c r="DN19" t="s">
        <v>13818</v>
      </c>
      <c r="DY19" t="s">
        <v>13840</v>
      </c>
      <c r="DZ19" t="s">
        <v>13841</v>
      </c>
      <c r="EA19" t="s">
        <v>13842</v>
      </c>
      <c r="EC19">
        <v>44658</v>
      </c>
      <c r="ED19" t="s">
        <v>13843</v>
      </c>
      <c r="EE19" t="s">
        <v>13562</v>
      </c>
    </row>
    <row r="20" spans="1:135">
      <c r="A20" t="s">
        <v>1255</v>
      </c>
      <c r="B20" t="s">
        <v>1246</v>
      </c>
      <c r="C20" t="s">
        <v>14221</v>
      </c>
      <c r="D20" s="24">
        <v>44232</v>
      </c>
      <c r="E20" s="24" t="s">
        <v>13555</v>
      </c>
      <c r="F20" s="24" t="s">
        <v>14222</v>
      </c>
      <c r="G20" s="24" t="s">
        <v>13808</v>
      </c>
      <c r="H20" s="24"/>
      <c r="I20" s="24" t="s">
        <v>13809</v>
      </c>
      <c r="J20" s="24"/>
      <c r="K20" s="24" t="s">
        <v>13809</v>
      </c>
      <c r="L20" s="24"/>
      <c r="M20" s="24" t="s">
        <v>14223</v>
      </c>
      <c r="N20" s="24" t="s">
        <v>13808</v>
      </c>
      <c r="O20" s="24"/>
      <c r="P20" s="24" t="s">
        <v>13808</v>
      </c>
      <c r="Q20" s="24"/>
      <c r="R20" s="24" t="s">
        <v>13808</v>
      </c>
      <c r="S20" s="24"/>
      <c r="T20" t="s">
        <v>14224</v>
      </c>
      <c r="U20" t="s">
        <v>13809</v>
      </c>
      <c r="W20" t="s">
        <v>13808</v>
      </c>
      <c r="X20" t="s">
        <v>14225</v>
      </c>
      <c r="Y20" t="s">
        <v>13809</v>
      </c>
      <c r="AA20" t="s">
        <v>14226</v>
      </c>
      <c r="AB20" t="s">
        <v>14227</v>
      </c>
      <c r="AC20" t="s">
        <v>13808</v>
      </c>
      <c r="AH20" t="s">
        <v>13851</v>
      </c>
      <c r="AI20" t="s">
        <v>13808</v>
      </c>
      <c r="AN20" t="s">
        <v>13711</v>
      </c>
      <c r="AO20" t="s">
        <v>13809</v>
      </c>
      <c r="AT20" t="s">
        <v>14228</v>
      </c>
      <c r="AU20" t="s">
        <v>13808</v>
      </c>
      <c r="AZ20" t="s">
        <v>14229</v>
      </c>
      <c r="BA20" t="s">
        <v>13808</v>
      </c>
      <c r="BF20" t="s">
        <v>14230</v>
      </c>
      <c r="BG20" t="s">
        <v>13808</v>
      </c>
      <c r="BL20" t="s">
        <v>14231</v>
      </c>
      <c r="BM20" t="s">
        <v>13808</v>
      </c>
      <c r="BR20" t="s">
        <v>14232</v>
      </c>
      <c r="BS20" t="s">
        <v>13824</v>
      </c>
      <c r="BT20" t="s">
        <v>13808</v>
      </c>
      <c r="BU20" t="s">
        <v>14233</v>
      </c>
      <c r="BY20" t="s">
        <v>13826</v>
      </c>
      <c r="BZ20" t="s">
        <v>13808</v>
      </c>
      <c r="CA20" t="s">
        <v>13937</v>
      </c>
      <c r="CE20" t="s">
        <v>13828</v>
      </c>
      <c r="CF20" t="s">
        <v>13808</v>
      </c>
      <c r="CK20" t="s">
        <v>13760</v>
      </c>
      <c r="CL20" t="s">
        <v>13809</v>
      </c>
      <c r="CQ20" t="s">
        <v>13766</v>
      </c>
      <c r="CR20" t="s">
        <v>13809</v>
      </c>
      <c r="CT20" t="s">
        <v>14234</v>
      </c>
      <c r="CU20" t="s">
        <v>14235</v>
      </c>
      <c r="CV20" t="s">
        <v>13808</v>
      </c>
      <c r="CX20" t="s">
        <v>14236</v>
      </c>
      <c r="CY20" t="s">
        <v>13818</v>
      </c>
      <c r="CZ20" t="s">
        <v>14237</v>
      </c>
      <c r="DA20" t="s">
        <v>14238</v>
      </c>
      <c r="DB20" t="s">
        <v>13808</v>
      </c>
      <c r="DD20" t="s">
        <v>14236</v>
      </c>
      <c r="DE20" t="s">
        <v>13818</v>
      </c>
      <c r="DF20" t="s">
        <v>14237</v>
      </c>
      <c r="DG20" t="s">
        <v>14239</v>
      </c>
      <c r="DH20" t="s">
        <v>13808</v>
      </c>
      <c r="DJ20" t="s">
        <v>14240</v>
      </c>
      <c r="DK20" t="s">
        <v>13818</v>
      </c>
      <c r="DL20" t="s">
        <v>14237</v>
      </c>
      <c r="DM20" t="s">
        <v>14241</v>
      </c>
      <c r="DN20" t="s">
        <v>13808</v>
      </c>
      <c r="DO20" t="s">
        <v>14242</v>
      </c>
      <c r="DY20" t="s">
        <v>14243</v>
      </c>
      <c r="DZ20" t="s">
        <v>14244</v>
      </c>
      <c r="EA20" t="s">
        <v>14245</v>
      </c>
      <c r="EC20">
        <v>44628</v>
      </c>
      <c r="ED20" t="s">
        <v>13843</v>
      </c>
      <c r="EE20" t="s">
        <v>5687</v>
      </c>
    </row>
    <row r="21" spans="1:135">
      <c r="A21" t="s">
        <v>1163</v>
      </c>
      <c r="B21" t="s">
        <v>1155</v>
      </c>
      <c r="C21" t="s">
        <v>14246</v>
      </c>
      <c r="D21" s="24">
        <v>44005</v>
      </c>
      <c r="E21" s="24" t="s">
        <v>13558</v>
      </c>
      <c r="F21" s="24" t="s">
        <v>14247</v>
      </c>
      <c r="G21" s="24" t="s">
        <v>13808</v>
      </c>
      <c r="H21" s="24"/>
      <c r="I21" s="24" t="s">
        <v>13809</v>
      </c>
      <c r="J21" s="24"/>
      <c r="K21" s="24" t="s">
        <v>13808</v>
      </c>
      <c r="L21" s="24" t="s">
        <v>14248</v>
      </c>
      <c r="M21" s="24" t="s">
        <v>14249</v>
      </c>
      <c r="N21" s="24" t="s">
        <v>13808</v>
      </c>
      <c r="O21" s="24"/>
      <c r="P21" s="24" t="s">
        <v>13808</v>
      </c>
      <c r="Q21" s="24"/>
      <c r="R21" s="24" t="s">
        <v>13808</v>
      </c>
      <c r="S21" s="24"/>
      <c r="T21" t="s">
        <v>14071</v>
      </c>
      <c r="U21" t="s">
        <v>13809</v>
      </c>
      <c r="W21" t="s">
        <v>13809</v>
      </c>
      <c r="Y21" t="s">
        <v>13809</v>
      </c>
      <c r="AA21" t="s">
        <v>14250</v>
      </c>
      <c r="AB21" t="s">
        <v>14251</v>
      </c>
      <c r="AC21" t="s">
        <v>13808</v>
      </c>
      <c r="AE21" t="s">
        <v>14252</v>
      </c>
      <c r="AF21" t="s">
        <v>14253</v>
      </c>
      <c r="AG21" t="s">
        <v>14254</v>
      </c>
      <c r="AH21" t="s">
        <v>13887</v>
      </c>
      <c r="AI21" t="s">
        <v>13808</v>
      </c>
      <c r="AK21" t="s">
        <v>14255</v>
      </c>
      <c r="AL21" t="s">
        <v>13818</v>
      </c>
      <c r="AM21" t="s">
        <v>14254</v>
      </c>
      <c r="AN21" t="s">
        <v>14256</v>
      </c>
      <c r="AO21" t="s">
        <v>13808</v>
      </c>
      <c r="AT21" t="s">
        <v>13809</v>
      </c>
      <c r="AZ21" t="s">
        <v>14257</v>
      </c>
      <c r="BA21" t="s">
        <v>13808</v>
      </c>
      <c r="BC21" t="s">
        <v>14258</v>
      </c>
      <c r="BD21" t="s">
        <v>13818</v>
      </c>
      <c r="BE21" t="s">
        <v>14259</v>
      </c>
      <c r="BF21" t="s">
        <v>14260</v>
      </c>
      <c r="BG21" t="s">
        <v>13808</v>
      </c>
      <c r="BL21" t="s">
        <v>14261</v>
      </c>
      <c r="BM21" t="s">
        <v>14262</v>
      </c>
      <c r="BN21" t="s">
        <v>14259</v>
      </c>
      <c r="BR21" t="s">
        <v>14263</v>
      </c>
      <c r="BS21" t="s">
        <v>13887</v>
      </c>
      <c r="BT21" t="s">
        <v>13808</v>
      </c>
      <c r="BU21" t="s">
        <v>14264</v>
      </c>
      <c r="BY21" t="s">
        <v>14265</v>
      </c>
      <c r="BZ21" t="s">
        <v>13808</v>
      </c>
      <c r="CA21" t="s">
        <v>14266</v>
      </c>
      <c r="CE21" t="s">
        <v>13887</v>
      </c>
      <c r="CF21" t="s">
        <v>13897</v>
      </c>
      <c r="CG21" t="s">
        <v>14267</v>
      </c>
      <c r="CK21" t="s">
        <v>13809</v>
      </c>
      <c r="CR21" t="s">
        <v>13809</v>
      </c>
      <c r="CT21" t="s">
        <v>14011</v>
      </c>
      <c r="CU21" t="s">
        <v>14268</v>
      </c>
      <c r="CV21" t="s">
        <v>13818</v>
      </c>
      <c r="CW21" t="s">
        <v>14269</v>
      </c>
      <c r="DA21" t="s">
        <v>14270</v>
      </c>
      <c r="DB21" t="s">
        <v>14271</v>
      </c>
      <c r="DC21" t="s">
        <v>14269</v>
      </c>
      <c r="DG21" t="s">
        <v>14272</v>
      </c>
      <c r="DH21" t="s">
        <v>13818</v>
      </c>
      <c r="DI21" t="s">
        <v>14273</v>
      </c>
      <c r="DM21" t="s">
        <v>13809</v>
      </c>
      <c r="DZ21" t="s">
        <v>14274</v>
      </c>
      <c r="EA21" t="s">
        <v>14275</v>
      </c>
      <c r="ED21" t="s">
        <v>14276</v>
      </c>
      <c r="EE21" t="s">
        <v>5585</v>
      </c>
    </row>
    <row r="22" spans="1:135">
      <c r="A22" t="s">
        <v>1383</v>
      </c>
      <c r="B22" t="s">
        <v>1375</v>
      </c>
      <c r="C22" t="s">
        <v>14277</v>
      </c>
      <c r="D22" s="24">
        <v>44750</v>
      </c>
      <c r="E22" s="24" t="s">
        <v>13555</v>
      </c>
      <c r="F22" s="24" t="s">
        <v>14278</v>
      </c>
      <c r="G22" s="24" t="s">
        <v>13808</v>
      </c>
      <c r="H22" s="24" t="s">
        <v>14279</v>
      </c>
      <c r="I22" s="24" t="s">
        <v>13809</v>
      </c>
      <c r="J22" s="24"/>
      <c r="K22" s="24" t="s">
        <v>13809</v>
      </c>
      <c r="L22" s="24"/>
      <c r="M22" s="24" t="s">
        <v>14280</v>
      </c>
      <c r="N22" s="24" t="s">
        <v>13808</v>
      </c>
      <c r="O22" s="24"/>
      <c r="P22" s="24" t="s">
        <v>13808</v>
      </c>
      <c r="Q22" s="24"/>
      <c r="R22" s="24" t="s">
        <v>13808</v>
      </c>
      <c r="S22" s="24"/>
      <c r="T22" t="s">
        <v>14281</v>
      </c>
      <c r="U22" t="s">
        <v>13809</v>
      </c>
      <c r="W22" t="s">
        <v>13808</v>
      </c>
      <c r="X22" t="s">
        <v>14282</v>
      </c>
      <c r="Y22" t="s">
        <v>13809</v>
      </c>
      <c r="AA22" t="s">
        <v>13849</v>
      </c>
      <c r="AB22" t="s">
        <v>14283</v>
      </c>
      <c r="AC22" t="s">
        <v>13808</v>
      </c>
      <c r="AH22" t="s">
        <v>14284</v>
      </c>
      <c r="AI22" t="s">
        <v>13808</v>
      </c>
      <c r="AN22" t="s">
        <v>13711</v>
      </c>
      <c r="AO22" t="s">
        <v>13809</v>
      </c>
      <c r="AT22" t="s">
        <v>14285</v>
      </c>
      <c r="AU22" t="s">
        <v>13808</v>
      </c>
      <c r="AZ22" t="s">
        <v>14286</v>
      </c>
      <c r="BA22" t="s">
        <v>13808</v>
      </c>
      <c r="BF22" t="s">
        <v>14287</v>
      </c>
      <c r="BG22" t="s">
        <v>13808</v>
      </c>
      <c r="BL22" t="s">
        <v>14288</v>
      </c>
      <c r="BM22" t="s">
        <v>13808</v>
      </c>
      <c r="BR22" t="s">
        <v>14289</v>
      </c>
      <c r="BS22" t="s">
        <v>14290</v>
      </c>
      <c r="BT22" t="s">
        <v>13808</v>
      </c>
      <c r="BU22" t="s">
        <v>14291</v>
      </c>
      <c r="BY22" t="s">
        <v>13826</v>
      </c>
      <c r="BZ22" t="s">
        <v>13808</v>
      </c>
      <c r="CA22" t="s">
        <v>13861</v>
      </c>
      <c r="CE22" t="s">
        <v>13938</v>
      </c>
      <c r="CF22" t="s">
        <v>13808</v>
      </c>
      <c r="CG22" t="s">
        <v>13863</v>
      </c>
      <c r="CH22" t="s">
        <v>14292</v>
      </c>
      <c r="CI22" t="s">
        <v>13808</v>
      </c>
      <c r="CK22" t="s">
        <v>13760</v>
      </c>
      <c r="CL22" t="s">
        <v>13809</v>
      </c>
      <c r="CQ22" t="s">
        <v>13766</v>
      </c>
      <c r="CR22" t="s">
        <v>13809</v>
      </c>
      <c r="CT22" t="s">
        <v>14293</v>
      </c>
      <c r="CU22" t="s">
        <v>14294</v>
      </c>
      <c r="CV22" t="s">
        <v>13808</v>
      </c>
      <c r="DA22" t="s">
        <v>14295</v>
      </c>
      <c r="DB22" t="s">
        <v>13808</v>
      </c>
      <c r="DM22" t="s">
        <v>14296</v>
      </c>
      <c r="DN22" t="s">
        <v>13808</v>
      </c>
      <c r="DY22" t="s">
        <v>13869</v>
      </c>
      <c r="DZ22" t="s">
        <v>14297</v>
      </c>
      <c r="EA22" t="s">
        <v>14118</v>
      </c>
      <c r="EC22">
        <v>44754</v>
      </c>
      <c r="ED22" t="s">
        <v>14298</v>
      </c>
      <c r="EE22" t="s">
        <v>5853</v>
      </c>
    </row>
    <row r="23" spans="1:135">
      <c r="A23" t="s">
        <v>2106</v>
      </c>
      <c r="B23" t="s">
        <v>2098</v>
      </c>
      <c r="C23" t="s">
        <v>14299</v>
      </c>
      <c r="D23" s="24">
        <v>44540</v>
      </c>
      <c r="E23" s="24" t="s">
        <v>13563</v>
      </c>
      <c r="F23" s="24" t="s">
        <v>14300</v>
      </c>
      <c r="G23" s="24" t="s">
        <v>13808</v>
      </c>
      <c r="H23" s="24" t="s">
        <v>14301</v>
      </c>
      <c r="I23" s="24" t="s">
        <v>13809</v>
      </c>
      <c r="J23" s="24"/>
      <c r="K23" s="24" t="s">
        <v>14302</v>
      </c>
      <c r="L23" s="24" t="s">
        <v>14303</v>
      </c>
      <c r="M23" s="24" t="s">
        <v>14304</v>
      </c>
      <c r="N23" s="24" t="s">
        <v>13808</v>
      </c>
      <c r="O23" s="24"/>
      <c r="P23" s="24" t="s">
        <v>13818</v>
      </c>
      <c r="Q23" s="24" t="s">
        <v>14305</v>
      </c>
      <c r="R23" s="24" t="s">
        <v>13808</v>
      </c>
      <c r="S23" s="24"/>
      <c r="T23" t="s">
        <v>14306</v>
      </c>
      <c r="U23" t="s">
        <v>13809</v>
      </c>
      <c r="W23" t="s">
        <v>13809</v>
      </c>
      <c r="Y23" t="s">
        <v>13809</v>
      </c>
      <c r="AA23" t="s">
        <v>14307</v>
      </c>
      <c r="AB23" t="s">
        <v>14308</v>
      </c>
      <c r="AC23" t="s">
        <v>13818</v>
      </c>
      <c r="AD23" t="s">
        <v>14309</v>
      </c>
      <c r="AH23" t="s">
        <v>14073</v>
      </c>
      <c r="AI23" t="s">
        <v>13808</v>
      </c>
      <c r="AK23" t="s">
        <v>14310</v>
      </c>
      <c r="AL23" t="s">
        <v>13818</v>
      </c>
      <c r="AM23" t="s">
        <v>14309</v>
      </c>
      <c r="AN23" t="s">
        <v>14311</v>
      </c>
      <c r="AO23" t="s">
        <v>13818</v>
      </c>
      <c r="AP23" t="s">
        <v>14309</v>
      </c>
      <c r="AT23" t="s">
        <v>14312</v>
      </c>
      <c r="AU23" t="s">
        <v>13818</v>
      </c>
      <c r="AV23" t="s">
        <v>14309</v>
      </c>
      <c r="AZ23" t="s">
        <v>14313</v>
      </c>
      <c r="BA23" t="s">
        <v>13808</v>
      </c>
      <c r="BF23" t="s">
        <v>14211</v>
      </c>
      <c r="BG23" t="s">
        <v>13808</v>
      </c>
      <c r="BL23" t="s">
        <v>13735</v>
      </c>
      <c r="BM23" t="s">
        <v>13809</v>
      </c>
      <c r="BR23" t="s">
        <v>14314</v>
      </c>
      <c r="BS23" t="s">
        <v>13824</v>
      </c>
      <c r="BT23" t="s">
        <v>13808</v>
      </c>
      <c r="BU23" t="s">
        <v>14315</v>
      </c>
      <c r="BY23" t="s">
        <v>13860</v>
      </c>
      <c r="BZ23" t="s">
        <v>13808</v>
      </c>
      <c r="CA23" t="s">
        <v>13937</v>
      </c>
      <c r="CE23" t="s">
        <v>13828</v>
      </c>
      <c r="CF23" t="s">
        <v>13808</v>
      </c>
      <c r="CK23" t="s">
        <v>13760</v>
      </c>
      <c r="CL23" t="s">
        <v>13809</v>
      </c>
      <c r="CQ23" t="s">
        <v>13766</v>
      </c>
      <c r="CR23" t="s">
        <v>13809</v>
      </c>
      <c r="CT23" t="s">
        <v>14316</v>
      </c>
      <c r="CU23" t="s">
        <v>14317</v>
      </c>
      <c r="CV23" t="s">
        <v>13808</v>
      </c>
      <c r="CW23" t="s">
        <v>14318</v>
      </c>
      <c r="CX23" t="s">
        <v>14319</v>
      </c>
      <c r="CY23" t="s">
        <v>13818</v>
      </c>
      <c r="DA23" t="s">
        <v>14320</v>
      </c>
      <c r="DB23" t="s">
        <v>13808</v>
      </c>
      <c r="DC23" t="s">
        <v>14318</v>
      </c>
      <c r="DD23" t="s">
        <v>14319</v>
      </c>
      <c r="DE23" t="s">
        <v>13818</v>
      </c>
      <c r="DG23" t="s">
        <v>14321</v>
      </c>
      <c r="DH23" t="s">
        <v>13808</v>
      </c>
      <c r="DI23" t="s">
        <v>14318</v>
      </c>
      <c r="DJ23" t="s">
        <v>14322</v>
      </c>
      <c r="DK23" t="s">
        <v>13818</v>
      </c>
      <c r="DM23" t="s">
        <v>14323</v>
      </c>
      <c r="DN23" t="s">
        <v>13818</v>
      </c>
      <c r="DP23" t="s">
        <v>14324</v>
      </c>
      <c r="DQ23" t="s">
        <v>13808</v>
      </c>
      <c r="DR23" t="s">
        <v>14325</v>
      </c>
      <c r="DY23" t="s">
        <v>13840</v>
      </c>
      <c r="DZ23" t="s">
        <v>13841</v>
      </c>
      <c r="EA23" t="s">
        <v>13842</v>
      </c>
      <c r="EC23">
        <v>44588</v>
      </c>
      <c r="ED23" t="s">
        <v>14298</v>
      </c>
      <c r="EE23" t="s">
        <v>6745</v>
      </c>
    </row>
    <row r="24" spans="1:135">
      <c r="A24" t="s">
        <v>1259</v>
      </c>
      <c r="B24" t="s">
        <v>1246</v>
      </c>
      <c r="C24" t="s">
        <v>14326</v>
      </c>
      <c r="D24" s="24">
        <v>43193</v>
      </c>
      <c r="E24" s="24" t="s">
        <v>13564</v>
      </c>
      <c r="F24" s="24" t="s">
        <v>14327</v>
      </c>
      <c r="G24" s="24" t="s">
        <v>13808</v>
      </c>
      <c r="H24" s="24"/>
      <c r="I24" s="24" t="s">
        <v>13809</v>
      </c>
      <c r="J24" s="24"/>
      <c r="K24" s="24" t="s">
        <v>13808</v>
      </c>
      <c r="L24" s="24"/>
      <c r="M24" s="24" t="s">
        <v>14304</v>
      </c>
      <c r="N24" s="24" t="s">
        <v>13808</v>
      </c>
      <c r="O24" s="24"/>
      <c r="P24" s="24" t="s">
        <v>13808</v>
      </c>
      <c r="Q24" s="24"/>
      <c r="R24" s="24" t="s">
        <v>13808</v>
      </c>
      <c r="S24" s="24"/>
      <c r="T24" t="s">
        <v>14328</v>
      </c>
      <c r="U24" t="s">
        <v>13809</v>
      </c>
      <c r="W24" t="s">
        <v>13808</v>
      </c>
      <c r="X24" t="s">
        <v>14329</v>
      </c>
      <c r="Y24" t="s">
        <v>13809</v>
      </c>
      <c r="AA24" t="s">
        <v>13928</v>
      </c>
      <c r="AB24" t="s">
        <v>14330</v>
      </c>
      <c r="AC24" t="s">
        <v>13808</v>
      </c>
      <c r="AH24" t="s">
        <v>13851</v>
      </c>
      <c r="AI24" t="s">
        <v>13808</v>
      </c>
      <c r="AN24" t="s">
        <v>14331</v>
      </c>
      <c r="AO24" t="s">
        <v>13808</v>
      </c>
      <c r="AT24" t="s">
        <v>14332</v>
      </c>
      <c r="AU24" t="s">
        <v>13808</v>
      </c>
      <c r="AZ24" t="s">
        <v>14333</v>
      </c>
      <c r="BA24" t="s">
        <v>13808</v>
      </c>
      <c r="BF24" t="s">
        <v>14334</v>
      </c>
      <c r="BG24" t="s">
        <v>13808</v>
      </c>
      <c r="BL24" t="s">
        <v>13934</v>
      </c>
      <c r="BM24" t="s">
        <v>13809</v>
      </c>
      <c r="BR24" t="s">
        <v>14335</v>
      </c>
      <c r="BS24" t="s">
        <v>13824</v>
      </c>
      <c r="BT24" t="s">
        <v>13808</v>
      </c>
      <c r="BU24" t="s">
        <v>14336</v>
      </c>
      <c r="BY24" t="s">
        <v>14337</v>
      </c>
      <c r="BZ24" t="s">
        <v>13808</v>
      </c>
      <c r="CA24" t="s">
        <v>13937</v>
      </c>
      <c r="CE24" t="s">
        <v>13828</v>
      </c>
      <c r="CF24" t="s">
        <v>13808</v>
      </c>
      <c r="CK24" t="s">
        <v>13760</v>
      </c>
      <c r="CL24" t="s">
        <v>13809</v>
      </c>
      <c r="CQ24" t="s">
        <v>13766</v>
      </c>
      <c r="CR24" t="s">
        <v>13809</v>
      </c>
      <c r="CT24" t="s">
        <v>14338</v>
      </c>
      <c r="CU24" t="s">
        <v>13941</v>
      </c>
      <c r="CV24" t="s">
        <v>13808</v>
      </c>
      <c r="CX24" t="s">
        <v>14339</v>
      </c>
      <c r="CY24" t="s">
        <v>13818</v>
      </c>
      <c r="DA24" t="s">
        <v>14340</v>
      </c>
      <c r="DB24" t="s">
        <v>13808</v>
      </c>
      <c r="DD24" t="s">
        <v>14339</v>
      </c>
      <c r="DE24" t="s">
        <v>13818</v>
      </c>
      <c r="DG24" t="s">
        <v>14240</v>
      </c>
      <c r="DH24" t="s">
        <v>13808</v>
      </c>
      <c r="DZ24" t="s">
        <v>14341</v>
      </c>
      <c r="EA24" t="s">
        <v>14201</v>
      </c>
      <c r="EC24">
        <v>44628</v>
      </c>
      <c r="ED24" t="s">
        <v>13843</v>
      </c>
      <c r="EE24" t="s">
        <v>5691</v>
      </c>
    </row>
    <row r="25" spans="1:135">
      <c r="A25" t="s">
        <v>2113</v>
      </c>
      <c r="B25" t="s">
        <v>2098</v>
      </c>
      <c r="C25" t="s">
        <v>14342</v>
      </c>
      <c r="D25" s="24">
        <v>44624</v>
      </c>
      <c r="E25" s="24" t="s">
        <v>13557</v>
      </c>
      <c r="F25" s="24" t="s">
        <v>14343</v>
      </c>
      <c r="G25" s="24" t="s">
        <v>13808</v>
      </c>
      <c r="H25" s="24"/>
      <c r="I25" s="24" t="s">
        <v>13809</v>
      </c>
      <c r="J25" s="24"/>
      <c r="K25" s="24" t="s">
        <v>13808</v>
      </c>
      <c r="L25" s="24"/>
      <c r="M25" s="24" t="s">
        <v>14304</v>
      </c>
      <c r="N25" s="24" t="s">
        <v>13808</v>
      </c>
      <c r="O25" s="24"/>
      <c r="P25" s="24" t="s">
        <v>13808</v>
      </c>
      <c r="Q25" s="24"/>
      <c r="R25" s="24" t="s">
        <v>13808</v>
      </c>
      <c r="S25" s="24"/>
      <c r="T25" t="s">
        <v>13907</v>
      </c>
      <c r="U25" t="s">
        <v>13809</v>
      </c>
      <c r="W25" t="s">
        <v>13808</v>
      </c>
      <c r="X25" t="s">
        <v>14344</v>
      </c>
      <c r="Y25" t="s">
        <v>13809</v>
      </c>
      <c r="AA25" t="s">
        <v>13928</v>
      </c>
      <c r="AB25" t="s">
        <v>14345</v>
      </c>
      <c r="AC25" t="s">
        <v>13808</v>
      </c>
      <c r="AH25" t="s">
        <v>13851</v>
      </c>
      <c r="AI25" t="s">
        <v>13808</v>
      </c>
      <c r="AN25" t="s">
        <v>14346</v>
      </c>
      <c r="AO25" t="s">
        <v>13808</v>
      </c>
      <c r="AT25" t="s">
        <v>14347</v>
      </c>
      <c r="AU25" t="s">
        <v>13808</v>
      </c>
      <c r="AZ25" t="s">
        <v>14348</v>
      </c>
      <c r="BA25" t="s">
        <v>13808</v>
      </c>
      <c r="BF25" t="s">
        <v>14349</v>
      </c>
      <c r="BG25" t="s">
        <v>13808</v>
      </c>
      <c r="BL25" t="s">
        <v>14350</v>
      </c>
      <c r="BM25" t="s">
        <v>13808</v>
      </c>
      <c r="BR25" t="s">
        <v>14351</v>
      </c>
      <c r="BS25" t="s">
        <v>13824</v>
      </c>
      <c r="BT25" t="s">
        <v>13818</v>
      </c>
      <c r="BU25" t="s">
        <v>14352</v>
      </c>
      <c r="BY25" t="s">
        <v>13826</v>
      </c>
      <c r="BZ25" t="s">
        <v>13808</v>
      </c>
      <c r="CA25" t="s">
        <v>13937</v>
      </c>
      <c r="CE25" t="s">
        <v>13828</v>
      </c>
      <c r="CF25" t="s">
        <v>13808</v>
      </c>
      <c r="CK25" t="s">
        <v>13760</v>
      </c>
      <c r="CL25" t="s">
        <v>13809</v>
      </c>
      <c r="CQ25" t="s">
        <v>13766</v>
      </c>
      <c r="CR25" t="s">
        <v>13809</v>
      </c>
      <c r="CT25" t="s">
        <v>14353</v>
      </c>
      <c r="CU25" t="s">
        <v>14354</v>
      </c>
      <c r="CV25" t="s">
        <v>13808</v>
      </c>
      <c r="CX25" t="s">
        <v>14355</v>
      </c>
      <c r="CY25" t="s">
        <v>13818</v>
      </c>
      <c r="DA25" t="s">
        <v>14356</v>
      </c>
      <c r="DB25" t="s">
        <v>13808</v>
      </c>
      <c r="DD25" t="s">
        <v>14355</v>
      </c>
      <c r="DE25" t="s">
        <v>13818</v>
      </c>
      <c r="DG25" t="s">
        <v>14357</v>
      </c>
      <c r="DH25" t="s">
        <v>13808</v>
      </c>
      <c r="DJ25" t="s">
        <v>14358</v>
      </c>
      <c r="DK25" t="s">
        <v>13818</v>
      </c>
      <c r="DM25" t="s">
        <v>14359</v>
      </c>
      <c r="DN25" t="s">
        <v>13808</v>
      </c>
      <c r="DY25" t="s">
        <v>13840</v>
      </c>
      <c r="DZ25" t="s">
        <v>14360</v>
      </c>
      <c r="EA25" t="s">
        <v>14201</v>
      </c>
      <c r="EC25">
        <v>44659</v>
      </c>
      <c r="ED25" t="s">
        <v>13843</v>
      </c>
      <c r="EE25" t="s">
        <v>6751</v>
      </c>
    </row>
    <row r="26" spans="1:135">
      <c r="A26" t="s">
        <v>1057</v>
      </c>
      <c r="B26" t="s">
        <v>1043</v>
      </c>
      <c r="C26" t="s">
        <v>14361</v>
      </c>
      <c r="D26" s="24">
        <v>43048</v>
      </c>
      <c r="E26" s="24" t="s">
        <v>13565</v>
      </c>
      <c r="F26" s="24" t="s">
        <v>14362</v>
      </c>
      <c r="G26" s="24" t="s">
        <v>13808</v>
      </c>
      <c r="H26" s="24"/>
      <c r="I26" s="24" t="s">
        <v>13809</v>
      </c>
      <c r="J26" s="24"/>
      <c r="K26" s="24" t="s">
        <v>13808</v>
      </c>
      <c r="L26" s="24"/>
      <c r="M26" s="24" t="s">
        <v>9410</v>
      </c>
      <c r="N26" s="24" t="s">
        <v>13808</v>
      </c>
      <c r="O26" s="24"/>
      <c r="P26" s="24" t="s">
        <v>13808</v>
      </c>
      <c r="Q26" s="24"/>
      <c r="R26" s="24" t="s">
        <v>13808</v>
      </c>
      <c r="S26" s="24"/>
      <c r="T26" t="s">
        <v>14363</v>
      </c>
      <c r="U26" t="s">
        <v>13809</v>
      </c>
      <c r="W26" t="s">
        <v>13808</v>
      </c>
      <c r="X26" t="s">
        <v>14364</v>
      </c>
      <c r="Y26" t="s">
        <v>13809</v>
      </c>
      <c r="AA26" t="s">
        <v>14365</v>
      </c>
      <c r="AB26" t="s">
        <v>14366</v>
      </c>
      <c r="AC26" t="s">
        <v>13808</v>
      </c>
      <c r="AH26" t="s">
        <v>13909</v>
      </c>
      <c r="AI26" t="s">
        <v>13808</v>
      </c>
      <c r="AN26" t="s">
        <v>14023</v>
      </c>
      <c r="AO26" t="s">
        <v>13808</v>
      </c>
      <c r="AT26" t="s">
        <v>14367</v>
      </c>
      <c r="AU26" t="s">
        <v>13808</v>
      </c>
      <c r="AZ26" t="s">
        <v>14368</v>
      </c>
      <c r="BA26" t="s">
        <v>13808</v>
      </c>
      <c r="BF26" t="s">
        <v>14369</v>
      </c>
      <c r="BG26" t="s">
        <v>13808</v>
      </c>
      <c r="BL26" t="s">
        <v>14370</v>
      </c>
      <c r="BM26" t="s">
        <v>13808</v>
      </c>
      <c r="BR26" t="s">
        <v>14371</v>
      </c>
      <c r="BS26" t="s">
        <v>13887</v>
      </c>
      <c r="BT26" t="s">
        <v>13808</v>
      </c>
      <c r="BU26" t="s">
        <v>14372</v>
      </c>
      <c r="BY26" t="s">
        <v>14373</v>
      </c>
      <c r="BZ26" t="s">
        <v>13808</v>
      </c>
      <c r="CA26" t="s">
        <v>14374</v>
      </c>
      <c r="CE26" t="s">
        <v>13887</v>
      </c>
      <c r="CF26" t="s">
        <v>13808</v>
      </c>
      <c r="CL26" t="s">
        <v>13809</v>
      </c>
      <c r="CR26" t="s">
        <v>13809</v>
      </c>
      <c r="CT26" t="s">
        <v>14375</v>
      </c>
      <c r="CU26" t="s">
        <v>13887</v>
      </c>
      <c r="CV26" t="s">
        <v>13808</v>
      </c>
      <c r="CX26" t="s">
        <v>14376</v>
      </c>
      <c r="CY26" t="s">
        <v>13818</v>
      </c>
      <c r="DA26" t="s">
        <v>13887</v>
      </c>
      <c r="DB26" t="s">
        <v>13808</v>
      </c>
      <c r="DD26" t="s">
        <v>14377</v>
      </c>
      <c r="DE26" t="s">
        <v>13818</v>
      </c>
      <c r="DG26" t="s">
        <v>13887</v>
      </c>
      <c r="DH26" t="s">
        <v>13808</v>
      </c>
      <c r="DJ26" t="s">
        <v>14378</v>
      </c>
      <c r="DK26" t="s">
        <v>13818</v>
      </c>
      <c r="DZ26" t="s">
        <v>14379</v>
      </c>
      <c r="EA26" t="s">
        <v>14201</v>
      </c>
      <c r="EB26" t="s">
        <v>14380</v>
      </c>
      <c r="EC26">
        <v>43480</v>
      </c>
      <c r="ED26" t="s">
        <v>13903</v>
      </c>
      <c r="EE26" t="s">
        <v>5452</v>
      </c>
    </row>
    <row r="27" spans="1:135">
      <c r="A27" t="s">
        <v>9693</v>
      </c>
      <c r="B27" t="s">
        <v>1155</v>
      </c>
      <c r="C27" t="s">
        <v>14381</v>
      </c>
      <c r="D27" s="24">
        <v>45063</v>
      </c>
      <c r="E27" s="24" t="s">
        <v>13561</v>
      </c>
      <c r="F27" s="24" t="s">
        <v>14382</v>
      </c>
      <c r="G27" s="24" t="s">
        <v>13818</v>
      </c>
      <c r="H27" s="24" t="s">
        <v>14383</v>
      </c>
      <c r="I27" s="24" t="s">
        <v>13809</v>
      </c>
      <c r="J27" s="24"/>
      <c r="K27" s="24" t="s">
        <v>13818</v>
      </c>
      <c r="L27" s="24"/>
      <c r="M27" s="24" t="s">
        <v>14384</v>
      </c>
      <c r="N27" s="24" t="s">
        <v>13818</v>
      </c>
      <c r="O27" s="24" t="s">
        <v>13819</v>
      </c>
      <c r="P27" s="24" t="s">
        <v>13818</v>
      </c>
      <c r="Q27" s="24" t="s">
        <v>13819</v>
      </c>
      <c r="R27" s="24" t="s">
        <v>13818</v>
      </c>
      <c r="S27" s="24" t="s">
        <v>13819</v>
      </c>
      <c r="T27" t="s">
        <v>14385</v>
      </c>
      <c r="U27" t="s">
        <v>13809</v>
      </c>
      <c r="W27" t="s">
        <v>13809</v>
      </c>
      <c r="Y27" t="s">
        <v>13809</v>
      </c>
      <c r="AA27" t="s">
        <v>14386</v>
      </c>
      <c r="AB27" t="s">
        <v>14387</v>
      </c>
      <c r="AC27" t="s">
        <v>13818</v>
      </c>
      <c r="AD27" t="s">
        <v>13819</v>
      </c>
      <c r="AH27" t="s">
        <v>14388</v>
      </c>
      <c r="AI27" t="s">
        <v>13818</v>
      </c>
      <c r="AJ27" t="s">
        <v>13819</v>
      </c>
      <c r="AN27" t="s">
        <v>14389</v>
      </c>
      <c r="AO27" t="s">
        <v>13818</v>
      </c>
      <c r="AP27" t="s">
        <v>13819</v>
      </c>
      <c r="AT27" t="s">
        <v>14390</v>
      </c>
      <c r="AU27" t="s">
        <v>13818</v>
      </c>
      <c r="AV27" t="s">
        <v>13819</v>
      </c>
      <c r="AZ27" t="s">
        <v>14391</v>
      </c>
      <c r="BA27" t="s">
        <v>13818</v>
      </c>
      <c r="BB27" t="s">
        <v>14392</v>
      </c>
      <c r="BF27" t="s">
        <v>14393</v>
      </c>
      <c r="BG27" t="s">
        <v>13818</v>
      </c>
      <c r="BH27" t="s">
        <v>13819</v>
      </c>
      <c r="BL27" t="s">
        <v>13735</v>
      </c>
      <c r="BM27" t="s">
        <v>13809</v>
      </c>
      <c r="BN27" t="s">
        <v>13819</v>
      </c>
      <c r="BR27" t="s">
        <v>14394</v>
      </c>
      <c r="BS27" t="s">
        <v>14290</v>
      </c>
      <c r="BT27" t="s">
        <v>13818</v>
      </c>
      <c r="BU27" t="s">
        <v>14395</v>
      </c>
      <c r="BY27" t="s">
        <v>13860</v>
      </c>
      <c r="BZ27" t="s">
        <v>13818</v>
      </c>
      <c r="CA27" t="s">
        <v>14107</v>
      </c>
      <c r="CE27" t="s">
        <v>13938</v>
      </c>
      <c r="CF27" t="s">
        <v>13818</v>
      </c>
      <c r="CG27" t="s">
        <v>13819</v>
      </c>
      <c r="CK27" t="s">
        <v>13760</v>
      </c>
      <c r="CL27" t="s">
        <v>13809</v>
      </c>
      <c r="CQ27" t="s">
        <v>13766</v>
      </c>
      <c r="CR27" t="s">
        <v>13809</v>
      </c>
      <c r="CT27" t="s">
        <v>14396</v>
      </c>
      <c r="CU27" t="s">
        <v>14397</v>
      </c>
      <c r="CV27" t="s">
        <v>13808</v>
      </c>
      <c r="CW27" t="s">
        <v>13819</v>
      </c>
      <c r="CX27" t="s">
        <v>14398</v>
      </c>
      <c r="CY27" t="s">
        <v>13818</v>
      </c>
      <c r="DA27" t="s">
        <v>14399</v>
      </c>
      <c r="DB27" t="s">
        <v>13808</v>
      </c>
      <c r="DC27" t="s">
        <v>13819</v>
      </c>
      <c r="DD27" t="s">
        <v>14400</v>
      </c>
      <c r="DE27" t="s">
        <v>13818</v>
      </c>
      <c r="DG27" t="s">
        <v>14401</v>
      </c>
      <c r="DH27" t="s">
        <v>13818</v>
      </c>
      <c r="DI27" t="s">
        <v>14402</v>
      </c>
      <c r="DM27" t="s">
        <v>14403</v>
      </c>
      <c r="DN27" t="s">
        <v>13818</v>
      </c>
      <c r="DO27" t="s">
        <v>14404</v>
      </c>
      <c r="DP27" t="s">
        <v>14405</v>
      </c>
      <c r="DQ27" t="s">
        <v>13818</v>
      </c>
      <c r="DR27" t="s">
        <v>13839</v>
      </c>
      <c r="DY27" t="s">
        <v>13840</v>
      </c>
      <c r="DZ27" t="s">
        <v>14406</v>
      </c>
      <c r="EA27" t="s">
        <v>14118</v>
      </c>
      <c r="EC27">
        <v>45069</v>
      </c>
      <c r="ED27" t="s">
        <v>13843</v>
      </c>
      <c r="EE27" t="s">
        <v>14407</v>
      </c>
    </row>
    <row r="28" spans="1:135">
      <c r="A28" t="s">
        <v>1809</v>
      </c>
      <c r="B28" t="s">
        <v>1808</v>
      </c>
      <c r="C28" t="s">
        <v>14408</v>
      </c>
      <c r="D28" s="24">
        <v>44155</v>
      </c>
      <c r="E28" s="24" t="s">
        <v>13560</v>
      </c>
      <c r="F28" s="24" t="s">
        <v>14409</v>
      </c>
      <c r="G28" s="24" t="s">
        <v>13808</v>
      </c>
      <c r="H28" s="24"/>
      <c r="I28" s="24" t="s">
        <v>13809</v>
      </c>
      <c r="J28" s="24"/>
      <c r="K28" s="24" t="s">
        <v>13808</v>
      </c>
      <c r="L28" s="24"/>
      <c r="M28" s="24" t="s">
        <v>14410</v>
      </c>
      <c r="N28" s="24" t="s">
        <v>13808</v>
      </c>
      <c r="O28" s="24"/>
      <c r="P28" s="24" t="s">
        <v>13808</v>
      </c>
      <c r="Q28" s="24"/>
      <c r="R28" s="24" t="s">
        <v>13808</v>
      </c>
      <c r="S28" s="24"/>
      <c r="T28" t="s">
        <v>14071</v>
      </c>
      <c r="U28" t="s">
        <v>13809</v>
      </c>
      <c r="W28" t="s">
        <v>13809</v>
      </c>
      <c r="Y28" t="s">
        <v>13808</v>
      </c>
      <c r="Z28" t="s">
        <v>14411</v>
      </c>
      <c r="AA28" t="s">
        <v>14412</v>
      </c>
      <c r="AB28" t="s">
        <v>14413</v>
      </c>
      <c r="AC28" t="s">
        <v>13818</v>
      </c>
      <c r="AD28" t="s">
        <v>14414</v>
      </c>
      <c r="AH28" t="s">
        <v>13887</v>
      </c>
      <c r="AI28" t="s">
        <v>13808</v>
      </c>
      <c r="AK28" t="s">
        <v>14004</v>
      </c>
      <c r="AL28" t="s">
        <v>13818</v>
      </c>
      <c r="AM28" t="s">
        <v>14415</v>
      </c>
      <c r="AN28" t="s">
        <v>14416</v>
      </c>
      <c r="AO28" t="s">
        <v>13808</v>
      </c>
      <c r="AQ28" t="s">
        <v>14417</v>
      </c>
      <c r="AR28" t="s">
        <v>13818</v>
      </c>
      <c r="AS28" t="s">
        <v>14309</v>
      </c>
      <c r="AT28" t="s">
        <v>14418</v>
      </c>
      <c r="AU28" t="s">
        <v>13818</v>
      </c>
      <c r="AV28" t="s">
        <v>14309</v>
      </c>
      <c r="AZ28" t="s">
        <v>14419</v>
      </c>
      <c r="BA28" t="s">
        <v>13808</v>
      </c>
      <c r="BF28" t="s">
        <v>14369</v>
      </c>
      <c r="BG28" t="s">
        <v>13808</v>
      </c>
      <c r="BL28" t="s">
        <v>13958</v>
      </c>
      <c r="BM28" t="s">
        <v>13818</v>
      </c>
      <c r="BN28" t="s">
        <v>14309</v>
      </c>
      <c r="BR28" t="s">
        <v>14420</v>
      </c>
      <c r="BS28" t="s">
        <v>13887</v>
      </c>
      <c r="BT28" t="s">
        <v>13808</v>
      </c>
      <c r="BU28" t="s">
        <v>14233</v>
      </c>
      <c r="BY28" t="s">
        <v>14265</v>
      </c>
      <c r="BZ28" t="s">
        <v>13818</v>
      </c>
      <c r="CA28" t="s">
        <v>14421</v>
      </c>
      <c r="CE28" t="s">
        <v>13887</v>
      </c>
      <c r="CF28" t="s">
        <v>13808</v>
      </c>
      <c r="CL28" t="s">
        <v>13809</v>
      </c>
      <c r="CR28" t="s">
        <v>13809</v>
      </c>
      <c r="CT28" t="s">
        <v>14422</v>
      </c>
      <c r="CU28" t="s">
        <v>14423</v>
      </c>
      <c r="CV28" t="s">
        <v>13808</v>
      </c>
      <c r="CX28" t="s">
        <v>14424</v>
      </c>
      <c r="CY28" t="s">
        <v>13818</v>
      </c>
      <c r="CZ28" t="s">
        <v>14415</v>
      </c>
      <c r="DA28" t="s">
        <v>14059</v>
      </c>
      <c r="DB28" t="s">
        <v>13808</v>
      </c>
      <c r="DD28" t="s">
        <v>14425</v>
      </c>
      <c r="DE28" t="s">
        <v>13818</v>
      </c>
      <c r="DF28" t="s">
        <v>14309</v>
      </c>
      <c r="DG28" t="s">
        <v>13909</v>
      </c>
      <c r="DH28" t="s">
        <v>13818</v>
      </c>
      <c r="DI28" t="s">
        <v>14309</v>
      </c>
      <c r="DY28" t="s">
        <v>13840</v>
      </c>
      <c r="DZ28" t="s">
        <v>13970</v>
      </c>
      <c r="EA28" t="s">
        <v>13842</v>
      </c>
      <c r="ED28" t="s">
        <v>14276</v>
      </c>
      <c r="EE28" t="s">
        <v>6330</v>
      </c>
    </row>
    <row r="29" spans="1:135">
      <c r="A29" t="s">
        <v>1590</v>
      </c>
      <c r="B29" t="s">
        <v>1589</v>
      </c>
      <c r="C29" t="s">
        <v>14426</v>
      </c>
      <c r="D29" s="24">
        <v>43746</v>
      </c>
      <c r="E29" s="24" t="s">
        <v>13553</v>
      </c>
      <c r="F29" s="24" t="s">
        <v>14427</v>
      </c>
      <c r="G29" s="24" t="s">
        <v>13808</v>
      </c>
      <c r="H29" s="24"/>
      <c r="I29" s="24" t="s">
        <v>13809</v>
      </c>
      <c r="J29" s="24"/>
      <c r="K29" s="24" t="s">
        <v>13809</v>
      </c>
      <c r="L29" s="24"/>
      <c r="M29" s="24" t="s">
        <v>14428</v>
      </c>
      <c r="N29" s="24" t="s">
        <v>13808</v>
      </c>
      <c r="O29" s="24"/>
      <c r="P29" s="24" t="s">
        <v>13808</v>
      </c>
      <c r="Q29" s="24"/>
      <c r="R29" s="24" t="s">
        <v>13808</v>
      </c>
      <c r="S29" s="24"/>
      <c r="T29" t="s">
        <v>14429</v>
      </c>
      <c r="U29" t="s">
        <v>13809</v>
      </c>
      <c r="W29" t="s">
        <v>13808</v>
      </c>
      <c r="X29" t="s">
        <v>14430</v>
      </c>
      <c r="Y29" t="s">
        <v>13809</v>
      </c>
      <c r="AA29" t="s">
        <v>13877</v>
      </c>
      <c r="AB29" t="s">
        <v>14431</v>
      </c>
      <c r="AC29" t="s">
        <v>13808</v>
      </c>
      <c r="AH29" t="s">
        <v>13909</v>
      </c>
      <c r="AI29" t="s">
        <v>13808</v>
      </c>
      <c r="AN29" t="s">
        <v>14432</v>
      </c>
      <c r="AO29" t="s">
        <v>13808</v>
      </c>
      <c r="AT29" t="s">
        <v>14433</v>
      </c>
      <c r="AU29" t="s">
        <v>13808</v>
      </c>
      <c r="AZ29" t="s">
        <v>14434</v>
      </c>
      <c r="BA29" t="s">
        <v>13808</v>
      </c>
      <c r="BF29" t="s">
        <v>13883</v>
      </c>
      <c r="BG29" t="s">
        <v>13808</v>
      </c>
      <c r="BL29" t="s">
        <v>14435</v>
      </c>
      <c r="BM29" t="s">
        <v>13808</v>
      </c>
      <c r="BR29" t="s">
        <v>14436</v>
      </c>
      <c r="BS29" t="s">
        <v>13887</v>
      </c>
      <c r="BT29" t="s">
        <v>13808</v>
      </c>
      <c r="BU29" t="s">
        <v>14437</v>
      </c>
      <c r="BY29" t="s">
        <v>13887</v>
      </c>
      <c r="BZ29" t="s">
        <v>13808</v>
      </c>
      <c r="CA29" t="s">
        <v>14438</v>
      </c>
      <c r="CE29" t="s">
        <v>13885</v>
      </c>
      <c r="CF29" t="s">
        <v>13808</v>
      </c>
      <c r="CG29" t="s">
        <v>14173</v>
      </c>
      <c r="CL29" t="s">
        <v>13809</v>
      </c>
      <c r="CR29" t="s">
        <v>13809</v>
      </c>
      <c r="CT29" t="s">
        <v>14439</v>
      </c>
      <c r="CU29" t="s">
        <v>14440</v>
      </c>
      <c r="CV29" t="s">
        <v>13808</v>
      </c>
      <c r="DA29" t="s">
        <v>14441</v>
      </c>
      <c r="DB29" t="s">
        <v>13808</v>
      </c>
      <c r="DG29" t="s">
        <v>14442</v>
      </c>
      <c r="DH29" t="s">
        <v>13808</v>
      </c>
      <c r="DI29" t="s">
        <v>13893</v>
      </c>
      <c r="DJ29" t="s">
        <v>14443</v>
      </c>
      <c r="DK29" t="s">
        <v>13808</v>
      </c>
      <c r="DL29" t="s">
        <v>13895</v>
      </c>
      <c r="DM29" t="s">
        <v>14444</v>
      </c>
      <c r="DN29" t="s">
        <v>13808</v>
      </c>
      <c r="DY29" t="s">
        <v>13900</v>
      </c>
      <c r="DZ29" t="s">
        <v>14445</v>
      </c>
      <c r="EA29" t="s">
        <v>13922</v>
      </c>
      <c r="EC29">
        <v>43788</v>
      </c>
      <c r="ED29" t="s">
        <v>13903</v>
      </c>
      <c r="EE29" t="s">
        <v>6078</v>
      </c>
    </row>
    <row r="30" spans="1:135">
      <c r="A30" t="s">
        <v>9717</v>
      </c>
      <c r="B30" t="s">
        <v>1043</v>
      </c>
      <c r="C30" t="s">
        <v>14446</v>
      </c>
      <c r="D30" s="24">
        <v>44458</v>
      </c>
      <c r="E30" s="24" t="s">
        <v>13561</v>
      </c>
      <c r="F30" s="24" t="s">
        <v>14447</v>
      </c>
      <c r="G30" s="24" t="s">
        <v>13818</v>
      </c>
      <c r="H30" s="24" t="s">
        <v>14448</v>
      </c>
      <c r="I30" s="24" t="s">
        <v>13809</v>
      </c>
      <c r="J30" s="24"/>
      <c r="K30" s="24" t="s">
        <v>13809</v>
      </c>
      <c r="L30" s="24"/>
      <c r="M30" s="24" t="s">
        <v>14449</v>
      </c>
      <c r="N30" s="24" t="s">
        <v>13808</v>
      </c>
      <c r="O30" s="24"/>
      <c r="P30" s="24" t="s">
        <v>13808</v>
      </c>
      <c r="Q30" s="24"/>
      <c r="R30" s="24" t="s">
        <v>13808</v>
      </c>
      <c r="S30" s="24"/>
      <c r="T30" t="s">
        <v>14450</v>
      </c>
      <c r="U30" t="s">
        <v>13809</v>
      </c>
      <c r="W30" t="s">
        <v>13809</v>
      </c>
      <c r="Y30" t="s">
        <v>13809</v>
      </c>
      <c r="AA30" t="s">
        <v>14451</v>
      </c>
      <c r="AB30" t="s">
        <v>14452</v>
      </c>
      <c r="AC30" t="s">
        <v>13818</v>
      </c>
      <c r="AD30" t="s">
        <v>14415</v>
      </c>
      <c r="AH30" t="s">
        <v>13909</v>
      </c>
      <c r="AI30" t="s">
        <v>13818</v>
      </c>
      <c r="AJ30" t="s">
        <v>14415</v>
      </c>
      <c r="AN30" t="s">
        <v>14453</v>
      </c>
      <c r="AO30" t="s">
        <v>13818</v>
      </c>
      <c r="AP30" t="s">
        <v>14415</v>
      </c>
      <c r="AU30" t="s">
        <v>13809</v>
      </c>
      <c r="AZ30" t="s">
        <v>14454</v>
      </c>
      <c r="BA30" t="s">
        <v>13818</v>
      </c>
      <c r="BB30" t="s">
        <v>14415</v>
      </c>
      <c r="BF30" t="s">
        <v>14455</v>
      </c>
      <c r="BG30" t="s">
        <v>13818</v>
      </c>
      <c r="BH30" t="s">
        <v>14415</v>
      </c>
      <c r="BM30" t="s">
        <v>13809</v>
      </c>
      <c r="BR30" t="s">
        <v>14456</v>
      </c>
      <c r="BS30" t="s">
        <v>13887</v>
      </c>
      <c r="BT30" t="s">
        <v>13818</v>
      </c>
      <c r="BU30" t="s">
        <v>14457</v>
      </c>
      <c r="BY30" t="s">
        <v>14265</v>
      </c>
      <c r="BZ30" t="s">
        <v>13818</v>
      </c>
      <c r="CA30" t="s">
        <v>14458</v>
      </c>
      <c r="CF30" t="s">
        <v>13809</v>
      </c>
      <c r="CL30" t="s">
        <v>13809</v>
      </c>
      <c r="CR30" t="s">
        <v>13809</v>
      </c>
      <c r="CT30" t="s">
        <v>14459</v>
      </c>
      <c r="CU30" t="s">
        <v>13909</v>
      </c>
      <c r="CV30" t="s">
        <v>13818</v>
      </c>
      <c r="CW30" t="s">
        <v>14309</v>
      </c>
      <c r="DA30" t="s">
        <v>13909</v>
      </c>
      <c r="DB30" t="s">
        <v>13818</v>
      </c>
      <c r="DC30" t="s">
        <v>14309</v>
      </c>
      <c r="DG30" t="s">
        <v>13909</v>
      </c>
      <c r="DH30" t="s">
        <v>13818</v>
      </c>
      <c r="DI30" t="s">
        <v>14309</v>
      </c>
      <c r="DY30" t="s">
        <v>14460</v>
      </c>
      <c r="DZ30" t="s">
        <v>13970</v>
      </c>
      <c r="EA30" t="s">
        <v>14461</v>
      </c>
      <c r="EC30">
        <v>44537</v>
      </c>
      <c r="EE30" t="s">
        <v>13566</v>
      </c>
    </row>
    <row r="31" spans="1:135">
      <c r="A31" t="s">
        <v>9726</v>
      </c>
      <c r="B31" t="s">
        <v>1589</v>
      </c>
      <c r="C31" t="s">
        <v>14462</v>
      </c>
      <c r="D31" s="24">
        <v>44624</v>
      </c>
      <c r="E31" s="24" t="s">
        <v>13550</v>
      </c>
      <c r="F31" s="24" t="s">
        <v>14463</v>
      </c>
      <c r="G31" s="24" t="s">
        <v>13808</v>
      </c>
      <c r="H31" s="24"/>
      <c r="I31" s="24" t="s">
        <v>13809</v>
      </c>
      <c r="J31" s="24"/>
      <c r="K31" s="24" t="s">
        <v>13808</v>
      </c>
      <c r="L31" s="24"/>
      <c r="M31" s="24" t="s">
        <v>14304</v>
      </c>
      <c r="N31" s="24" t="s">
        <v>13818</v>
      </c>
      <c r="O31" s="24" t="s">
        <v>14464</v>
      </c>
      <c r="P31" s="24" t="s">
        <v>13808</v>
      </c>
      <c r="Q31" s="24"/>
      <c r="R31" s="24" t="s">
        <v>13808</v>
      </c>
      <c r="S31" s="24"/>
      <c r="T31" t="s">
        <v>14465</v>
      </c>
      <c r="U31" t="s">
        <v>13809</v>
      </c>
      <c r="W31" t="s">
        <v>13809</v>
      </c>
      <c r="Y31" t="s">
        <v>13809</v>
      </c>
      <c r="AA31" t="s">
        <v>14466</v>
      </c>
      <c r="AB31" t="s">
        <v>13699</v>
      </c>
      <c r="AC31" t="s">
        <v>13809</v>
      </c>
      <c r="AH31" t="s">
        <v>14467</v>
      </c>
      <c r="AI31" t="s">
        <v>13818</v>
      </c>
      <c r="AJ31" t="s">
        <v>14309</v>
      </c>
      <c r="AN31" t="s">
        <v>14468</v>
      </c>
      <c r="AO31" t="s">
        <v>13818</v>
      </c>
      <c r="AP31" t="s">
        <v>14309</v>
      </c>
      <c r="AT31" t="s">
        <v>14469</v>
      </c>
      <c r="AU31" t="s">
        <v>13818</v>
      </c>
      <c r="AV31" t="s">
        <v>14309</v>
      </c>
      <c r="AZ31" t="s">
        <v>14470</v>
      </c>
      <c r="BA31" t="s">
        <v>13818</v>
      </c>
      <c r="BB31" t="s">
        <v>14309</v>
      </c>
      <c r="BF31" t="s">
        <v>14471</v>
      </c>
      <c r="BG31" t="s">
        <v>13818</v>
      </c>
      <c r="BH31" t="s">
        <v>14309</v>
      </c>
      <c r="BL31" t="s">
        <v>14472</v>
      </c>
      <c r="BM31" t="s">
        <v>13818</v>
      </c>
      <c r="BN31" t="s">
        <v>14309</v>
      </c>
      <c r="BR31" t="s">
        <v>14473</v>
      </c>
      <c r="BS31" t="s">
        <v>13824</v>
      </c>
      <c r="BT31" t="s">
        <v>13818</v>
      </c>
      <c r="BU31" t="s">
        <v>14474</v>
      </c>
      <c r="BY31" t="s">
        <v>13826</v>
      </c>
      <c r="BZ31" t="s">
        <v>13808</v>
      </c>
      <c r="CA31" t="s">
        <v>14475</v>
      </c>
      <c r="CE31" t="s">
        <v>13828</v>
      </c>
      <c r="CF31" t="s">
        <v>13818</v>
      </c>
      <c r="CG31" t="s">
        <v>14309</v>
      </c>
      <c r="CK31" t="s">
        <v>13760</v>
      </c>
      <c r="CL31" t="s">
        <v>13809</v>
      </c>
      <c r="CQ31" t="s">
        <v>13766</v>
      </c>
      <c r="CR31" t="s">
        <v>13809</v>
      </c>
      <c r="CT31" t="s">
        <v>13830</v>
      </c>
      <c r="CU31" t="s">
        <v>14476</v>
      </c>
      <c r="CV31" t="s">
        <v>13818</v>
      </c>
      <c r="CW31" t="s">
        <v>14477</v>
      </c>
      <c r="DA31" t="s">
        <v>14478</v>
      </c>
      <c r="DB31" t="s">
        <v>13818</v>
      </c>
      <c r="DC31" t="s">
        <v>14479</v>
      </c>
      <c r="DG31" t="s">
        <v>14480</v>
      </c>
      <c r="DH31" t="s">
        <v>13818</v>
      </c>
      <c r="DI31" t="s">
        <v>14481</v>
      </c>
      <c r="DY31" t="s">
        <v>14482</v>
      </c>
      <c r="DZ31" t="s">
        <v>14483</v>
      </c>
      <c r="EA31" t="s">
        <v>13842</v>
      </c>
      <c r="EC31">
        <v>44630</v>
      </c>
      <c r="ED31" t="s">
        <v>14298</v>
      </c>
      <c r="EE31" t="s">
        <v>13567</v>
      </c>
    </row>
    <row r="32" spans="1:135">
      <c r="A32" t="s">
        <v>1813</v>
      </c>
      <c r="B32" t="s">
        <v>1808</v>
      </c>
      <c r="C32" t="s">
        <v>14484</v>
      </c>
      <c r="D32" s="24">
        <v>43670</v>
      </c>
      <c r="E32" s="24" t="s">
        <v>13553</v>
      </c>
      <c r="F32" s="24" t="s">
        <v>14485</v>
      </c>
      <c r="G32" s="24" t="s">
        <v>13808</v>
      </c>
      <c r="H32" s="24"/>
      <c r="I32" s="24" t="s">
        <v>13809</v>
      </c>
      <c r="J32" s="24"/>
      <c r="K32" s="24" t="s">
        <v>13808</v>
      </c>
      <c r="L32" s="24" t="s">
        <v>14486</v>
      </c>
      <c r="M32" s="24" t="s">
        <v>14487</v>
      </c>
      <c r="N32" s="24" t="s">
        <v>13808</v>
      </c>
      <c r="O32" s="24"/>
      <c r="P32" s="24" t="s">
        <v>13808</v>
      </c>
      <c r="Q32" s="24"/>
      <c r="R32" s="24" t="s">
        <v>13808</v>
      </c>
      <c r="S32" s="24"/>
      <c r="T32" t="s">
        <v>14016</v>
      </c>
      <c r="U32" t="s">
        <v>13808</v>
      </c>
      <c r="W32" t="s">
        <v>13808</v>
      </c>
      <c r="X32" t="s">
        <v>14488</v>
      </c>
      <c r="Y32" t="s">
        <v>13809</v>
      </c>
      <c r="AA32" t="s">
        <v>13877</v>
      </c>
      <c r="AB32" t="s">
        <v>14058</v>
      </c>
      <c r="AC32" t="s">
        <v>13808</v>
      </c>
      <c r="AH32" t="s">
        <v>13909</v>
      </c>
      <c r="AI32" t="s">
        <v>13808</v>
      </c>
      <c r="AO32" t="s">
        <v>13809</v>
      </c>
      <c r="AT32" t="s">
        <v>14489</v>
      </c>
      <c r="AU32" t="s">
        <v>13808</v>
      </c>
      <c r="AZ32" t="s">
        <v>14006</v>
      </c>
      <c r="BA32" t="s">
        <v>13808</v>
      </c>
      <c r="BF32" t="s">
        <v>14490</v>
      </c>
      <c r="BG32" t="s">
        <v>13808</v>
      </c>
      <c r="BM32" t="s">
        <v>13809</v>
      </c>
      <c r="BR32" t="s">
        <v>14491</v>
      </c>
      <c r="BS32" t="s">
        <v>13887</v>
      </c>
      <c r="BT32" t="s">
        <v>13808</v>
      </c>
      <c r="BU32" t="s">
        <v>14492</v>
      </c>
      <c r="BY32" t="s">
        <v>13887</v>
      </c>
      <c r="BZ32" t="s">
        <v>13808</v>
      </c>
      <c r="CA32" t="s">
        <v>14026</v>
      </c>
      <c r="CE32" t="s">
        <v>14197</v>
      </c>
      <c r="CF32" t="s">
        <v>13808</v>
      </c>
      <c r="CL32" t="s">
        <v>13809</v>
      </c>
      <c r="CR32" t="s">
        <v>13809</v>
      </c>
      <c r="CT32" t="s">
        <v>14493</v>
      </c>
      <c r="CU32" t="s">
        <v>14494</v>
      </c>
      <c r="CV32" t="s">
        <v>13897</v>
      </c>
      <c r="CW32" t="s">
        <v>14495</v>
      </c>
      <c r="DA32" t="s">
        <v>14496</v>
      </c>
      <c r="DB32" t="s">
        <v>13808</v>
      </c>
      <c r="DC32" t="s">
        <v>14497</v>
      </c>
      <c r="DH32" t="s">
        <v>13809</v>
      </c>
      <c r="DM32" t="s">
        <v>14498</v>
      </c>
      <c r="DN32" t="s">
        <v>13808</v>
      </c>
      <c r="DO32" t="s">
        <v>14499</v>
      </c>
      <c r="DY32" t="s">
        <v>13900</v>
      </c>
      <c r="DZ32" t="s">
        <v>13970</v>
      </c>
      <c r="EA32" t="s">
        <v>14500</v>
      </c>
      <c r="ED32" t="s">
        <v>14501</v>
      </c>
      <c r="EE32" t="s">
        <v>6335</v>
      </c>
    </row>
    <row r="33" spans="1:135">
      <c r="A33" t="s">
        <v>1171</v>
      </c>
      <c r="B33" t="s">
        <v>1155</v>
      </c>
      <c r="C33" t="s">
        <v>14502</v>
      </c>
      <c r="D33" s="24">
        <v>43080</v>
      </c>
      <c r="E33" s="24" t="s">
        <v>13557</v>
      </c>
      <c r="F33" s="24" t="s">
        <v>14503</v>
      </c>
      <c r="G33" s="24" t="s">
        <v>13808</v>
      </c>
      <c r="H33" s="24"/>
      <c r="I33" s="24" t="s">
        <v>13809</v>
      </c>
      <c r="J33" s="24"/>
      <c r="K33" s="24" t="s">
        <v>13808</v>
      </c>
      <c r="L33" s="24"/>
      <c r="M33" s="24" t="s">
        <v>14504</v>
      </c>
      <c r="N33" s="24" t="s">
        <v>13808</v>
      </c>
      <c r="O33" s="24"/>
      <c r="P33" s="24" t="s">
        <v>13808</v>
      </c>
      <c r="Q33" s="24"/>
      <c r="R33" s="24" t="s">
        <v>13808</v>
      </c>
      <c r="S33" s="24"/>
      <c r="T33" t="s">
        <v>14505</v>
      </c>
      <c r="U33" t="s">
        <v>13809</v>
      </c>
      <c r="W33" t="s">
        <v>13808</v>
      </c>
      <c r="X33" t="s">
        <v>14506</v>
      </c>
      <c r="Y33" t="s">
        <v>13809</v>
      </c>
      <c r="AA33" t="s">
        <v>14507</v>
      </c>
      <c r="AB33" t="s">
        <v>14508</v>
      </c>
      <c r="AC33" t="s">
        <v>13808</v>
      </c>
      <c r="AH33" t="s">
        <v>13909</v>
      </c>
      <c r="AI33" t="s">
        <v>13808</v>
      </c>
      <c r="AN33" t="s">
        <v>14509</v>
      </c>
      <c r="AO33" t="s">
        <v>13808</v>
      </c>
      <c r="AT33" t="s">
        <v>14510</v>
      </c>
      <c r="AU33" t="s">
        <v>13808</v>
      </c>
      <c r="AZ33" t="s">
        <v>14511</v>
      </c>
      <c r="BA33" t="s">
        <v>13808</v>
      </c>
      <c r="BF33" t="s">
        <v>14512</v>
      </c>
      <c r="BG33" t="s">
        <v>13808</v>
      </c>
      <c r="BL33" t="s">
        <v>14513</v>
      </c>
      <c r="BM33" t="s">
        <v>13808</v>
      </c>
      <c r="BR33" t="s">
        <v>14514</v>
      </c>
      <c r="BS33" t="s">
        <v>13885</v>
      </c>
      <c r="BT33" t="s">
        <v>13808</v>
      </c>
      <c r="BU33" t="s">
        <v>14515</v>
      </c>
      <c r="BY33" t="s">
        <v>13887</v>
      </c>
      <c r="BZ33" t="s">
        <v>13808</v>
      </c>
      <c r="CA33" t="s">
        <v>13937</v>
      </c>
      <c r="CE33" t="s">
        <v>13887</v>
      </c>
      <c r="CF33" t="s">
        <v>13808</v>
      </c>
      <c r="CL33" t="s">
        <v>13809</v>
      </c>
      <c r="CR33" t="s">
        <v>13809</v>
      </c>
      <c r="CT33" t="s">
        <v>14516</v>
      </c>
      <c r="CU33" t="s">
        <v>13909</v>
      </c>
      <c r="CV33" t="s">
        <v>13808</v>
      </c>
      <c r="DA33" t="s">
        <v>13909</v>
      </c>
      <c r="DB33" t="s">
        <v>13808</v>
      </c>
      <c r="DG33" t="s">
        <v>13909</v>
      </c>
      <c r="DH33" t="s">
        <v>13818</v>
      </c>
      <c r="DZ33" t="s">
        <v>14379</v>
      </c>
      <c r="EA33" t="s">
        <v>13971</v>
      </c>
      <c r="EB33" t="s">
        <v>14517</v>
      </c>
      <c r="EC33">
        <v>44103</v>
      </c>
      <c r="ED33" t="s">
        <v>13903</v>
      </c>
      <c r="EE33" t="s">
        <v>5590</v>
      </c>
    </row>
    <row r="34" spans="1:135">
      <c r="A34" t="s">
        <v>1695</v>
      </c>
      <c r="B34" t="s">
        <v>1683</v>
      </c>
      <c r="C34" t="s">
        <v>14518</v>
      </c>
      <c r="D34" s="24">
        <v>43151</v>
      </c>
      <c r="E34" s="24" t="s">
        <v>13565</v>
      </c>
      <c r="F34" s="24" t="s">
        <v>14519</v>
      </c>
      <c r="G34" s="24" t="s">
        <v>13808</v>
      </c>
      <c r="H34" s="24"/>
      <c r="I34" s="24" t="s">
        <v>13809</v>
      </c>
      <c r="J34" s="24"/>
      <c r="K34" s="24" t="s">
        <v>13809</v>
      </c>
      <c r="L34" s="24"/>
      <c r="M34" s="24" t="s">
        <v>14304</v>
      </c>
      <c r="N34" s="24" t="s">
        <v>13818</v>
      </c>
      <c r="O34" s="24" t="s">
        <v>14520</v>
      </c>
      <c r="P34" s="24" t="s">
        <v>13818</v>
      </c>
      <c r="Q34" s="24" t="s">
        <v>14520</v>
      </c>
      <c r="R34" s="24" t="s">
        <v>13808</v>
      </c>
      <c r="S34" s="24"/>
      <c r="T34" t="s">
        <v>13907</v>
      </c>
      <c r="U34" t="s">
        <v>13809</v>
      </c>
      <c r="W34" t="s">
        <v>13808</v>
      </c>
      <c r="X34" t="s">
        <v>14521</v>
      </c>
      <c r="Y34" t="s">
        <v>13809</v>
      </c>
      <c r="AA34" t="s">
        <v>13928</v>
      </c>
      <c r="AB34" t="s">
        <v>13850</v>
      </c>
      <c r="AC34" t="s">
        <v>13809</v>
      </c>
      <c r="AH34" t="s">
        <v>13851</v>
      </c>
      <c r="AI34" t="s">
        <v>13808</v>
      </c>
      <c r="AN34" t="s">
        <v>14522</v>
      </c>
      <c r="AO34" t="s">
        <v>13808</v>
      </c>
      <c r="AT34" t="s">
        <v>14523</v>
      </c>
      <c r="AU34" t="s">
        <v>13808</v>
      </c>
      <c r="AZ34" t="s">
        <v>14524</v>
      </c>
      <c r="BA34" t="s">
        <v>13808</v>
      </c>
      <c r="BF34" t="s">
        <v>14525</v>
      </c>
      <c r="BG34" t="s">
        <v>13808</v>
      </c>
      <c r="BL34" t="s">
        <v>14526</v>
      </c>
      <c r="BM34" t="s">
        <v>13808</v>
      </c>
      <c r="BR34" t="s">
        <v>14527</v>
      </c>
      <c r="BS34" t="s">
        <v>13824</v>
      </c>
      <c r="BT34" t="s">
        <v>13808</v>
      </c>
      <c r="BU34" t="s">
        <v>14528</v>
      </c>
      <c r="BY34" t="s">
        <v>13986</v>
      </c>
      <c r="BZ34" t="s">
        <v>13808</v>
      </c>
      <c r="CA34" t="s">
        <v>13861</v>
      </c>
      <c r="CE34" t="s">
        <v>13828</v>
      </c>
      <c r="CF34" t="s">
        <v>13808</v>
      </c>
      <c r="CK34" t="s">
        <v>14529</v>
      </c>
      <c r="CL34" t="s">
        <v>13808</v>
      </c>
      <c r="CQ34" t="s">
        <v>13766</v>
      </c>
      <c r="CR34" t="s">
        <v>13809</v>
      </c>
      <c r="CT34" t="s">
        <v>14530</v>
      </c>
      <c r="CU34" t="s">
        <v>14531</v>
      </c>
      <c r="CV34" t="s">
        <v>13818</v>
      </c>
      <c r="DA34" t="s">
        <v>14532</v>
      </c>
      <c r="DB34" t="s">
        <v>13808</v>
      </c>
      <c r="DE34" t="s">
        <v>13818</v>
      </c>
      <c r="DG34" t="s">
        <v>14533</v>
      </c>
      <c r="DH34" t="s">
        <v>13808</v>
      </c>
      <c r="DJ34" t="s">
        <v>14534</v>
      </c>
      <c r="DK34" t="s">
        <v>13818</v>
      </c>
      <c r="DM34" t="s">
        <v>14535</v>
      </c>
      <c r="DN34" t="s">
        <v>13818</v>
      </c>
      <c r="DZ34" t="s">
        <v>14536</v>
      </c>
      <c r="EA34" t="s">
        <v>14201</v>
      </c>
      <c r="EC34">
        <v>44622</v>
      </c>
      <c r="ED34" t="s">
        <v>13843</v>
      </c>
      <c r="EE34" t="s">
        <v>6208</v>
      </c>
    </row>
    <row r="35" spans="1:135">
      <c r="A35" t="s">
        <v>9748</v>
      </c>
      <c r="B35" t="s">
        <v>2174</v>
      </c>
      <c r="C35" t="s">
        <v>14537</v>
      </c>
      <c r="D35" s="24">
        <v>43216</v>
      </c>
      <c r="E35" s="24" t="s">
        <v>13550</v>
      </c>
      <c r="F35" s="24" t="s">
        <v>14538</v>
      </c>
      <c r="G35" s="24" t="s">
        <v>13808</v>
      </c>
      <c r="H35" s="24"/>
      <c r="I35" s="24" t="s">
        <v>13809</v>
      </c>
      <c r="J35" s="24"/>
      <c r="K35" s="24" t="s">
        <v>13808</v>
      </c>
      <c r="L35" s="24"/>
      <c r="M35" s="24" t="s">
        <v>14539</v>
      </c>
      <c r="N35" s="24" t="s">
        <v>13808</v>
      </c>
      <c r="O35" s="24"/>
      <c r="P35" s="24" t="s">
        <v>13808</v>
      </c>
      <c r="Q35" s="24"/>
      <c r="R35" s="24" t="s">
        <v>13808</v>
      </c>
      <c r="S35" s="24"/>
      <c r="T35" t="s">
        <v>14540</v>
      </c>
      <c r="U35" t="s">
        <v>13809</v>
      </c>
      <c r="W35" t="s">
        <v>13809</v>
      </c>
      <c r="Y35" t="s">
        <v>13809</v>
      </c>
      <c r="AA35" t="s">
        <v>14541</v>
      </c>
      <c r="AC35" t="s">
        <v>13809</v>
      </c>
      <c r="AH35" t="s">
        <v>13909</v>
      </c>
      <c r="AI35" t="s">
        <v>13818</v>
      </c>
      <c r="AN35" t="s">
        <v>14542</v>
      </c>
      <c r="AO35" t="s">
        <v>13818</v>
      </c>
      <c r="AT35" t="s">
        <v>14543</v>
      </c>
      <c r="AU35" t="s">
        <v>13818</v>
      </c>
      <c r="AZ35" t="s">
        <v>14170</v>
      </c>
      <c r="BA35" t="s">
        <v>13818</v>
      </c>
      <c r="BF35" t="s">
        <v>14544</v>
      </c>
      <c r="BG35" t="s">
        <v>13818</v>
      </c>
      <c r="BM35" t="s">
        <v>13809</v>
      </c>
      <c r="BR35" t="s">
        <v>14545</v>
      </c>
      <c r="BS35" t="s">
        <v>13887</v>
      </c>
      <c r="BT35" t="s">
        <v>13818</v>
      </c>
      <c r="BU35" t="s">
        <v>14291</v>
      </c>
      <c r="BY35" t="s">
        <v>14265</v>
      </c>
      <c r="BZ35" t="s">
        <v>13818</v>
      </c>
      <c r="CA35" t="s">
        <v>13937</v>
      </c>
      <c r="CE35" t="s">
        <v>14197</v>
      </c>
      <c r="CF35" t="s">
        <v>13818</v>
      </c>
      <c r="CL35" t="s">
        <v>13809</v>
      </c>
      <c r="CR35" t="s">
        <v>13809</v>
      </c>
      <c r="CT35" t="s">
        <v>14546</v>
      </c>
      <c r="CU35" t="s">
        <v>13909</v>
      </c>
      <c r="CV35" t="s">
        <v>13818</v>
      </c>
      <c r="DA35" t="s">
        <v>13909</v>
      </c>
      <c r="DB35" t="s">
        <v>13818</v>
      </c>
      <c r="DG35" t="s">
        <v>13909</v>
      </c>
      <c r="DH35" t="s">
        <v>13818</v>
      </c>
      <c r="DM35" t="s">
        <v>13887</v>
      </c>
      <c r="DN35" t="s">
        <v>13818</v>
      </c>
      <c r="DO35" t="s">
        <v>14547</v>
      </c>
      <c r="DZ35" t="s">
        <v>14548</v>
      </c>
      <c r="EA35" t="s">
        <v>14201</v>
      </c>
      <c r="EC35">
        <v>43480</v>
      </c>
      <c r="ED35" t="s">
        <v>13903</v>
      </c>
      <c r="EE35" t="s">
        <v>13568</v>
      </c>
    </row>
    <row r="36" spans="1:135">
      <c r="A36" t="s">
        <v>1390</v>
      </c>
      <c r="B36" t="s">
        <v>1375</v>
      </c>
      <c r="C36" t="s">
        <v>14549</v>
      </c>
      <c r="D36" s="24">
        <v>44750</v>
      </c>
      <c r="E36" s="24" t="s">
        <v>13559</v>
      </c>
      <c r="F36" s="24" t="s">
        <v>14550</v>
      </c>
      <c r="G36" s="24" t="s">
        <v>13808</v>
      </c>
      <c r="H36" s="24"/>
      <c r="I36" s="24" t="s">
        <v>13809</v>
      </c>
      <c r="J36" s="24"/>
      <c r="K36" s="24" t="s">
        <v>13808</v>
      </c>
      <c r="L36" s="24"/>
      <c r="M36" s="24" t="s">
        <v>14304</v>
      </c>
      <c r="N36" s="24" t="s">
        <v>13808</v>
      </c>
      <c r="O36" s="24"/>
      <c r="P36" s="24" t="s">
        <v>13808</v>
      </c>
      <c r="Q36" s="24"/>
      <c r="R36" s="24" t="s">
        <v>13818</v>
      </c>
      <c r="S36" s="24"/>
      <c r="T36" t="s">
        <v>14071</v>
      </c>
      <c r="U36" t="s">
        <v>13809</v>
      </c>
      <c r="W36" t="s">
        <v>13809</v>
      </c>
      <c r="Y36" t="s">
        <v>13809</v>
      </c>
      <c r="AA36" t="s">
        <v>14551</v>
      </c>
      <c r="AB36" t="s">
        <v>14552</v>
      </c>
      <c r="AC36" t="s">
        <v>13818</v>
      </c>
      <c r="AH36" t="s">
        <v>14073</v>
      </c>
      <c r="AI36" t="s">
        <v>13808</v>
      </c>
      <c r="AK36" t="s">
        <v>14553</v>
      </c>
      <c r="AL36" t="s">
        <v>13818</v>
      </c>
      <c r="AN36" t="s">
        <v>14554</v>
      </c>
      <c r="AO36" t="s">
        <v>13818</v>
      </c>
      <c r="AT36" t="s">
        <v>14555</v>
      </c>
      <c r="AU36" t="s">
        <v>13818</v>
      </c>
      <c r="AZ36" t="s">
        <v>14556</v>
      </c>
      <c r="BA36" t="s">
        <v>13808</v>
      </c>
      <c r="BC36" t="s">
        <v>14557</v>
      </c>
      <c r="BD36" t="s">
        <v>13818</v>
      </c>
      <c r="BF36" t="s">
        <v>14558</v>
      </c>
      <c r="BG36" t="s">
        <v>13808</v>
      </c>
      <c r="BI36" t="s">
        <v>14559</v>
      </c>
      <c r="BJ36" t="s">
        <v>13818</v>
      </c>
      <c r="BL36" t="s">
        <v>13735</v>
      </c>
      <c r="BM36" t="s">
        <v>13809</v>
      </c>
      <c r="BR36" t="s">
        <v>14560</v>
      </c>
      <c r="BS36" t="s">
        <v>13824</v>
      </c>
      <c r="BT36" t="s">
        <v>13808</v>
      </c>
      <c r="BU36" t="s">
        <v>14147</v>
      </c>
      <c r="BY36" t="s">
        <v>13860</v>
      </c>
      <c r="BZ36" t="s">
        <v>13808</v>
      </c>
      <c r="CA36" t="s">
        <v>13937</v>
      </c>
      <c r="CE36" t="s">
        <v>13828</v>
      </c>
      <c r="CF36" t="s">
        <v>13808</v>
      </c>
      <c r="CK36" t="s">
        <v>13760</v>
      </c>
      <c r="CL36" t="s">
        <v>13809</v>
      </c>
      <c r="CQ36" t="s">
        <v>13766</v>
      </c>
      <c r="CR36" t="s">
        <v>13809</v>
      </c>
      <c r="CT36" t="s">
        <v>14561</v>
      </c>
      <c r="DG36" t="s">
        <v>14562</v>
      </c>
      <c r="DH36" t="s">
        <v>14563</v>
      </c>
      <c r="DI36" t="s">
        <v>14564</v>
      </c>
      <c r="DY36" t="s">
        <v>13900</v>
      </c>
      <c r="DZ36" t="s">
        <v>14565</v>
      </c>
      <c r="EA36" t="s">
        <v>13996</v>
      </c>
      <c r="EC36">
        <v>44754</v>
      </c>
      <c r="ED36" t="s">
        <v>14298</v>
      </c>
      <c r="EE36" t="s">
        <v>5858</v>
      </c>
    </row>
    <row r="37" spans="1:135">
      <c r="A37" t="s">
        <v>1181</v>
      </c>
      <c r="B37" t="s">
        <v>1155</v>
      </c>
      <c r="C37" t="s">
        <v>14566</v>
      </c>
      <c r="D37" s="24">
        <v>44722</v>
      </c>
      <c r="E37" s="24" t="s">
        <v>13563</v>
      </c>
      <c r="F37" s="24" t="s">
        <v>14567</v>
      </c>
      <c r="G37" s="24" t="s">
        <v>13808</v>
      </c>
      <c r="H37" s="24"/>
      <c r="I37" s="24" t="s">
        <v>13809</v>
      </c>
      <c r="J37" s="24"/>
      <c r="K37" s="24" t="s">
        <v>13809</v>
      </c>
      <c r="L37" s="24"/>
      <c r="M37" s="24" t="s">
        <v>14568</v>
      </c>
      <c r="N37" s="24" t="s">
        <v>13808</v>
      </c>
      <c r="O37" s="24"/>
      <c r="P37" s="24" t="s">
        <v>13808</v>
      </c>
      <c r="Q37" s="24"/>
      <c r="R37" s="24" t="s">
        <v>13818</v>
      </c>
      <c r="S37" s="24" t="s">
        <v>14569</v>
      </c>
      <c r="T37" t="s">
        <v>14071</v>
      </c>
      <c r="U37" t="s">
        <v>13809</v>
      </c>
      <c r="W37" t="s">
        <v>13809</v>
      </c>
      <c r="Y37" t="s">
        <v>13809</v>
      </c>
      <c r="AA37" t="s">
        <v>14570</v>
      </c>
      <c r="AB37" t="s">
        <v>14571</v>
      </c>
      <c r="AC37" t="s">
        <v>13808</v>
      </c>
      <c r="AE37" t="s">
        <v>14572</v>
      </c>
      <c r="AF37" t="s">
        <v>13818</v>
      </c>
      <c r="AG37" t="s">
        <v>14309</v>
      </c>
      <c r="AH37" t="s">
        <v>14073</v>
      </c>
      <c r="AI37" t="s">
        <v>13808</v>
      </c>
      <c r="AK37" t="s">
        <v>14573</v>
      </c>
      <c r="AL37" t="s">
        <v>13818</v>
      </c>
      <c r="AM37" t="s">
        <v>14309</v>
      </c>
      <c r="AN37" t="s">
        <v>14574</v>
      </c>
      <c r="AO37" t="s">
        <v>13818</v>
      </c>
      <c r="AP37" t="s">
        <v>14309</v>
      </c>
      <c r="AT37" t="s">
        <v>14575</v>
      </c>
      <c r="AU37" t="s">
        <v>13818</v>
      </c>
      <c r="AV37" t="s">
        <v>14309</v>
      </c>
      <c r="AZ37" t="s">
        <v>14576</v>
      </c>
      <c r="BA37" t="s">
        <v>13808</v>
      </c>
      <c r="BF37" t="s">
        <v>14577</v>
      </c>
      <c r="BG37" t="s">
        <v>13808</v>
      </c>
      <c r="BL37" t="s">
        <v>13735</v>
      </c>
      <c r="BM37" t="s">
        <v>13809</v>
      </c>
      <c r="BR37" t="s">
        <v>14578</v>
      </c>
      <c r="BS37" t="s">
        <v>13824</v>
      </c>
      <c r="BT37" t="s">
        <v>13808</v>
      </c>
      <c r="BU37" t="s">
        <v>14579</v>
      </c>
      <c r="BY37" t="s">
        <v>13860</v>
      </c>
      <c r="BZ37" t="s">
        <v>13808</v>
      </c>
      <c r="CA37" t="s">
        <v>14580</v>
      </c>
      <c r="CE37" t="s">
        <v>13754</v>
      </c>
      <c r="CF37" t="s">
        <v>13809</v>
      </c>
      <c r="CK37" t="s">
        <v>14581</v>
      </c>
      <c r="CL37" t="s">
        <v>13808</v>
      </c>
      <c r="CM37" t="s">
        <v>14582</v>
      </c>
      <c r="CQ37" t="s">
        <v>13766</v>
      </c>
      <c r="CR37" t="s">
        <v>13809</v>
      </c>
      <c r="CT37" t="s">
        <v>14583</v>
      </c>
      <c r="CU37" t="s">
        <v>14584</v>
      </c>
      <c r="CV37" t="s">
        <v>13808</v>
      </c>
      <c r="CW37" t="s">
        <v>14585</v>
      </c>
      <c r="CX37" t="s">
        <v>14586</v>
      </c>
      <c r="CY37" t="s">
        <v>13818</v>
      </c>
      <c r="DA37" t="s">
        <v>14587</v>
      </c>
      <c r="DB37" t="s">
        <v>13808</v>
      </c>
      <c r="DC37" t="s">
        <v>14585</v>
      </c>
      <c r="DD37" t="s">
        <v>14588</v>
      </c>
      <c r="DE37" t="s">
        <v>13818</v>
      </c>
      <c r="DG37" t="s">
        <v>14589</v>
      </c>
      <c r="DH37" t="s">
        <v>13818</v>
      </c>
      <c r="DY37" t="s">
        <v>13840</v>
      </c>
      <c r="DZ37" t="s">
        <v>13841</v>
      </c>
      <c r="EA37" t="s">
        <v>13842</v>
      </c>
      <c r="EC37">
        <v>44725</v>
      </c>
      <c r="ED37" t="s">
        <v>14590</v>
      </c>
      <c r="EE37" t="s">
        <v>5597</v>
      </c>
    </row>
    <row r="38" spans="1:135">
      <c r="A38" t="s">
        <v>9768</v>
      </c>
      <c r="B38" t="s">
        <v>1043</v>
      </c>
      <c r="C38" t="s">
        <v>14591</v>
      </c>
      <c r="D38" s="24">
        <v>44406</v>
      </c>
      <c r="E38" s="24" t="s">
        <v>13550</v>
      </c>
      <c r="F38" s="24" t="s">
        <v>14592</v>
      </c>
      <c r="G38" s="24" t="s">
        <v>13808</v>
      </c>
      <c r="H38" s="24"/>
      <c r="I38" s="24" t="s">
        <v>13809</v>
      </c>
      <c r="J38" s="24"/>
      <c r="K38" s="24" t="s">
        <v>13809</v>
      </c>
      <c r="L38" s="24"/>
      <c r="M38" s="24" t="s">
        <v>13811</v>
      </c>
      <c r="N38" s="24" t="s">
        <v>13808</v>
      </c>
      <c r="O38" s="24"/>
      <c r="P38" s="24" t="s">
        <v>13808</v>
      </c>
      <c r="Q38" s="24"/>
      <c r="R38" s="24" t="s">
        <v>13808</v>
      </c>
      <c r="S38" s="24"/>
      <c r="T38" t="s">
        <v>13875</v>
      </c>
      <c r="U38" t="s">
        <v>13809</v>
      </c>
      <c r="W38" t="s">
        <v>13808</v>
      </c>
      <c r="X38" t="s">
        <v>14593</v>
      </c>
      <c r="Y38" t="s">
        <v>13809</v>
      </c>
      <c r="AA38" t="s">
        <v>14594</v>
      </c>
      <c r="AB38" t="s">
        <v>14595</v>
      </c>
      <c r="AC38" t="s">
        <v>13808</v>
      </c>
      <c r="AH38" t="s">
        <v>13909</v>
      </c>
      <c r="AI38" t="s">
        <v>13808</v>
      </c>
      <c r="AN38" t="s">
        <v>14596</v>
      </c>
      <c r="AO38" t="s">
        <v>13808</v>
      </c>
      <c r="AT38" t="s">
        <v>13880</v>
      </c>
      <c r="AU38" t="s">
        <v>13808</v>
      </c>
      <c r="AZ38" t="s">
        <v>14597</v>
      </c>
      <c r="BA38" t="s">
        <v>13808</v>
      </c>
      <c r="BF38" t="s">
        <v>14598</v>
      </c>
      <c r="BG38" t="s">
        <v>13808</v>
      </c>
      <c r="BM38" t="s">
        <v>13809</v>
      </c>
      <c r="BR38" t="s">
        <v>14599</v>
      </c>
      <c r="BS38" t="s">
        <v>13887</v>
      </c>
      <c r="BT38" t="s">
        <v>13808</v>
      </c>
      <c r="BU38" t="s">
        <v>14600</v>
      </c>
      <c r="BY38" t="s">
        <v>13887</v>
      </c>
      <c r="BZ38" t="s">
        <v>13808</v>
      </c>
      <c r="CA38" t="s">
        <v>13937</v>
      </c>
      <c r="CE38" t="s">
        <v>13887</v>
      </c>
      <c r="CF38" t="s">
        <v>13818</v>
      </c>
      <c r="CG38" t="s">
        <v>14601</v>
      </c>
      <c r="CL38" t="s">
        <v>13809</v>
      </c>
      <c r="CR38" t="s">
        <v>13809</v>
      </c>
      <c r="CT38" t="s">
        <v>14602</v>
      </c>
      <c r="CU38" t="s">
        <v>14603</v>
      </c>
      <c r="CV38" t="s">
        <v>13818</v>
      </c>
      <c r="DA38" t="s">
        <v>14604</v>
      </c>
      <c r="DB38" t="s">
        <v>13818</v>
      </c>
      <c r="DG38" t="s">
        <v>14605</v>
      </c>
      <c r="DH38" t="s">
        <v>13818</v>
      </c>
      <c r="DY38" t="s">
        <v>14606</v>
      </c>
      <c r="DZ38" t="s">
        <v>14607</v>
      </c>
      <c r="EA38" t="s">
        <v>14275</v>
      </c>
      <c r="ED38" t="s">
        <v>14608</v>
      </c>
      <c r="EE38" t="s">
        <v>13569</v>
      </c>
    </row>
    <row r="39" spans="1:135">
      <c r="A39" t="s">
        <v>1263</v>
      </c>
      <c r="B39" t="s">
        <v>1246</v>
      </c>
      <c r="C39" t="s">
        <v>14609</v>
      </c>
      <c r="D39" s="24">
        <v>43075</v>
      </c>
      <c r="E39" s="24" t="s">
        <v>13555</v>
      </c>
      <c r="F39" s="24" t="s">
        <v>14610</v>
      </c>
      <c r="G39" s="24" t="s">
        <v>13808</v>
      </c>
      <c r="H39" s="24"/>
      <c r="I39" s="24" t="s">
        <v>13809</v>
      </c>
      <c r="J39" s="24"/>
      <c r="K39" s="24" t="s">
        <v>13808</v>
      </c>
      <c r="L39" s="24"/>
      <c r="M39" s="24" t="s">
        <v>14611</v>
      </c>
      <c r="N39" s="24" t="s">
        <v>13808</v>
      </c>
      <c r="O39" s="24"/>
      <c r="P39" s="24" t="s">
        <v>13808</v>
      </c>
      <c r="Q39" s="24"/>
      <c r="R39" s="24" t="s">
        <v>13808</v>
      </c>
      <c r="S39" s="24"/>
      <c r="T39" t="s">
        <v>14612</v>
      </c>
      <c r="U39" t="s">
        <v>13809</v>
      </c>
      <c r="W39" t="s">
        <v>13808</v>
      </c>
      <c r="X39" t="s">
        <v>14613</v>
      </c>
      <c r="Y39" t="s">
        <v>13809</v>
      </c>
      <c r="AA39" t="s">
        <v>14614</v>
      </c>
      <c r="AB39" t="s">
        <v>14615</v>
      </c>
      <c r="AC39" t="s">
        <v>13808</v>
      </c>
      <c r="AH39" t="s">
        <v>13909</v>
      </c>
      <c r="AI39" t="s">
        <v>13808</v>
      </c>
      <c r="AN39" t="s">
        <v>14616</v>
      </c>
      <c r="AO39" t="s">
        <v>13808</v>
      </c>
      <c r="AT39" t="s">
        <v>14617</v>
      </c>
      <c r="AU39" t="s">
        <v>13808</v>
      </c>
      <c r="AZ39" t="s">
        <v>14618</v>
      </c>
      <c r="BA39" t="s">
        <v>13808</v>
      </c>
      <c r="BF39" t="s">
        <v>14619</v>
      </c>
      <c r="BG39" t="s">
        <v>13808</v>
      </c>
      <c r="BL39" t="s">
        <v>14620</v>
      </c>
      <c r="BM39" t="s">
        <v>13808</v>
      </c>
      <c r="BR39" t="s">
        <v>14621</v>
      </c>
      <c r="BS39" t="s">
        <v>13887</v>
      </c>
      <c r="BT39" t="s">
        <v>13808</v>
      </c>
      <c r="BU39" t="s">
        <v>14515</v>
      </c>
      <c r="BY39" t="s">
        <v>14265</v>
      </c>
      <c r="BZ39" t="s">
        <v>13818</v>
      </c>
      <c r="CA39" t="s">
        <v>14622</v>
      </c>
      <c r="CE39" t="s">
        <v>13887</v>
      </c>
      <c r="CF39" t="s">
        <v>13808</v>
      </c>
      <c r="CL39" t="s">
        <v>13809</v>
      </c>
      <c r="CR39" t="s">
        <v>13809</v>
      </c>
      <c r="CT39" t="s">
        <v>14623</v>
      </c>
      <c r="CU39" t="s">
        <v>14624</v>
      </c>
      <c r="CV39" t="s">
        <v>13808</v>
      </c>
      <c r="CX39" t="s">
        <v>14625</v>
      </c>
      <c r="CY39" t="s">
        <v>13818</v>
      </c>
      <c r="DA39" t="s">
        <v>13909</v>
      </c>
      <c r="DB39" t="s">
        <v>13808</v>
      </c>
      <c r="DG39" t="s">
        <v>13909</v>
      </c>
      <c r="DH39" t="s">
        <v>13818</v>
      </c>
      <c r="DI39" t="s">
        <v>13966</v>
      </c>
      <c r="DJ39" t="s">
        <v>13887</v>
      </c>
      <c r="DK39" t="s">
        <v>13808</v>
      </c>
      <c r="DL39" t="s">
        <v>13968</v>
      </c>
      <c r="DZ39" t="s">
        <v>14626</v>
      </c>
      <c r="EA39" t="s">
        <v>14627</v>
      </c>
      <c r="EC39">
        <v>43480</v>
      </c>
      <c r="ED39" t="s">
        <v>13903</v>
      </c>
      <c r="EE39" t="s">
        <v>5699</v>
      </c>
    </row>
    <row r="40" spans="1:135">
      <c r="A40" t="s">
        <v>1921</v>
      </c>
      <c r="B40" t="s">
        <v>1920</v>
      </c>
      <c r="C40" t="s">
        <v>14628</v>
      </c>
      <c r="D40" s="24">
        <v>44763</v>
      </c>
      <c r="E40" s="24" t="s">
        <v>13555</v>
      </c>
      <c r="F40" s="24" t="s">
        <v>14629</v>
      </c>
      <c r="G40" s="24" t="s">
        <v>13808</v>
      </c>
      <c r="H40" s="24"/>
      <c r="I40" s="24" t="s">
        <v>13809</v>
      </c>
      <c r="J40" s="24"/>
      <c r="K40" s="24" t="s">
        <v>13808</v>
      </c>
      <c r="L40" s="24" t="s">
        <v>14630</v>
      </c>
      <c r="M40" s="24" t="s">
        <v>14631</v>
      </c>
      <c r="N40" s="24" t="s">
        <v>13808</v>
      </c>
      <c r="O40" s="24"/>
      <c r="P40" s="24" t="s">
        <v>13808</v>
      </c>
      <c r="Q40" s="24"/>
      <c r="R40" s="24" t="s">
        <v>13808</v>
      </c>
      <c r="S40" s="24"/>
      <c r="T40" t="s">
        <v>14632</v>
      </c>
      <c r="U40" t="s">
        <v>13808</v>
      </c>
      <c r="V40" t="s">
        <v>14633</v>
      </c>
      <c r="W40" t="s">
        <v>13808</v>
      </c>
      <c r="X40" t="s">
        <v>14634</v>
      </c>
      <c r="Y40" t="s">
        <v>13808</v>
      </c>
      <c r="AA40" t="s">
        <v>14635</v>
      </c>
      <c r="AB40" t="s">
        <v>13699</v>
      </c>
      <c r="AC40" t="s">
        <v>13809</v>
      </c>
      <c r="AH40" t="s">
        <v>13851</v>
      </c>
      <c r="AI40" t="s">
        <v>13808</v>
      </c>
      <c r="AN40" t="s">
        <v>14636</v>
      </c>
      <c r="AO40" t="s">
        <v>13808</v>
      </c>
      <c r="AT40" t="s">
        <v>14637</v>
      </c>
      <c r="AU40" t="s">
        <v>13808</v>
      </c>
      <c r="AZ40" t="s">
        <v>14638</v>
      </c>
      <c r="BA40" t="s">
        <v>13808</v>
      </c>
      <c r="BF40" t="s">
        <v>14639</v>
      </c>
      <c r="BG40" t="s">
        <v>13808</v>
      </c>
      <c r="BL40" t="s">
        <v>13735</v>
      </c>
      <c r="BM40" t="s">
        <v>13809</v>
      </c>
      <c r="BR40" t="s">
        <v>14640</v>
      </c>
      <c r="BS40" t="s">
        <v>13824</v>
      </c>
      <c r="BT40" t="s">
        <v>13808</v>
      </c>
      <c r="BU40" t="s">
        <v>14641</v>
      </c>
      <c r="BY40" t="s">
        <v>13860</v>
      </c>
      <c r="BZ40" t="s">
        <v>13808</v>
      </c>
      <c r="CA40" t="s">
        <v>13937</v>
      </c>
      <c r="CE40" t="s">
        <v>13828</v>
      </c>
      <c r="CF40" t="s">
        <v>13808</v>
      </c>
      <c r="CK40" t="s">
        <v>13760</v>
      </c>
      <c r="CL40" t="s">
        <v>13809</v>
      </c>
      <c r="CQ40" t="s">
        <v>13766</v>
      </c>
      <c r="CR40" t="s">
        <v>13809</v>
      </c>
      <c r="CT40" t="s">
        <v>14642</v>
      </c>
      <c r="DY40" t="s">
        <v>13840</v>
      </c>
      <c r="DZ40" t="s">
        <v>14643</v>
      </c>
      <c r="EA40" t="s">
        <v>14644</v>
      </c>
      <c r="EB40" t="s">
        <v>14645</v>
      </c>
      <c r="EC40">
        <v>44770</v>
      </c>
      <c r="ED40" t="s">
        <v>14590</v>
      </c>
      <c r="EE40" t="s">
        <v>6479</v>
      </c>
    </row>
    <row r="41" spans="1:135">
      <c r="A41" t="s">
        <v>1462</v>
      </c>
      <c r="B41" t="s">
        <v>1442</v>
      </c>
      <c r="C41" t="s">
        <v>14646</v>
      </c>
      <c r="D41" s="24">
        <v>43676</v>
      </c>
      <c r="E41" s="24" t="s">
        <v>13558</v>
      </c>
      <c r="F41" s="24" t="s">
        <v>14647</v>
      </c>
      <c r="G41" s="24" t="s">
        <v>13808</v>
      </c>
      <c r="H41" s="24"/>
      <c r="I41" s="24" t="s">
        <v>13809</v>
      </c>
      <c r="J41" s="24"/>
      <c r="K41" s="24" t="s">
        <v>13808</v>
      </c>
      <c r="L41" s="24"/>
      <c r="M41" s="24" t="s">
        <v>14136</v>
      </c>
      <c r="N41" s="24" t="s">
        <v>13808</v>
      </c>
      <c r="O41" s="24"/>
      <c r="P41" s="24" t="s">
        <v>13808</v>
      </c>
      <c r="Q41" s="24"/>
      <c r="R41" s="24" t="s">
        <v>13808</v>
      </c>
      <c r="S41" s="24"/>
      <c r="T41" t="s">
        <v>14648</v>
      </c>
      <c r="U41" t="s">
        <v>13809</v>
      </c>
      <c r="W41" t="s">
        <v>13809</v>
      </c>
      <c r="Y41" t="s">
        <v>13809</v>
      </c>
      <c r="AA41" t="s">
        <v>14649</v>
      </c>
      <c r="AB41" t="s">
        <v>13850</v>
      </c>
      <c r="AC41" t="s">
        <v>13809</v>
      </c>
      <c r="AH41" t="s">
        <v>13816</v>
      </c>
      <c r="AI41" t="s">
        <v>13808</v>
      </c>
      <c r="AK41" t="s">
        <v>14650</v>
      </c>
      <c r="AL41" t="s">
        <v>13818</v>
      </c>
      <c r="AM41" t="s">
        <v>14651</v>
      </c>
      <c r="AN41" t="s">
        <v>14652</v>
      </c>
      <c r="AO41" t="s">
        <v>13818</v>
      </c>
      <c r="AP41" t="s">
        <v>14651</v>
      </c>
      <c r="AT41" t="s">
        <v>14653</v>
      </c>
      <c r="AU41" t="s">
        <v>13818</v>
      </c>
      <c r="AV41" t="s">
        <v>14651</v>
      </c>
      <c r="AZ41" t="s">
        <v>14654</v>
      </c>
      <c r="BA41" t="s">
        <v>13818</v>
      </c>
      <c r="BB41" t="s">
        <v>14651</v>
      </c>
      <c r="BF41" t="s">
        <v>14655</v>
      </c>
      <c r="BG41" t="s">
        <v>13818</v>
      </c>
      <c r="BH41" t="s">
        <v>14651</v>
      </c>
      <c r="BL41" t="s">
        <v>13934</v>
      </c>
      <c r="BM41" t="s">
        <v>13809</v>
      </c>
      <c r="BR41" t="s">
        <v>14656</v>
      </c>
      <c r="BS41" t="s">
        <v>13824</v>
      </c>
      <c r="BT41" t="s">
        <v>13818</v>
      </c>
      <c r="BU41" t="s">
        <v>14657</v>
      </c>
      <c r="BY41" t="s">
        <v>14337</v>
      </c>
      <c r="BZ41" t="s">
        <v>13808</v>
      </c>
      <c r="CA41" t="s">
        <v>13937</v>
      </c>
      <c r="CE41" t="s">
        <v>13828</v>
      </c>
      <c r="CF41" t="s">
        <v>13818</v>
      </c>
      <c r="CG41" t="s">
        <v>14309</v>
      </c>
      <c r="CK41" t="s">
        <v>13760</v>
      </c>
      <c r="CL41" t="s">
        <v>13809</v>
      </c>
      <c r="CQ41" t="s">
        <v>13766</v>
      </c>
      <c r="CR41" t="s">
        <v>13809</v>
      </c>
      <c r="CT41" t="s">
        <v>14658</v>
      </c>
      <c r="CU41" t="s">
        <v>14659</v>
      </c>
      <c r="CV41" t="s">
        <v>13818</v>
      </c>
      <c r="CW41" t="s">
        <v>14660</v>
      </c>
      <c r="CX41" t="s">
        <v>14661</v>
      </c>
      <c r="CY41" t="s">
        <v>13818</v>
      </c>
      <c r="DA41" t="s">
        <v>14662</v>
      </c>
      <c r="DB41" t="s">
        <v>13818</v>
      </c>
      <c r="DC41" t="s">
        <v>14660</v>
      </c>
      <c r="DD41" t="s">
        <v>14663</v>
      </c>
      <c r="DE41" t="s">
        <v>13818</v>
      </c>
      <c r="DY41" t="s">
        <v>14664</v>
      </c>
      <c r="DZ41" t="s">
        <v>14665</v>
      </c>
      <c r="EA41" t="s">
        <v>14666</v>
      </c>
      <c r="EC41">
        <v>44678</v>
      </c>
      <c r="ED41" t="s">
        <v>14667</v>
      </c>
      <c r="EE41" t="s">
        <v>5927</v>
      </c>
    </row>
    <row r="42" spans="1:135">
      <c r="A42" t="s">
        <v>9795</v>
      </c>
      <c r="B42" t="s">
        <v>1043</v>
      </c>
      <c r="C42" t="s">
        <v>14668</v>
      </c>
      <c r="D42" s="24">
        <v>44519</v>
      </c>
      <c r="E42" s="24" t="s">
        <v>13550</v>
      </c>
      <c r="F42" s="24" t="s">
        <v>14669</v>
      </c>
      <c r="G42" s="24" t="s">
        <v>13808</v>
      </c>
      <c r="H42" s="24"/>
      <c r="I42" s="24" t="s">
        <v>13809</v>
      </c>
      <c r="J42" s="24"/>
      <c r="K42" s="24" t="s">
        <v>13809</v>
      </c>
      <c r="L42" s="24"/>
      <c r="M42" s="24" t="s">
        <v>14670</v>
      </c>
      <c r="N42" s="24" t="s">
        <v>13808</v>
      </c>
      <c r="O42" s="24"/>
      <c r="P42" s="24" t="s">
        <v>13808</v>
      </c>
      <c r="Q42" s="24"/>
      <c r="R42" s="24" t="s">
        <v>13818</v>
      </c>
      <c r="S42" s="24" t="s">
        <v>14671</v>
      </c>
      <c r="T42" t="s">
        <v>14450</v>
      </c>
      <c r="U42" t="s">
        <v>13809</v>
      </c>
      <c r="W42" t="s">
        <v>13809</v>
      </c>
      <c r="Y42" t="s">
        <v>13809</v>
      </c>
      <c r="AA42" t="s">
        <v>14672</v>
      </c>
      <c r="AC42" t="s">
        <v>13809</v>
      </c>
      <c r="AH42" t="s">
        <v>14265</v>
      </c>
      <c r="AI42" t="s">
        <v>13808</v>
      </c>
      <c r="AK42" t="s">
        <v>14673</v>
      </c>
      <c r="AL42" t="s">
        <v>13818</v>
      </c>
      <c r="AM42" t="s">
        <v>14309</v>
      </c>
      <c r="AN42" t="s">
        <v>14674</v>
      </c>
      <c r="AO42" t="s">
        <v>13818</v>
      </c>
      <c r="AP42" t="s">
        <v>14415</v>
      </c>
      <c r="AT42" t="s">
        <v>14260</v>
      </c>
      <c r="AU42" t="s">
        <v>13818</v>
      </c>
      <c r="AV42" t="s">
        <v>14415</v>
      </c>
      <c r="AZ42" t="s">
        <v>14675</v>
      </c>
      <c r="BA42" t="s">
        <v>13818</v>
      </c>
      <c r="BB42" t="s">
        <v>14415</v>
      </c>
      <c r="BF42" t="s">
        <v>14676</v>
      </c>
      <c r="BG42" t="s">
        <v>13818</v>
      </c>
      <c r="BH42" t="s">
        <v>14415</v>
      </c>
      <c r="BM42" t="s">
        <v>13809</v>
      </c>
      <c r="BR42" t="s">
        <v>14677</v>
      </c>
      <c r="BS42" t="s">
        <v>13887</v>
      </c>
      <c r="BT42" t="s">
        <v>13818</v>
      </c>
      <c r="BU42" t="s">
        <v>14457</v>
      </c>
      <c r="BY42" t="s">
        <v>14265</v>
      </c>
      <c r="BZ42" t="s">
        <v>13818</v>
      </c>
      <c r="CA42" t="s">
        <v>14678</v>
      </c>
      <c r="CE42" t="s">
        <v>14265</v>
      </c>
      <c r="CF42" t="s">
        <v>13808</v>
      </c>
      <c r="CL42" t="s">
        <v>13809</v>
      </c>
      <c r="CR42" t="s">
        <v>13809</v>
      </c>
      <c r="CT42" t="s">
        <v>14459</v>
      </c>
      <c r="CU42" t="s">
        <v>13909</v>
      </c>
      <c r="CV42" t="s">
        <v>13818</v>
      </c>
      <c r="CW42" t="s">
        <v>14309</v>
      </c>
      <c r="DA42" t="s">
        <v>13909</v>
      </c>
      <c r="DB42" t="s">
        <v>13818</v>
      </c>
      <c r="DC42" t="s">
        <v>14309</v>
      </c>
      <c r="DG42" t="s">
        <v>13909</v>
      </c>
      <c r="DH42" t="s">
        <v>13818</v>
      </c>
      <c r="DI42" t="s">
        <v>14309</v>
      </c>
      <c r="DY42" t="s">
        <v>14460</v>
      </c>
      <c r="DZ42" t="s">
        <v>13970</v>
      </c>
      <c r="EA42" t="s">
        <v>14461</v>
      </c>
      <c r="EC42">
        <v>44537</v>
      </c>
      <c r="EE42" t="s">
        <v>13570</v>
      </c>
    </row>
    <row r="43" spans="1:135">
      <c r="A43" t="s">
        <v>1925</v>
      </c>
      <c r="B43" t="s">
        <v>1920</v>
      </c>
      <c r="C43" t="s">
        <v>14679</v>
      </c>
      <c r="D43" s="24">
        <v>43648</v>
      </c>
      <c r="E43" s="24" t="s">
        <v>13553</v>
      </c>
      <c r="F43" s="24" t="s">
        <v>14680</v>
      </c>
      <c r="G43" s="24" t="s">
        <v>13808</v>
      </c>
      <c r="H43" s="24"/>
      <c r="I43" s="24" t="s">
        <v>13809</v>
      </c>
      <c r="J43" s="24"/>
      <c r="K43" s="24" t="s">
        <v>13808</v>
      </c>
      <c r="L43" s="24"/>
      <c r="M43" s="24" t="s">
        <v>14681</v>
      </c>
      <c r="N43" s="24" t="s">
        <v>13808</v>
      </c>
      <c r="O43" s="24"/>
      <c r="P43" s="24" t="s">
        <v>13808</v>
      </c>
      <c r="Q43" s="24"/>
      <c r="R43" s="24" t="s">
        <v>13808</v>
      </c>
      <c r="S43" s="24"/>
      <c r="T43" t="s">
        <v>14682</v>
      </c>
      <c r="U43" t="s">
        <v>13808</v>
      </c>
      <c r="W43" t="s">
        <v>13808</v>
      </c>
      <c r="X43" t="s">
        <v>14683</v>
      </c>
      <c r="Y43" t="s">
        <v>13809</v>
      </c>
      <c r="AA43" t="s">
        <v>14684</v>
      </c>
      <c r="AB43" t="s">
        <v>14685</v>
      </c>
      <c r="AC43" t="s">
        <v>13808</v>
      </c>
      <c r="AH43" t="s">
        <v>13909</v>
      </c>
      <c r="AI43" t="s">
        <v>13808</v>
      </c>
      <c r="AN43" t="s">
        <v>14686</v>
      </c>
      <c r="AO43" t="s">
        <v>13808</v>
      </c>
      <c r="AT43" t="s">
        <v>14687</v>
      </c>
      <c r="AU43" t="s">
        <v>13818</v>
      </c>
      <c r="AZ43" t="s">
        <v>14688</v>
      </c>
      <c r="BA43" t="s">
        <v>13808</v>
      </c>
      <c r="BF43" t="s">
        <v>14169</v>
      </c>
      <c r="BG43" t="s">
        <v>13808</v>
      </c>
      <c r="BL43" t="s">
        <v>14689</v>
      </c>
      <c r="BM43" t="s">
        <v>13808</v>
      </c>
      <c r="BR43" t="s">
        <v>14690</v>
      </c>
      <c r="BS43" t="s">
        <v>13887</v>
      </c>
      <c r="BT43" t="s">
        <v>13808</v>
      </c>
      <c r="BU43" t="s">
        <v>14025</v>
      </c>
      <c r="BY43" t="s">
        <v>14265</v>
      </c>
      <c r="BZ43" t="s">
        <v>13808</v>
      </c>
      <c r="CA43" t="s">
        <v>14691</v>
      </c>
      <c r="CE43" t="s">
        <v>14197</v>
      </c>
      <c r="CF43" t="s">
        <v>13818</v>
      </c>
      <c r="CG43" t="s">
        <v>14692</v>
      </c>
      <c r="CH43" t="s">
        <v>14693</v>
      </c>
      <c r="CI43" t="s">
        <v>13808</v>
      </c>
      <c r="CJ43" t="s">
        <v>14173</v>
      </c>
      <c r="CL43" t="s">
        <v>13809</v>
      </c>
      <c r="CR43" t="s">
        <v>13809</v>
      </c>
      <c r="CT43" t="s">
        <v>14694</v>
      </c>
      <c r="CU43" t="s">
        <v>13909</v>
      </c>
      <c r="CV43" t="s">
        <v>13808</v>
      </c>
      <c r="DA43" t="s">
        <v>13909</v>
      </c>
      <c r="DB43" t="s">
        <v>13808</v>
      </c>
      <c r="DG43" t="s">
        <v>13909</v>
      </c>
      <c r="DH43" t="s">
        <v>13808</v>
      </c>
      <c r="DY43" t="s">
        <v>14695</v>
      </c>
      <c r="DZ43" t="s">
        <v>14696</v>
      </c>
      <c r="EA43" t="s">
        <v>13902</v>
      </c>
      <c r="EC43">
        <v>43671</v>
      </c>
      <c r="ED43" t="s">
        <v>13903</v>
      </c>
      <c r="EE43" t="s">
        <v>6488</v>
      </c>
    </row>
    <row r="44" spans="1:135">
      <c r="A44" t="s">
        <v>1932</v>
      </c>
      <c r="B44" t="s">
        <v>1920</v>
      </c>
      <c r="C44" t="s">
        <v>14697</v>
      </c>
      <c r="D44" s="24">
        <v>44511</v>
      </c>
      <c r="E44" s="24" t="s">
        <v>13555</v>
      </c>
      <c r="F44" s="24" t="s">
        <v>14698</v>
      </c>
      <c r="G44" s="24" t="s">
        <v>14699</v>
      </c>
      <c r="H44" s="24"/>
      <c r="I44" s="24" t="s">
        <v>13809</v>
      </c>
      <c r="J44" s="24"/>
      <c r="K44" s="24" t="s">
        <v>13809</v>
      </c>
      <c r="L44" s="24"/>
      <c r="M44" s="24" t="s">
        <v>14700</v>
      </c>
      <c r="N44" s="24" t="s">
        <v>13808</v>
      </c>
      <c r="O44" s="24"/>
      <c r="P44" s="24" t="s">
        <v>13808</v>
      </c>
      <c r="Q44" s="24" t="s">
        <v>14701</v>
      </c>
      <c r="R44" s="24" t="s">
        <v>13808</v>
      </c>
      <c r="S44" s="24"/>
      <c r="T44" t="s">
        <v>14429</v>
      </c>
      <c r="U44" t="s">
        <v>13809</v>
      </c>
      <c r="W44" t="s">
        <v>13808</v>
      </c>
      <c r="X44" t="s">
        <v>14702</v>
      </c>
      <c r="Y44" t="s">
        <v>13809</v>
      </c>
      <c r="AA44" t="s">
        <v>13849</v>
      </c>
      <c r="AB44" t="s">
        <v>14703</v>
      </c>
      <c r="AC44" t="s">
        <v>13808</v>
      </c>
      <c r="AH44" t="s">
        <v>13909</v>
      </c>
      <c r="AI44" t="s">
        <v>13808</v>
      </c>
      <c r="AN44" t="s">
        <v>14704</v>
      </c>
      <c r="AO44" t="s">
        <v>13808</v>
      </c>
      <c r="AT44" t="s">
        <v>14705</v>
      </c>
      <c r="AU44" t="s">
        <v>13808</v>
      </c>
      <c r="AZ44" t="s">
        <v>14706</v>
      </c>
      <c r="BA44" t="s">
        <v>13808</v>
      </c>
      <c r="BF44" t="s">
        <v>14046</v>
      </c>
      <c r="BG44" t="s">
        <v>13808</v>
      </c>
      <c r="BM44" t="s">
        <v>13809</v>
      </c>
      <c r="BR44" t="s">
        <v>14707</v>
      </c>
      <c r="BS44" t="s">
        <v>13885</v>
      </c>
      <c r="BT44" t="s">
        <v>13808</v>
      </c>
      <c r="BU44" t="s">
        <v>14708</v>
      </c>
      <c r="BY44" t="s">
        <v>13887</v>
      </c>
      <c r="BZ44" t="s">
        <v>13808</v>
      </c>
      <c r="CA44" t="s">
        <v>13937</v>
      </c>
      <c r="CE44" t="s">
        <v>14693</v>
      </c>
      <c r="CF44" t="s">
        <v>13808</v>
      </c>
      <c r="CK44" t="s">
        <v>13887</v>
      </c>
      <c r="CL44" t="s">
        <v>13808</v>
      </c>
      <c r="CR44" t="s">
        <v>13809</v>
      </c>
      <c r="CT44" t="s">
        <v>14709</v>
      </c>
      <c r="CU44" t="s">
        <v>14710</v>
      </c>
      <c r="CV44" t="s">
        <v>13808</v>
      </c>
      <c r="CX44" t="s">
        <v>14711</v>
      </c>
      <c r="CY44" t="s">
        <v>13818</v>
      </c>
      <c r="DA44" t="s">
        <v>14712</v>
      </c>
      <c r="DB44" t="s">
        <v>13808</v>
      </c>
      <c r="DD44" t="s">
        <v>14713</v>
      </c>
      <c r="DE44" t="s">
        <v>13818</v>
      </c>
      <c r="DG44" t="s">
        <v>14714</v>
      </c>
      <c r="DH44" t="s">
        <v>13808</v>
      </c>
      <c r="DJ44" t="s">
        <v>14715</v>
      </c>
      <c r="DK44" t="s">
        <v>13818</v>
      </c>
      <c r="DM44" t="s">
        <v>14716</v>
      </c>
      <c r="DN44" t="s">
        <v>13808</v>
      </c>
      <c r="DO44" t="s">
        <v>14717</v>
      </c>
      <c r="DP44" t="s">
        <v>14718</v>
      </c>
      <c r="DQ44" t="s">
        <v>13808</v>
      </c>
      <c r="DR44" t="s">
        <v>13839</v>
      </c>
      <c r="DY44" t="s">
        <v>14719</v>
      </c>
      <c r="DZ44" t="s">
        <v>14720</v>
      </c>
      <c r="EA44" t="s">
        <v>14721</v>
      </c>
      <c r="ED44" t="s">
        <v>14722</v>
      </c>
      <c r="EE44" t="s">
        <v>6494</v>
      </c>
    </row>
    <row r="45" spans="1:135">
      <c r="A45" t="s">
        <v>1936</v>
      </c>
      <c r="B45" t="s">
        <v>1920</v>
      </c>
      <c r="C45" t="s">
        <v>14723</v>
      </c>
      <c r="D45" s="24">
        <v>44007</v>
      </c>
      <c r="E45" s="24" t="s">
        <v>13553</v>
      </c>
      <c r="F45" s="24" t="s">
        <v>14724</v>
      </c>
      <c r="G45" s="24" t="s">
        <v>13808</v>
      </c>
      <c r="H45" s="24"/>
      <c r="I45" s="24" t="s">
        <v>13809</v>
      </c>
      <c r="J45" s="24"/>
      <c r="K45" s="24" t="s">
        <v>13808</v>
      </c>
      <c r="L45" s="24"/>
      <c r="M45" s="24" t="s">
        <v>14725</v>
      </c>
      <c r="N45" s="24" t="s">
        <v>13808</v>
      </c>
      <c r="O45" s="24"/>
      <c r="P45" s="24" t="s">
        <v>13808</v>
      </c>
      <c r="Q45" s="24"/>
      <c r="R45" s="24" t="s">
        <v>13808</v>
      </c>
      <c r="S45" s="24"/>
      <c r="T45" t="s">
        <v>14726</v>
      </c>
      <c r="U45" t="s">
        <v>13808</v>
      </c>
      <c r="W45" t="s">
        <v>13808</v>
      </c>
      <c r="X45" t="s">
        <v>14727</v>
      </c>
      <c r="Y45" t="s">
        <v>13809</v>
      </c>
      <c r="AA45" t="s">
        <v>13849</v>
      </c>
      <c r="AB45" t="s">
        <v>14728</v>
      </c>
      <c r="AC45" t="s">
        <v>13808</v>
      </c>
      <c r="AH45" t="s">
        <v>13909</v>
      </c>
      <c r="AI45" t="s">
        <v>13808</v>
      </c>
      <c r="AN45" t="s">
        <v>14729</v>
      </c>
      <c r="AO45" t="s">
        <v>13808</v>
      </c>
      <c r="AT45" t="s">
        <v>14005</v>
      </c>
      <c r="AU45" t="s">
        <v>13808</v>
      </c>
      <c r="AZ45" t="s">
        <v>14730</v>
      </c>
      <c r="BA45" t="s">
        <v>13808</v>
      </c>
      <c r="BF45" t="s">
        <v>14731</v>
      </c>
      <c r="BG45" t="s">
        <v>13808</v>
      </c>
      <c r="BL45" t="s">
        <v>14732</v>
      </c>
      <c r="BM45" t="s">
        <v>13808</v>
      </c>
      <c r="BR45" t="s">
        <v>14733</v>
      </c>
      <c r="BS45" t="s">
        <v>13887</v>
      </c>
      <c r="BT45" t="s">
        <v>13808</v>
      </c>
      <c r="BU45" t="s">
        <v>13985</v>
      </c>
      <c r="BY45" t="s">
        <v>13887</v>
      </c>
      <c r="BZ45" t="s">
        <v>13808</v>
      </c>
      <c r="CA45" t="s">
        <v>13861</v>
      </c>
      <c r="CE45" t="s">
        <v>14197</v>
      </c>
      <c r="CF45" t="s">
        <v>13808</v>
      </c>
      <c r="CG45" t="s">
        <v>14734</v>
      </c>
      <c r="CK45" t="s">
        <v>13808</v>
      </c>
      <c r="CL45" t="s">
        <v>13863</v>
      </c>
      <c r="CR45" t="s">
        <v>13809</v>
      </c>
      <c r="CT45" t="s">
        <v>14735</v>
      </c>
      <c r="CU45" t="s">
        <v>14736</v>
      </c>
      <c r="CV45" t="s">
        <v>13808</v>
      </c>
      <c r="DA45" t="s">
        <v>14737</v>
      </c>
      <c r="DB45" t="s">
        <v>13808</v>
      </c>
      <c r="DM45" t="s">
        <v>14738</v>
      </c>
      <c r="DN45" t="s">
        <v>13808</v>
      </c>
      <c r="DO45" t="s">
        <v>13839</v>
      </c>
      <c r="DY45" t="s">
        <v>13869</v>
      </c>
      <c r="DZ45" t="s">
        <v>14739</v>
      </c>
      <c r="EA45" t="s">
        <v>14740</v>
      </c>
      <c r="ED45" t="s">
        <v>13903</v>
      </c>
      <c r="EE45" t="s">
        <v>6498</v>
      </c>
    </row>
    <row r="46" spans="1:135">
      <c r="A46" t="s">
        <v>6336</v>
      </c>
      <c r="B46" t="s">
        <v>1808</v>
      </c>
      <c r="C46" t="s">
        <v>14741</v>
      </c>
      <c r="D46" s="24">
        <v>45029</v>
      </c>
      <c r="E46" s="24" t="s">
        <v>13559</v>
      </c>
      <c r="F46" s="24" t="s">
        <v>14742</v>
      </c>
      <c r="G46" s="24" t="s">
        <v>13808</v>
      </c>
      <c r="H46" s="24"/>
      <c r="I46" s="24" t="s">
        <v>13809</v>
      </c>
      <c r="J46" s="24"/>
      <c r="K46" s="24" t="s">
        <v>13808</v>
      </c>
      <c r="L46" s="24"/>
      <c r="M46" s="24" t="s">
        <v>14743</v>
      </c>
      <c r="N46" s="24" t="s">
        <v>13808</v>
      </c>
      <c r="O46" s="24"/>
      <c r="P46" s="24" t="s">
        <v>13808</v>
      </c>
      <c r="Q46" s="24"/>
      <c r="R46" s="24" t="s">
        <v>13808</v>
      </c>
      <c r="S46" s="24"/>
      <c r="T46" t="s">
        <v>14744</v>
      </c>
      <c r="U46" t="s">
        <v>13809</v>
      </c>
      <c r="W46" t="s">
        <v>13809</v>
      </c>
      <c r="Y46" t="s">
        <v>13808</v>
      </c>
      <c r="Z46" t="s">
        <v>14745</v>
      </c>
      <c r="AA46" t="s">
        <v>14746</v>
      </c>
      <c r="AB46" t="s">
        <v>14747</v>
      </c>
      <c r="AC46" t="s">
        <v>13818</v>
      </c>
      <c r="AH46" t="s">
        <v>14748</v>
      </c>
      <c r="AI46" t="s">
        <v>13808</v>
      </c>
      <c r="AK46" t="s">
        <v>14208</v>
      </c>
      <c r="AL46" t="s">
        <v>13818</v>
      </c>
      <c r="AM46" t="s">
        <v>13819</v>
      </c>
      <c r="AN46" t="s">
        <v>13711</v>
      </c>
      <c r="AO46" t="s">
        <v>13809</v>
      </c>
      <c r="AT46" t="s">
        <v>14523</v>
      </c>
      <c r="AU46" t="s">
        <v>13818</v>
      </c>
      <c r="AV46" t="s">
        <v>13819</v>
      </c>
      <c r="AZ46" t="s">
        <v>14749</v>
      </c>
      <c r="BA46" t="s">
        <v>13818</v>
      </c>
      <c r="BB46" t="s">
        <v>13819</v>
      </c>
      <c r="BF46" t="s">
        <v>14750</v>
      </c>
      <c r="BG46" t="s">
        <v>13818</v>
      </c>
      <c r="BH46" t="s">
        <v>13819</v>
      </c>
      <c r="BL46" t="s">
        <v>13735</v>
      </c>
      <c r="BM46" t="s">
        <v>13809</v>
      </c>
      <c r="BR46" t="s">
        <v>14751</v>
      </c>
      <c r="BS46" t="s">
        <v>14752</v>
      </c>
      <c r="BT46" t="s">
        <v>13808</v>
      </c>
      <c r="BU46" t="s">
        <v>14753</v>
      </c>
      <c r="BY46" t="s">
        <v>14754</v>
      </c>
      <c r="BZ46" t="s">
        <v>13808</v>
      </c>
      <c r="CA46" t="s">
        <v>14755</v>
      </c>
      <c r="CE46" t="s">
        <v>14756</v>
      </c>
      <c r="CF46" t="s">
        <v>13818</v>
      </c>
      <c r="CG46" t="s">
        <v>14757</v>
      </c>
      <c r="CK46" t="s">
        <v>14758</v>
      </c>
      <c r="CL46" t="s">
        <v>13808</v>
      </c>
      <c r="CQ46" t="s">
        <v>13766</v>
      </c>
      <c r="CR46" t="s">
        <v>13809</v>
      </c>
      <c r="CT46" t="s">
        <v>14759</v>
      </c>
      <c r="CU46" t="s">
        <v>14760</v>
      </c>
      <c r="CV46" t="s">
        <v>13808</v>
      </c>
      <c r="CX46" t="s">
        <v>14761</v>
      </c>
      <c r="CY46" t="s">
        <v>13818</v>
      </c>
      <c r="DA46" t="s">
        <v>14762</v>
      </c>
      <c r="DB46" t="s">
        <v>13808</v>
      </c>
      <c r="DD46" t="s">
        <v>14763</v>
      </c>
      <c r="DE46" t="s">
        <v>13818</v>
      </c>
      <c r="DM46" t="s">
        <v>14764</v>
      </c>
      <c r="DN46" t="s">
        <v>13818</v>
      </c>
      <c r="DP46" t="s">
        <v>14765</v>
      </c>
      <c r="DQ46" t="s">
        <v>13818</v>
      </c>
      <c r="DR46" t="s">
        <v>13839</v>
      </c>
      <c r="DY46" t="s">
        <v>14766</v>
      </c>
      <c r="DZ46" t="s">
        <v>14406</v>
      </c>
      <c r="EA46" t="s">
        <v>14118</v>
      </c>
      <c r="EC46">
        <v>45033</v>
      </c>
      <c r="ED46" t="s">
        <v>13843</v>
      </c>
      <c r="EE46" t="s">
        <v>6340</v>
      </c>
    </row>
    <row r="47" spans="1:135">
      <c r="A47" t="s">
        <v>6341</v>
      </c>
      <c r="B47" t="s">
        <v>1808</v>
      </c>
      <c r="C47" t="s">
        <v>14767</v>
      </c>
      <c r="D47" s="24">
        <v>45029</v>
      </c>
      <c r="E47" s="24" t="s">
        <v>13558</v>
      </c>
      <c r="F47" s="24" t="s">
        <v>14768</v>
      </c>
      <c r="G47" s="24" t="s">
        <v>13808</v>
      </c>
      <c r="H47" s="24"/>
      <c r="I47" s="24" t="s">
        <v>13809</v>
      </c>
      <c r="J47" s="24"/>
      <c r="K47" s="24" t="s">
        <v>13809</v>
      </c>
      <c r="L47" s="24"/>
      <c r="M47" s="24" t="s">
        <v>14769</v>
      </c>
      <c r="N47" s="24" t="s">
        <v>13808</v>
      </c>
      <c r="O47" s="24"/>
      <c r="P47" s="24" t="s">
        <v>13808</v>
      </c>
      <c r="Q47" s="24"/>
      <c r="R47" s="24" t="s">
        <v>13808</v>
      </c>
      <c r="S47" s="24"/>
      <c r="T47" t="s">
        <v>14137</v>
      </c>
      <c r="U47" t="s">
        <v>13809</v>
      </c>
      <c r="W47" t="s">
        <v>13809</v>
      </c>
      <c r="Y47" t="s">
        <v>13809</v>
      </c>
      <c r="AA47" t="s">
        <v>14770</v>
      </c>
      <c r="AB47" t="s">
        <v>14771</v>
      </c>
      <c r="AC47" t="s">
        <v>13818</v>
      </c>
      <c r="AD47" t="s">
        <v>13819</v>
      </c>
      <c r="AH47" t="s">
        <v>14772</v>
      </c>
      <c r="AI47" t="s">
        <v>13818</v>
      </c>
      <c r="AJ47" t="s">
        <v>13819</v>
      </c>
      <c r="AN47" t="s">
        <v>14773</v>
      </c>
      <c r="AO47" t="s">
        <v>13818</v>
      </c>
      <c r="AP47" t="s">
        <v>13819</v>
      </c>
      <c r="AT47" t="s">
        <v>14774</v>
      </c>
      <c r="AU47" t="s">
        <v>13818</v>
      </c>
      <c r="AV47" t="s">
        <v>13819</v>
      </c>
      <c r="AZ47" t="s">
        <v>14775</v>
      </c>
      <c r="BA47" t="s">
        <v>13818</v>
      </c>
      <c r="BB47" t="s">
        <v>13819</v>
      </c>
      <c r="BF47" t="s">
        <v>14776</v>
      </c>
      <c r="BG47" t="s">
        <v>13818</v>
      </c>
      <c r="BH47" t="s">
        <v>13819</v>
      </c>
      <c r="BL47" t="s">
        <v>14777</v>
      </c>
      <c r="BM47" t="s">
        <v>13818</v>
      </c>
      <c r="BN47" t="s">
        <v>13819</v>
      </c>
      <c r="BR47" t="s">
        <v>14778</v>
      </c>
      <c r="BS47" t="s">
        <v>14779</v>
      </c>
      <c r="BT47" t="s">
        <v>13808</v>
      </c>
      <c r="BU47" t="s">
        <v>14147</v>
      </c>
      <c r="BY47" t="s">
        <v>13826</v>
      </c>
      <c r="BZ47" t="s">
        <v>13808</v>
      </c>
      <c r="CA47" t="s">
        <v>14780</v>
      </c>
      <c r="CE47" t="s">
        <v>14292</v>
      </c>
      <c r="CF47" t="s">
        <v>13818</v>
      </c>
      <c r="CG47" t="s">
        <v>13819</v>
      </c>
      <c r="CK47" t="s">
        <v>13760</v>
      </c>
      <c r="CL47" t="s">
        <v>13809</v>
      </c>
      <c r="CQ47" t="s">
        <v>13766</v>
      </c>
      <c r="CR47" t="s">
        <v>13809</v>
      </c>
      <c r="CT47" t="s">
        <v>14781</v>
      </c>
      <c r="CU47" t="s">
        <v>14782</v>
      </c>
      <c r="CV47" t="s">
        <v>13818</v>
      </c>
      <c r="DA47" t="s">
        <v>14783</v>
      </c>
      <c r="DB47" t="s">
        <v>13818</v>
      </c>
      <c r="DM47" t="s">
        <v>14784</v>
      </c>
      <c r="DN47" t="s">
        <v>13818</v>
      </c>
      <c r="DO47" t="s">
        <v>14785</v>
      </c>
      <c r="DS47" t="s">
        <v>14786</v>
      </c>
      <c r="DT47" t="s">
        <v>13818</v>
      </c>
      <c r="DU47" t="s">
        <v>13839</v>
      </c>
      <c r="DY47" t="s">
        <v>13840</v>
      </c>
      <c r="DZ47" t="s">
        <v>14406</v>
      </c>
      <c r="EA47" t="s">
        <v>14118</v>
      </c>
      <c r="EC47">
        <v>45033</v>
      </c>
      <c r="ED47" t="s">
        <v>13843</v>
      </c>
      <c r="EE47" t="s">
        <v>6345</v>
      </c>
    </row>
    <row r="48" spans="1:135">
      <c r="A48" t="s">
        <v>5702</v>
      </c>
      <c r="B48" t="s">
        <v>1246</v>
      </c>
      <c r="C48" t="s">
        <v>14787</v>
      </c>
      <c r="D48" s="24">
        <v>45044</v>
      </c>
      <c r="E48" s="24" t="s">
        <v>13563</v>
      </c>
      <c r="F48" s="24" t="s">
        <v>14788</v>
      </c>
      <c r="G48" s="24" t="s">
        <v>13808</v>
      </c>
      <c r="H48" s="24"/>
      <c r="I48" s="24" t="s">
        <v>13809</v>
      </c>
      <c r="J48" s="24"/>
      <c r="K48" s="24" t="s">
        <v>13808</v>
      </c>
      <c r="L48" s="24"/>
      <c r="M48" s="24" t="s">
        <v>14789</v>
      </c>
      <c r="N48" s="24" t="s">
        <v>13818</v>
      </c>
      <c r="O48" s="24" t="s">
        <v>13819</v>
      </c>
      <c r="P48" s="24" t="s">
        <v>13808</v>
      </c>
      <c r="Q48" s="24"/>
      <c r="R48" s="24" t="s">
        <v>13808</v>
      </c>
      <c r="S48" s="24"/>
      <c r="T48" t="s">
        <v>14790</v>
      </c>
      <c r="U48" t="s">
        <v>13809</v>
      </c>
      <c r="W48" t="s">
        <v>13809</v>
      </c>
      <c r="Y48" t="s">
        <v>13809</v>
      </c>
      <c r="AA48" t="s">
        <v>14791</v>
      </c>
      <c r="AB48" t="s">
        <v>14792</v>
      </c>
      <c r="AC48" t="s">
        <v>13818</v>
      </c>
      <c r="AD48" t="s">
        <v>14309</v>
      </c>
      <c r="AH48" t="s">
        <v>14098</v>
      </c>
      <c r="AI48" t="s">
        <v>13818</v>
      </c>
      <c r="AJ48" t="s">
        <v>14309</v>
      </c>
      <c r="AN48" t="s">
        <v>13711</v>
      </c>
      <c r="AO48" t="s">
        <v>13809</v>
      </c>
      <c r="AT48" t="s">
        <v>14793</v>
      </c>
      <c r="AU48" t="s">
        <v>13818</v>
      </c>
      <c r="AV48" t="s">
        <v>14309</v>
      </c>
      <c r="AZ48" t="s">
        <v>14794</v>
      </c>
      <c r="BA48" t="s">
        <v>13818</v>
      </c>
      <c r="BB48" t="s">
        <v>14309</v>
      </c>
      <c r="BF48" t="s">
        <v>14795</v>
      </c>
      <c r="BG48" t="s">
        <v>13818</v>
      </c>
      <c r="BH48" t="s">
        <v>14309</v>
      </c>
      <c r="BL48" t="s">
        <v>13735</v>
      </c>
      <c r="BM48" t="s">
        <v>13809</v>
      </c>
      <c r="BR48" t="s">
        <v>14796</v>
      </c>
      <c r="BS48" t="s">
        <v>13742</v>
      </c>
      <c r="BT48" t="s">
        <v>13809</v>
      </c>
      <c r="BY48" t="s">
        <v>13748</v>
      </c>
      <c r="BZ48" t="s">
        <v>13809</v>
      </c>
      <c r="CE48" t="s">
        <v>13754</v>
      </c>
      <c r="CF48" t="s">
        <v>13809</v>
      </c>
      <c r="CK48" t="s">
        <v>13760</v>
      </c>
      <c r="CL48" t="s">
        <v>13808</v>
      </c>
      <c r="CM48" t="s">
        <v>14797</v>
      </c>
      <c r="CQ48" t="s">
        <v>13766</v>
      </c>
      <c r="CR48" t="s">
        <v>13809</v>
      </c>
      <c r="CT48" t="s">
        <v>14798</v>
      </c>
      <c r="CU48" t="s">
        <v>14799</v>
      </c>
      <c r="CV48" t="s">
        <v>13808</v>
      </c>
      <c r="CW48" t="s">
        <v>14309</v>
      </c>
      <c r="CX48" t="s">
        <v>14800</v>
      </c>
      <c r="CY48" t="s">
        <v>13818</v>
      </c>
      <c r="DA48" t="s">
        <v>14801</v>
      </c>
      <c r="DB48" t="s">
        <v>13808</v>
      </c>
      <c r="DC48" t="s">
        <v>14309</v>
      </c>
      <c r="DD48" t="s">
        <v>14802</v>
      </c>
      <c r="DE48" t="s">
        <v>13818</v>
      </c>
      <c r="DM48" t="s">
        <v>14803</v>
      </c>
      <c r="DN48" t="s">
        <v>13808</v>
      </c>
      <c r="DP48" t="s">
        <v>14804</v>
      </c>
      <c r="DQ48" t="s">
        <v>13808</v>
      </c>
      <c r="DR48" t="s">
        <v>14805</v>
      </c>
      <c r="DS48" t="s">
        <v>14806</v>
      </c>
      <c r="DT48" t="s">
        <v>13818</v>
      </c>
      <c r="DU48" t="s">
        <v>13839</v>
      </c>
      <c r="DY48" t="s">
        <v>13840</v>
      </c>
      <c r="DZ48" t="s">
        <v>13841</v>
      </c>
      <c r="EA48" t="s">
        <v>14118</v>
      </c>
      <c r="EC48">
        <v>45047</v>
      </c>
      <c r="ED48" t="s">
        <v>13843</v>
      </c>
      <c r="EE48" t="s">
        <v>5706</v>
      </c>
    </row>
    <row r="49" spans="1:135">
      <c r="A49" t="s">
        <v>1185</v>
      </c>
      <c r="B49" t="s">
        <v>1155</v>
      </c>
      <c r="C49" t="s">
        <v>14807</v>
      </c>
      <c r="D49" s="24">
        <v>43693</v>
      </c>
      <c r="E49" s="24" t="s">
        <v>13555</v>
      </c>
      <c r="F49" s="24" t="s">
        <v>14808</v>
      </c>
      <c r="G49" s="24" t="s">
        <v>13808</v>
      </c>
      <c r="H49" s="24"/>
      <c r="I49" s="24" t="s">
        <v>13809</v>
      </c>
      <c r="J49" s="24"/>
      <c r="K49" s="24" t="s">
        <v>13808</v>
      </c>
      <c r="L49" s="24" t="s">
        <v>14809</v>
      </c>
      <c r="M49" s="24" t="s">
        <v>14304</v>
      </c>
      <c r="N49" s="24" t="s">
        <v>13808</v>
      </c>
      <c r="O49" s="24"/>
      <c r="P49" s="24" t="s">
        <v>13808</v>
      </c>
      <c r="Q49" s="24"/>
      <c r="R49" s="24" t="s">
        <v>13808</v>
      </c>
      <c r="S49" s="24"/>
      <c r="T49" t="s">
        <v>14034</v>
      </c>
      <c r="U49" t="s">
        <v>13808</v>
      </c>
      <c r="W49" t="s">
        <v>13808</v>
      </c>
      <c r="X49" t="s">
        <v>14810</v>
      </c>
      <c r="Y49" t="s">
        <v>13809</v>
      </c>
      <c r="AA49" t="s">
        <v>14811</v>
      </c>
      <c r="AB49" t="s">
        <v>14812</v>
      </c>
      <c r="AC49" t="s">
        <v>13808</v>
      </c>
      <c r="AH49" t="s">
        <v>14813</v>
      </c>
      <c r="AI49" t="s">
        <v>13808</v>
      </c>
      <c r="AK49" t="s">
        <v>14814</v>
      </c>
      <c r="AL49" t="s">
        <v>13818</v>
      </c>
      <c r="AM49" t="s">
        <v>14815</v>
      </c>
      <c r="AN49" t="s">
        <v>14816</v>
      </c>
      <c r="AO49" t="s">
        <v>13808</v>
      </c>
      <c r="AT49" t="s">
        <v>14817</v>
      </c>
      <c r="AU49" t="s">
        <v>13808</v>
      </c>
      <c r="AZ49" t="s">
        <v>14818</v>
      </c>
      <c r="BA49" t="s">
        <v>13808</v>
      </c>
      <c r="BF49" t="s">
        <v>14192</v>
      </c>
      <c r="BG49" t="s">
        <v>13808</v>
      </c>
      <c r="BM49" t="s">
        <v>13809</v>
      </c>
      <c r="BR49" t="s">
        <v>14819</v>
      </c>
      <c r="BS49" t="s">
        <v>14693</v>
      </c>
      <c r="BT49" t="s">
        <v>13808</v>
      </c>
      <c r="BU49" t="s">
        <v>14025</v>
      </c>
      <c r="BY49" t="s">
        <v>13887</v>
      </c>
      <c r="BZ49" t="s">
        <v>13808</v>
      </c>
      <c r="CA49" t="s">
        <v>13888</v>
      </c>
      <c r="CE49" t="s">
        <v>14197</v>
      </c>
      <c r="CF49" t="s">
        <v>13808</v>
      </c>
      <c r="CG49" t="s">
        <v>14173</v>
      </c>
      <c r="CL49" t="s">
        <v>13809</v>
      </c>
      <c r="CR49" t="s">
        <v>13809</v>
      </c>
      <c r="CT49" t="s">
        <v>14293</v>
      </c>
      <c r="CU49" t="s">
        <v>14820</v>
      </c>
      <c r="CV49" t="s">
        <v>13808</v>
      </c>
      <c r="CX49" t="s">
        <v>14821</v>
      </c>
      <c r="CY49" t="s">
        <v>13818</v>
      </c>
      <c r="CZ49" t="s">
        <v>14822</v>
      </c>
      <c r="DA49" t="s">
        <v>14823</v>
      </c>
      <c r="DB49" t="s">
        <v>13808</v>
      </c>
      <c r="DD49" t="s">
        <v>14824</v>
      </c>
      <c r="DE49" t="s">
        <v>13818</v>
      </c>
      <c r="DF49" t="s">
        <v>14825</v>
      </c>
      <c r="DH49" t="s">
        <v>13809</v>
      </c>
      <c r="DM49" t="s">
        <v>14826</v>
      </c>
      <c r="DN49" t="s">
        <v>13808</v>
      </c>
      <c r="DY49" t="s">
        <v>13900</v>
      </c>
      <c r="DZ49" t="s">
        <v>14827</v>
      </c>
      <c r="EA49" t="s">
        <v>13902</v>
      </c>
      <c r="EC49">
        <v>43782</v>
      </c>
      <c r="ED49" t="s">
        <v>14501</v>
      </c>
      <c r="EE49" t="s">
        <v>5601</v>
      </c>
    </row>
    <row r="50" spans="1:135">
      <c r="A50" t="s">
        <v>1067</v>
      </c>
      <c r="B50" t="s">
        <v>1043</v>
      </c>
      <c r="C50" t="s">
        <v>14828</v>
      </c>
      <c r="D50" s="24">
        <v>43235</v>
      </c>
      <c r="E50" s="24" t="s">
        <v>13557</v>
      </c>
      <c r="F50" s="24" t="s">
        <v>14829</v>
      </c>
      <c r="G50" s="24" t="s">
        <v>13808</v>
      </c>
      <c r="H50" s="24"/>
      <c r="I50" s="24" t="s">
        <v>13809</v>
      </c>
      <c r="J50" s="24"/>
      <c r="K50" s="24" t="s">
        <v>13809</v>
      </c>
      <c r="L50" s="24"/>
      <c r="M50" s="24" t="s">
        <v>13950</v>
      </c>
      <c r="N50" s="24" t="s">
        <v>13808</v>
      </c>
      <c r="O50" s="24"/>
      <c r="P50" s="24" t="s">
        <v>13808</v>
      </c>
      <c r="Q50" s="24"/>
      <c r="R50" s="24" t="s">
        <v>13808</v>
      </c>
      <c r="S50" s="24"/>
      <c r="T50" t="s">
        <v>14830</v>
      </c>
      <c r="U50" t="s">
        <v>13808</v>
      </c>
      <c r="W50" t="s">
        <v>13808</v>
      </c>
      <c r="X50" t="s">
        <v>14831</v>
      </c>
      <c r="Y50" t="s">
        <v>13808</v>
      </c>
      <c r="AA50" t="s">
        <v>13928</v>
      </c>
      <c r="AB50" t="s">
        <v>14832</v>
      </c>
      <c r="AC50" t="s">
        <v>13808</v>
      </c>
      <c r="AH50" t="s">
        <v>13909</v>
      </c>
      <c r="AI50" t="s">
        <v>13808</v>
      </c>
      <c r="AN50" t="s">
        <v>14833</v>
      </c>
      <c r="AO50" t="s">
        <v>13808</v>
      </c>
      <c r="AT50" t="s">
        <v>14544</v>
      </c>
      <c r="AU50" t="s">
        <v>13808</v>
      </c>
      <c r="AZ50" t="s">
        <v>14834</v>
      </c>
      <c r="BA50" t="s">
        <v>13808</v>
      </c>
      <c r="BF50" t="s">
        <v>14260</v>
      </c>
      <c r="BG50" t="s">
        <v>13808</v>
      </c>
      <c r="BL50" t="s">
        <v>14006</v>
      </c>
      <c r="BM50" t="s">
        <v>13808</v>
      </c>
      <c r="BR50" t="s">
        <v>14835</v>
      </c>
      <c r="BS50" t="s">
        <v>13887</v>
      </c>
      <c r="BT50" t="s">
        <v>13808</v>
      </c>
      <c r="BU50" t="s">
        <v>14836</v>
      </c>
      <c r="BY50" t="s">
        <v>14265</v>
      </c>
      <c r="BZ50" t="s">
        <v>13808</v>
      </c>
      <c r="CA50" t="s">
        <v>13937</v>
      </c>
      <c r="CE50" t="s">
        <v>13887</v>
      </c>
      <c r="CF50" t="s">
        <v>13808</v>
      </c>
      <c r="CL50" t="s">
        <v>13809</v>
      </c>
      <c r="CR50" t="s">
        <v>13809</v>
      </c>
      <c r="CT50" t="s">
        <v>14837</v>
      </c>
      <c r="CU50" t="s">
        <v>14838</v>
      </c>
      <c r="CV50" t="s">
        <v>13808</v>
      </c>
      <c r="CX50" t="s">
        <v>14839</v>
      </c>
      <c r="CY50" t="s">
        <v>13808</v>
      </c>
      <c r="DA50" t="s">
        <v>14840</v>
      </c>
      <c r="DB50" t="s">
        <v>13808</v>
      </c>
      <c r="DD50" t="s">
        <v>14841</v>
      </c>
      <c r="DE50" t="s">
        <v>13818</v>
      </c>
      <c r="DG50" t="s">
        <v>13909</v>
      </c>
      <c r="DH50" t="s">
        <v>13818</v>
      </c>
      <c r="DY50" t="s">
        <v>14842</v>
      </c>
      <c r="DZ50" t="s">
        <v>14843</v>
      </c>
      <c r="EA50" t="s">
        <v>14275</v>
      </c>
      <c r="EC50">
        <v>44109</v>
      </c>
      <c r="ED50" t="s">
        <v>13903</v>
      </c>
      <c r="EE50" t="s">
        <v>5460</v>
      </c>
    </row>
    <row r="51" spans="1:135">
      <c r="A51" t="s">
        <v>1597</v>
      </c>
      <c r="B51" t="s">
        <v>1589</v>
      </c>
      <c r="C51" t="s">
        <v>14844</v>
      </c>
      <c r="D51" s="24">
        <v>43264</v>
      </c>
      <c r="E51" s="24" t="s">
        <v>13555</v>
      </c>
      <c r="F51" s="24" t="s">
        <v>14845</v>
      </c>
      <c r="G51" s="24" t="s">
        <v>13808</v>
      </c>
      <c r="H51" s="24"/>
      <c r="I51" s="24" t="s">
        <v>13809</v>
      </c>
      <c r="J51" s="24"/>
      <c r="K51" s="24" t="s">
        <v>13808</v>
      </c>
      <c r="L51" s="24" t="s">
        <v>14846</v>
      </c>
      <c r="M51" s="24" t="s">
        <v>14847</v>
      </c>
      <c r="N51" s="24" t="s">
        <v>13808</v>
      </c>
      <c r="O51" s="24"/>
      <c r="P51" s="24" t="s">
        <v>13808</v>
      </c>
      <c r="Q51" s="24"/>
      <c r="R51" s="24" t="s">
        <v>13808</v>
      </c>
      <c r="S51" s="24"/>
      <c r="T51" t="s">
        <v>14848</v>
      </c>
      <c r="U51" t="s">
        <v>13808</v>
      </c>
      <c r="W51" t="s">
        <v>13808</v>
      </c>
      <c r="X51" t="s">
        <v>14849</v>
      </c>
      <c r="Y51" t="s">
        <v>13808</v>
      </c>
      <c r="AA51" t="s">
        <v>14850</v>
      </c>
      <c r="AB51" t="s">
        <v>14851</v>
      </c>
      <c r="AC51" t="s">
        <v>13808</v>
      </c>
      <c r="AH51" t="s">
        <v>13909</v>
      </c>
      <c r="AI51" t="s">
        <v>13808</v>
      </c>
      <c r="AN51" t="s">
        <v>14852</v>
      </c>
      <c r="AO51" t="s">
        <v>13808</v>
      </c>
      <c r="AT51" t="s">
        <v>14853</v>
      </c>
      <c r="AU51" t="s">
        <v>13808</v>
      </c>
      <c r="AZ51" t="s">
        <v>14854</v>
      </c>
      <c r="BA51" t="s">
        <v>13808</v>
      </c>
      <c r="BF51" t="s">
        <v>14432</v>
      </c>
      <c r="BG51" t="s">
        <v>13808</v>
      </c>
      <c r="BM51" t="s">
        <v>13809</v>
      </c>
      <c r="BR51" t="s">
        <v>14855</v>
      </c>
      <c r="BS51" t="s">
        <v>13885</v>
      </c>
      <c r="BT51" t="s">
        <v>13808</v>
      </c>
      <c r="BU51" t="s">
        <v>14856</v>
      </c>
      <c r="BY51" t="s">
        <v>14265</v>
      </c>
      <c r="BZ51" t="s">
        <v>13808</v>
      </c>
      <c r="CA51" t="s">
        <v>13937</v>
      </c>
      <c r="CE51" t="s">
        <v>14197</v>
      </c>
      <c r="CF51" t="s">
        <v>13808</v>
      </c>
      <c r="CK51" t="s">
        <v>14265</v>
      </c>
      <c r="CL51" t="s">
        <v>13808</v>
      </c>
      <c r="CR51" t="s">
        <v>13809</v>
      </c>
      <c r="CT51" t="s">
        <v>14857</v>
      </c>
      <c r="CU51" t="s">
        <v>13909</v>
      </c>
      <c r="CV51" t="s">
        <v>13808</v>
      </c>
      <c r="DA51" t="s">
        <v>14858</v>
      </c>
      <c r="DB51" t="s">
        <v>13808</v>
      </c>
      <c r="DD51" t="s">
        <v>13887</v>
      </c>
      <c r="DE51" t="s">
        <v>13818</v>
      </c>
      <c r="DH51" t="s">
        <v>13809</v>
      </c>
      <c r="DM51" t="s">
        <v>13909</v>
      </c>
      <c r="DN51" t="s">
        <v>13808</v>
      </c>
      <c r="DZ51" t="s">
        <v>14859</v>
      </c>
      <c r="EA51" t="s">
        <v>14860</v>
      </c>
      <c r="EC51">
        <v>43480</v>
      </c>
      <c r="ED51" t="s">
        <v>13903</v>
      </c>
      <c r="EE51" t="s">
        <v>6083</v>
      </c>
    </row>
    <row r="52" spans="1:135">
      <c r="A52" t="s">
        <v>1604</v>
      </c>
      <c r="B52" t="s">
        <v>1589</v>
      </c>
      <c r="C52" t="s">
        <v>14861</v>
      </c>
      <c r="D52" s="24">
        <v>44742</v>
      </c>
      <c r="E52" s="24" t="s">
        <v>13555</v>
      </c>
      <c r="F52" s="24" t="s">
        <v>14862</v>
      </c>
      <c r="G52" s="24" t="s">
        <v>13808</v>
      </c>
      <c r="H52" s="24"/>
      <c r="I52" s="24" t="s">
        <v>13809</v>
      </c>
      <c r="J52" s="24"/>
      <c r="K52" s="24" t="s">
        <v>13808</v>
      </c>
      <c r="L52" s="24"/>
      <c r="M52" s="24" t="s">
        <v>14304</v>
      </c>
      <c r="N52" s="24" t="s">
        <v>13808</v>
      </c>
      <c r="O52" s="24"/>
      <c r="P52" s="24" t="s">
        <v>13808</v>
      </c>
      <c r="Q52" s="24"/>
      <c r="R52" s="24" t="s">
        <v>13808</v>
      </c>
      <c r="S52" s="24"/>
      <c r="T52" t="s">
        <v>14863</v>
      </c>
      <c r="U52" t="s">
        <v>13809</v>
      </c>
      <c r="W52" t="s">
        <v>13808</v>
      </c>
      <c r="X52" t="s">
        <v>14864</v>
      </c>
      <c r="Y52" t="s">
        <v>13809</v>
      </c>
      <c r="AA52" t="s">
        <v>14865</v>
      </c>
      <c r="AB52" t="s">
        <v>14866</v>
      </c>
      <c r="AC52" t="s">
        <v>13808</v>
      </c>
      <c r="AH52" t="s">
        <v>13851</v>
      </c>
      <c r="AI52" t="s">
        <v>13808</v>
      </c>
      <c r="AN52" t="s">
        <v>14867</v>
      </c>
      <c r="AO52" t="s">
        <v>13808</v>
      </c>
      <c r="AT52" t="s">
        <v>14868</v>
      </c>
      <c r="AU52" t="s">
        <v>13808</v>
      </c>
      <c r="AZ52" t="s">
        <v>14869</v>
      </c>
      <c r="BA52" t="s">
        <v>13808</v>
      </c>
      <c r="BF52" t="s">
        <v>14870</v>
      </c>
      <c r="BG52" t="s">
        <v>13808</v>
      </c>
      <c r="BL52" t="s">
        <v>13735</v>
      </c>
      <c r="BM52" t="s">
        <v>13809</v>
      </c>
      <c r="BR52" t="s">
        <v>14871</v>
      </c>
      <c r="BS52" t="s">
        <v>14213</v>
      </c>
      <c r="BT52" t="s">
        <v>13808</v>
      </c>
      <c r="BU52" t="s">
        <v>13985</v>
      </c>
      <c r="BY52" t="s">
        <v>13860</v>
      </c>
      <c r="BZ52" t="s">
        <v>13808</v>
      </c>
      <c r="CA52" t="s">
        <v>13937</v>
      </c>
      <c r="CE52" t="s">
        <v>13828</v>
      </c>
      <c r="CF52" t="s">
        <v>13808</v>
      </c>
      <c r="CK52" t="s">
        <v>14581</v>
      </c>
      <c r="CL52" t="s">
        <v>13808</v>
      </c>
      <c r="CQ52" t="s">
        <v>13766</v>
      </c>
      <c r="CR52" t="s">
        <v>13809</v>
      </c>
      <c r="CT52" t="s">
        <v>14872</v>
      </c>
      <c r="CU52" t="s">
        <v>14873</v>
      </c>
      <c r="CV52" t="s">
        <v>13808</v>
      </c>
      <c r="CX52" t="s">
        <v>14874</v>
      </c>
      <c r="CY52" t="s">
        <v>13818</v>
      </c>
      <c r="CZ52" t="s">
        <v>14875</v>
      </c>
      <c r="DA52" t="s">
        <v>14876</v>
      </c>
      <c r="DB52" t="s">
        <v>13808</v>
      </c>
      <c r="DD52" t="s">
        <v>14877</v>
      </c>
      <c r="DE52" t="s">
        <v>13818</v>
      </c>
      <c r="DF52" t="s">
        <v>14875</v>
      </c>
      <c r="DG52" t="s">
        <v>14878</v>
      </c>
      <c r="DH52" t="s">
        <v>13818</v>
      </c>
      <c r="DI52" t="s">
        <v>14875</v>
      </c>
      <c r="DM52" t="s">
        <v>14879</v>
      </c>
      <c r="DN52" t="s">
        <v>13808</v>
      </c>
      <c r="DO52" t="s">
        <v>13839</v>
      </c>
      <c r="DY52" t="s">
        <v>13869</v>
      </c>
      <c r="DZ52" t="s">
        <v>14880</v>
      </c>
      <c r="EA52" t="s">
        <v>14881</v>
      </c>
      <c r="EB52" t="s">
        <v>14882</v>
      </c>
      <c r="EC52">
        <v>44747</v>
      </c>
      <c r="ED52" t="s">
        <v>14298</v>
      </c>
      <c r="EE52" t="s">
        <v>6089</v>
      </c>
    </row>
    <row r="53" spans="1:135">
      <c r="A53" t="s">
        <v>1189</v>
      </c>
      <c r="B53" t="s">
        <v>1155</v>
      </c>
      <c r="C53" t="s">
        <v>14883</v>
      </c>
      <c r="D53" s="24">
        <v>44575</v>
      </c>
      <c r="E53" s="24" t="s">
        <v>13560</v>
      </c>
      <c r="F53" s="24" t="s">
        <v>14884</v>
      </c>
      <c r="G53" s="24" t="s">
        <v>13808</v>
      </c>
      <c r="H53" s="24"/>
      <c r="I53" s="24" t="s">
        <v>13809</v>
      </c>
      <c r="J53" s="24"/>
      <c r="K53" s="24" t="s">
        <v>13808</v>
      </c>
      <c r="L53" s="24"/>
      <c r="M53" s="24" t="s">
        <v>14304</v>
      </c>
      <c r="N53" s="24" t="s">
        <v>13808</v>
      </c>
      <c r="O53" s="24"/>
      <c r="P53" s="24" t="s">
        <v>13818</v>
      </c>
      <c r="Q53" s="24" t="s">
        <v>14885</v>
      </c>
      <c r="R53" s="24" t="s">
        <v>13808</v>
      </c>
      <c r="S53" s="24"/>
      <c r="T53" t="s">
        <v>13812</v>
      </c>
      <c r="U53" t="s">
        <v>13809</v>
      </c>
      <c r="W53" t="s">
        <v>13809</v>
      </c>
      <c r="Y53" t="s">
        <v>13809</v>
      </c>
      <c r="AA53" t="s">
        <v>14886</v>
      </c>
      <c r="AB53" t="s">
        <v>14887</v>
      </c>
      <c r="AC53" t="s">
        <v>13818</v>
      </c>
      <c r="AD53" t="s">
        <v>14888</v>
      </c>
      <c r="AH53" t="s">
        <v>13816</v>
      </c>
      <c r="AI53" t="s">
        <v>13808</v>
      </c>
      <c r="AK53" t="s">
        <v>14889</v>
      </c>
      <c r="AL53" t="s">
        <v>13818</v>
      </c>
      <c r="AM53" t="s">
        <v>14888</v>
      </c>
      <c r="AN53" t="s">
        <v>14890</v>
      </c>
      <c r="AO53" t="s">
        <v>13818</v>
      </c>
      <c r="AP53" t="s">
        <v>14888</v>
      </c>
      <c r="AT53" t="s">
        <v>14891</v>
      </c>
      <c r="AU53" t="s">
        <v>13818</v>
      </c>
      <c r="AV53" t="s">
        <v>14888</v>
      </c>
      <c r="AZ53" t="s">
        <v>14892</v>
      </c>
      <c r="BA53" t="s">
        <v>13818</v>
      </c>
      <c r="BB53" t="s">
        <v>14888</v>
      </c>
      <c r="BF53" t="s">
        <v>14893</v>
      </c>
      <c r="BG53" t="s">
        <v>13818</v>
      </c>
      <c r="BH53" t="s">
        <v>14888</v>
      </c>
      <c r="BL53" t="s">
        <v>13735</v>
      </c>
      <c r="BM53" t="s">
        <v>13809</v>
      </c>
      <c r="BR53" t="s">
        <v>14894</v>
      </c>
      <c r="BS53" t="s">
        <v>14290</v>
      </c>
      <c r="BT53" t="s">
        <v>13808</v>
      </c>
      <c r="BU53" t="s">
        <v>14895</v>
      </c>
      <c r="BY53" t="s">
        <v>13826</v>
      </c>
      <c r="BZ53" t="s">
        <v>13808</v>
      </c>
      <c r="CA53" t="s">
        <v>13937</v>
      </c>
      <c r="CE53" t="s">
        <v>13938</v>
      </c>
      <c r="CF53" t="s">
        <v>13808</v>
      </c>
      <c r="CK53" t="s">
        <v>13760</v>
      </c>
      <c r="CL53" t="s">
        <v>13809</v>
      </c>
      <c r="CQ53" t="s">
        <v>13766</v>
      </c>
      <c r="CR53" t="s">
        <v>13809</v>
      </c>
      <c r="CT53" t="s">
        <v>14896</v>
      </c>
      <c r="CU53" t="s">
        <v>14897</v>
      </c>
      <c r="CV53" t="s">
        <v>13808</v>
      </c>
      <c r="CX53" t="s">
        <v>14898</v>
      </c>
      <c r="CY53" t="s">
        <v>13818</v>
      </c>
      <c r="DA53" t="s">
        <v>14899</v>
      </c>
      <c r="DB53" t="s">
        <v>13808</v>
      </c>
      <c r="DD53" t="s">
        <v>14898</v>
      </c>
      <c r="DE53" t="s">
        <v>13818</v>
      </c>
      <c r="DG53" t="s">
        <v>14900</v>
      </c>
      <c r="DH53" t="s">
        <v>13808</v>
      </c>
      <c r="DM53" t="s">
        <v>14901</v>
      </c>
      <c r="DN53" t="s">
        <v>13818</v>
      </c>
      <c r="DO53" t="s">
        <v>13839</v>
      </c>
      <c r="DY53" t="s">
        <v>13840</v>
      </c>
      <c r="DZ53" t="s">
        <v>13841</v>
      </c>
      <c r="EA53" t="s">
        <v>13842</v>
      </c>
      <c r="EC53">
        <v>44607</v>
      </c>
      <c r="ED53" t="s">
        <v>14298</v>
      </c>
      <c r="EE53" t="s">
        <v>5605</v>
      </c>
    </row>
    <row r="54" spans="1:135">
      <c r="A54" t="s">
        <v>1193</v>
      </c>
      <c r="B54" t="s">
        <v>1155</v>
      </c>
      <c r="C54" t="s">
        <v>14902</v>
      </c>
      <c r="D54" s="24">
        <v>45030</v>
      </c>
      <c r="E54" s="24" t="s">
        <v>13555</v>
      </c>
      <c r="F54" s="24" t="s">
        <v>14903</v>
      </c>
      <c r="G54" s="24" t="s">
        <v>13808</v>
      </c>
      <c r="H54" s="24"/>
      <c r="I54" s="24" t="s">
        <v>13809</v>
      </c>
      <c r="J54" s="24"/>
      <c r="K54" s="24" t="s">
        <v>13809</v>
      </c>
      <c r="L54" s="24"/>
      <c r="M54" s="24" t="s">
        <v>14304</v>
      </c>
      <c r="N54" s="24" t="s">
        <v>13808</v>
      </c>
      <c r="O54" s="24"/>
      <c r="P54" s="24" t="s">
        <v>13808</v>
      </c>
      <c r="Q54" s="24"/>
      <c r="R54" s="24" t="s">
        <v>13818</v>
      </c>
      <c r="S54" s="24"/>
      <c r="T54" t="s">
        <v>14904</v>
      </c>
      <c r="U54" t="s">
        <v>13809</v>
      </c>
      <c r="W54" t="s">
        <v>13808</v>
      </c>
      <c r="X54" t="s">
        <v>14905</v>
      </c>
      <c r="Y54" t="s">
        <v>13809</v>
      </c>
      <c r="AA54" t="s">
        <v>14906</v>
      </c>
      <c r="AB54" t="s">
        <v>14907</v>
      </c>
      <c r="AC54" t="s">
        <v>13808</v>
      </c>
      <c r="AH54" t="s">
        <v>13851</v>
      </c>
      <c r="AI54" t="s">
        <v>13808</v>
      </c>
      <c r="AN54" t="s">
        <v>14331</v>
      </c>
      <c r="AO54" t="s">
        <v>13808</v>
      </c>
      <c r="AT54" t="s">
        <v>13820</v>
      </c>
      <c r="AU54" t="s">
        <v>13808</v>
      </c>
      <c r="AZ54" t="s">
        <v>14908</v>
      </c>
      <c r="BA54" t="s">
        <v>13808</v>
      </c>
      <c r="BB54" t="s">
        <v>14909</v>
      </c>
      <c r="BF54" t="s">
        <v>14910</v>
      </c>
      <c r="BG54" t="s">
        <v>13808</v>
      </c>
      <c r="BL54" t="s">
        <v>14911</v>
      </c>
      <c r="BM54" t="s">
        <v>13808</v>
      </c>
      <c r="BR54" t="s">
        <v>14912</v>
      </c>
      <c r="BS54" t="s">
        <v>13824</v>
      </c>
      <c r="BT54" t="s">
        <v>13808</v>
      </c>
      <c r="BU54" t="s">
        <v>14913</v>
      </c>
      <c r="BY54" t="s">
        <v>13860</v>
      </c>
      <c r="BZ54" t="s">
        <v>13808</v>
      </c>
      <c r="CA54" t="s">
        <v>13937</v>
      </c>
      <c r="CE54" t="s">
        <v>13828</v>
      </c>
      <c r="CF54" t="s">
        <v>13808</v>
      </c>
      <c r="CK54" t="s">
        <v>13760</v>
      </c>
      <c r="CL54" t="s">
        <v>13809</v>
      </c>
      <c r="CQ54" t="s">
        <v>13766</v>
      </c>
      <c r="CR54" t="s">
        <v>13809</v>
      </c>
      <c r="CT54" t="s">
        <v>14914</v>
      </c>
      <c r="CU54" t="s">
        <v>14915</v>
      </c>
      <c r="CV54" t="s">
        <v>13808</v>
      </c>
      <c r="CX54" t="s">
        <v>14916</v>
      </c>
      <c r="CY54" t="s">
        <v>13818</v>
      </c>
      <c r="DA54" t="s">
        <v>14917</v>
      </c>
      <c r="DB54" t="s">
        <v>13808</v>
      </c>
      <c r="DD54" t="s">
        <v>14918</v>
      </c>
      <c r="DE54" t="s">
        <v>13818</v>
      </c>
      <c r="DG54" t="s">
        <v>14919</v>
      </c>
      <c r="DH54" t="s">
        <v>13818</v>
      </c>
      <c r="DM54" t="s">
        <v>14920</v>
      </c>
      <c r="DN54" t="s">
        <v>13808</v>
      </c>
      <c r="DP54" t="s">
        <v>14921</v>
      </c>
      <c r="DQ54" t="s">
        <v>13818</v>
      </c>
      <c r="DR54" t="s">
        <v>14922</v>
      </c>
      <c r="DY54" t="s">
        <v>13840</v>
      </c>
      <c r="DZ54" t="s">
        <v>14923</v>
      </c>
      <c r="EA54" t="s">
        <v>14881</v>
      </c>
      <c r="EC54">
        <v>45033</v>
      </c>
      <c r="ED54" t="s">
        <v>13843</v>
      </c>
      <c r="EE54" t="s">
        <v>5609</v>
      </c>
    </row>
    <row r="55" spans="1:135">
      <c r="A55" t="s">
        <v>1817</v>
      </c>
      <c r="B55" t="s">
        <v>1808</v>
      </c>
      <c r="C55" t="s">
        <v>14924</v>
      </c>
      <c r="D55" s="24">
        <v>44517</v>
      </c>
      <c r="E55" s="24" t="s">
        <v>13555</v>
      </c>
      <c r="F55" s="24" t="s">
        <v>14925</v>
      </c>
      <c r="G55" s="24" t="s">
        <v>14699</v>
      </c>
      <c r="H55" s="24"/>
      <c r="I55" s="24" t="s">
        <v>13809</v>
      </c>
      <c r="J55" s="24"/>
      <c r="K55" s="24" t="s">
        <v>13809</v>
      </c>
      <c r="L55" s="24"/>
      <c r="M55" s="24" t="s">
        <v>14926</v>
      </c>
      <c r="N55" s="24" t="s">
        <v>13808</v>
      </c>
      <c r="O55" s="24"/>
      <c r="P55" s="24" t="s">
        <v>13818</v>
      </c>
      <c r="Q55" s="24" t="s">
        <v>14927</v>
      </c>
      <c r="R55" s="24" t="s">
        <v>13808</v>
      </c>
      <c r="S55" s="24"/>
      <c r="T55" t="s">
        <v>14928</v>
      </c>
      <c r="U55" t="s">
        <v>13809</v>
      </c>
      <c r="W55" t="s">
        <v>13808</v>
      </c>
      <c r="X55" t="s">
        <v>14929</v>
      </c>
      <c r="Y55" t="s">
        <v>13808</v>
      </c>
      <c r="Z55" t="s">
        <v>14930</v>
      </c>
      <c r="AA55" t="s">
        <v>14931</v>
      </c>
      <c r="AB55" t="s">
        <v>14932</v>
      </c>
      <c r="AC55" t="s">
        <v>13808</v>
      </c>
      <c r="AH55" t="s">
        <v>13909</v>
      </c>
      <c r="AI55" t="s">
        <v>13808</v>
      </c>
      <c r="AO55" t="s">
        <v>13809</v>
      </c>
      <c r="AT55" t="s">
        <v>14933</v>
      </c>
      <c r="AU55" t="s">
        <v>13808</v>
      </c>
      <c r="AZ55" t="s">
        <v>14189</v>
      </c>
      <c r="BA55" t="s">
        <v>13808</v>
      </c>
      <c r="BF55" t="s">
        <v>14934</v>
      </c>
      <c r="BG55" t="s">
        <v>13808</v>
      </c>
      <c r="BL55" t="s">
        <v>14935</v>
      </c>
      <c r="BM55" t="s">
        <v>13808</v>
      </c>
      <c r="BR55" t="s">
        <v>14936</v>
      </c>
      <c r="BT55" t="s">
        <v>13809</v>
      </c>
      <c r="BY55" t="s">
        <v>14265</v>
      </c>
      <c r="BZ55" t="s">
        <v>13808</v>
      </c>
      <c r="CA55" t="s">
        <v>13937</v>
      </c>
      <c r="CE55" t="s">
        <v>14693</v>
      </c>
      <c r="CF55" t="s">
        <v>13808</v>
      </c>
      <c r="CK55" t="s">
        <v>14265</v>
      </c>
      <c r="CL55" t="s">
        <v>13808</v>
      </c>
      <c r="CN55" t="s">
        <v>14197</v>
      </c>
      <c r="CO55" t="s">
        <v>13808</v>
      </c>
      <c r="CP55" t="s">
        <v>14937</v>
      </c>
      <c r="CR55" t="s">
        <v>13809</v>
      </c>
      <c r="CT55" t="s">
        <v>14938</v>
      </c>
      <c r="CU55" t="s">
        <v>14939</v>
      </c>
      <c r="CV55" t="s">
        <v>13818</v>
      </c>
      <c r="CX55" t="s">
        <v>14940</v>
      </c>
      <c r="CY55" t="s">
        <v>13808</v>
      </c>
      <c r="DA55" t="s">
        <v>14941</v>
      </c>
      <c r="DB55" t="s">
        <v>13818</v>
      </c>
      <c r="DD55" t="s">
        <v>14942</v>
      </c>
      <c r="DE55" t="s">
        <v>13808</v>
      </c>
      <c r="DG55" t="s">
        <v>14943</v>
      </c>
      <c r="DH55" t="s">
        <v>13818</v>
      </c>
      <c r="DJ55" t="s">
        <v>14944</v>
      </c>
      <c r="DK55" t="s">
        <v>13808</v>
      </c>
      <c r="DM55" t="s">
        <v>14945</v>
      </c>
      <c r="DN55" t="s">
        <v>13818</v>
      </c>
      <c r="DP55" t="s">
        <v>14946</v>
      </c>
      <c r="DQ55" t="s">
        <v>13808</v>
      </c>
      <c r="DR55" t="s">
        <v>14947</v>
      </c>
      <c r="DY55" t="s">
        <v>14948</v>
      </c>
      <c r="DZ55" t="s">
        <v>14949</v>
      </c>
      <c r="EA55" t="s">
        <v>14950</v>
      </c>
      <c r="ED55" t="s">
        <v>14722</v>
      </c>
      <c r="EE55" t="s">
        <v>6349</v>
      </c>
    </row>
    <row r="56" spans="1:135">
      <c r="A56" t="s">
        <v>1270</v>
      </c>
      <c r="B56" t="s">
        <v>1246</v>
      </c>
      <c r="C56" t="s">
        <v>14951</v>
      </c>
      <c r="D56" s="24">
        <v>44750</v>
      </c>
      <c r="E56" s="24" t="s">
        <v>13560</v>
      </c>
      <c r="F56" s="24" t="s">
        <v>14952</v>
      </c>
      <c r="G56" s="24" t="s">
        <v>13808</v>
      </c>
      <c r="H56" s="24"/>
      <c r="I56" s="24" t="s">
        <v>13809</v>
      </c>
      <c r="J56" s="24"/>
      <c r="K56" s="24" t="s">
        <v>13808</v>
      </c>
      <c r="L56" s="24"/>
      <c r="M56" s="24" t="s">
        <v>13811</v>
      </c>
      <c r="N56" s="24" t="s">
        <v>13808</v>
      </c>
      <c r="O56" s="24"/>
      <c r="P56" s="24" t="s">
        <v>13808</v>
      </c>
      <c r="Q56" s="24"/>
      <c r="R56" s="24" t="s">
        <v>13808</v>
      </c>
      <c r="S56" s="24"/>
      <c r="T56" t="s">
        <v>14071</v>
      </c>
      <c r="U56" t="s">
        <v>13809</v>
      </c>
      <c r="W56" t="s">
        <v>13809</v>
      </c>
      <c r="Y56" t="s">
        <v>13809</v>
      </c>
      <c r="AA56" t="s">
        <v>14412</v>
      </c>
      <c r="AB56" t="s">
        <v>13699</v>
      </c>
      <c r="AC56" t="s">
        <v>13809</v>
      </c>
      <c r="AH56" t="s">
        <v>14073</v>
      </c>
      <c r="AI56" t="s">
        <v>13808</v>
      </c>
      <c r="AK56" t="s">
        <v>14953</v>
      </c>
      <c r="AL56" t="s">
        <v>13818</v>
      </c>
      <c r="AM56" t="s">
        <v>14309</v>
      </c>
      <c r="AN56" t="s">
        <v>13711</v>
      </c>
      <c r="AO56" t="s">
        <v>13809</v>
      </c>
      <c r="AT56" t="s">
        <v>13717</v>
      </c>
      <c r="AU56" t="s">
        <v>13809</v>
      </c>
      <c r="AZ56" t="s">
        <v>14954</v>
      </c>
      <c r="BA56" t="s">
        <v>13818</v>
      </c>
      <c r="BB56" t="s">
        <v>14309</v>
      </c>
      <c r="BF56" t="s">
        <v>14955</v>
      </c>
      <c r="BG56" t="s">
        <v>13818</v>
      </c>
      <c r="BH56" t="s">
        <v>14309</v>
      </c>
      <c r="BL56" t="s">
        <v>13735</v>
      </c>
      <c r="BM56" t="s">
        <v>13809</v>
      </c>
      <c r="BR56" t="s">
        <v>14956</v>
      </c>
      <c r="BS56" t="s">
        <v>14957</v>
      </c>
      <c r="BT56" t="s">
        <v>13818</v>
      </c>
      <c r="BU56" t="s">
        <v>14958</v>
      </c>
      <c r="BY56" t="s">
        <v>13860</v>
      </c>
      <c r="BZ56" t="s">
        <v>13808</v>
      </c>
      <c r="CA56" t="s">
        <v>13937</v>
      </c>
      <c r="CE56" t="s">
        <v>13828</v>
      </c>
      <c r="CF56" t="s">
        <v>13808</v>
      </c>
      <c r="CK56" t="s">
        <v>13760</v>
      </c>
      <c r="CL56" t="s">
        <v>13809</v>
      </c>
      <c r="CQ56" t="s">
        <v>13766</v>
      </c>
      <c r="CR56" t="s">
        <v>13809</v>
      </c>
      <c r="CT56" t="s">
        <v>14959</v>
      </c>
      <c r="CU56" t="s">
        <v>14960</v>
      </c>
      <c r="CV56" t="s">
        <v>13808</v>
      </c>
      <c r="CX56" t="s">
        <v>14961</v>
      </c>
      <c r="CY56" t="s">
        <v>13818</v>
      </c>
      <c r="DA56" t="s">
        <v>14962</v>
      </c>
      <c r="DB56" t="s">
        <v>13808</v>
      </c>
      <c r="DD56" t="s">
        <v>14963</v>
      </c>
      <c r="DE56" t="s">
        <v>13818</v>
      </c>
      <c r="DF56" t="s">
        <v>14964</v>
      </c>
      <c r="DG56" t="s">
        <v>14965</v>
      </c>
      <c r="DH56" t="s">
        <v>13808</v>
      </c>
      <c r="DJ56" t="s">
        <v>14966</v>
      </c>
      <c r="DK56" t="s">
        <v>13818</v>
      </c>
      <c r="DY56" t="s">
        <v>13840</v>
      </c>
      <c r="DZ56" t="s">
        <v>13841</v>
      </c>
      <c r="EA56" t="s">
        <v>13842</v>
      </c>
      <c r="EC56">
        <v>44754</v>
      </c>
      <c r="ED56" t="s">
        <v>14298</v>
      </c>
      <c r="EE56" t="s">
        <v>5710</v>
      </c>
    </row>
    <row r="57" spans="1:135">
      <c r="A57" t="s">
        <v>1200</v>
      </c>
      <c r="B57" t="s">
        <v>1155</v>
      </c>
      <c r="C57" t="s">
        <v>14967</v>
      </c>
      <c r="D57" s="24">
        <v>43241</v>
      </c>
      <c r="E57" s="24" t="s">
        <v>13555</v>
      </c>
      <c r="F57" s="24" t="s">
        <v>14968</v>
      </c>
      <c r="G57" s="24" t="s">
        <v>13808</v>
      </c>
      <c r="H57" s="24"/>
      <c r="I57" s="24" t="s">
        <v>13809</v>
      </c>
      <c r="J57" s="24"/>
      <c r="K57" s="24" t="s">
        <v>13808</v>
      </c>
      <c r="L57" s="24"/>
      <c r="M57" s="24" t="s">
        <v>13950</v>
      </c>
      <c r="N57" s="24" t="s">
        <v>13808</v>
      </c>
      <c r="O57" s="24"/>
      <c r="P57" s="24" t="s">
        <v>13808</v>
      </c>
      <c r="Q57" s="24"/>
      <c r="R57" s="24" t="s">
        <v>13808</v>
      </c>
      <c r="S57" s="24"/>
      <c r="T57" t="s">
        <v>14969</v>
      </c>
      <c r="U57" t="s">
        <v>13809</v>
      </c>
      <c r="W57" t="s">
        <v>13808</v>
      </c>
      <c r="X57" t="s">
        <v>14970</v>
      </c>
      <c r="Y57" t="s">
        <v>13809</v>
      </c>
      <c r="AA57" t="s">
        <v>14971</v>
      </c>
      <c r="AB57" t="s">
        <v>14851</v>
      </c>
      <c r="AC57" t="s">
        <v>13808</v>
      </c>
      <c r="AH57" t="s">
        <v>13909</v>
      </c>
      <c r="AI57" t="s">
        <v>13808</v>
      </c>
      <c r="AN57" t="s">
        <v>14192</v>
      </c>
      <c r="AO57" t="s">
        <v>13808</v>
      </c>
      <c r="AU57" t="s">
        <v>13809</v>
      </c>
      <c r="AZ57" t="s">
        <v>13892</v>
      </c>
      <c r="BA57" t="s">
        <v>13808</v>
      </c>
      <c r="BF57" t="s">
        <v>14972</v>
      </c>
      <c r="BG57" t="s">
        <v>13808</v>
      </c>
      <c r="BM57" t="s">
        <v>13809</v>
      </c>
      <c r="BR57" t="s">
        <v>14973</v>
      </c>
      <c r="BT57" t="s">
        <v>13809</v>
      </c>
      <c r="BY57" t="s">
        <v>14265</v>
      </c>
      <c r="BZ57" t="s">
        <v>13808</v>
      </c>
      <c r="CA57" t="s">
        <v>13937</v>
      </c>
      <c r="CF57" t="s">
        <v>13809</v>
      </c>
      <c r="CK57" t="s">
        <v>14197</v>
      </c>
      <c r="CL57" t="s">
        <v>13808</v>
      </c>
      <c r="CR57" t="s">
        <v>13809</v>
      </c>
      <c r="CT57" t="s">
        <v>14974</v>
      </c>
      <c r="CU57" t="s">
        <v>13909</v>
      </c>
      <c r="CV57" t="s">
        <v>13808</v>
      </c>
      <c r="DA57" t="s">
        <v>13909</v>
      </c>
      <c r="DB57" t="s">
        <v>13808</v>
      </c>
      <c r="DG57" t="s">
        <v>13909</v>
      </c>
      <c r="DH57" t="s">
        <v>13818</v>
      </c>
      <c r="DY57" t="s">
        <v>14975</v>
      </c>
      <c r="DZ57" t="s">
        <v>14976</v>
      </c>
      <c r="EA57" t="s">
        <v>13971</v>
      </c>
      <c r="EC57">
        <v>44109</v>
      </c>
      <c r="ED57" t="s">
        <v>13903</v>
      </c>
      <c r="EE57" t="s">
        <v>5615</v>
      </c>
    </row>
    <row r="58" spans="1:135">
      <c r="A58" t="s">
        <v>9932</v>
      </c>
      <c r="B58" t="s">
        <v>1246</v>
      </c>
      <c r="C58" t="s">
        <v>14977</v>
      </c>
      <c r="D58" s="24">
        <v>44658</v>
      </c>
      <c r="E58" s="24" t="s">
        <v>13561</v>
      </c>
      <c r="F58" s="24" t="s">
        <v>14978</v>
      </c>
      <c r="G58" s="24" t="s">
        <v>13808</v>
      </c>
      <c r="H58" s="24"/>
      <c r="I58" s="24" t="s">
        <v>13809</v>
      </c>
      <c r="J58" s="24"/>
      <c r="K58" s="24" t="s">
        <v>13808</v>
      </c>
      <c r="L58" s="24" t="s">
        <v>14979</v>
      </c>
      <c r="M58" s="24" t="s">
        <v>14980</v>
      </c>
      <c r="N58" s="24" t="s">
        <v>13808</v>
      </c>
      <c r="O58" s="24"/>
      <c r="P58" s="24" t="s">
        <v>13808</v>
      </c>
      <c r="Q58" s="24"/>
      <c r="R58" s="24" t="s">
        <v>13808</v>
      </c>
      <c r="S58" s="24" t="s">
        <v>14981</v>
      </c>
      <c r="T58" t="s">
        <v>13812</v>
      </c>
      <c r="U58" t="s">
        <v>13809</v>
      </c>
      <c r="W58" t="s">
        <v>13809</v>
      </c>
      <c r="Y58" t="s">
        <v>13809</v>
      </c>
      <c r="AA58" t="s">
        <v>14982</v>
      </c>
      <c r="AB58" t="s">
        <v>14983</v>
      </c>
      <c r="AC58" t="s">
        <v>13818</v>
      </c>
      <c r="AD58" t="s">
        <v>13819</v>
      </c>
      <c r="AH58" t="s">
        <v>13816</v>
      </c>
      <c r="AI58" t="s">
        <v>13808</v>
      </c>
      <c r="AJ58" t="s">
        <v>14984</v>
      </c>
      <c r="AK58" t="s">
        <v>14208</v>
      </c>
      <c r="AL58" t="s">
        <v>13818</v>
      </c>
      <c r="AM58" t="s">
        <v>14985</v>
      </c>
      <c r="AN58" t="s">
        <v>14986</v>
      </c>
      <c r="AO58" t="s">
        <v>13818</v>
      </c>
      <c r="AP58" t="s">
        <v>13819</v>
      </c>
      <c r="AT58" t="s">
        <v>14987</v>
      </c>
      <c r="AU58" t="s">
        <v>13818</v>
      </c>
      <c r="AV58" t="s">
        <v>13819</v>
      </c>
      <c r="AZ58" t="s">
        <v>14988</v>
      </c>
      <c r="BA58" t="s">
        <v>13818</v>
      </c>
      <c r="BB58" t="s">
        <v>13819</v>
      </c>
      <c r="BF58" t="s">
        <v>14989</v>
      </c>
      <c r="BG58" t="s">
        <v>13808</v>
      </c>
      <c r="BL58" t="s">
        <v>14990</v>
      </c>
      <c r="BM58" t="s">
        <v>13818</v>
      </c>
      <c r="BN58" t="s">
        <v>13819</v>
      </c>
      <c r="BR58" t="s">
        <v>14991</v>
      </c>
      <c r="BS58" t="s">
        <v>14290</v>
      </c>
      <c r="BT58" t="s">
        <v>13808</v>
      </c>
      <c r="BU58" t="s">
        <v>14992</v>
      </c>
      <c r="BY58" t="s">
        <v>13826</v>
      </c>
      <c r="BZ58" t="s">
        <v>13808</v>
      </c>
      <c r="CA58" t="s">
        <v>14993</v>
      </c>
      <c r="CE58" t="s">
        <v>13828</v>
      </c>
      <c r="CF58" t="s">
        <v>13808</v>
      </c>
      <c r="CK58" t="s">
        <v>14994</v>
      </c>
      <c r="CL58" t="s">
        <v>13808</v>
      </c>
      <c r="CQ58" t="s">
        <v>13766</v>
      </c>
      <c r="CR58" t="s">
        <v>13809</v>
      </c>
      <c r="CT58" t="s">
        <v>14995</v>
      </c>
      <c r="CU58" t="s">
        <v>14996</v>
      </c>
      <c r="CV58" t="s">
        <v>13808</v>
      </c>
      <c r="CX58" t="s">
        <v>14997</v>
      </c>
      <c r="CY58" t="s">
        <v>13818</v>
      </c>
      <c r="DA58" t="s">
        <v>14998</v>
      </c>
      <c r="DB58" t="s">
        <v>13808</v>
      </c>
      <c r="DD58" t="s">
        <v>14997</v>
      </c>
      <c r="DE58" t="s">
        <v>13818</v>
      </c>
      <c r="DG58" t="s">
        <v>14240</v>
      </c>
      <c r="DH58" t="s">
        <v>13808</v>
      </c>
      <c r="DY58" t="s">
        <v>13840</v>
      </c>
      <c r="DZ58" t="s">
        <v>14406</v>
      </c>
      <c r="EA58" t="s">
        <v>13842</v>
      </c>
      <c r="EC58">
        <v>44659</v>
      </c>
      <c r="ED58" t="s">
        <v>13843</v>
      </c>
      <c r="EE58" t="s">
        <v>13572</v>
      </c>
    </row>
    <row r="59" spans="1:135">
      <c r="A59" t="s">
        <v>1469</v>
      </c>
      <c r="B59" t="s">
        <v>1442</v>
      </c>
      <c r="C59" t="s">
        <v>14999</v>
      </c>
      <c r="D59" s="24">
        <v>43370</v>
      </c>
      <c r="E59" s="24" t="s">
        <v>13558</v>
      </c>
      <c r="F59" s="24" t="s">
        <v>15000</v>
      </c>
      <c r="G59" s="24" t="s">
        <v>13808</v>
      </c>
      <c r="H59" s="24"/>
      <c r="I59" s="24" t="s">
        <v>13809</v>
      </c>
      <c r="J59" s="24"/>
      <c r="K59" s="24" t="s">
        <v>13808</v>
      </c>
      <c r="L59" s="24"/>
      <c r="M59" s="24" t="s">
        <v>14185</v>
      </c>
      <c r="N59" s="24" t="s">
        <v>13808</v>
      </c>
      <c r="O59" s="24"/>
      <c r="P59" s="24" t="s">
        <v>13808</v>
      </c>
      <c r="Q59" s="24"/>
      <c r="R59" s="24" t="s">
        <v>13808</v>
      </c>
      <c r="S59" s="24"/>
      <c r="T59" t="s">
        <v>15001</v>
      </c>
      <c r="U59" t="s">
        <v>13809</v>
      </c>
      <c r="W59" t="s">
        <v>13808</v>
      </c>
      <c r="X59" t="s">
        <v>15002</v>
      </c>
      <c r="Y59" t="s">
        <v>13809</v>
      </c>
      <c r="AA59" t="s">
        <v>15003</v>
      </c>
      <c r="AC59" t="s">
        <v>13809</v>
      </c>
      <c r="AH59" t="s">
        <v>15004</v>
      </c>
      <c r="AI59" t="s">
        <v>13808</v>
      </c>
      <c r="AK59" t="s">
        <v>15005</v>
      </c>
      <c r="AL59" t="s">
        <v>13818</v>
      </c>
      <c r="AM59" t="s">
        <v>15006</v>
      </c>
      <c r="AN59" t="s">
        <v>15007</v>
      </c>
      <c r="AO59" t="s">
        <v>13808</v>
      </c>
      <c r="AT59" t="s">
        <v>15008</v>
      </c>
      <c r="AU59" t="s">
        <v>13808</v>
      </c>
      <c r="AZ59" t="s">
        <v>15009</v>
      </c>
      <c r="BA59" t="s">
        <v>13808</v>
      </c>
      <c r="BF59" t="s">
        <v>14731</v>
      </c>
      <c r="BG59" t="s">
        <v>13808</v>
      </c>
      <c r="BL59" t="s">
        <v>15010</v>
      </c>
      <c r="BM59" t="s">
        <v>13808</v>
      </c>
      <c r="BR59" t="s">
        <v>15011</v>
      </c>
      <c r="BS59" t="s">
        <v>13887</v>
      </c>
      <c r="BT59" t="s">
        <v>13808</v>
      </c>
      <c r="BU59" t="s">
        <v>15012</v>
      </c>
      <c r="BY59" t="s">
        <v>14003</v>
      </c>
      <c r="BZ59" t="s">
        <v>13808</v>
      </c>
      <c r="CA59" t="s">
        <v>13937</v>
      </c>
      <c r="CE59" t="s">
        <v>15013</v>
      </c>
      <c r="CF59" t="s">
        <v>13818</v>
      </c>
      <c r="CG59" t="s">
        <v>15014</v>
      </c>
      <c r="CL59" t="s">
        <v>13809</v>
      </c>
      <c r="CR59" t="s">
        <v>13809</v>
      </c>
      <c r="CT59" t="s">
        <v>15015</v>
      </c>
      <c r="CU59" t="s">
        <v>13909</v>
      </c>
      <c r="CV59" t="s">
        <v>13818</v>
      </c>
      <c r="DA59" t="s">
        <v>13909</v>
      </c>
      <c r="DB59" t="s">
        <v>13818</v>
      </c>
      <c r="DG59" t="s">
        <v>13909</v>
      </c>
      <c r="DH59" t="s">
        <v>13818</v>
      </c>
      <c r="DI59" t="s">
        <v>15016</v>
      </c>
      <c r="DJ59" t="s">
        <v>13909</v>
      </c>
      <c r="DK59" t="s">
        <v>13818</v>
      </c>
      <c r="DL59" t="s">
        <v>15017</v>
      </c>
      <c r="DY59" t="s">
        <v>13840</v>
      </c>
      <c r="DZ59" t="s">
        <v>13970</v>
      </c>
      <c r="EA59" t="s">
        <v>13971</v>
      </c>
      <c r="EB59" t="s">
        <v>15018</v>
      </c>
      <c r="EC59">
        <v>43480</v>
      </c>
      <c r="ED59" t="s">
        <v>13903</v>
      </c>
      <c r="EE59" t="s">
        <v>5931</v>
      </c>
    </row>
    <row r="60" spans="1:135">
      <c r="A60" t="s">
        <v>2175</v>
      </c>
      <c r="B60" t="s">
        <v>2174</v>
      </c>
      <c r="C60" t="s">
        <v>15019</v>
      </c>
      <c r="D60" s="24">
        <v>43216</v>
      </c>
      <c r="E60" s="24" t="s">
        <v>13555</v>
      </c>
      <c r="F60" s="24" t="s">
        <v>15020</v>
      </c>
      <c r="G60" s="24" t="s">
        <v>13808</v>
      </c>
      <c r="H60" s="24"/>
      <c r="I60" s="24" t="s">
        <v>13809</v>
      </c>
      <c r="J60" s="24"/>
      <c r="K60" s="24" t="s">
        <v>13808</v>
      </c>
      <c r="L60" s="24"/>
      <c r="M60" s="24" t="s">
        <v>15021</v>
      </c>
      <c r="N60" s="24" t="s">
        <v>13808</v>
      </c>
      <c r="O60" s="24"/>
      <c r="P60" s="24" t="s">
        <v>13808</v>
      </c>
      <c r="Q60" s="24"/>
      <c r="R60" s="24" t="s">
        <v>13808</v>
      </c>
      <c r="S60" s="24"/>
      <c r="T60" t="s">
        <v>14830</v>
      </c>
      <c r="U60" t="s">
        <v>13808</v>
      </c>
      <c r="W60" t="s">
        <v>13808</v>
      </c>
      <c r="X60" t="s">
        <v>15022</v>
      </c>
      <c r="Y60" t="s">
        <v>13809</v>
      </c>
      <c r="AA60" t="s">
        <v>14850</v>
      </c>
      <c r="AB60" t="s">
        <v>15023</v>
      </c>
      <c r="AC60" t="s">
        <v>13808</v>
      </c>
      <c r="AH60" t="s">
        <v>13909</v>
      </c>
      <c r="AI60" t="s">
        <v>13808</v>
      </c>
      <c r="AN60" t="s">
        <v>15024</v>
      </c>
      <c r="AO60" t="s">
        <v>13808</v>
      </c>
      <c r="AT60" t="s">
        <v>13887</v>
      </c>
      <c r="AU60" t="s">
        <v>13808</v>
      </c>
      <c r="AZ60" t="s">
        <v>15025</v>
      </c>
      <c r="BA60" t="s">
        <v>13808</v>
      </c>
      <c r="BF60" t="s">
        <v>15026</v>
      </c>
      <c r="BG60" t="s">
        <v>13808</v>
      </c>
      <c r="BM60" t="s">
        <v>13809</v>
      </c>
      <c r="BR60" t="s">
        <v>15027</v>
      </c>
      <c r="BS60" t="s">
        <v>13885</v>
      </c>
      <c r="BT60" t="s">
        <v>13808</v>
      </c>
      <c r="BU60" t="s">
        <v>13985</v>
      </c>
      <c r="BY60" t="s">
        <v>13887</v>
      </c>
      <c r="BZ60" t="s">
        <v>13808</v>
      </c>
      <c r="CA60" t="s">
        <v>15028</v>
      </c>
      <c r="CE60" t="s">
        <v>13885</v>
      </c>
      <c r="CF60" t="s">
        <v>13808</v>
      </c>
      <c r="CL60" t="s">
        <v>13809</v>
      </c>
      <c r="CR60" t="s">
        <v>13809</v>
      </c>
      <c r="CT60" t="s">
        <v>15029</v>
      </c>
      <c r="CU60" t="s">
        <v>13909</v>
      </c>
      <c r="CV60" t="s">
        <v>13808</v>
      </c>
      <c r="DA60" t="s">
        <v>13909</v>
      </c>
      <c r="DB60" t="s">
        <v>13808</v>
      </c>
      <c r="DG60" t="s">
        <v>13909</v>
      </c>
      <c r="DH60" t="s">
        <v>13808</v>
      </c>
      <c r="DY60" t="s">
        <v>13840</v>
      </c>
      <c r="DZ60" t="s">
        <v>15030</v>
      </c>
      <c r="EA60" t="s">
        <v>15031</v>
      </c>
      <c r="EC60">
        <v>44110</v>
      </c>
      <c r="ED60" t="s">
        <v>13903</v>
      </c>
      <c r="EE60" t="s">
        <v>6833</v>
      </c>
    </row>
    <row r="61" spans="1:135">
      <c r="A61" t="s">
        <v>9955</v>
      </c>
      <c r="B61" t="s">
        <v>1155</v>
      </c>
      <c r="C61" t="s">
        <v>15032</v>
      </c>
      <c r="D61" s="24">
        <v>43080</v>
      </c>
      <c r="E61" s="24" t="s">
        <v>13550</v>
      </c>
      <c r="F61" s="24" t="s">
        <v>15033</v>
      </c>
      <c r="G61" s="24" t="s">
        <v>13808</v>
      </c>
      <c r="H61" s="24"/>
      <c r="I61" s="24" t="s">
        <v>13809</v>
      </c>
      <c r="J61" s="24"/>
      <c r="K61" s="24" t="s">
        <v>13808</v>
      </c>
      <c r="L61" s="24"/>
      <c r="M61" s="24" t="s">
        <v>14304</v>
      </c>
      <c r="N61" s="24" t="s">
        <v>13808</v>
      </c>
      <c r="O61" s="24"/>
      <c r="P61" s="24" t="s">
        <v>13808</v>
      </c>
      <c r="Q61" s="24"/>
      <c r="R61" s="24" t="s">
        <v>13818</v>
      </c>
      <c r="S61" s="24" t="s">
        <v>15034</v>
      </c>
      <c r="T61" t="s">
        <v>14071</v>
      </c>
      <c r="U61" t="s">
        <v>13809</v>
      </c>
      <c r="W61" t="s">
        <v>13809</v>
      </c>
      <c r="Y61" t="s">
        <v>13809</v>
      </c>
      <c r="AA61" t="s">
        <v>15035</v>
      </c>
      <c r="AB61" t="s">
        <v>15036</v>
      </c>
      <c r="AC61" t="s">
        <v>13818</v>
      </c>
      <c r="AH61" t="s">
        <v>15037</v>
      </c>
      <c r="AI61" t="s">
        <v>13818</v>
      </c>
      <c r="AJ61" t="s">
        <v>13819</v>
      </c>
      <c r="AK61" t="s">
        <v>13851</v>
      </c>
      <c r="AL61" t="s">
        <v>13818</v>
      </c>
      <c r="AN61" t="s">
        <v>15038</v>
      </c>
      <c r="AO61" t="s">
        <v>13818</v>
      </c>
      <c r="AT61" t="s">
        <v>15039</v>
      </c>
      <c r="AU61" t="s">
        <v>13818</v>
      </c>
      <c r="AZ61" t="s">
        <v>15040</v>
      </c>
      <c r="BA61" t="s">
        <v>13818</v>
      </c>
      <c r="BF61" t="s">
        <v>15041</v>
      </c>
      <c r="BG61" t="s">
        <v>13818</v>
      </c>
      <c r="BL61" t="s">
        <v>13735</v>
      </c>
      <c r="BM61" t="s">
        <v>13809</v>
      </c>
      <c r="BR61" t="s">
        <v>15042</v>
      </c>
      <c r="BS61" t="s">
        <v>14290</v>
      </c>
      <c r="BT61" t="s">
        <v>13818</v>
      </c>
      <c r="BU61" t="s">
        <v>14147</v>
      </c>
      <c r="BY61" t="s">
        <v>13860</v>
      </c>
      <c r="BZ61" t="s">
        <v>13818</v>
      </c>
      <c r="CA61" t="s">
        <v>15043</v>
      </c>
      <c r="CE61" t="s">
        <v>13862</v>
      </c>
      <c r="CF61" t="s">
        <v>13818</v>
      </c>
      <c r="CK61" t="s">
        <v>15044</v>
      </c>
      <c r="CL61" t="s">
        <v>13818</v>
      </c>
      <c r="CQ61" t="s">
        <v>13766</v>
      </c>
      <c r="CR61" t="s">
        <v>13809</v>
      </c>
      <c r="CT61" t="s">
        <v>15045</v>
      </c>
      <c r="DG61" t="s">
        <v>14562</v>
      </c>
      <c r="DY61" t="s">
        <v>15046</v>
      </c>
      <c r="DZ61" t="s">
        <v>15047</v>
      </c>
      <c r="EA61" t="s">
        <v>14881</v>
      </c>
      <c r="EC61">
        <v>44622</v>
      </c>
      <c r="ED61" t="s">
        <v>13843</v>
      </c>
      <c r="EE61" t="s">
        <v>13573</v>
      </c>
    </row>
    <row r="62" spans="1:135">
      <c r="A62" t="s">
        <v>2031</v>
      </c>
      <c r="B62" t="s">
        <v>2026</v>
      </c>
      <c r="C62" t="s">
        <v>15048</v>
      </c>
      <c r="D62" s="24">
        <v>43257</v>
      </c>
      <c r="E62" s="24" t="s">
        <v>13557</v>
      </c>
      <c r="F62" s="24" t="s">
        <v>15049</v>
      </c>
      <c r="G62" s="24" t="s">
        <v>13808</v>
      </c>
      <c r="H62" s="24"/>
      <c r="I62" s="24" t="s">
        <v>13809</v>
      </c>
      <c r="J62" s="24"/>
      <c r="K62" s="24" t="s">
        <v>13809</v>
      </c>
      <c r="L62" s="24"/>
      <c r="M62" s="24" t="s">
        <v>15050</v>
      </c>
      <c r="N62" s="24" t="s">
        <v>13808</v>
      </c>
      <c r="O62" s="24"/>
      <c r="P62" s="24" t="s">
        <v>13808</v>
      </c>
      <c r="Q62" s="24"/>
      <c r="R62" s="24" t="s">
        <v>13808</v>
      </c>
      <c r="S62" s="24"/>
      <c r="T62" t="s">
        <v>15051</v>
      </c>
      <c r="U62" t="s">
        <v>13808</v>
      </c>
      <c r="W62" t="s">
        <v>13808</v>
      </c>
      <c r="X62" t="s">
        <v>15052</v>
      </c>
      <c r="Y62" t="s">
        <v>13808</v>
      </c>
      <c r="AA62" t="s">
        <v>15053</v>
      </c>
      <c r="AB62" t="s">
        <v>15054</v>
      </c>
      <c r="AC62" t="s">
        <v>13808</v>
      </c>
      <c r="AH62" t="s">
        <v>13851</v>
      </c>
      <c r="AI62" t="s">
        <v>13808</v>
      </c>
      <c r="AN62" t="s">
        <v>15055</v>
      </c>
      <c r="AO62" t="s">
        <v>13809</v>
      </c>
      <c r="AT62" t="s">
        <v>15056</v>
      </c>
      <c r="AU62" t="s">
        <v>13808</v>
      </c>
      <c r="AZ62" t="s">
        <v>15057</v>
      </c>
      <c r="BA62" t="s">
        <v>13808</v>
      </c>
      <c r="BF62" t="s">
        <v>14211</v>
      </c>
      <c r="BG62" t="s">
        <v>13808</v>
      </c>
      <c r="BL62" t="s">
        <v>13934</v>
      </c>
      <c r="BM62" t="s">
        <v>13809</v>
      </c>
      <c r="BR62" t="s">
        <v>15058</v>
      </c>
      <c r="BS62" t="s">
        <v>14213</v>
      </c>
      <c r="BT62" t="s">
        <v>13808</v>
      </c>
      <c r="BU62" t="s">
        <v>14315</v>
      </c>
      <c r="BY62" t="s">
        <v>13860</v>
      </c>
      <c r="BZ62" t="s">
        <v>13808</v>
      </c>
      <c r="CA62" t="s">
        <v>13937</v>
      </c>
      <c r="CE62" t="s">
        <v>13828</v>
      </c>
      <c r="CF62" t="s">
        <v>13808</v>
      </c>
      <c r="CK62" t="s">
        <v>15059</v>
      </c>
      <c r="CL62" t="s">
        <v>13809</v>
      </c>
      <c r="CQ62" t="s">
        <v>13766</v>
      </c>
      <c r="CR62" t="s">
        <v>13809</v>
      </c>
      <c r="CT62" t="s">
        <v>15060</v>
      </c>
      <c r="CU62" t="s">
        <v>15061</v>
      </c>
      <c r="CV62" t="s">
        <v>13808</v>
      </c>
      <c r="CX62" t="s">
        <v>15062</v>
      </c>
      <c r="CY62" t="s">
        <v>13818</v>
      </c>
      <c r="DA62" t="s">
        <v>15063</v>
      </c>
      <c r="DB62" t="s">
        <v>13818</v>
      </c>
      <c r="DD62" t="s">
        <v>15062</v>
      </c>
      <c r="DH62" t="s">
        <v>13818</v>
      </c>
      <c r="DZ62" t="s">
        <v>15064</v>
      </c>
      <c r="EA62" t="s">
        <v>15065</v>
      </c>
      <c r="EC62">
        <v>44622</v>
      </c>
      <c r="ED62" t="s">
        <v>13843</v>
      </c>
      <c r="EE62" t="s">
        <v>6635</v>
      </c>
    </row>
    <row r="63" spans="1:135">
      <c r="A63" t="s">
        <v>1821</v>
      </c>
      <c r="B63" t="s">
        <v>1808</v>
      </c>
      <c r="C63" t="s">
        <v>15066</v>
      </c>
      <c r="D63" s="24">
        <v>43314</v>
      </c>
      <c r="E63" s="24" t="s">
        <v>13557</v>
      </c>
      <c r="F63" s="24" t="s">
        <v>15067</v>
      </c>
      <c r="G63" s="24" t="s">
        <v>13808</v>
      </c>
      <c r="H63" s="24"/>
      <c r="I63" s="24" t="s">
        <v>13809</v>
      </c>
      <c r="J63" s="24"/>
      <c r="K63" s="24" t="s">
        <v>13809</v>
      </c>
      <c r="L63" s="24"/>
      <c r="M63" s="24" t="s">
        <v>15068</v>
      </c>
      <c r="N63" s="24" t="s">
        <v>13808</v>
      </c>
      <c r="O63" s="24"/>
      <c r="P63" s="24" t="s">
        <v>13808</v>
      </c>
      <c r="Q63" s="24"/>
      <c r="R63" s="24" t="s">
        <v>13808</v>
      </c>
      <c r="S63" s="24"/>
      <c r="T63" t="s">
        <v>15069</v>
      </c>
      <c r="U63" t="s">
        <v>13809</v>
      </c>
      <c r="W63" t="s">
        <v>13808</v>
      </c>
      <c r="X63" t="s">
        <v>15070</v>
      </c>
      <c r="Y63" t="s">
        <v>13808</v>
      </c>
      <c r="AA63" t="s">
        <v>15003</v>
      </c>
      <c r="AB63" t="s">
        <v>15071</v>
      </c>
      <c r="AC63" t="s">
        <v>13808</v>
      </c>
      <c r="AH63" t="s">
        <v>15072</v>
      </c>
      <c r="AI63" t="s">
        <v>13808</v>
      </c>
      <c r="AK63" t="s">
        <v>15073</v>
      </c>
      <c r="AL63" t="s">
        <v>13818</v>
      </c>
      <c r="AO63" t="s">
        <v>13809</v>
      </c>
      <c r="AT63" t="s">
        <v>15074</v>
      </c>
      <c r="AU63" t="s">
        <v>13808</v>
      </c>
      <c r="AW63" t="s">
        <v>15075</v>
      </c>
      <c r="AZ63" t="s">
        <v>14046</v>
      </c>
      <c r="BA63" t="s">
        <v>13808</v>
      </c>
      <c r="BF63" t="s">
        <v>15076</v>
      </c>
      <c r="BG63" t="s">
        <v>13808</v>
      </c>
      <c r="BL63" t="s">
        <v>15077</v>
      </c>
      <c r="BM63" t="s">
        <v>13808</v>
      </c>
      <c r="BR63" t="s">
        <v>15078</v>
      </c>
      <c r="BS63" t="s">
        <v>15079</v>
      </c>
      <c r="BT63" t="s">
        <v>13818</v>
      </c>
      <c r="BU63" t="s">
        <v>14528</v>
      </c>
      <c r="BY63" t="s">
        <v>14265</v>
      </c>
      <c r="BZ63" t="s">
        <v>13808</v>
      </c>
      <c r="CA63" t="s">
        <v>15080</v>
      </c>
      <c r="CE63" t="s">
        <v>13887</v>
      </c>
      <c r="CF63" t="s">
        <v>13808</v>
      </c>
      <c r="CG63" t="s">
        <v>15081</v>
      </c>
      <c r="CL63" t="s">
        <v>13809</v>
      </c>
      <c r="CR63" t="s">
        <v>13809</v>
      </c>
      <c r="CT63" t="s">
        <v>15082</v>
      </c>
      <c r="CU63" t="s">
        <v>13909</v>
      </c>
      <c r="CV63" t="s">
        <v>13808</v>
      </c>
      <c r="DA63" t="s">
        <v>13909</v>
      </c>
      <c r="DB63" t="s">
        <v>13808</v>
      </c>
      <c r="DG63" t="s">
        <v>13909</v>
      </c>
      <c r="DH63" t="s">
        <v>13808</v>
      </c>
      <c r="DZ63" t="s">
        <v>15083</v>
      </c>
      <c r="EA63" t="s">
        <v>14201</v>
      </c>
      <c r="EC63">
        <v>43480</v>
      </c>
      <c r="ED63" t="s">
        <v>13903</v>
      </c>
      <c r="EE63" t="s">
        <v>6353</v>
      </c>
    </row>
    <row r="64" spans="1:135">
      <c r="A64" t="s">
        <v>2179</v>
      </c>
      <c r="B64" t="s">
        <v>2174</v>
      </c>
      <c r="C64" t="s">
        <v>15084</v>
      </c>
      <c r="D64" s="24">
        <v>43994</v>
      </c>
      <c r="E64" s="24" t="s">
        <v>13557</v>
      </c>
      <c r="F64" s="24" t="s">
        <v>15085</v>
      </c>
      <c r="G64" s="24" t="s">
        <v>13808</v>
      </c>
      <c r="H64" s="24"/>
      <c r="I64" s="24" t="s">
        <v>13809</v>
      </c>
      <c r="J64" s="24"/>
      <c r="K64" s="24" t="s">
        <v>13808</v>
      </c>
      <c r="L64" s="24"/>
      <c r="M64" s="24" t="s">
        <v>15086</v>
      </c>
      <c r="N64" s="24" t="s">
        <v>13808</v>
      </c>
      <c r="O64" s="24"/>
      <c r="P64" s="24" t="s">
        <v>13818</v>
      </c>
      <c r="Q64" s="24" t="s">
        <v>15087</v>
      </c>
      <c r="R64" s="24" t="s">
        <v>13808</v>
      </c>
      <c r="S64" s="24"/>
      <c r="T64" t="s">
        <v>13907</v>
      </c>
      <c r="U64" t="s">
        <v>13808</v>
      </c>
      <c r="W64" t="s">
        <v>13808</v>
      </c>
      <c r="X64" t="s">
        <v>15088</v>
      </c>
      <c r="Y64" t="s">
        <v>13809</v>
      </c>
      <c r="AA64" t="s">
        <v>15089</v>
      </c>
      <c r="AB64" t="s">
        <v>13699</v>
      </c>
      <c r="AC64" t="s">
        <v>13809</v>
      </c>
      <c r="AH64" t="s">
        <v>13851</v>
      </c>
      <c r="AI64" t="s">
        <v>13808</v>
      </c>
      <c r="AN64" t="s">
        <v>15090</v>
      </c>
      <c r="AO64" t="s">
        <v>13808</v>
      </c>
      <c r="AT64" t="s">
        <v>15091</v>
      </c>
      <c r="AU64" t="s">
        <v>13808</v>
      </c>
      <c r="AZ64" t="s">
        <v>15092</v>
      </c>
      <c r="BA64" t="s">
        <v>13808</v>
      </c>
      <c r="BF64" t="s">
        <v>15093</v>
      </c>
      <c r="BG64" t="s">
        <v>13808</v>
      </c>
      <c r="BL64" t="s">
        <v>15094</v>
      </c>
      <c r="BM64" t="s">
        <v>13808</v>
      </c>
      <c r="BR64" t="s">
        <v>15095</v>
      </c>
      <c r="BS64" t="s">
        <v>13824</v>
      </c>
      <c r="BT64" t="s">
        <v>13808</v>
      </c>
      <c r="BU64" t="s">
        <v>15096</v>
      </c>
      <c r="BY64" t="s">
        <v>15097</v>
      </c>
      <c r="BZ64" t="s">
        <v>13808</v>
      </c>
      <c r="CA64" t="s">
        <v>13861</v>
      </c>
      <c r="CE64" t="s">
        <v>13828</v>
      </c>
      <c r="CF64" t="s">
        <v>13808</v>
      </c>
      <c r="CK64" t="s">
        <v>14216</v>
      </c>
      <c r="CL64" t="s">
        <v>13808</v>
      </c>
      <c r="CQ64" t="s">
        <v>13766</v>
      </c>
      <c r="CR64" t="s">
        <v>13809</v>
      </c>
      <c r="CT64" t="s">
        <v>15098</v>
      </c>
      <c r="CU64" t="s">
        <v>15099</v>
      </c>
      <c r="CV64" t="s">
        <v>13808</v>
      </c>
      <c r="DA64" t="s">
        <v>15100</v>
      </c>
      <c r="DB64" t="s">
        <v>13808</v>
      </c>
      <c r="DG64" t="s">
        <v>15101</v>
      </c>
      <c r="DH64" t="s">
        <v>13808</v>
      </c>
      <c r="DY64" t="s">
        <v>15102</v>
      </c>
      <c r="DZ64" t="s">
        <v>15103</v>
      </c>
      <c r="EA64" t="s">
        <v>13842</v>
      </c>
      <c r="EC64">
        <v>44623</v>
      </c>
      <c r="ED64" t="s">
        <v>13843</v>
      </c>
      <c r="EE64" t="s">
        <v>6842</v>
      </c>
    </row>
    <row r="65" spans="1:135">
      <c r="A65" t="s">
        <v>10007</v>
      </c>
      <c r="B65" t="s">
        <v>1808</v>
      </c>
      <c r="C65" t="s">
        <v>15104</v>
      </c>
      <c r="D65" s="24">
        <v>44575</v>
      </c>
      <c r="E65" s="24" t="s">
        <v>13550</v>
      </c>
      <c r="F65" s="24" t="s">
        <v>15105</v>
      </c>
      <c r="G65" s="24" t="s">
        <v>13808</v>
      </c>
      <c r="H65" s="24"/>
      <c r="I65" s="24" t="s">
        <v>13809</v>
      </c>
      <c r="J65" s="24"/>
      <c r="K65" s="24" t="s">
        <v>13808</v>
      </c>
      <c r="L65" s="24"/>
      <c r="M65" s="24" t="s">
        <v>15106</v>
      </c>
      <c r="N65" s="24" t="s">
        <v>13808</v>
      </c>
      <c r="O65" s="24"/>
      <c r="P65" s="24" t="s">
        <v>13818</v>
      </c>
      <c r="Q65" s="24" t="s">
        <v>14885</v>
      </c>
      <c r="R65" s="24" t="s">
        <v>13808</v>
      </c>
      <c r="S65" s="24"/>
      <c r="T65" t="s">
        <v>13812</v>
      </c>
      <c r="U65" t="s">
        <v>13809</v>
      </c>
      <c r="W65" t="s">
        <v>13809</v>
      </c>
      <c r="Y65" t="s">
        <v>13809</v>
      </c>
      <c r="AA65" t="s">
        <v>15107</v>
      </c>
      <c r="AB65" t="s">
        <v>15108</v>
      </c>
      <c r="AC65" t="s">
        <v>13818</v>
      </c>
      <c r="AD65" t="s">
        <v>14888</v>
      </c>
      <c r="AH65" t="s">
        <v>13851</v>
      </c>
      <c r="AI65" t="s">
        <v>13818</v>
      </c>
      <c r="AJ65" t="s">
        <v>14888</v>
      </c>
      <c r="AN65" t="s">
        <v>15109</v>
      </c>
      <c r="AO65" t="s">
        <v>13818</v>
      </c>
      <c r="AP65" t="s">
        <v>14888</v>
      </c>
      <c r="AT65" t="s">
        <v>15110</v>
      </c>
      <c r="AU65" t="s">
        <v>13818</v>
      </c>
      <c r="AV65" t="s">
        <v>14888</v>
      </c>
      <c r="AZ65" t="s">
        <v>15111</v>
      </c>
      <c r="BA65" t="s">
        <v>13818</v>
      </c>
      <c r="BB65" t="s">
        <v>14888</v>
      </c>
      <c r="BF65" t="s">
        <v>15112</v>
      </c>
      <c r="BG65" t="s">
        <v>13818</v>
      </c>
      <c r="BH65" t="s">
        <v>14888</v>
      </c>
      <c r="BL65" t="s">
        <v>13735</v>
      </c>
      <c r="BM65" t="s">
        <v>13809</v>
      </c>
      <c r="BR65" t="s">
        <v>15113</v>
      </c>
      <c r="BS65" t="s">
        <v>14290</v>
      </c>
      <c r="BT65" t="s">
        <v>13808</v>
      </c>
      <c r="BU65" t="s">
        <v>15114</v>
      </c>
      <c r="BY65" t="s">
        <v>13860</v>
      </c>
      <c r="BZ65" t="s">
        <v>13808</v>
      </c>
      <c r="CA65" t="s">
        <v>13937</v>
      </c>
      <c r="CE65" t="s">
        <v>13828</v>
      </c>
      <c r="CF65" t="s">
        <v>13809</v>
      </c>
      <c r="CK65" t="s">
        <v>13760</v>
      </c>
      <c r="CL65" t="s">
        <v>13808</v>
      </c>
      <c r="CQ65" t="s">
        <v>13766</v>
      </c>
      <c r="CR65" t="s">
        <v>13809</v>
      </c>
      <c r="CT65" t="s">
        <v>13830</v>
      </c>
      <c r="CU65" t="s">
        <v>15115</v>
      </c>
      <c r="CV65" t="s">
        <v>13818</v>
      </c>
      <c r="DA65" t="s">
        <v>15116</v>
      </c>
      <c r="DB65" t="s">
        <v>13818</v>
      </c>
      <c r="DG65" t="s">
        <v>15117</v>
      </c>
      <c r="DH65" t="s">
        <v>13818</v>
      </c>
      <c r="DY65" t="s">
        <v>13840</v>
      </c>
      <c r="DZ65" t="s">
        <v>14406</v>
      </c>
      <c r="EA65" t="s">
        <v>13842</v>
      </c>
      <c r="EC65">
        <v>44610</v>
      </c>
      <c r="ED65" t="s">
        <v>14298</v>
      </c>
      <c r="EE65" t="s">
        <v>13574</v>
      </c>
    </row>
    <row r="66" spans="1:135">
      <c r="A66" t="s">
        <v>1703</v>
      </c>
      <c r="B66" t="s">
        <v>1683</v>
      </c>
      <c r="C66" t="s">
        <v>15118</v>
      </c>
      <c r="D66" s="24">
        <v>43761</v>
      </c>
      <c r="E66" s="24" t="s">
        <v>13555</v>
      </c>
      <c r="F66" s="24" t="s">
        <v>15119</v>
      </c>
      <c r="G66" s="24" t="s">
        <v>13808</v>
      </c>
      <c r="H66" s="24"/>
      <c r="I66" s="24" t="s">
        <v>13808</v>
      </c>
      <c r="J66" s="24"/>
      <c r="K66" s="24" t="s">
        <v>13808</v>
      </c>
      <c r="L66" s="24"/>
      <c r="M66" s="24" t="s">
        <v>15120</v>
      </c>
      <c r="N66" s="24" t="s">
        <v>13808</v>
      </c>
      <c r="O66" s="24"/>
      <c r="P66" s="24" t="s">
        <v>13808</v>
      </c>
      <c r="Q66" s="24"/>
      <c r="R66" s="24" t="s">
        <v>13808</v>
      </c>
      <c r="S66" s="24"/>
      <c r="T66" t="s">
        <v>14034</v>
      </c>
      <c r="U66" t="s">
        <v>13809</v>
      </c>
      <c r="W66" t="s">
        <v>13808</v>
      </c>
      <c r="X66" t="s">
        <v>15121</v>
      </c>
      <c r="Y66" t="s">
        <v>13809</v>
      </c>
      <c r="AA66" t="s">
        <v>13877</v>
      </c>
      <c r="AC66" t="s">
        <v>13809</v>
      </c>
      <c r="AH66" t="s">
        <v>13909</v>
      </c>
      <c r="AI66" t="s">
        <v>13808</v>
      </c>
      <c r="AN66" t="s">
        <v>15122</v>
      </c>
      <c r="AO66" t="s">
        <v>13808</v>
      </c>
      <c r="AT66" t="s">
        <v>15123</v>
      </c>
      <c r="AU66" t="s">
        <v>13808</v>
      </c>
      <c r="AZ66" t="s">
        <v>15124</v>
      </c>
      <c r="BA66" t="s">
        <v>13808</v>
      </c>
      <c r="BF66" t="s">
        <v>13882</v>
      </c>
      <c r="BG66" t="s">
        <v>13808</v>
      </c>
      <c r="BM66" t="s">
        <v>13809</v>
      </c>
      <c r="BR66" t="s">
        <v>15125</v>
      </c>
      <c r="BS66" t="s">
        <v>13887</v>
      </c>
      <c r="BT66" t="s">
        <v>13808</v>
      </c>
      <c r="BU66" t="s">
        <v>14010</v>
      </c>
      <c r="BY66" t="s">
        <v>14265</v>
      </c>
      <c r="BZ66" t="s">
        <v>13808</v>
      </c>
      <c r="CA66" t="s">
        <v>13888</v>
      </c>
      <c r="CE66" t="s">
        <v>13887</v>
      </c>
      <c r="CF66" t="s">
        <v>13808</v>
      </c>
      <c r="CL66" t="s">
        <v>13809</v>
      </c>
      <c r="CR66" t="s">
        <v>13809</v>
      </c>
      <c r="CT66" t="s">
        <v>15126</v>
      </c>
      <c r="CU66" t="s">
        <v>15127</v>
      </c>
      <c r="CV66" t="s">
        <v>13808</v>
      </c>
      <c r="CX66" t="s">
        <v>15128</v>
      </c>
      <c r="CY66" t="s">
        <v>13818</v>
      </c>
      <c r="DA66" t="s">
        <v>15129</v>
      </c>
      <c r="DB66" t="s">
        <v>13808</v>
      </c>
      <c r="DD66" t="s">
        <v>15128</v>
      </c>
      <c r="DE66" t="s">
        <v>13818</v>
      </c>
      <c r="DH66" t="s">
        <v>13809</v>
      </c>
      <c r="DM66" t="s">
        <v>15130</v>
      </c>
      <c r="DN66" t="s">
        <v>13808</v>
      </c>
      <c r="DY66" t="s">
        <v>13920</v>
      </c>
      <c r="DZ66" t="s">
        <v>15131</v>
      </c>
      <c r="EA66" t="s">
        <v>14049</v>
      </c>
      <c r="EC66">
        <v>43788</v>
      </c>
      <c r="ED66" t="s">
        <v>13903</v>
      </c>
      <c r="EE66" t="s">
        <v>6221</v>
      </c>
    </row>
    <row r="67" spans="1:135">
      <c r="A67" t="s">
        <v>1825</v>
      </c>
      <c r="B67" t="s">
        <v>1808</v>
      </c>
      <c r="C67" t="s">
        <v>15132</v>
      </c>
      <c r="D67" s="24">
        <v>43749</v>
      </c>
      <c r="E67" s="24" t="s">
        <v>13555</v>
      </c>
      <c r="F67" s="24" t="s">
        <v>15133</v>
      </c>
      <c r="G67" s="24" t="s">
        <v>13808</v>
      </c>
      <c r="H67" s="24"/>
      <c r="I67" s="24" t="s">
        <v>13809</v>
      </c>
      <c r="J67" s="24"/>
      <c r="K67" s="24" t="s">
        <v>13809</v>
      </c>
      <c r="L67" s="24"/>
      <c r="M67" s="24" t="s">
        <v>14163</v>
      </c>
      <c r="N67" s="24" t="s">
        <v>13808</v>
      </c>
      <c r="O67" s="24"/>
      <c r="P67" s="24" t="s">
        <v>13808</v>
      </c>
      <c r="Q67" s="24"/>
      <c r="R67" s="24" t="s">
        <v>13808</v>
      </c>
      <c r="S67" s="24"/>
      <c r="T67" t="s">
        <v>14016</v>
      </c>
      <c r="U67" t="s">
        <v>13809</v>
      </c>
      <c r="W67" t="s">
        <v>13808</v>
      </c>
      <c r="X67" t="s">
        <v>15134</v>
      </c>
      <c r="Y67" t="s">
        <v>13809</v>
      </c>
      <c r="AA67" t="s">
        <v>13877</v>
      </c>
      <c r="AC67" t="s">
        <v>13809</v>
      </c>
      <c r="AH67" t="s">
        <v>13909</v>
      </c>
      <c r="AI67" t="s">
        <v>13808</v>
      </c>
      <c r="AO67" t="s">
        <v>13809</v>
      </c>
      <c r="AT67" t="s">
        <v>15135</v>
      </c>
      <c r="AU67" t="s">
        <v>13808</v>
      </c>
      <c r="AZ67" t="s">
        <v>14706</v>
      </c>
      <c r="BA67" t="s">
        <v>13808</v>
      </c>
      <c r="BF67" t="s">
        <v>14005</v>
      </c>
      <c r="BG67" t="s">
        <v>13808</v>
      </c>
      <c r="BL67" t="s">
        <v>15136</v>
      </c>
      <c r="BM67" t="s">
        <v>13808</v>
      </c>
      <c r="BR67" t="s">
        <v>15137</v>
      </c>
      <c r="BS67" t="s">
        <v>13885</v>
      </c>
      <c r="BT67" t="s">
        <v>13808</v>
      </c>
      <c r="BU67" t="s">
        <v>14025</v>
      </c>
      <c r="BY67" t="s">
        <v>13887</v>
      </c>
      <c r="BZ67" t="s">
        <v>13808</v>
      </c>
      <c r="CA67" t="s">
        <v>14026</v>
      </c>
      <c r="CE67" t="s">
        <v>15138</v>
      </c>
      <c r="CF67" t="s">
        <v>13808</v>
      </c>
      <c r="CG67" t="s">
        <v>14173</v>
      </c>
      <c r="CL67" t="s">
        <v>13809</v>
      </c>
      <c r="CR67" t="s">
        <v>13809</v>
      </c>
      <c r="CT67" t="s">
        <v>15139</v>
      </c>
      <c r="CU67" t="s">
        <v>15140</v>
      </c>
      <c r="CV67" t="s">
        <v>13808</v>
      </c>
      <c r="DA67" t="s">
        <v>15141</v>
      </c>
      <c r="DB67" t="s">
        <v>13808</v>
      </c>
      <c r="DH67" t="s">
        <v>13809</v>
      </c>
      <c r="DM67" t="s">
        <v>15142</v>
      </c>
      <c r="DN67" t="s">
        <v>13808</v>
      </c>
      <c r="DP67" t="s">
        <v>15143</v>
      </c>
      <c r="DQ67" t="s">
        <v>13808</v>
      </c>
      <c r="DY67" t="s">
        <v>15144</v>
      </c>
      <c r="DZ67" t="s">
        <v>15145</v>
      </c>
      <c r="EA67" t="s">
        <v>15146</v>
      </c>
      <c r="EC67">
        <v>43788</v>
      </c>
      <c r="ED67" t="s">
        <v>13903</v>
      </c>
      <c r="EE67" t="s">
        <v>6357</v>
      </c>
    </row>
    <row r="68" spans="1:135">
      <c r="A68" t="s">
        <v>10037</v>
      </c>
      <c r="B68" t="s">
        <v>1246</v>
      </c>
      <c r="C68" t="s">
        <v>15147</v>
      </c>
      <c r="D68" s="24">
        <v>44665</v>
      </c>
      <c r="E68" s="24" t="s">
        <v>13561</v>
      </c>
      <c r="F68" s="24" t="s">
        <v>15148</v>
      </c>
      <c r="G68" s="24" t="s">
        <v>13808</v>
      </c>
      <c r="H68" s="24"/>
      <c r="I68" s="24" t="s">
        <v>13809</v>
      </c>
      <c r="J68" s="24"/>
      <c r="K68" s="24" t="s">
        <v>13808</v>
      </c>
      <c r="L68" s="24" t="s">
        <v>15149</v>
      </c>
      <c r="M68" s="24" t="s">
        <v>15150</v>
      </c>
      <c r="N68" s="24" t="s">
        <v>13818</v>
      </c>
      <c r="O68" s="24" t="s">
        <v>14520</v>
      </c>
      <c r="P68" s="24" t="s">
        <v>13808</v>
      </c>
      <c r="Q68" s="24"/>
      <c r="R68" s="24" t="s">
        <v>13818</v>
      </c>
      <c r="S68" s="24" t="s">
        <v>15151</v>
      </c>
      <c r="T68" t="s">
        <v>13812</v>
      </c>
      <c r="U68" t="s">
        <v>13809</v>
      </c>
      <c r="W68" t="s">
        <v>13809</v>
      </c>
      <c r="Y68" t="s">
        <v>13809</v>
      </c>
      <c r="AA68" t="s">
        <v>15152</v>
      </c>
      <c r="AB68" t="s">
        <v>15153</v>
      </c>
      <c r="AC68" t="s">
        <v>13808</v>
      </c>
      <c r="AH68" t="s">
        <v>14772</v>
      </c>
      <c r="AI68" t="s">
        <v>13818</v>
      </c>
      <c r="AJ68" t="s">
        <v>13819</v>
      </c>
      <c r="AN68" t="s">
        <v>13711</v>
      </c>
      <c r="AO68" t="s">
        <v>13809</v>
      </c>
      <c r="AT68" t="s">
        <v>13717</v>
      </c>
      <c r="AU68" t="s">
        <v>13809</v>
      </c>
      <c r="AZ68" t="s">
        <v>15154</v>
      </c>
      <c r="BA68" t="s">
        <v>13818</v>
      </c>
      <c r="BB68" t="s">
        <v>13819</v>
      </c>
      <c r="BF68" t="s">
        <v>15155</v>
      </c>
      <c r="BG68" t="s">
        <v>13818</v>
      </c>
      <c r="BH68" t="s">
        <v>13819</v>
      </c>
      <c r="BL68" t="s">
        <v>13735</v>
      </c>
      <c r="BM68" t="s">
        <v>13809</v>
      </c>
      <c r="BR68" t="s">
        <v>15156</v>
      </c>
      <c r="BS68" t="s">
        <v>13742</v>
      </c>
      <c r="BT68" t="s">
        <v>13809</v>
      </c>
      <c r="BY68" t="s">
        <v>13826</v>
      </c>
      <c r="BZ68" t="s">
        <v>13808</v>
      </c>
      <c r="CA68" t="s">
        <v>13861</v>
      </c>
      <c r="CE68" t="s">
        <v>13754</v>
      </c>
      <c r="CF68" t="s">
        <v>13809</v>
      </c>
      <c r="CK68" t="s">
        <v>13760</v>
      </c>
      <c r="CL68" t="s">
        <v>13809</v>
      </c>
      <c r="CQ68" t="s">
        <v>13766</v>
      </c>
      <c r="CR68" t="s">
        <v>13809</v>
      </c>
      <c r="CT68" t="s">
        <v>14781</v>
      </c>
      <c r="CU68" t="s">
        <v>15157</v>
      </c>
      <c r="CV68" t="s">
        <v>13818</v>
      </c>
      <c r="DA68" t="s">
        <v>15158</v>
      </c>
      <c r="DB68" t="s">
        <v>13818</v>
      </c>
      <c r="DG68" t="s">
        <v>15159</v>
      </c>
      <c r="DH68" t="s">
        <v>13818</v>
      </c>
      <c r="DY68" t="s">
        <v>13840</v>
      </c>
      <c r="DZ68" t="s">
        <v>15160</v>
      </c>
      <c r="EA68" t="s">
        <v>14118</v>
      </c>
      <c r="EC68">
        <v>44677</v>
      </c>
      <c r="ED68" t="s">
        <v>13843</v>
      </c>
      <c r="EE68" t="s">
        <v>13575</v>
      </c>
    </row>
    <row r="69" spans="1:135">
      <c r="A69" t="s">
        <v>2121</v>
      </c>
      <c r="B69" t="s">
        <v>2098</v>
      </c>
      <c r="C69" t="s">
        <v>15161</v>
      </c>
      <c r="D69" s="24">
        <v>43082</v>
      </c>
      <c r="E69" s="24" t="s">
        <v>13565</v>
      </c>
      <c r="F69" s="24" t="s">
        <v>15162</v>
      </c>
      <c r="G69" s="24" t="s">
        <v>13808</v>
      </c>
      <c r="H69" s="24"/>
      <c r="I69" s="24" t="s">
        <v>13809</v>
      </c>
      <c r="J69" s="24"/>
      <c r="K69" s="24" t="s">
        <v>13808</v>
      </c>
      <c r="L69" s="24"/>
      <c r="M69" s="24" t="s">
        <v>15163</v>
      </c>
      <c r="N69" s="24" t="s">
        <v>13808</v>
      </c>
      <c r="O69" s="24"/>
      <c r="P69" s="24" t="s">
        <v>13808</v>
      </c>
      <c r="Q69" s="24"/>
      <c r="R69" s="24" t="s">
        <v>13808</v>
      </c>
      <c r="S69" s="24"/>
      <c r="T69" t="s">
        <v>15164</v>
      </c>
      <c r="U69" t="s">
        <v>13809</v>
      </c>
      <c r="W69" t="s">
        <v>13808</v>
      </c>
      <c r="X69" t="s">
        <v>15165</v>
      </c>
      <c r="Y69" t="s">
        <v>13808</v>
      </c>
      <c r="AA69" t="s">
        <v>15166</v>
      </c>
      <c r="AB69" t="s">
        <v>15167</v>
      </c>
      <c r="AC69" t="s">
        <v>13808</v>
      </c>
      <c r="AH69" t="s">
        <v>13851</v>
      </c>
      <c r="AI69" t="s">
        <v>13808</v>
      </c>
      <c r="AN69" t="s">
        <v>15168</v>
      </c>
      <c r="AO69" t="s">
        <v>13808</v>
      </c>
      <c r="AT69" t="s">
        <v>15169</v>
      </c>
      <c r="AU69" t="s">
        <v>13808</v>
      </c>
      <c r="AZ69" t="s">
        <v>15170</v>
      </c>
      <c r="BA69" t="s">
        <v>13808</v>
      </c>
      <c r="BF69" t="s">
        <v>15171</v>
      </c>
      <c r="BG69" t="s">
        <v>13808</v>
      </c>
      <c r="BL69" t="s">
        <v>15172</v>
      </c>
      <c r="BM69" t="s">
        <v>13808</v>
      </c>
      <c r="BR69" t="s">
        <v>15173</v>
      </c>
      <c r="BY69" t="s">
        <v>13860</v>
      </c>
      <c r="BZ69" t="s">
        <v>15174</v>
      </c>
      <c r="CA69" t="s">
        <v>15175</v>
      </c>
      <c r="CE69" t="s">
        <v>13828</v>
      </c>
      <c r="CF69" t="s">
        <v>13808</v>
      </c>
      <c r="CG69" t="s">
        <v>14233</v>
      </c>
      <c r="CK69" t="s">
        <v>13760</v>
      </c>
      <c r="CL69" t="s">
        <v>13809</v>
      </c>
      <c r="CQ69" t="s">
        <v>13766</v>
      </c>
      <c r="CR69" t="s">
        <v>13809</v>
      </c>
      <c r="CT69" t="s">
        <v>15176</v>
      </c>
      <c r="CU69" t="s">
        <v>15177</v>
      </c>
      <c r="CV69" t="s">
        <v>13808</v>
      </c>
      <c r="CX69" t="s">
        <v>15178</v>
      </c>
      <c r="CY69" t="s">
        <v>13818</v>
      </c>
      <c r="DA69" t="s">
        <v>14340</v>
      </c>
      <c r="DB69" t="s">
        <v>13808</v>
      </c>
      <c r="DD69" t="s">
        <v>15178</v>
      </c>
      <c r="DE69" t="s">
        <v>13818</v>
      </c>
      <c r="DG69" t="s">
        <v>14965</v>
      </c>
      <c r="DH69" t="s">
        <v>13808</v>
      </c>
      <c r="DJ69" t="s">
        <v>15179</v>
      </c>
      <c r="DK69" t="s">
        <v>13818</v>
      </c>
      <c r="DM69" t="s">
        <v>15180</v>
      </c>
      <c r="DN69" t="s">
        <v>13808</v>
      </c>
      <c r="DZ69" t="s">
        <v>15181</v>
      </c>
      <c r="EA69" t="s">
        <v>14881</v>
      </c>
      <c r="EC69">
        <v>44623</v>
      </c>
      <c r="ED69" t="s">
        <v>13843</v>
      </c>
      <c r="EE69" t="s">
        <v>6767</v>
      </c>
    </row>
    <row r="70" spans="1:135">
      <c r="A70" t="s">
        <v>1829</v>
      </c>
      <c r="B70" t="s">
        <v>1808</v>
      </c>
      <c r="C70" t="s">
        <v>15182</v>
      </c>
      <c r="D70" s="24">
        <v>43320</v>
      </c>
      <c r="E70" s="24" t="s">
        <v>13571</v>
      </c>
      <c r="F70" s="24" t="s">
        <v>15183</v>
      </c>
      <c r="G70" s="24" t="s">
        <v>13808</v>
      </c>
      <c r="H70" s="24"/>
      <c r="I70" s="24" t="s">
        <v>13809</v>
      </c>
      <c r="J70" s="24"/>
      <c r="K70" s="24" t="s">
        <v>13808</v>
      </c>
      <c r="L70" s="24"/>
      <c r="M70" s="24" t="s">
        <v>14185</v>
      </c>
      <c r="N70" s="24" t="s">
        <v>13808</v>
      </c>
      <c r="O70" s="24"/>
      <c r="P70" s="24" t="s">
        <v>13808</v>
      </c>
      <c r="Q70" s="24"/>
      <c r="R70" s="24" t="s">
        <v>13808</v>
      </c>
      <c r="S70" s="24"/>
      <c r="T70" t="s">
        <v>15184</v>
      </c>
      <c r="U70" t="s">
        <v>13809</v>
      </c>
      <c r="W70" t="s">
        <v>13808</v>
      </c>
      <c r="X70" t="s">
        <v>15185</v>
      </c>
      <c r="Y70" t="s">
        <v>13808</v>
      </c>
      <c r="AA70" t="s">
        <v>15186</v>
      </c>
      <c r="AB70" t="s">
        <v>15187</v>
      </c>
      <c r="AC70" t="s">
        <v>13808</v>
      </c>
      <c r="AH70" t="s">
        <v>15188</v>
      </c>
      <c r="AI70" t="s">
        <v>13808</v>
      </c>
      <c r="AO70" t="s">
        <v>13809</v>
      </c>
      <c r="AT70" t="s">
        <v>15189</v>
      </c>
      <c r="AU70" t="s">
        <v>13808</v>
      </c>
      <c r="AZ70" t="s">
        <v>15008</v>
      </c>
      <c r="BA70" t="s">
        <v>13808</v>
      </c>
      <c r="BF70" t="s">
        <v>14685</v>
      </c>
      <c r="BG70" t="s">
        <v>13808</v>
      </c>
      <c r="BM70" t="s">
        <v>13809</v>
      </c>
      <c r="BR70" t="s">
        <v>15190</v>
      </c>
      <c r="BS70" t="s">
        <v>13887</v>
      </c>
      <c r="BT70" t="s">
        <v>13808</v>
      </c>
      <c r="BU70" t="s">
        <v>14913</v>
      </c>
      <c r="BY70" t="s">
        <v>14265</v>
      </c>
      <c r="BZ70" t="s">
        <v>13808</v>
      </c>
      <c r="CA70" t="s">
        <v>15191</v>
      </c>
      <c r="CF70" t="s">
        <v>13809</v>
      </c>
      <c r="CK70" t="s">
        <v>15192</v>
      </c>
      <c r="CL70" t="s">
        <v>13818</v>
      </c>
      <c r="CM70" t="s">
        <v>15193</v>
      </c>
      <c r="CN70" t="s">
        <v>15194</v>
      </c>
      <c r="CO70" t="s">
        <v>13808</v>
      </c>
      <c r="CR70" t="s">
        <v>13809</v>
      </c>
      <c r="CT70" t="s">
        <v>15195</v>
      </c>
      <c r="CU70" t="s">
        <v>15196</v>
      </c>
      <c r="CV70" t="s">
        <v>13808</v>
      </c>
      <c r="CX70" t="s">
        <v>15197</v>
      </c>
      <c r="CY70" t="s">
        <v>13818</v>
      </c>
      <c r="DA70" t="s">
        <v>13887</v>
      </c>
      <c r="DB70" t="s">
        <v>13808</v>
      </c>
      <c r="DD70" t="s">
        <v>15198</v>
      </c>
      <c r="DE70" t="s">
        <v>13818</v>
      </c>
      <c r="DG70" t="s">
        <v>13909</v>
      </c>
      <c r="DH70" t="s">
        <v>13818</v>
      </c>
      <c r="DY70" t="s">
        <v>13840</v>
      </c>
      <c r="DZ70" t="s">
        <v>15199</v>
      </c>
      <c r="EA70" t="s">
        <v>13971</v>
      </c>
      <c r="EC70">
        <v>44110</v>
      </c>
      <c r="ED70" t="s">
        <v>13903</v>
      </c>
      <c r="EE70" t="s">
        <v>6361</v>
      </c>
    </row>
    <row r="71" spans="1:135">
      <c r="A71" t="s">
        <v>1476</v>
      </c>
      <c r="B71" t="s">
        <v>1442</v>
      </c>
      <c r="C71" t="s">
        <v>15200</v>
      </c>
      <c r="D71" s="24">
        <v>43288</v>
      </c>
      <c r="E71" s="24" t="s">
        <v>13555</v>
      </c>
      <c r="F71" s="24" t="s">
        <v>15201</v>
      </c>
      <c r="G71" s="24" t="s">
        <v>13808</v>
      </c>
      <c r="H71" s="24" t="s">
        <v>15202</v>
      </c>
      <c r="I71" s="24" t="s">
        <v>13809</v>
      </c>
      <c r="J71" s="24"/>
      <c r="K71" s="24" t="s">
        <v>13808</v>
      </c>
      <c r="L71" s="24" t="s">
        <v>15203</v>
      </c>
      <c r="M71" s="24" t="s">
        <v>15204</v>
      </c>
      <c r="N71" s="24" t="s">
        <v>13808</v>
      </c>
      <c r="O71" s="24"/>
      <c r="P71" s="24" t="s">
        <v>13808</v>
      </c>
      <c r="Q71" s="24"/>
      <c r="R71" s="24" t="s">
        <v>13808</v>
      </c>
      <c r="S71" s="24"/>
      <c r="T71" t="s">
        <v>15205</v>
      </c>
      <c r="U71" t="s">
        <v>13809</v>
      </c>
      <c r="W71" t="s">
        <v>13808</v>
      </c>
      <c r="X71" t="s">
        <v>15206</v>
      </c>
      <c r="Y71" t="s">
        <v>13809</v>
      </c>
      <c r="AA71" t="s">
        <v>15207</v>
      </c>
      <c r="AC71" t="s">
        <v>13809</v>
      </c>
      <c r="AH71" t="s">
        <v>13909</v>
      </c>
      <c r="AI71" t="s">
        <v>13808</v>
      </c>
      <c r="AN71" t="s">
        <v>15208</v>
      </c>
      <c r="AO71" t="s">
        <v>13808</v>
      </c>
      <c r="AT71" t="s">
        <v>15209</v>
      </c>
      <c r="AU71" t="s">
        <v>13808</v>
      </c>
      <c r="AZ71" t="s">
        <v>15210</v>
      </c>
      <c r="BA71" t="s">
        <v>13808</v>
      </c>
      <c r="BF71" t="s">
        <v>15211</v>
      </c>
      <c r="BG71" t="s">
        <v>13808</v>
      </c>
      <c r="BL71" t="s">
        <v>15212</v>
      </c>
      <c r="BM71" t="s">
        <v>13808</v>
      </c>
      <c r="BR71" t="s">
        <v>15213</v>
      </c>
      <c r="BS71" t="s">
        <v>13885</v>
      </c>
      <c r="BT71" t="s">
        <v>13808</v>
      </c>
      <c r="BU71" t="s">
        <v>14291</v>
      </c>
      <c r="BY71" t="s">
        <v>13887</v>
      </c>
      <c r="BZ71" t="s">
        <v>13808</v>
      </c>
      <c r="CA71" t="s">
        <v>13937</v>
      </c>
      <c r="CE71" t="s">
        <v>13887</v>
      </c>
      <c r="CF71" t="s">
        <v>13808</v>
      </c>
      <c r="CL71" t="s">
        <v>13809</v>
      </c>
      <c r="CR71" t="s">
        <v>13809</v>
      </c>
      <c r="CT71" t="s">
        <v>15214</v>
      </c>
      <c r="CU71" t="s">
        <v>13909</v>
      </c>
      <c r="CV71" t="s">
        <v>13808</v>
      </c>
      <c r="DA71" t="s">
        <v>13909</v>
      </c>
      <c r="DB71" t="s">
        <v>13808</v>
      </c>
      <c r="DG71" t="s">
        <v>13909</v>
      </c>
      <c r="DH71" t="s">
        <v>13808</v>
      </c>
      <c r="DM71" t="s">
        <v>13909</v>
      </c>
      <c r="DN71" t="s">
        <v>13808</v>
      </c>
      <c r="DZ71" t="s">
        <v>15215</v>
      </c>
      <c r="EA71" t="s">
        <v>15216</v>
      </c>
      <c r="EC71">
        <v>43480</v>
      </c>
      <c r="ED71" t="s">
        <v>13903</v>
      </c>
      <c r="EE71" t="s">
        <v>5945</v>
      </c>
    </row>
    <row r="72" spans="1:135">
      <c r="A72" t="s">
        <v>1940</v>
      </c>
      <c r="B72" t="s">
        <v>1920</v>
      </c>
      <c r="C72" t="s">
        <v>15217</v>
      </c>
      <c r="D72" s="24">
        <v>43804</v>
      </c>
      <c r="E72" s="24" t="s">
        <v>13563</v>
      </c>
      <c r="F72" s="24" t="s">
        <v>15218</v>
      </c>
      <c r="G72" s="24" t="s">
        <v>13808</v>
      </c>
      <c r="H72" s="24"/>
      <c r="I72" s="24" t="s">
        <v>13809</v>
      </c>
      <c r="J72" s="24"/>
      <c r="K72" s="24" t="s">
        <v>13809</v>
      </c>
      <c r="L72" s="24"/>
      <c r="M72" s="24" t="s">
        <v>15219</v>
      </c>
      <c r="N72" s="24" t="s">
        <v>13808</v>
      </c>
      <c r="O72" s="24"/>
      <c r="P72" s="24" t="s">
        <v>13808</v>
      </c>
      <c r="Q72" s="24" t="s">
        <v>15220</v>
      </c>
      <c r="R72" s="24" t="s">
        <v>13808</v>
      </c>
      <c r="S72" s="24" t="s">
        <v>15221</v>
      </c>
      <c r="T72" t="s">
        <v>15222</v>
      </c>
      <c r="U72" t="s">
        <v>13809</v>
      </c>
      <c r="W72" t="s">
        <v>13809</v>
      </c>
      <c r="Y72" t="s">
        <v>13809</v>
      </c>
      <c r="AA72" t="s">
        <v>14770</v>
      </c>
      <c r="AB72" t="s">
        <v>14771</v>
      </c>
      <c r="AC72" t="s">
        <v>13818</v>
      </c>
      <c r="AD72" t="s">
        <v>14309</v>
      </c>
      <c r="AH72" t="s">
        <v>13851</v>
      </c>
      <c r="AI72" t="s">
        <v>13818</v>
      </c>
      <c r="AJ72" t="s">
        <v>14309</v>
      </c>
      <c r="AN72" t="s">
        <v>15223</v>
      </c>
      <c r="AO72" t="s">
        <v>13818</v>
      </c>
      <c r="AP72" t="s">
        <v>14309</v>
      </c>
      <c r="AT72" t="s">
        <v>15224</v>
      </c>
      <c r="AU72" t="s">
        <v>13818</v>
      </c>
      <c r="AV72" t="s">
        <v>14309</v>
      </c>
      <c r="AZ72" t="s">
        <v>14210</v>
      </c>
      <c r="BA72" t="s">
        <v>13818</v>
      </c>
      <c r="BB72" t="s">
        <v>14309</v>
      </c>
      <c r="BF72" t="s">
        <v>15225</v>
      </c>
      <c r="BG72" t="s">
        <v>13808</v>
      </c>
      <c r="BL72" t="s">
        <v>13735</v>
      </c>
      <c r="BM72" t="s">
        <v>13809</v>
      </c>
      <c r="BR72" t="s">
        <v>15226</v>
      </c>
      <c r="BS72" t="s">
        <v>15227</v>
      </c>
      <c r="BT72" t="s">
        <v>13818</v>
      </c>
      <c r="BU72" t="s">
        <v>14147</v>
      </c>
      <c r="BY72" t="s">
        <v>15228</v>
      </c>
      <c r="BZ72" t="s">
        <v>13818</v>
      </c>
      <c r="CA72" t="s">
        <v>13937</v>
      </c>
      <c r="CE72" t="s">
        <v>15229</v>
      </c>
      <c r="CF72" t="s">
        <v>13808</v>
      </c>
      <c r="CG72" t="s">
        <v>13863</v>
      </c>
      <c r="CK72" t="s">
        <v>13760</v>
      </c>
      <c r="CL72" t="s">
        <v>13809</v>
      </c>
      <c r="CQ72" t="s">
        <v>13766</v>
      </c>
      <c r="CR72" t="s">
        <v>13809</v>
      </c>
      <c r="CT72" t="s">
        <v>15230</v>
      </c>
      <c r="CU72" t="s">
        <v>14110</v>
      </c>
      <c r="CV72" t="s">
        <v>13808</v>
      </c>
      <c r="CW72" t="s">
        <v>15231</v>
      </c>
      <c r="CX72" t="s">
        <v>15232</v>
      </c>
      <c r="CY72" t="s">
        <v>13818</v>
      </c>
      <c r="CZ72" t="s">
        <v>15233</v>
      </c>
      <c r="DA72" t="s">
        <v>15234</v>
      </c>
      <c r="DB72" t="s">
        <v>13808</v>
      </c>
      <c r="DC72" t="s">
        <v>15231</v>
      </c>
      <c r="DD72" t="s">
        <v>15232</v>
      </c>
      <c r="DE72" t="s">
        <v>13818</v>
      </c>
      <c r="DF72" t="s">
        <v>15233</v>
      </c>
      <c r="DH72" t="s">
        <v>13808</v>
      </c>
      <c r="DM72" t="s">
        <v>15235</v>
      </c>
      <c r="DN72" t="s">
        <v>13808</v>
      </c>
      <c r="DO72" t="s">
        <v>15236</v>
      </c>
      <c r="DP72" t="s">
        <v>15237</v>
      </c>
      <c r="DQ72" t="s">
        <v>13818</v>
      </c>
      <c r="DY72" t="s">
        <v>15238</v>
      </c>
      <c r="DZ72" t="s">
        <v>15239</v>
      </c>
      <c r="EA72" t="s">
        <v>15240</v>
      </c>
      <c r="EC72">
        <v>44623</v>
      </c>
      <c r="ED72" t="s">
        <v>13843</v>
      </c>
      <c r="EE72" t="s">
        <v>6512</v>
      </c>
    </row>
    <row r="73" spans="1:135">
      <c r="A73" t="s">
        <v>1714</v>
      </c>
      <c r="B73" t="s">
        <v>1683</v>
      </c>
      <c r="C73" t="s">
        <v>15241</v>
      </c>
      <c r="D73" s="24">
        <v>43151</v>
      </c>
      <c r="E73" s="24" t="s">
        <v>13555</v>
      </c>
      <c r="F73" s="24" t="s">
        <v>15242</v>
      </c>
      <c r="G73" s="24" t="s">
        <v>13808</v>
      </c>
      <c r="H73" s="24"/>
      <c r="I73" s="24" t="s">
        <v>13809</v>
      </c>
      <c r="J73" s="24"/>
      <c r="K73" s="24" t="s">
        <v>13808</v>
      </c>
      <c r="L73" s="24"/>
      <c r="M73" s="24" t="s">
        <v>13846</v>
      </c>
      <c r="N73" s="24" t="s">
        <v>13808</v>
      </c>
      <c r="O73" s="24"/>
      <c r="P73" s="24" t="s">
        <v>13808</v>
      </c>
      <c r="Q73" s="24"/>
      <c r="R73" s="24" t="s">
        <v>13808</v>
      </c>
      <c r="S73" s="24"/>
      <c r="T73" t="s">
        <v>13907</v>
      </c>
      <c r="U73" t="s">
        <v>13809</v>
      </c>
      <c r="W73" t="s">
        <v>13808</v>
      </c>
      <c r="X73" t="s">
        <v>15243</v>
      </c>
      <c r="Y73" t="s">
        <v>13809</v>
      </c>
      <c r="AA73" t="s">
        <v>14971</v>
      </c>
      <c r="AB73" t="s">
        <v>15244</v>
      </c>
      <c r="AC73" t="s">
        <v>13808</v>
      </c>
      <c r="AH73" t="s">
        <v>13851</v>
      </c>
      <c r="AI73" t="s">
        <v>13808</v>
      </c>
      <c r="AN73" t="s">
        <v>15055</v>
      </c>
      <c r="AO73" t="s">
        <v>13809</v>
      </c>
      <c r="AT73" t="s">
        <v>15245</v>
      </c>
      <c r="AU73" t="s">
        <v>13808</v>
      </c>
      <c r="AZ73" t="s">
        <v>14210</v>
      </c>
      <c r="BA73" t="s">
        <v>13808</v>
      </c>
      <c r="BF73" t="s">
        <v>15246</v>
      </c>
      <c r="BG73" t="s">
        <v>13808</v>
      </c>
      <c r="BL73" t="s">
        <v>15247</v>
      </c>
      <c r="BM73" t="s">
        <v>13808</v>
      </c>
      <c r="BR73" t="s">
        <v>15248</v>
      </c>
      <c r="BS73" t="s">
        <v>14213</v>
      </c>
      <c r="BT73" t="s">
        <v>13808</v>
      </c>
      <c r="BU73" t="s">
        <v>13985</v>
      </c>
      <c r="BY73" t="s">
        <v>14148</v>
      </c>
      <c r="BZ73" t="s">
        <v>13808</v>
      </c>
      <c r="CA73" t="s">
        <v>13937</v>
      </c>
      <c r="CE73" t="s">
        <v>15249</v>
      </c>
      <c r="CF73" t="s">
        <v>13809</v>
      </c>
      <c r="CK73" t="s">
        <v>15250</v>
      </c>
      <c r="CL73" t="s">
        <v>13808</v>
      </c>
      <c r="CQ73" t="s">
        <v>13766</v>
      </c>
      <c r="CR73" t="s">
        <v>13809</v>
      </c>
      <c r="CT73" t="s">
        <v>15251</v>
      </c>
      <c r="CU73" t="s">
        <v>14236</v>
      </c>
      <c r="CV73" t="s">
        <v>13808</v>
      </c>
      <c r="DA73" t="s">
        <v>15252</v>
      </c>
      <c r="DB73" t="s">
        <v>13808</v>
      </c>
      <c r="DM73" t="s">
        <v>15253</v>
      </c>
      <c r="DN73" t="s">
        <v>13808</v>
      </c>
      <c r="DY73" t="s">
        <v>13840</v>
      </c>
      <c r="DZ73" t="s">
        <v>15254</v>
      </c>
      <c r="EA73" t="s">
        <v>13996</v>
      </c>
      <c r="EC73">
        <v>44825</v>
      </c>
      <c r="ED73" t="s">
        <v>13843</v>
      </c>
      <c r="EE73" t="s">
        <v>6229</v>
      </c>
    </row>
    <row r="74" spans="1:135">
      <c r="A74" t="s">
        <v>2038</v>
      </c>
      <c r="B74" t="s">
        <v>2026</v>
      </c>
      <c r="C74" t="s">
        <v>15255</v>
      </c>
      <c r="D74" s="24">
        <v>43250</v>
      </c>
      <c r="E74" s="24" t="s">
        <v>13563</v>
      </c>
      <c r="F74" s="24" t="s">
        <v>15256</v>
      </c>
      <c r="G74" s="24" t="s">
        <v>13808</v>
      </c>
      <c r="H74" s="24"/>
      <c r="I74" s="24" t="s">
        <v>13809</v>
      </c>
      <c r="J74" s="24"/>
      <c r="K74" s="24" t="s">
        <v>13809</v>
      </c>
      <c r="L74" s="24"/>
      <c r="M74" s="24" t="s">
        <v>15257</v>
      </c>
      <c r="N74" s="24" t="s">
        <v>13808</v>
      </c>
      <c r="O74" s="24"/>
      <c r="P74" s="24" t="s">
        <v>13808</v>
      </c>
      <c r="Q74" s="24"/>
      <c r="R74" s="24" t="s">
        <v>13808</v>
      </c>
      <c r="S74" s="24"/>
      <c r="T74" t="s">
        <v>15051</v>
      </c>
      <c r="U74" t="s">
        <v>13809</v>
      </c>
      <c r="W74" t="s">
        <v>13808</v>
      </c>
      <c r="X74" t="s">
        <v>15258</v>
      </c>
      <c r="Y74" t="s">
        <v>13808</v>
      </c>
      <c r="AA74" t="s">
        <v>15259</v>
      </c>
      <c r="AB74" t="s">
        <v>15260</v>
      </c>
      <c r="AC74" t="s">
        <v>13808</v>
      </c>
      <c r="AH74" t="s">
        <v>13851</v>
      </c>
      <c r="AI74" t="s">
        <v>13808</v>
      </c>
      <c r="AN74" t="s">
        <v>15261</v>
      </c>
      <c r="AO74" t="s">
        <v>13808</v>
      </c>
      <c r="AT74" t="s">
        <v>15262</v>
      </c>
      <c r="AU74" t="s">
        <v>13808</v>
      </c>
      <c r="AZ74" t="s">
        <v>15263</v>
      </c>
      <c r="BA74" t="s">
        <v>13808</v>
      </c>
      <c r="BF74" t="s">
        <v>15264</v>
      </c>
      <c r="BG74" t="s">
        <v>13808</v>
      </c>
      <c r="BL74" t="s">
        <v>13934</v>
      </c>
      <c r="BM74" t="s">
        <v>13809</v>
      </c>
      <c r="BR74" t="s">
        <v>15265</v>
      </c>
      <c r="BS74" t="s">
        <v>13824</v>
      </c>
      <c r="BT74" t="s">
        <v>13808</v>
      </c>
      <c r="BU74" t="s">
        <v>15266</v>
      </c>
      <c r="BY74" t="s">
        <v>13860</v>
      </c>
      <c r="BZ74" t="s">
        <v>13808</v>
      </c>
      <c r="CA74" t="s">
        <v>13937</v>
      </c>
      <c r="CE74" t="s">
        <v>14292</v>
      </c>
      <c r="CF74" t="s">
        <v>13808</v>
      </c>
      <c r="CK74" t="s">
        <v>13760</v>
      </c>
      <c r="CL74" t="s">
        <v>13809</v>
      </c>
      <c r="CQ74" t="s">
        <v>13766</v>
      </c>
      <c r="CR74" t="s">
        <v>13809</v>
      </c>
      <c r="CT74" t="s">
        <v>15267</v>
      </c>
      <c r="CU74" t="s">
        <v>15268</v>
      </c>
      <c r="CV74" t="s">
        <v>13818</v>
      </c>
      <c r="DA74" t="s">
        <v>15269</v>
      </c>
      <c r="DB74" t="s">
        <v>13808</v>
      </c>
      <c r="DE74" t="s">
        <v>13818</v>
      </c>
      <c r="DG74" t="s">
        <v>15270</v>
      </c>
      <c r="DH74" t="s">
        <v>13808</v>
      </c>
      <c r="DJ74" t="s">
        <v>15271</v>
      </c>
      <c r="DK74" t="s">
        <v>13808</v>
      </c>
      <c r="DY74" t="s">
        <v>13840</v>
      </c>
      <c r="DZ74" t="s">
        <v>15272</v>
      </c>
      <c r="EA74" t="s">
        <v>14118</v>
      </c>
      <c r="EC74">
        <v>44627</v>
      </c>
      <c r="ED74" t="s">
        <v>13843</v>
      </c>
      <c r="EE74" t="s">
        <v>6641</v>
      </c>
    </row>
    <row r="75" spans="1:135">
      <c r="A75" t="s">
        <v>2042</v>
      </c>
      <c r="B75" t="s">
        <v>2026</v>
      </c>
      <c r="C75" t="s">
        <v>15273</v>
      </c>
      <c r="D75" s="24">
        <v>43222</v>
      </c>
      <c r="E75" s="24" t="s">
        <v>13558</v>
      </c>
      <c r="F75" s="24" t="s">
        <v>15274</v>
      </c>
      <c r="G75" s="24" t="s">
        <v>13808</v>
      </c>
      <c r="H75" s="24"/>
      <c r="I75" s="24" t="s">
        <v>13809</v>
      </c>
      <c r="J75" s="24"/>
      <c r="K75" s="24" t="s">
        <v>13808</v>
      </c>
      <c r="L75" s="24"/>
      <c r="M75" s="24" t="s">
        <v>14304</v>
      </c>
      <c r="N75" s="24" t="s">
        <v>13808</v>
      </c>
      <c r="O75" s="24"/>
      <c r="P75" s="24" t="s">
        <v>13808</v>
      </c>
      <c r="Q75" s="24"/>
      <c r="R75" s="24" t="s">
        <v>13808</v>
      </c>
      <c r="S75" s="24"/>
      <c r="T75" t="s">
        <v>14969</v>
      </c>
      <c r="U75" t="s">
        <v>13809</v>
      </c>
      <c r="W75" t="s">
        <v>13808</v>
      </c>
      <c r="X75" t="s">
        <v>15275</v>
      </c>
      <c r="Y75" t="s">
        <v>13809</v>
      </c>
      <c r="AA75" t="s">
        <v>13928</v>
      </c>
      <c r="AB75" t="s">
        <v>14006</v>
      </c>
      <c r="AC75" t="s">
        <v>13808</v>
      </c>
      <c r="AH75" t="s">
        <v>13909</v>
      </c>
      <c r="AI75" t="s">
        <v>13808</v>
      </c>
      <c r="AN75" t="s">
        <v>13958</v>
      </c>
      <c r="AO75" t="s">
        <v>13808</v>
      </c>
      <c r="AT75" t="s">
        <v>15276</v>
      </c>
      <c r="AU75" t="s">
        <v>13808</v>
      </c>
      <c r="AZ75" t="s">
        <v>14177</v>
      </c>
      <c r="BA75" t="s">
        <v>13808</v>
      </c>
      <c r="BF75" t="s">
        <v>13910</v>
      </c>
      <c r="BG75" t="s">
        <v>13808</v>
      </c>
      <c r="BM75" t="s">
        <v>13809</v>
      </c>
      <c r="BR75" t="s">
        <v>15277</v>
      </c>
      <c r="BS75" t="s">
        <v>13887</v>
      </c>
      <c r="BT75" t="s">
        <v>13808</v>
      </c>
      <c r="BU75" t="s">
        <v>15278</v>
      </c>
      <c r="BY75" t="s">
        <v>13887</v>
      </c>
      <c r="BZ75" t="s">
        <v>13808</v>
      </c>
      <c r="CA75" t="s">
        <v>13937</v>
      </c>
      <c r="CE75" t="s">
        <v>13885</v>
      </c>
      <c r="CF75" t="s">
        <v>13808</v>
      </c>
      <c r="CL75" t="s">
        <v>13809</v>
      </c>
      <c r="CR75" t="s">
        <v>13809</v>
      </c>
      <c r="CT75" t="s">
        <v>15279</v>
      </c>
      <c r="CU75" t="s">
        <v>14197</v>
      </c>
      <c r="CV75" t="s">
        <v>13808</v>
      </c>
      <c r="CX75" t="s">
        <v>15280</v>
      </c>
      <c r="CY75" t="s">
        <v>13818</v>
      </c>
      <c r="DA75" t="s">
        <v>13909</v>
      </c>
      <c r="DB75" t="s">
        <v>13818</v>
      </c>
      <c r="DG75" t="s">
        <v>13909</v>
      </c>
      <c r="DH75" t="s">
        <v>13818</v>
      </c>
      <c r="DY75" t="s">
        <v>13840</v>
      </c>
      <c r="DZ75" t="s">
        <v>13970</v>
      </c>
      <c r="EA75" t="s">
        <v>13971</v>
      </c>
      <c r="EC75">
        <v>44110</v>
      </c>
      <c r="ED75" t="s">
        <v>13903</v>
      </c>
      <c r="EE75" t="s">
        <v>6650</v>
      </c>
    </row>
    <row r="76" spans="1:135">
      <c r="A76" t="s">
        <v>1833</v>
      </c>
      <c r="B76" t="s">
        <v>1808</v>
      </c>
      <c r="C76" t="s">
        <v>15281</v>
      </c>
      <c r="D76" s="24">
        <v>43362</v>
      </c>
      <c r="E76" s="24" t="s">
        <v>13557</v>
      </c>
      <c r="F76" s="24" t="s">
        <v>15282</v>
      </c>
      <c r="G76" s="24" t="s">
        <v>13808</v>
      </c>
      <c r="H76" s="24"/>
      <c r="I76" s="24" t="s">
        <v>13809</v>
      </c>
      <c r="J76" s="24"/>
      <c r="K76" s="24" t="s">
        <v>13808</v>
      </c>
      <c r="L76" s="24"/>
      <c r="M76" s="24" t="s">
        <v>15283</v>
      </c>
      <c r="N76" s="24" t="s">
        <v>13808</v>
      </c>
      <c r="O76" s="24"/>
      <c r="P76" s="24" t="s">
        <v>13808</v>
      </c>
      <c r="Q76" s="24"/>
      <c r="R76" s="24" t="s">
        <v>13808</v>
      </c>
      <c r="S76" s="24"/>
      <c r="T76" t="s">
        <v>13907</v>
      </c>
      <c r="U76" t="s">
        <v>13809</v>
      </c>
      <c r="W76" t="s">
        <v>13808</v>
      </c>
      <c r="X76" t="s">
        <v>15284</v>
      </c>
      <c r="Y76" t="s">
        <v>13809</v>
      </c>
      <c r="AA76" t="s">
        <v>13928</v>
      </c>
      <c r="AB76" t="s">
        <v>15285</v>
      </c>
      <c r="AC76" t="s">
        <v>13808</v>
      </c>
      <c r="AH76" t="s">
        <v>13851</v>
      </c>
      <c r="AI76" t="s">
        <v>13808</v>
      </c>
      <c r="AN76" t="s">
        <v>15286</v>
      </c>
      <c r="AO76" t="s">
        <v>13808</v>
      </c>
      <c r="AT76" t="s">
        <v>15287</v>
      </c>
      <c r="AU76" t="s">
        <v>13808</v>
      </c>
      <c r="AZ76" t="s">
        <v>13981</v>
      </c>
      <c r="BA76" t="s">
        <v>13808</v>
      </c>
      <c r="BF76" t="s">
        <v>15288</v>
      </c>
      <c r="BG76" t="s">
        <v>13808</v>
      </c>
      <c r="BL76" t="s">
        <v>13934</v>
      </c>
      <c r="BM76" t="s">
        <v>13809</v>
      </c>
      <c r="BR76" t="s">
        <v>15289</v>
      </c>
      <c r="BS76" t="s">
        <v>13824</v>
      </c>
      <c r="BT76" t="s">
        <v>13808</v>
      </c>
      <c r="BU76" t="s">
        <v>14291</v>
      </c>
      <c r="BY76" t="s">
        <v>13986</v>
      </c>
      <c r="BZ76" t="s">
        <v>13808</v>
      </c>
      <c r="CA76" t="s">
        <v>13861</v>
      </c>
      <c r="CE76" t="s">
        <v>13862</v>
      </c>
      <c r="CF76" t="s">
        <v>13818</v>
      </c>
      <c r="CG76" t="s">
        <v>15290</v>
      </c>
      <c r="CH76" t="s">
        <v>15291</v>
      </c>
      <c r="CI76" t="s">
        <v>13808</v>
      </c>
      <c r="CJ76" t="s">
        <v>13863</v>
      </c>
      <c r="CK76" t="s">
        <v>15292</v>
      </c>
      <c r="CL76" t="s">
        <v>13809</v>
      </c>
      <c r="CQ76" t="s">
        <v>13766</v>
      </c>
      <c r="CR76" t="s">
        <v>13809</v>
      </c>
      <c r="CT76" t="s">
        <v>15293</v>
      </c>
      <c r="CU76" t="s">
        <v>15294</v>
      </c>
      <c r="CV76" t="s">
        <v>13808</v>
      </c>
      <c r="CX76" t="s">
        <v>13941</v>
      </c>
      <c r="CY76" t="s">
        <v>13818</v>
      </c>
      <c r="DA76" t="s">
        <v>15295</v>
      </c>
      <c r="DB76" t="s">
        <v>13808</v>
      </c>
      <c r="DD76" t="s">
        <v>14340</v>
      </c>
      <c r="DE76" t="s">
        <v>13818</v>
      </c>
      <c r="DG76" t="s">
        <v>14965</v>
      </c>
      <c r="DH76" t="s">
        <v>13808</v>
      </c>
      <c r="DY76" t="s">
        <v>15296</v>
      </c>
      <c r="DZ76" t="s">
        <v>14341</v>
      </c>
      <c r="EA76" t="s">
        <v>14201</v>
      </c>
      <c r="EC76">
        <v>44691</v>
      </c>
      <c r="ED76" t="s">
        <v>13843</v>
      </c>
      <c r="EE76" t="s">
        <v>6375</v>
      </c>
    </row>
    <row r="77" spans="1:135">
      <c r="A77" t="s">
        <v>1837</v>
      </c>
      <c r="B77" t="s">
        <v>1808</v>
      </c>
      <c r="C77" t="s">
        <v>15297</v>
      </c>
      <c r="D77" s="24">
        <v>43193</v>
      </c>
      <c r="E77" s="24" t="s">
        <v>13564</v>
      </c>
      <c r="F77" s="24" t="s">
        <v>15298</v>
      </c>
      <c r="G77" s="24" t="s">
        <v>13808</v>
      </c>
      <c r="H77" s="24"/>
      <c r="I77" s="24" t="s">
        <v>13809</v>
      </c>
      <c r="J77" s="24"/>
      <c r="K77" s="24" t="s">
        <v>13809</v>
      </c>
      <c r="L77" s="24"/>
      <c r="M77" s="24" t="s">
        <v>15299</v>
      </c>
      <c r="N77" s="24" t="s">
        <v>13808</v>
      </c>
      <c r="O77" s="24"/>
      <c r="P77" s="24" t="s">
        <v>13808</v>
      </c>
      <c r="Q77" s="24"/>
      <c r="R77" s="24" t="s">
        <v>13808</v>
      </c>
      <c r="S77" s="24"/>
      <c r="T77" t="s">
        <v>15300</v>
      </c>
      <c r="U77" t="s">
        <v>13809</v>
      </c>
      <c r="W77" t="s">
        <v>13808</v>
      </c>
      <c r="X77" t="s">
        <v>15301</v>
      </c>
      <c r="Y77" t="s">
        <v>13809</v>
      </c>
      <c r="AA77" t="s">
        <v>13928</v>
      </c>
      <c r="AC77" t="s">
        <v>13809</v>
      </c>
      <c r="AH77" t="s">
        <v>13909</v>
      </c>
      <c r="AI77" t="s">
        <v>13808</v>
      </c>
      <c r="AN77" t="s">
        <v>14056</v>
      </c>
      <c r="AO77" t="s">
        <v>13808</v>
      </c>
      <c r="AT77" t="s">
        <v>14851</v>
      </c>
      <c r="AU77" t="s">
        <v>13808</v>
      </c>
      <c r="AZ77" t="s">
        <v>14816</v>
      </c>
      <c r="BA77" t="s">
        <v>13808</v>
      </c>
      <c r="BF77" t="s">
        <v>15302</v>
      </c>
      <c r="BG77" t="s">
        <v>13808</v>
      </c>
      <c r="BM77" t="s">
        <v>13809</v>
      </c>
      <c r="BR77" t="s">
        <v>15303</v>
      </c>
      <c r="BS77" t="s">
        <v>13887</v>
      </c>
      <c r="BT77" t="s">
        <v>13808</v>
      </c>
      <c r="BU77" t="s">
        <v>15304</v>
      </c>
      <c r="BY77" t="s">
        <v>13887</v>
      </c>
      <c r="BZ77" t="s">
        <v>13808</v>
      </c>
      <c r="CA77" t="s">
        <v>13937</v>
      </c>
      <c r="CE77" t="s">
        <v>14197</v>
      </c>
      <c r="CF77" t="s">
        <v>13818</v>
      </c>
      <c r="CG77" t="s">
        <v>15305</v>
      </c>
      <c r="CK77" t="s">
        <v>13887</v>
      </c>
      <c r="CL77" t="s">
        <v>13808</v>
      </c>
      <c r="CM77" t="s">
        <v>15306</v>
      </c>
      <c r="CR77" t="s">
        <v>13809</v>
      </c>
      <c r="CT77" t="s">
        <v>15307</v>
      </c>
      <c r="CU77" t="s">
        <v>15308</v>
      </c>
      <c r="CV77" t="s">
        <v>13808</v>
      </c>
      <c r="CX77" t="s">
        <v>15309</v>
      </c>
      <c r="CY77" t="s">
        <v>13818</v>
      </c>
      <c r="DA77" t="s">
        <v>15310</v>
      </c>
      <c r="DB77" t="s">
        <v>13808</v>
      </c>
      <c r="DD77" t="s">
        <v>15309</v>
      </c>
      <c r="DE77" t="s">
        <v>13818</v>
      </c>
      <c r="DG77" t="s">
        <v>15311</v>
      </c>
      <c r="DH77" t="s">
        <v>13808</v>
      </c>
      <c r="DJ77" t="s">
        <v>14840</v>
      </c>
      <c r="DK77" t="s">
        <v>13818</v>
      </c>
      <c r="DY77" t="s">
        <v>14606</v>
      </c>
      <c r="DZ77" t="s">
        <v>15312</v>
      </c>
      <c r="EA77" t="s">
        <v>15313</v>
      </c>
      <c r="EC77">
        <v>44110</v>
      </c>
      <c r="ED77" t="s">
        <v>13903</v>
      </c>
      <c r="EE77" t="s">
        <v>6379</v>
      </c>
    </row>
    <row r="78" spans="1:135">
      <c r="A78" t="s">
        <v>1841</v>
      </c>
      <c r="B78" t="s">
        <v>1808</v>
      </c>
      <c r="C78" t="s">
        <v>15314</v>
      </c>
      <c r="D78" s="24">
        <v>43322</v>
      </c>
      <c r="E78" s="24" t="s">
        <v>13555</v>
      </c>
      <c r="F78" s="24" t="s">
        <v>15315</v>
      </c>
      <c r="G78" s="24" t="s">
        <v>13808</v>
      </c>
      <c r="H78" s="24"/>
      <c r="I78" s="24" t="s">
        <v>13809</v>
      </c>
      <c r="J78" s="24"/>
      <c r="K78" s="24" t="s">
        <v>13808</v>
      </c>
      <c r="L78" s="24"/>
      <c r="M78" s="24" t="s">
        <v>15316</v>
      </c>
      <c r="N78" s="24" t="s">
        <v>13808</v>
      </c>
      <c r="O78" s="24"/>
      <c r="P78" s="24" t="s">
        <v>13808</v>
      </c>
      <c r="Q78" s="24"/>
      <c r="R78" s="24" t="s">
        <v>13808</v>
      </c>
      <c r="S78" s="24"/>
      <c r="T78" t="s">
        <v>15317</v>
      </c>
      <c r="U78" t="s">
        <v>13808</v>
      </c>
      <c r="V78" t="s">
        <v>15318</v>
      </c>
      <c r="W78" t="s">
        <v>13808</v>
      </c>
      <c r="X78" t="s">
        <v>15319</v>
      </c>
      <c r="Y78" t="s">
        <v>13809</v>
      </c>
      <c r="AA78" t="s">
        <v>14971</v>
      </c>
      <c r="AB78" t="s">
        <v>15320</v>
      </c>
      <c r="AC78" t="s">
        <v>13808</v>
      </c>
      <c r="AH78" t="s">
        <v>15188</v>
      </c>
      <c r="AI78" t="s">
        <v>13808</v>
      </c>
      <c r="AO78" t="s">
        <v>13809</v>
      </c>
      <c r="AT78" t="s">
        <v>14543</v>
      </c>
      <c r="AU78" t="s">
        <v>13808</v>
      </c>
      <c r="AZ78" t="s">
        <v>14597</v>
      </c>
      <c r="BA78" t="s">
        <v>13808</v>
      </c>
      <c r="BF78" t="s">
        <v>15321</v>
      </c>
      <c r="BG78" t="s">
        <v>13808</v>
      </c>
      <c r="BM78" t="s">
        <v>13809</v>
      </c>
      <c r="BR78" t="s">
        <v>15322</v>
      </c>
      <c r="BS78" t="s">
        <v>13885</v>
      </c>
      <c r="BT78" t="s">
        <v>13808</v>
      </c>
      <c r="BU78" t="s">
        <v>13985</v>
      </c>
      <c r="BY78" t="s">
        <v>13887</v>
      </c>
      <c r="BZ78" t="s">
        <v>13808</v>
      </c>
      <c r="CA78" t="s">
        <v>13937</v>
      </c>
      <c r="CE78" t="s">
        <v>14265</v>
      </c>
      <c r="CF78" t="s">
        <v>13808</v>
      </c>
      <c r="CG78" t="s">
        <v>15323</v>
      </c>
      <c r="CH78" t="s">
        <v>15138</v>
      </c>
      <c r="CI78" t="s">
        <v>13808</v>
      </c>
      <c r="CK78" t="s">
        <v>13887</v>
      </c>
      <c r="CL78" t="s">
        <v>13808</v>
      </c>
      <c r="CR78" t="s">
        <v>13809</v>
      </c>
      <c r="CT78" t="s">
        <v>15324</v>
      </c>
      <c r="CU78" t="s">
        <v>15325</v>
      </c>
      <c r="CV78" t="s">
        <v>13808</v>
      </c>
      <c r="CX78" t="s">
        <v>14197</v>
      </c>
      <c r="CY78" t="s">
        <v>13818</v>
      </c>
      <c r="DA78" t="s">
        <v>15325</v>
      </c>
      <c r="DB78" t="s">
        <v>13808</v>
      </c>
      <c r="DD78" t="s">
        <v>14197</v>
      </c>
      <c r="DE78" t="s">
        <v>13818</v>
      </c>
      <c r="DG78" t="s">
        <v>13909</v>
      </c>
      <c r="DH78" t="s">
        <v>13818</v>
      </c>
      <c r="DY78" t="s">
        <v>14975</v>
      </c>
      <c r="DZ78" t="s">
        <v>15326</v>
      </c>
      <c r="EA78" t="s">
        <v>13971</v>
      </c>
      <c r="EC78">
        <v>44111</v>
      </c>
      <c r="ED78" t="s">
        <v>13903</v>
      </c>
      <c r="EE78" t="s">
        <v>6383</v>
      </c>
    </row>
    <row r="79" spans="1:135">
      <c r="A79" t="s">
        <v>1608</v>
      </c>
      <c r="B79" t="s">
        <v>1589</v>
      </c>
      <c r="C79" t="s">
        <v>15327</v>
      </c>
      <c r="D79" s="24">
        <v>43264</v>
      </c>
      <c r="E79" s="24" t="s">
        <v>13557</v>
      </c>
      <c r="F79" s="24" t="s">
        <v>15328</v>
      </c>
      <c r="G79" s="24" t="s">
        <v>13808</v>
      </c>
      <c r="H79" s="24"/>
      <c r="I79" s="24" t="s">
        <v>13809</v>
      </c>
      <c r="J79" s="24"/>
      <c r="K79" s="24" t="s">
        <v>13808</v>
      </c>
      <c r="L79" s="24"/>
      <c r="M79" s="24" t="s">
        <v>14304</v>
      </c>
      <c r="N79" s="24" t="s">
        <v>13808</v>
      </c>
      <c r="O79" s="24"/>
      <c r="P79" s="24" t="s">
        <v>13808</v>
      </c>
      <c r="Q79" s="24"/>
      <c r="R79" s="24" t="s">
        <v>13808</v>
      </c>
      <c r="S79" s="24"/>
      <c r="T79" t="s">
        <v>13907</v>
      </c>
      <c r="U79" t="s">
        <v>13808</v>
      </c>
      <c r="W79" t="s">
        <v>13808</v>
      </c>
      <c r="X79" t="s">
        <v>15329</v>
      </c>
      <c r="Y79" t="s">
        <v>13809</v>
      </c>
      <c r="AA79" t="s">
        <v>15330</v>
      </c>
      <c r="AB79" t="s">
        <v>15331</v>
      </c>
      <c r="AC79" t="s">
        <v>13808</v>
      </c>
      <c r="AH79" t="s">
        <v>13851</v>
      </c>
      <c r="AI79" t="s">
        <v>13808</v>
      </c>
      <c r="AN79" t="s">
        <v>14867</v>
      </c>
      <c r="AO79" t="s">
        <v>13808</v>
      </c>
      <c r="AT79" t="s">
        <v>14390</v>
      </c>
      <c r="AU79" t="s">
        <v>13808</v>
      </c>
      <c r="AZ79" t="s">
        <v>15332</v>
      </c>
      <c r="BA79" t="s">
        <v>13808</v>
      </c>
      <c r="BF79" t="s">
        <v>15333</v>
      </c>
      <c r="BG79" t="s">
        <v>13808</v>
      </c>
      <c r="BL79" t="s">
        <v>15334</v>
      </c>
      <c r="BM79" t="s">
        <v>13808</v>
      </c>
      <c r="BR79" t="s">
        <v>15335</v>
      </c>
      <c r="BS79" t="s">
        <v>13824</v>
      </c>
      <c r="BT79" t="s">
        <v>13808</v>
      </c>
      <c r="BU79" t="s">
        <v>13985</v>
      </c>
      <c r="BY79" t="s">
        <v>15336</v>
      </c>
      <c r="BZ79" t="s">
        <v>13808</v>
      </c>
      <c r="CA79" t="s">
        <v>13937</v>
      </c>
      <c r="CE79" t="s">
        <v>13828</v>
      </c>
      <c r="CF79" t="s">
        <v>13808</v>
      </c>
      <c r="CK79" t="s">
        <v>13760</v>
      </c>
      <c r="CL79" t="s">
        <v>13809</v>
      </c>
      <c r="CQ79" t="s">
        <v>13766</v>
      </c>
      <c r="CR79" t="s">
        <v>13809</v>
      </c>
      <c r="CT79" t="s">
        <v>15337</v>
      </c>
      <c r="CU79" t="s">
        <v>15338</v>
      </c>
      <c r="CV79" t="s">
        <v>13808</v>
      </c>
      <c r="CX79" t="s">
        <v>15061</v>
      </c>
      <c r="CY79" t="s">
        <v>13818</v>
      </c>
      <c r="DA79" t="s">
        <v>15339</v>
      </c>
      <c r="DB79" t="s">
        <v>13808</v>
      </c>
      <c r="DD79" t="s">
        <v>15061</v>
      </c>
      <c r="DE79" t="s">
        <v>13818</v>
      </c>
      <c r="DG79" t="s">
        <v>14240</v>
      </c>
      <c r="DH79" t="s">
        <v>13808</v>
      </c>
      <c r="DY79" t="s">
        <v>15340</v>
      </c>
      <c r="DZ79" t="s">
        <v>15341</v>
      </c>
      <c r="EA79" t="s">
        <v>13996</v>
      </c>
      <c r="EC79">
        <v>44642</v>
      </c>
      <c r="ED79" t="s">
        <v>13843</v>
      </c>
      <c r="EE79" t="s">
        <v>6103</v>
      </c>
    </row>
    <row r="80" spans="1:135">
      <c r="A80" t="s">
        <v>1944</v>
      </c>
      <c r="B80" t="s">
        <v>1920</v>
      </c>
      <c r="C80" t="s">
        <v>15342</v>
      </c>
      <c r="D80" s="24">
        <v>44694</v>
      </c>
      <c r="E80" s="24" t="s">
        <v>13557</v>
      </c>
      <c r="F80" s="24" t="s">
        <v>15343</v>
      </c>
      <c r="G80" s="24" t="s">
        <v>13808</v>
      </c>
      <c r="H80" s="24"/>
      <c r="I80" s="24" t="s">
        <v>13809</v>
      </c>
      <c r="J80" s="24"/>
      <c r="K80" s="24" t="s">
        <v>13808</v>
      </c>
      <c r="L80" s="24" t="s">
        <v>15344</v>
      </c>
      <c r="M80" s="24" t="s">
        <v>15345</v>
      </c>
      <c r="N80" s="24" t="s">
        <v>13808</v>
      </c>
      <c r="O80" s="24"/>
      <c r="P80" s="24" t="s">
        <v>13808</v>
      </c>
      <c r="Q80" s="24"/>
      <c r="R80" s="24" t="s">
        <v>13808</v>
      </c>
      <c r="S80" s="24"/>
      <c r="T80" t="s">
        <v>15346</v>
      </c>
      <c r="U80" t="s">
        <v>13808</v>
      </c>
      <c r="V80" t="s">
        <v>15347</v>
      </c>
      <c r="W80" t="s">
        <v>13808</v>
      </c>
      <c r="Y80" t="s">
        <v>13809</v>
      </c>
      <c r="AA80" t="s">
        <v>15166</v>
      </c>
      <c r="AB80" t="s">
        <v>15348</v>
      </c>
      <c r="AC80" t="s">
        <v>13809</v>
      </c>
      <c r="AH80" t="s">
        <v>13851</v>
      </c>
      <c r="AI80" t="s">
        <v>13808</v>
      </c>
      <c r="AN80" t="s">
        <v>15349</v>
      </c>
      <c r="AO80" t="s">
        <v>13808</v>
      </c>
      <c r="AT80" t="s">
        <v>15350</v>
      </c>
      <c r="AU80" t="s">
        <v>13808</v>
      </c>
      <c r="AZ80" t="s">
        <v>15351</v>
      </c>
      <c r="BA80" t="s">
        <v>13808</v>
      </c>
      <c r="BF80" t="s">
        <v>15352</v>
      </c>
      <c r="BG80" t="s">
        <v>13808</v>
      </c>
      <c r="BL80" t="s">
        <v>13735</v>
      </c>
      <c r="BM80" t="s">
        <v>13809</v>
      </c>
      <c r="BR80" t="s">
        <v>15353</v>
      </c>
      <c r="BS80" t="s">
        <v>13824</v>
      </c>
      <c r="BT80" t="s">
        <v>13808</v>
      </c>
      <c r="BU80" t="s">
        <v>14195</v>
      </c>
      <c r="BY80" t="s">
        <v>13860</v>
      </c>
      <c r="BZ80" t="s">
        <v>13808</v>
      </c>
      <c r="CA80" t="s">
        <v>13937</v>
      </c>
      <c r="CE80" t="s">
        <v>13862</v>
      </c>
      <c r="CF80" t="s">
        <v>13808</v>
      </c>
      <c r="CG80" t="s">
        <v>15354</v>
      </c>
      <c r="CK80" t="s">
        <v>13760</v>
      </c>
      <c r="CL80" t="s">
        <v>13809</v>
      </c>
      <c r="CQ80" t="s">
        <v>13766</v>
      </c>
      <c r="CR80" t="s">
        <v>13809</v>
      </c>
      <c r="CT80" t="s">
        <v>15355</v>
      </c>
      <c r="CU80" t="s">
        <v>15356</v>
      </c>
      <c r="CV80" t="s">
        <v>13808</v>
      </c>
      <c r="CX80" t="s">
        <v>15357</v>
      </c>
      <c r="CY80" t="s">
        <v>13818</v>
      </c>
      <c r="DA80" t="s">
        <v>15358</v>
      </c>
      <c r="DB80" t="s">
        <v>13808</v>
      </c>
      <c r="DD80" t="s">
        <v>15359</v>
      </c>
      <c r="DE80" t="s">
        <v>13818</v>
      </c>
      <c r="DG80" t="s">
        <v>15360</v>
      </c>
      <c r="DH80" t="s">
        <v>13818</v>
      </c>
      <c r="DM80" t="s">
        <v>15361</v>
      </c>
      <c r="DN80" t="s">
        <v>13808</v>
      </c>
      <c r="DP80" t="s">
        <v>15362</v>
      </c>
      <c r="DQ80" t="s">
        <v>13818</v>
      </c>
      <c r="DR80" t="s">
        <v>15363</v>
      </c>
      <c r="DY80" t="s">
        <v>15364</v>
      </c>
      <c r="DZ80" t="s">
        <v>15365</v>
      </c>
      <c r="EA80" t="s">
        <v>14118</v>
      </c>
      <c r="EB80" t="s">
        <v>15366</v>
      </c>
      <c r="EC80">
        <v>44699</v>
      </c>
      <c r="ED80" t="s">
        <v>13843</v>
      </c>
      <c r="EE80" t="s">
        <v>6531</v>
      </c>
    </row>
    <row r="81" spans="1:135">
      <c r="A81" t="s">
        <v>2046</v>
      </c>
      <c r="B81" t="s">
        <v>2026</v>
      </c>
      <c r="C81" t="s">
        <v>15367</v>
      </c>
      <c r="D81" s="24">
        <v>44707</v>
      </c>
      <c r="E81" s="24" t="s">
        <v>13555</v>
      </c>
      <c r="F81" s="24" t="s">
        <v>15368</v>
      </c>
      <c r="G81" s="24" t="s">
        <v>13808</v>
      </c>
      <c r="H81" s="24"/>
      <c r="I81" s="24" t="s">
        <v>13809</v>
      </c>
      <c r="J81" s="24"/>
      <c r="K81" s="24" t="s">
        <v>13808</v>
      </c>
      <c r="L81" s="24"/>
      <c r="M81" s="24" t="s">
        <v>13846</v>
      </c>
      <c r="N81" s="24" t="s">
        <v>13808</v>
      </c>
      <c r="O81" s="24"/>
      <c r="P81" s="24" t="s">
        <v>13808</v>
      </c>
      <c r="Q81" s="24"/>
      <c r="R81" s="24" t="s">
        <v>13808</v>
      </c>
      <c r="S81" s="24"/>
      <c r="T81" t="s">
        <v>13907</v>
      </c>
      <c r="U81" t="s">
        <v>13808</v>
      </c>
      <c r="W81" t="s">
        <v>13808</v>
      </c>
      <c r="X81" t="s">
        <v>15369</v>
      </c>
      <c r="Y81" t="s">
        <v>13808</v>
      </c>
      <c r="AA81" t="s">
        <v>14971</v>
      </c>
      <c r="AB81" t="s">
        <v>15370</v>
      </c>
      <c r="AC81" t="s">
        <v>13808</v>
      </c>
      <c r="AH81" t="s">
        <v>13851</v>
      </c>
      <c r="AI81" t="s">
        <v>13808</v>
      </c>
      <c r="AN81" t="s">
        <v>15371</v>
      </c>
      <c r="AO81" t="s">
        <v>13808</v>
      </c>
      <c r="AT81" t="s">
        <v>15350</v>
      </c>
      <c r="AU81" t="s">
        <v>13808</v>
      </c>
      <c r="AZ81" t="s">
        <v>13981</v>
      </c>
      <c r="BA81" t="s">
        <v>13808</v>
      </c>
      <c r="BF81" t="s">
        <v>15372</v>
      </c>
      <c r="BG81" t="s">
        <v>13808</v>
      </c>
      <c r="BL81" t="s">
        <v>13735</v>
      </c>
      <c r="BM81" t="s">
        <v>13809</v>
      </c>
      <c r="BR81" t="s">
        <v>15373</v>
      </c>
      <c r="BS81" t="s">
        <v>13824</v>
      </c>
      <c r="BT81" t="s">
        <v>13808</v>
      </c>
      <c r="BU81" t="s">
        <v>13985</v>
      </c>
      <c r="BY81" t="s">
        <v>13986</v>
      </c>
      <c r="BZ81" t="s">
        <v>13808</v>
      </c>
      <c r="CA81" t="s">
        <v>13937</v>
      </c>
      <c r="CE81" t="s">
        <v>13862</v>
      </c>
      <c r="CF81" t="s">
        <v>13808</v>
      </c>
      <c r="CG81" t="s">
        <v>15374</v>
      </c>
      <c r="CK81" t="s">
        <v>13760</v>
      </c>
      <c r="CL81" t="s">
        <v>13809</v>
      </c>
      <c r="CQ81" t="s">
        <v>13766</v>
      </c>
      <c r="CR81" t="s">
        <v>13809</v>
      </c>
      <c r="CT81" t="s">
        <v>15375</v>
      </c>
      <c r="CU81" t="s">
        <v>15376</v>
      </c>
      <c r="CV81" t="s">
        <v>13808</v>
      </c>
      <c r="CX81" t="s">
        <v>15377</v>
      </c>
      <c r="CY81" t="s">
        <v>13818</v>
      </c>
      <c r="DA81" t="s">
        <v>15378</v>
      </c>
      <c r="DB81" t="s">
        <v>13808</v>
      </c>
      <c r="DD81" t="s">
        <v>15379</v>
      </c>
      <c r="DE81" t="s">
        <v>13818</v>
      </c>
      <c r="DG81" t="s">
        <v>14240</v>
      </c>
      <c r="DH81" t="s">
        <v>13808</v>
      </c>
      <c r="DM81" t="s">
        <v>15380</v>
      </c>
      <c r="DN81" t="s">
        <v>13808</v>
      </c>
      <c r="DY81" t="s">
        <v>13869</v>
      </c>
      <c r="DZ81" t="s">
        <v>15381</v>
      </c>
      <c r="EA81" t="s">
        <v>15382</v>
      </c>
      <c r="EC81">
        <v>44734</v>
      </c>
      <c r="ED81" t="s">
        <v>14298</v>
      </c>
      <c r="EE81" t="s">
        <v>6669</v>
      </c>
    </row>
    <row r="82" spans="1:135">
      <c r="A82" t="s">
        <v>2050</v>
      </c>
      <c r="B82" t="s">
        <v>2026</v>
      </c>
      <c r="C82" t="s">
        <v>15383</v>
      </c>
      <c r="D82" s="24">
        <v>44881</v>
      </c>
      <c r="E82" s="24" t="s">
        <v>13555</v>
      </c>
      <c r="F82" s="24" t="s">
        <v>15384</v>
      </c>
      <c r="G82" s="24" t="s">
        <v>13808</v>
      </c>
      <c r="H82" s="24"/>
      <c r="I82" s="24" t="s">
        <v>13809</v>
      </c>
      <c r="J82" s="24"/>
      <c r="K82" s="24" t="s">
        <v>13808</v>
      </c>
      <c r="L82" s="24"/>
      <c r="M82" s="24" t="s">
        <v>13846</v>
      </c>
      <c r="N82" s="24" t="s">
        <v>13808</v>
      </c>
      <c r="O82" s="24"/>
      <c r="P82" s="24" t="s">
        <v>13808</v>
      </c>
      <c r="Q82" s="24"/>
      <c r="R82" s="24" t="s">
        <v>13808</v>
      </c>
      <c r="S82" s="24"/>
      <c r="T82" t="s">
        <v>15385</v>
      </c>
      <c r="U82" t="s">
        <v>13808</v>
      </c>
      <c r="V82" t="s">
        <v>15386</v>
      </c>
      <c r="W82" t="s">
        <v>13808</v>
      </c>
      <c r="X82" t="s">
        <v>15387</v>
      </c>
      <c r="Y82" t="s">
        <v>13809</v>
      </c>
      <c r="AA82" t="s">
        <v>14971</v>
      </c>
      <c r="AB82" t="s">
        <v>13699</v>
      </c>
      <c r="AC82" t="s">
        <v>13809</v>
      </c>
      <c r="AH82" t="s">
        <v>13851</v>
      </c>
      <c r="AI82" t="s">
        <v>13808</v>
      </c>
      <c r="AN82" t="s">
        <v>15388</v>
      </c>
      <c r="AO82" t="s">
        <v>13808</v>
      </c>
      <c r="AT82" t="s">
        <v>15389</v>
      </c>
      <c r="AU82" t="s">
        <v>13808</v>
      </c>
      <c r="AZ82" t="s">
        <v>15390</v>
      </c>
      <c r="BA82" t="s">
        <v>13808</v>
      </c>
      <c r="BF82" t="s">
        <v>15391</v>
      </c>
      <c r="BG82" t="s">
        <v>13808</v>
      </c>
      <c r="BL82" t="s">
        <v>13735</v>
      </c>
      <c r="BM82" t="s">
        <v>13809</v>
      </c>
      <c r="BR82" t="s">
        <v>15392</v>
      </c>
      <c r="BS82" t="s">
        <v>13824</v>
      </c>
      <c r="BT82" t="s">
        <v>13808</v>
      </c>
      <c r="BU82" t="s">
        <v>14291</v>
      </c>
      <c r="BY82" t="s">
        <v>14148</v>
      </c>
      <c r="BZ82" t="s">
        <v>13808</v>
      </c>
      <c r="CA82" t="s">
        <v>13937</v>
      </c>
      <c r="CE82" t="s">
        <v>14215</v>
      </c>
      <c r="CF82" t="s">
        <v>13808</v>
      </c>
      <c r="CH82" t="s">
        <v>13862</v>
      </c>
      <c r="CI82" t="s">
        <v>13818</v>
      </c>
      <c r="CJ82" t="s">
        <v>15393</v>
      </c>
      <c r="CK82" t="s">
        <v>13760</v>
      </c>
      <c r="CL82" t="s">
        <v>13809</v>
      </c>
      <c r="CQ82" t="s">
        <v>13766</v>
      </c>
      <c r="CR82" t="s">
        <v>13809</v>
      </c>
      <c r="CT82" t="s">
        <v>15394</v>
      </c>
      <c r="CU82" t="s">
        <v>15395</v>
      </c>
      <c r="CV82" t="s">
        <v>13808</v>
      </c>
      <c r="CX82" t="s">
        <v>15396</v>
      </c>
      <c r="CY82" t="s">
        <v>13818</v>
      </c>
      <c r="DA82" t="s">
        <v>15397</v>
      </c>
      <c r="DB82" t="s">
        <v>13808</v>
      </c>
      <c r="DD82" t="s">
        <v>15398</v>
      </c>
      <c r="DE82" t="s">
        <v>13818</v>
      </c>
      <c r="DG82" t="s">
        <v>15399</v>
      </c>
      <c r="DH82" t="s">
        <v>13808</v>
      </c>
      <c r="DM82" t="s">
        <v>15400</v>
      </c>
      <c r="DN82" t="s">
        <v>13808</v>
      </c>
      <c r="DO82" t="s">
        <v>15401</v>
      </c>
      <c r="DY82" t="s">
        <v>15402</v>
      </c>
      <c r="DZ82" t="s">
        <v>15403</v>
      </c>
      <c r="EA82" t="s">
        <v>15382</v>
      </c>
      <c r="EC82">
        <v>44924</v>
      </c>
      <c r="ED82" t="s">
        <v>14298</v>
      </c>
      <c r="EE82" t="s">
        <v>6673</v>
      </c>
    </row>
    <row r="83" spans="1:135">
      <c r="A83" t="s">
        <v>1845</v>
      </c>
      <c r="B83" t="s">
        <v>1808</v>
      </c>
      <c r="C83" t="s">
        <v>15404</v>
      </c>
      <c r="D83" s="24">
        <v>43069</v>
      </c>
      <c r="E83" s="24" t="s">
        <v>13557</v>
      </c>
      <c r="F83" s="24" t="s">
        <v>15405</v>
      </c>
      <c r="G83" s="24" t="s">
        <v>13808</v>
      </c>
      <c r="H83" s="24"/>
      <c r="I83" s="24" t="s">
        <v>13809</v>
      </c>
      <c r="J83" s="24"/>
      <c r="K83" s="24" t="s">
        <v>13808</v>
      </c>
      <c r="L83" s="24"/>
      <c r="M83" s="24" t="s">
        <v>15406</v>
      </c>
      <c r="N83" s="24" t="s">
        <v>13808</v>
      </c>
      <c r="O83" s="24"/>
      <c r="P83" s="24" t="s">
        <v>13808</v>
      </c>
      <c r="Q83" s="24"/>
      <c r="R83" s="24" t="s">
        <v>13808</v>
      </c>
      <c r="S83" s="24"/>
      <c r="T83" t="s">
        <v>15407</v>
      </c>
      <c r="U83" t="s">
        <v>13809</v>
      </c>
      <c r="W83" t="s">
        <v>13808</v>
      </c>
      <c r="X83" t="s">
        <v>15408</v>
      </c>
      <c r="Y83" t="s">
        <v>13809</v>
      </c>
      <c r="AA83" t="s">
        <v>14931</v>
      </c>
      <c r="AB83" t="s">
        <v>15409</v>
      </c>
      <c r="AC83" t="s">
        <v>13808</v>
      </c>
      <c r="AH83" t="s">
        <v>13909</v>
      </c>
      <c r="AI83" t="s">
        <v>13808</v>
      </c>
      <c r="AN83" t="s">
        <v>15410</v>
      </c>
      <c r="AO83" t="s">
        <v>13808</v>
      </c>
      <c r="AT83" t="s">
        <v>14687</v>
      </c>
      <c r="AU83" t="s">
        <v>13808</v>
      </c>
      <c r="AZ83" t="s">
        <v>15411</v>
      </c>
      <c r="BA83" t="s">
        <v>13808</v>
      </c>
      <c r="BF83" t="s">
        <v>15412</v>
      </c>
      <c r="BG83" t="s">
        <v>13808</v>
      </c>
      <c r="BL83" t="s">
        <v>15413</v>
      </c>
      <c r="BM83" t="s">
        <v>13808</v>
      </c>
      <c r="BR83" t="s">
        <v>15414</v>
      </c>
      <c r="BS83" t="s">
        <v>13887</v>
      </c>
      <c r="BT83" t="s">
        <v>13808</v>
      </c>
      <c r="BU83" t="s">
        <v>15304</v>
      </c>
      <c r="BY83" t="s">
        <v>14265</v>
      </c>
      <c r="BZ83" t="s">
        <v>13808</v>
      </c>
      <c r="CA83" t="s">
        <v>13888</v>
      </c>
      <c r="CE83" t="s">
        <v>14197</v>
      </c>
      <c r="CF83" t="s">
        <v>13818</v>
      </c>
      <c r="CG83" t="s">
        <v>15415</v>
      </c>
      <c r="CH83" t="s">
        <v>14693</v>
      </c>
      <c r="CI83" t="s">
        <v>13808</v>
      </c>
      <c r="CL83" t="s">
        <v>13809</v>
      </c>
      <c r="CR83" t="s">
        <v>13809</v>
      </c>
      <c r="CT83" t="s">
        <v>15416</v>
      </c>
      <c r="CU83" t="s">
        <v>13887</v>
      </c>
      <c r="CV83" t="s">
        <v>13808</v>
      </c>
      <c r="CX83" t="s">
        <v>15417</v>
      </c>
      <c r="CY83" t="s">
        <v>13818</v>
      </c>
      <c r="DA83" t="s">
        <v>13887</v>
      </c>
      <c r="DB83" t="s">
        <v>13808</v>
      </c>
      <c r="DD83" t="s">
        <v>15417</v>
      </c>
      <c r="DE83" t="s">
        <v>13818</v>
      </c>
      <c r="DG83" t="s">
        <v>13909</v>
      </c>
      <c r="DH83" t="s">
        <v>13818</v>
      </c>
      <c r="DM83" t="s">
        <v>14197</v>
      </c>
      <c r="DN83" t="s">
        <v>13808</v>
      </c>
      <c r="DO83" t="s">
        <v>15418</v>
      </c>
      <c r="DY83" t="s">
        <v>14606</v>
      </c>
      <c r="DZ83" t="s">
        <v>14379</v>
      </c>
      <c r="EA83" t="s">
        <v>15419</v>
      </c>
      <c r="EC83">
        <v>44484</v>
      </c>
      <c r="ED83" t="s">
        <v>13903</v>
      </c>
      <c r="EE83" t="s">
        <v>6387</v>
      </c>
    </row>
    <row r="84" spans="1:135">
      <c r="A84" t="s">
        <v>1720</v>
      </c>
      <c r="B84" t="s">
        <v>1683</v>
      </c>
      <c r="C84" t="s">
        <v>15420</v>
      </c>
      <c r="D84" s="24">
        <v>43151</v>
      </c>
      <c r="E84" s="24" t="s">
        <v>13555</v>
      </c>
      <c r="F84" s="24" t="s">
        <v>15421</v>
      </c>
      <c r="G84" s="24" t="s">
        <v>13808</v>
      </c>
      <c r="H84" s="24"/>
      <c r="I84" s="24" t="s">
        <v>13809</v>
      </c>
      <c r="J84" s="24"/>
      <c r="K84" s="24" t="s">
        <v>13808</v>
      </c>
      <c r="L84" s="24"/>
      <c r="M84" s="24" t="s">
        <v>13846</v>
      </c>
      <c r="N84" s="24" t="s">
        <v>13808</v>
      </c>
      <c r="O84" s="24"/>
      <c r="P84" s="24" t="s">
        <v>13808</v>
      </c>
      <c r="Q84" s="24"/>
      <c r="R84" s="24" t="s">
        <v>13808</v>
      </c>
      <c r="S84" s="24"/>
      <c r="T84" t="s">
        <v>13907</v>
      </c>
      <c r="U84" t="s">
        <v>13809</v>
      </c>
      <c r="W84" t="s">
        <v>13808</v>
      </c>
      <c r="X84" t="s">
        <v>15422</v>
      </c>
      <c r="Y84" t="s">
        <v>13808</v>
      </c>
      <c r="AA84" t="s">
        <v>14971</v>
      </c>
      <c r="AB84" t="s">
        <v>13850</v>
      </c>
      <c r="AC84" t="s">
        <v>13809</v>
      </c>
      <c r="AH84" t="s">
        <v>13851</v>
      </c>
      <c r="AI84" t="s">
        <v>13808</v>
      </c>
      <c r="AN84" t="s">
        <v>15423</v>
      </c>
      <c r="AO84" t="s">
        <v>13808</v>
      </c>
      <c r="AT84" t="s">
        <v>15424</v>
      </c>
      <c r="AU84" t="s">
        <v>13808</v>
      </c>
      <c r="AZ84" t="s">
        <v>15425</v>
      </c>
      <c r="BA84" t="s">
        <v>13808</v>
      </c>
      <c r="BF84" t="s">
        <v>15426</v>
      </c>
      <c r="BG84" t="s">
        <v>13808</v>
      </c>
      <c r="BL84" t="s">
        <v>13934</v>
      </c>
      <c r="BM84" t="s">
        <v>13809</v>
      </c>
      <c r="BR84" t="s">
        <v>15427</v>
      </c>
      <c r="BS84" t="s">
        <v>13824</v>
      </c>
      <c r="BT84" t="s">
        <v>13808</v>
      </c>
      <c r="BU84" t="s">
        <v>14147</v>
      </c>
      <c r="BY84" t="s">
        <v>13986</v>
      </c>
      <c r="BZ84" t="s">
        <v>13808</v>
      </c>
      <c r="CA84" t="s">
        <v>13937</v>
      </c>
      <c r="CE84" t="s">
        <v>14292</v>
      </c>
      <c r="CF84" t="s">
        <v>13808</v>
      </c>
      <c r="CK84" t="s">
        <v>13760</v>
      </c>
      <c r="CL84" t="s">
        <v>13809</v>
      </c>
      <c r="CQ84" t="s">
        <v>13766</v>
      </c>
      <c r="CR84" t="s">
        <v>13809</v>
      </c>
      <c r="CT84" t="s">
        <v>15428</v>
      </c>
      <c r="CU84" t="s">
        <v>14236</v>
      </c>
      <c r="CV84" t="s">
        <v>13808</v>
      </c>
      <c r="DA84" t="s">
        <v>15252</v>
      </c>
      <c r="DB84" t="s">
        <v>13808</v>
      </c>
      <c r="DH84" t="s">
        <v>13808</v>
      </c>
      <c r="DM84" t="s">
        <v>15253</v>
      </c>
      <c r="DN84" t="s">
        <v>13808</v>
      </c>
      <c r="DY84" t="s">
        <v>15429</v>
      </c>
      <c r="DZ84" t="s">
        <v>15430</v>
      </c>
      <c r="EA84" t="s">
        <v>14201</v>
      </c>
      <c r="EC84">
        <v>44623</v>
      </c>
      <c r="ED84" t="s">
        <v>13843</v>
      </c>
      <c r="EE84" t="s">
        <v>6249</v>
      </c>
    </row>
    <row r="85" spans="1:135">
      <c r="A85" t="s">
        <v>1948</v>
      </c>
      <c r="B85" t="s">
        <v>1920</v>
      </c>
      <c r="C85" t="s">
        <v>15431</v>
      </c>
      <c r="D85" s="24">
        <v>44693</v>
      </c>
      <c r="E85" s="24" t="s">
        <v>13557</v>
      </c>
      <c r="F85" s="24" t="s">
        <v>15432</v>
      </c>
      <c r="G85" s="24" t="s">
        <v>13808</v>
      </c>
      <c r="H85" s="24"/>
      <c r="I85" s="24" t="s">
        <v>13809</v>
      </c>
      <c r="J85" s="24"/>
      <c r="K85" s="24" t="s">
        <v>13808</v>
      </c>
      <c r="L85" s="24" t="s">
        <v>15433</v>
      </c>
      <c r="M85" s="24" t="s">
        <v>15434</v>
      </c>
      <c r="N85" s="24" t="s">
        <v>13808</v>
      </c>
      <c r="O85" s="24"/>
      <c r="P85" s="24" t="s">
        <v>13808</v>
      </c>
      <c r="Q85" s="24"/>
      <c r="R85" s="24" t="s">
        <v>13808</v>
      </c>
      <c r="S85" s="24"/>
      <c r="T85" t="s">
        <v>15435</v>
      </c>
      <c r="U85" t="s">
        <v>13808</v>
      </c>
      <c r="V85" t="s">
        <v>15436</v>
      </c>
      <c r="W85" t="s">
        <v>13808</v>
      </c>
      <c r="X85" t="s">
        <v>15437</v>
      </c>
      <c r="Y85" t="s">
        <v>13809</v>
      </c>
      <c r="AA85" t="s">
        <v>15438</v>
      </c>
      <c r="AB85" t="s">
        <v>15439</v>
      </c>
      <c r="AC85" t="s">
        <v>13808</v>
      </c>
      <c r="AH85" t="s">
        <v>13851</v>
      </c>
      <c r="AI85" t="s">
        <v>13808</v>
      </c>
      <c r="AN85" t="s">
        <v>13711</v>
      </c>
      <c r="AO85" t="s">
        <v>13809</v>
      </c>
      <c r="AT85" t="s">
        <v>15440</v>
      </c>
      <c r="AU85" t="s">
        <v>13808</v>
      </c>
      <c r="AZ85" t="s">
        <v>15441</v>
      </c>
      <c r="BA85" t="s">
        <v>13808</v>
      </c>
      <c r="BF85" t="s">
        <v>15442</v>
      </c>
      <c r="BG85" t="s">
        <v>13808</v>
      </c>
      <c r="BL85" t="s">
        <v>15443</v>
      </c>
      <c r="BM85" t="s">
        <v>13808</v>
      </c>
      <c r="BR85" t="s">
        <v>15444</v>
      </c>
      <c r="BS85" t="s">
        <v>13824</v>
      </c>
      <c r="BT85" t="s">
        <v>13808</v>
      </c>
      <c r="BU85" t="s">
        <v>14315</v>
      </c>
      <c r="BY85" t="s">
        <v>13860</v>
      </c>
      <c r="BZ85" t="s">
        <v>13808</v>
      </c>
      <c r="CA85" t="s">
        <v>13937</v>
      </c>
      <c r="CE85" t="s">
        <v>15445</v>
      </c>
      <c r="CF85" t="s">
        <v>13808</v>
      </c>
      <c r="CG85" t="s">
        <v>15446</v>
      </c>
      <c r="CK85" t="s">
        <v>14581</v>
      </c>
      <c r="CL85" t="s">
        <v>13808</v>
      </c>
      <c r="CQ85" t="s">
        <v>13766</v>
      </c>
      <c r="CR85" t="s">
        <v>13809</v>
      </c>
      <c r="CT85" t="s">
        <v>15447</v>
      </c>
      <c r="CU85" t="s">
        <v>15448</v>
      </c>
      <c r="CV85" t="s">
        <v>13808</v>
      </c>
      <c r="CX85" t="s">
        <v>15449</v>
      </c>
      <c r="CY85" t="s">
        <v>13818</v>
      </c>
      <c r="DA85" t="s">
        <v>15450</v>
      </c>
      <c r="DB85" t="s">
        <v>13808</v>
      </c>
      <c r="DD85" t="s">
        <v>15451</v>
      </c>
      <c r="DE85" t="s">
        <v>15452</v>
      </c>
      <c r="DM85" t="s">
        <v>15453</v>
      </c>
      <c r="DN85" t="s">
        <v>13808</v>
      </c>
      <c r="DY85" t="s">
        <v>13840</v>
      </c>
      <c r="DZ85" t="s">
        <v>15454</v>
      </c>
      <c r="EA85" t="s">
        <v>15455</v>
      </c>
      <c r="EC85">
        <v>44697</v>
      </c>
      <c r="ED85" t="s">
        <v>13843</v>
      </c>
      <c r="EE85" t="s">
        <v>6540</v>
      </c>
    </row>
    <row r="86" spans="1:135">
      <c r="A86" t="s">
        <v>1952</v>
      </c>
      <c r="B86" t="s">
        <v>1920</v>
      </c>
      <c r="C86" t="s">
        <v>15456</v>
      </c>
      <c r="D86" s="24">
        <v>43149</v>
      </c>
      <c r="E86" s="24" t="s">
        <v>13555</v>
      </c>
      <c r="F86" s="24" t="s">
        <v>15457</v>
      </c>
      <c r="G86" s="24" t="s">
        <v>13808</v>
      </c>
      <c r="H86" s="24"/>
      <c r="I86" s="24" t="s">
        <v>13809</v>
      </c>
      <c r="J86" s="24"/>
      <c r="K86" s="24" t="s">
        <v>13808</v>
      </c>
      <c r="L86" s="24"/>
      <c r="M86" s="24" t="s">
        <v>15458</v>
      </c>
      <c r="N86" s="24" t="s">
        <v>13808</v>
      </c>
      <c r="O86" s="24"/>
      <c r="P86" s="24" t="s">
        <v>13808</v>
      </c>
      <c r="Q86" s="24"/>
      <c r="R86" s="24" t="s">
        <v>13818</v>
      </c>
      <c r="S86" s="24"/>
      <c r="T86" t="s">
        <v>15459</v>
      </c>
      <c r="U86" t="s">
        <v>13808</v>
      </c>
      <c r="W86" t="s">
        <v>13808</v>
      </c>
      <c r="X86" t="s">
        <v>15460</v>
      </c>
      <c r="Y86" t="s">
        <v>13808</v>
      </c>
      <c r="AA86" t="s">
        <v>15461</v>
      </c>
      <c r="AB86" t="s">
        <v>15462</v>
      </c>
      <c r="AC86" t="s">
        <v>13808</v>
      </c>
      <c r="AH86" t="s">
        <v>13909</v>
      </c>
      <c r="AI86" t="s">
        <v>13808</v>
      </c>
      <c r="AN86" t="s">
        <v>15463</v>
      </c>
      <c r="AO86" t="s">
        <v>13808</v>
      </c>
      <c r="AT86" t="s">
        <v>15464</v>
      </c>
      <c r="AU86" t="s">
        <v>13808</v>
      </c>
      <c r="AZ86" t="s">
        <v>13910</v>
      </c>
      <c r="BA86" t="s">
        <v>13808</v>
      </c>
      <c r="BF86" t="s">
        <v>15465</v>
      </c>
      <c r="BG86" t="s">
        <v>13808</v>
      </c>
      <c r="BM86" t="s">
        <v>13809</v>
      </c>
      <c r="BR86" t="s">
        <v>15466</v>
      </c>
      <c r="BS86" t="s">
        <v>13887</v>
      </c>
      <c r="BT86" t="s">
        <v>13808</v>
      </c>
      <c r="BU86" t="s">
        <v>15467</v>
      </c>
      <c r="BY86" t="s">
        <v>13887</v>
      </c>
      <c r="BZ86" t="s">
        <v>13808</v>
      </c>
      <c r="CA86" t="s">
        <v>13937</v>
      </c>
      <c r="CE86" t="s">
        <v>14197</v>
      </c>
      <c r="CF86" t="s">
        <v>13808</v>
      </c>
      <c r="CG86" t="s">
        <v>15468</v>
      </c>
      <c r="CL86" t="s">
        <v>13809</v>
      </c>
      <c r="CR86" t="s">
        <v>13809</v>
      </c>
      <c r="CT86" t="s">
        <v>15469</v>
      </c>
      <c r="CU86" t="s">
        <v>14840</v>
      </c>
      <c r="CV86" t="s">
        <v>13808</v>
      </c>
      <c r="CX86" t="s">
        <v>15470</v>
      </c>
      <c r="CY86" t="s">
        <v>13818</v>
      </c>
      <c r="DA86" t="s">
        <v>13909</v>
      </c>
      <c r="DB86" t="s">
        <v>13808</v>
      </c>
      <c r="DG86" t="s">
        <v>15471</v>
      </c>
      <c r="DH86" t="s">
        <v>13808</v>
      </c>
      <c r="DJ86" t="s">
        <v>15472</v>
      </c>
      <c r="DK86" t="s">
        <v>13818</v>
      </c>
      <c r="DM86" t="s">
        <v>13887</v>
      </c>
      <c r="DN86" t="s">
        <v>13808</v>
      </c>
      <c r="DO86" t="s">
        <v>15473</v>
      </c>
      <c r="DZ86" t="s">
        <v>15474</v>
      </c>
      <c r="EA86" t="s">
        <v>15475</v>
      </c>
      <c r="EB86" t="s">
        <v>14380</v>
      </c>
      <c r="EC86">
        <v>43906</v>
      </c>
      <c r="ED86" t="s">
        <v>13903</v>
      </c>
      <c r="EE86" t="s">
        <v>6544</v>
      </c>
    </row>
    <row r="87" spans="1:135">
      <c r="A87" t="s">
        <v>1852</v>
      </c>
      <c r="B87" t="s">
        <v>1808</v>
      </c>
      <c r="C87" t="s">
        <v>15476</v>
      </c>
      <c r="D87" s="24">
        <v>43332</v>
      </c>
      <c r="E87" s="24" t="s">
        <v>13571</v>
      </c>
      <c r="F87" s="24" t="s">
        <v>15477</v>
      </c>
      <c r="G87" s="24" t="s">
        <v>13808</v>
      </c>
      <c r="H87" s="24"/>
      <c r="I87" s="24" t="s">
        <v>13809</v>
      </c>
      <c r="J87" s="24"/>
      <c r="K87" s="24" t="s">
        <v>13808</v>
      </c>
      <c r="L87" s="24"/>
      <c r="M87" s="24" t="s">
        <v>15478</v>
      </c>
      <c r="N87" s="24" t="s">
        <v>13808</v>
      </c>
      <c r="O87" s="24"/>
      <c r="P87" s="24" t="s">
        <v>13808</v>
      </c>
      <c r="Q87" s="24"/>
      <c r="R87" s="24" t="s">
        <v>13808</v>
      </c>
      <c r="S87" s="24"/>
      <c r="T87" t="s">
        <v>13907</v>
      </c>
      <c r="U87" t="s">
        <v>13808</v>
      </c>
      <c r="W87" t="s">
        <v>13808</v>
      </c>
      <c r="X87" t="s">
        <v>15185</v>
      </c>
      <c r="Y87" t="s">
        <v>13809</v>
      </c>
      <c r="AA87" t="s">
        <v>13928</v>
      </c>
      <c r="AB87" t="s">
        <v>15479</v>
      </c>
      <c r="AC87" t="s">
        <v>13808</v>
      </c>
      <c r="AH87" t="s">
        <v>13851</v>
      </c>
      <c r="AI87" t="s">
        <v>13808</v>
      </c>
      <c r="AN87" t="s">
        <v>15055</v>
      </c>
      <c r="AO87" t="s">
        <v>13809</v>
      </c>
      <c r="AT87" t="s">
        <v>15350</v>
      </c>
      <c r="AU87" t="s">
        <v>13808</v>
      </c>
      <c r="AZ87" t="s">
        <v>15480</v>
      </c>
      <c r="BA87" t="s">
        <v>13808</v>
      </c>
      <c r="BF87" t="s">
        <v>15481</v>
      </c>
      <c r="BG87" t="s">
        <v>13808</v>
      </c>
      <c r="BL87" t="s">
        <v>15482</v>
      </c>
      <c r="BM87" t="s">
        <v>13808</v>
      </c>
      <c r="BR87" t="s">
        <v>15483</v>
      </c>
      <c r="BS87" t="s">
        <v>13824</v>
      </c>
      <c r="BT87" t="s">
        <v>13808</v>
      </c>
      <c r="BU87" t="s">
        <v>15484</v>
      </c>
      <c r="BY87" t="s">
        <v>13986</v>
      </c>
      <c r="BZ87" t="s">
        <v>13808</v>
      </c>
      <c r="CA87" t="s">
        <v>13937</v>
      </c>
      <c r="CE87" t="s">
        <v>13862</v>
      </c>
      <c r="CF87" t="s">
        <v>13818</v>
      </c>
      <c r="CG87" t="s">
        <v>15485</v>
      </c>
      <c r="CH87" t="s">
        <v>14215</v>
      </c>
      <c r="CI87" t="s">
        <v>13808</v>
      </c>
      <c r="CK87" t="s">
        <v>13760</v>
      </c>
      <c r="CL87" t="s">
        <v>13809</v>
      </c>
      <c r="CQ87" t="s">
        <v>13766</v>
      </c>
      <c r="CR87" t="s">
        <v>13809</v>
      </c>
      <c r="CT87" t="s">
        <v>15486</v>
      </c>
      <c r="CU87" t="s">
        <v>15487</v>
      </c>
      <c r="CV87" t="s">
        <v>13808</v>
      </c>
      <c r="CX87" t="s">
        <v>15488</v>
      </c>
      <c r="CY87" t="s">
        <v>13818</v>
      </c>
      <c r="DA87" t="s">
        <v>15489</v>
      </c>
      <c r="DB87" t="s">
        <v>13808</v>
      </c>
      <c r="DD87" t="s">
        <v>15488</v>
      </c>
      <c r="DE87" t="s">
        <v>13818</v>
      </c>
      <c r="DG87" t="s">
        <v>15490</v>
      </c>
      <c r="DH87" t="s">
        <v>13808</v>
      </c>
      <c r="DY87" t="s">
        <v>13840</v>
      </c>
      <c r="DZ87" t="s">
        <v>15491</v>
      </c>
      <c r="EA87" t="s">
        <v>14201</v>
      </c>
      <c r="EC87">
        <v>44659</v>
      </c>
      <c r="ED87" t="s">
        <v>13843</v>
      </c>
      <c r="EE87" t="s">
        <v>6393</v>
      </c>
    </row>
    <row r="88" spans="1:135">
      <c r="A88" t="s">
        <v>1956</v>
      </c>
      <c r="B88" t="s">
        <v>1920</v>
      </c>
      <c r="C88" t="s">
        <v>15492</v>
      </c>
      <c r="D88" s="24">
        <v>43140</v>
      </c>
      <c r="E88" s="24" t="s">
        <v>13559</v>
      </c>
      <c r="F88" s="24" t="s">
        <v>15493</v>
      </c>
      <c r="G88" s="24" t="s">
        <v>13808</v>
      </c>
      <c r="H88" s="24"/>
      <c r="I88" s="24" t="s">
        <v>13809</v>
      </c>
      <c r="J88" s="24"/>
      <c r="K88" s="24" t="s">
        <v>13808</v>
      </c>
      <c r="L88" s="24"/>
      <c r="M88" s="24" t="s">
        <v>15494</v>
      </c>
      <c r="N88" s="24" t="s">
        <v>13808</v>
      </c>
      <c r="O88" s="24"/>
      <c r="P88" s="24" t="s">
        <v>13808</v>
      </c>
      <c r="Q88" s="24"/>
      <c r="R88" s="24" t="s">
        <v>13808</v>
      </c>
      <c r="S88" s="24"/>
      <c r="T88" t="s">
        <v>14632</v>
      </c>
      <c r="U88" t="s">
        <v>13808</v>
      </c>
      <c r="W88" t="s">
        <v>13808</v>
      </c>
      <c r="X88" t="s">
        <v>15495</v>
      </c>
      <c r="Y88" t="s">
        <v>13808</v>
      </c>
      <c r="AA88" t="s">
        <v>15496</v>
      </c>
      <c r="AB88" t="s">
        <v>15497</v>
      </c>
      <c r="AC88" t="s">
        <v>13808</v>
      </c>
      <c r="AH88" t="s">
        <v>15498</v>
      </c>
      <c r="AI88" t="s">
        <v>13808</v>
      </c>
      <c r="AN88" t="s">
        <v>15499</v>
      </c>
      <c r="AO88" t="s">
        <v>13808</v>
      </c>
      <c r="AT88" t="s">
        <v>15500</v>
      </c>
      <c r="AU88" t="s">
        <v>13808</v>
      </c>
      <c r="AZ88" t="s">
        <v>15501</v>
      </c>
      <c r="BA88" t="s">
        <v>13808</v>
      </c>
      <c r="BF88" t="s">
        <v>15264</v>
      </c>
      <c r="BG88" t="s">
        <v>13808</v>
      </c>
      <c r="BL88" t="s">
        <v>15502</v>
      </c>
      <c r="BM88" t="s">
        <v>13808</v>
      </c>
      <c r="BR88" t="s">
        <v>15503</v>
      </c>
      <c r="BS88" t="s">
        <v>13824</v>
      </c>
      <c r="BT88" t="s">
        <v>13808</v>
      </c>
      <c r="BU88" t="s">
        <v>15504</v>
      </c>
      <c r="BY88" t="s">
        <v>13860</v>
      </c>
      <c r="BZ88" t="s">
        <v>13808</v>
      </c>
      <c r="CA88" t="s">
        <v>13937</v>
      </c>
      <c r="CE88" t="s">
        <v>13862</v>
      </c>
      <c r="CF88" t="s">
        <v>13818</v>
      </c>
      <c r="CH88" t="s">
        <v>14215</v>
      </c>
      <c r="CI88" t="s">
        <v>13808</v>
      </c>
      <c r="CK88" t="s">
        <v>13760</v>
      </c>
      <c r="CL88" t="s">
        <v>13809</v>
      </c>
      <c r="CQ88" t="s">
        <v>13766</v>
      </c>
      <c r="CR88" t="s">
        <v>13809</v>
      </c>
      <c r="CT88" t="s">
        <v>15505</v>
      </c>
      <c r="CU88" t="s">
        <v>14236</v>
      </c>
      <c r="CV88" t="s">
        <v>13818</v>
      </c>
      <c r="DA88" t="s">
        <v>15506</v>
      </c>
      <c r="DB88" t="s">
        <v>13808</v>
      </c>
      <c r="DE88" t="s">
        <v>13818</v>
      </c>
      <c r="DG88" t="s">
        <v>14965</v>
      </c>
      <c r="DH88" t="s">
        <v>13808</v>
      </c>
      <c r="DJ88" t="s">
        <v>15507</v>
      </c>
      <c r="DK88" t="s">
        <v>13818</v>
      </c>
      <c r="DY88" t="s">
        <v>15046</v>
      </c>
      <c r="DZ88" t="s">
        <v>15508</v>
      </c>
      <c r="EA88" t="s">
        <v>15509</v>
      </c>
      <c r="EC88">
        <v>44623</v>
      </c>
      <c r="ED88" t="s">
        <v>13843</v>
      </c>
      <c r="EE88" t="s">
        <v>6548</v>
      </c>
    </row>
    <row r="89" spans="1:135">
      <c r="A89" t="s">
        <v>1856</v>
      </c>
      <c r="B89" t="s">
        <v>1808</v>
      </c>
      <c r="C89" t="s">
        <v>15510</v>
      </c>
      <c r="D89" s="24">
        <v>43325</v>
      </c>
      <c r="E89" s="24" t="s">
        <v>13555</v>
      </c>
      <c r="F89" s="24" t="s">
        <v>15511</v>
      </c>
      <c r="G89" s="24" t="s">
        <v>13808</v>
      </c>
      <c r="H89" s="24"/>
      <c r="I89" s="24" t="s">
        <v>13809</v>
      </c>
      <c r="J89" s="24"/>
      <c r="K89" s="24" t="s">
        <v>13808</v>
      </c>
      <c r="L89" s="24"/>
      <c r="M89" s="24" t="s">
        <v>15316</v>
      </c>
      <c r="N89" s="24" t="s">
        <v>13808</v>
      </c>
      <c r="O89" s="24"/>
      <c r="P89" s="24" t="s">
        <v>13808</v>
      </c>
      <c r="Q89" s="24"/>
      <c r="R89" s="24" t="s">
        <v>13808</v>
      </c>
      <c r="S89" s="24"/>
      <c r="T89" t="s">
        <v>15512</v>
      </c>
      <c r="U89" t="s">
        <v>13808</v>
      </c>
      <c r="W89" t="s">
        <v>13808</v>
      </c>
      <c r="X89" t="s">
        <v>15513</v>
      </c>
      <c r="Y89" t="s">
        <v>13809</v>
      </c>
      <c r="AA89" t="s">
        <v>14971</v>
      </c>
      <c r="AB89" t="s">
        <v>15514</v>
      </c>
      <c r="AC89" t="s">
        <v>13808</v>
      </c>
      <c r="AH89" t="s">
        <v>13909</v>
      </c>
      <c r="AI89" t="s">
        <v>13808</v>
      </c>
      <c r="AO89" t="s">
        <v>13809</v>
      </c>
      <c r="AT89" t="s">
        <v>15515</v>
      </c>
      <c r="AU89" t="s">
        <v>13808</v>
      </c>
      <c r="AZ89" t="s">
        <v>13882</v>
      </c>
      <c r="BA89" t="s">
        <v>13808</v>
      </c>
      <c r="BF89" t="s">
        <v>14177</v>
      </c>
      <c r="BG89" t="s">
        <v>13808</v>
      </c>
      <c r="BL89" t="s">
        <v>15516</v>
      </c>
      <c r="BM89" t="s">
        <v>13808</v>
      </c>
      <c r="BR89" t="s">
        <v>15517</v>
      </c>
      <c r="BT89" t="s">
        <v>13809</v>
      </c>
      <c r="BY89" t="s">
        <v>14265</v>
      </c>
      <c r="BZ89" t="s">
        <v>13808</v>
      </c>
      <c r="CA89" t="s">
        <v>13861</v>
      </c>
      <c r="CE89" t="s">
        <v>13887</v>
      </c>
      <c r="CF89" t="s">
        <v>13808</v>
      </c>
      <c r="CK89" t="s">
        <v>13887</v>
      </c>
      <c r="CL89" t="s">
        <v>13808</v>
      </c>
      <c r="CM89" t="s">
        <v>15518</v>
      </c>
      <c r="CR89" t="s">
        <v>13809</v>
      </c>
      <c r="CT89" t="s">
        <v>15519</v>
      </c>
      <c r="CU89" t="s">
        <v>13909</v>
      </c>
      <c r="CV89" t="s">
        <v>13808</v>
      </c>
      <c r="DA89" t="s">
        <v>13909</v>
      </c>
      <c r="DB89" t="s">
        <v>13808</v>
      </c>
      <c r="DG89" t="s">
        <v>13909</v>
      </c>
      <c r="DH89" t="s">
        <v>13808</v>
      </c>
      <c r="DY89" t="s">
        <v>13900</v>
      </c>
      <c r="DZ89" t="s">
        <v>15520</v>
      </c>
      <c r="EA89" t="s">
        <v>15521</v>
      </c>
      <c r="EC89">
        <v>44117</v>
      </c>
      <c r="ED89" t="s">
        <v>13903</v>
      </c>
      <c r="EE89" t="s">
        <v>6397</v>
      </c>
    </row>
    <row r="90" spans="1:135">
      <c r="A90" t="s">
        <v>1274</v>
      </c>
      <c r="B90" t="s">
        <v>1246</v>
      </c>
      <c r="C90" t="s">
        <v>15522</v>
      </c>
      <c r="D90" s="24">
        <v>43162</v>
      </c>
      <c r="E90" s="24" t="s">
        <v>13557</v>
      </c>
      <c r="F90" s="24" t="s">
        <v>15523</v>
      </c>
      <c r="G90" s="24" t="s">
        <v>13808</v>
      </c>
      <c r="H90" s="24"/>
      <c r="I90" s="24" t="s">
        <v>13809</v>
      </c>
      <c r="J90" s="24"/>
      <c r="K90" s="24" t="s">
        <v>13808</v>
      </c>
      <c r="L90" s="24"/>
      <c r="M90" s="24" t="s">
        <v>15524</v>
      </c>
      <c r="N90" s="24" t="s">
        <v>13808</v>
      </c>
      <c r="O90" s="24"/>
      <c r="P90" s="24" t="s">
        <v>13808</v>
      </c>
      <c r="Q90" s="24"/>
      <c r="R90" s="24" t="s">
        <v>13808</v>
      </c>
      <c r="S90" s="24" t="s">
        <v>15525</v>
      </c>
      <c r="T90" t="s">
        <v>15526</v>
      </c>
      <c r="U90" t="s">
        <v>13809</v>
      </c>
      <c r="W90" t="s">
        <v>13808</v>
      </c>
      <c r="X90" t="s">
        <v>15527</v>
      </c>
      <c r="Y90" t="s">
        <v>13809</v>
      </c>
      <c r="AA90" t="s">
        <v>13928</v>
      </c>
      <c r="AB90" t="s">
        <v>15528</v>
      </c>
      <c r="AC90" t="s">
        <v>13808</v>
      </c>
      <c r="AH90" t="s">
        <v>13909</v>
      </c>
      <c r="AI90" t="s">
        <v>13808</v>
      </c>
      <c r="AO90" t="s">
        <v>13809</v>
      </c>
      <c r="AT90" t="s">
        <v>14851</v>
      </c>
      <c r="AU90" t="s">
        <v>13808</v>
      </c>
      <c r="AZ90" t="s">
        <v>15529</v>
      </c>
      <c r="BA90" t="s">
        <v>13808</v>
      </c>
      <c r="BF90" t="s">
        <v>15530</v>
      </c>
      <c r="BG90" t="s">
        <v>13808</v>
      </c>
      <c r="BM90" t="s">
        <v>13809</v>
      </c>
      <c r="BR90" t="s">
        <v>15531</v>
      </c>
      <c r="BS90" t="s">
        <v>13887</v>
      </c>
      <c r="BT90" t="s">
        <v>13808</v>
      </c>
      <c r="BU90" t="s">
        <v>15532</v>
      </c>
      <c r="BY90" t="s">
        <v>13887</v>
      </c>
      <c r="BZ90" t="s">
        <v>13808</v>
      </c>
      <c r="CA90" t="s">
        <v>13937</v>
      </c>
      <c r="CE90" t="s">
        <v>14197</v>
      </c>
      <c r="CF90" t="s">
        <v>13818</v>
      </c>
      <c r="CG90" t="s">
        <v>15533</v>
      </c>
      <c r="CL90" t="s">
        <v>13809</v>
      </c>
      <c r="CR90" t="s">
        <v>13809</v>
      </c>
      <c r="CT90" t="s">
        <v>15534</v>
      </c>
      <c r="CU90" t="s">
        <v>13887</v>
      </c>
      <c r="CV90" t="s">
        <v>13808</v>
      </c>
      <c r="CX90" t="s">
        <v>15309</v>
      </c>
      <c r="CY90" t="s">
        <v>13818</v>
      </c>
      <c r="DA90" t="s">
        <v>13887</v>
      </c>
      <c r="DB90" t="s">
        <v>13808</v>
      </c>
      <c r="DD90" t="s">
        <v>15309</v>
      </c>
      <c r="DE90" t="s">
        <v>13818</v>
      </c>
      <c r="DG90" t="s">
        <v>13909</v>
      </c>
      <c r="DH90" t="s">
        <v>13818</v>
      </c>
      <c r="DM90" t="s">
        <v>15535</v>
      </c>
      <c r="DN90" t="s">
        <v>13808</v>
      </c>
      <c r="DY90" t="s">
        <v>14606</v>
      </c>
      <c r="DZ90" t="s">
        <v>13970</v>
      </c>
      <c r="EA90" t="s">
        <v>13971</v>
      </c>
      <c r="EC90">
        <v>44117</v>
      </c>
      <c r="ED90" t="s">
        <v>13903</v>
      </c>
      <c r="EE90" t="s">
        <v>5723</v>
      </c>
    </row>
    <row r="91" spans="1:135">
      <c r="A91" t="s">
        <v>1865</v>
      </c>
      <c r="B91" t="s">
        <v>1246</v>
      </c>
      <c r="C91" t="s">
        <v>15536</v>
      </c>
      <c r="D91" s="24">
        <v>44615</v>
      </c>
      <c r="E91" s="24" t="s">
        <v>13561</v>
      </c>
      <c r="F91" s="24" t="s">
        <v>15537</v>
      </c>
      <c r="G91" s="24" t="s">
        <v>13818</v>
      </c>
      <c r="H91" s="24" t="s">
        <v>15538</v>
      </c>
      <c r="I91" s="24" t="s">
        <v>13809</v>
      </c>
      <c r="J91" s="24"/>
      <c r="K91" s="24" t="s">
        <v>13809</v>
      </c>
      <c r="L91" s="24"/>
      <c r="M91" s="24" t="s">
        <v>15539</v>
      </c>
      <c r="N91" s="24" t="s">
        <v>13818</v>
      </c>
      <c r="O91" s="24"/>
      <c r="P91" s="24" t="s">
        <v>13818</v>
      </c>
      <c r="Q91" s="24"/>
      <c r="R91" s="24" t="s">
        <v>13818</v>
      </c>
      <c r="S91" s="24"/>
      <c r="T91" t="s">
        <v>14385</v>
      </c>
      <c r="U91" t="s">
        <v>13809</v>
      </c>
      <c r="W91" t="s">
        <v>13809</v>
      </c>
      <c r="Y91" t="s">
        <v>13809</v>
      </c>
      <c r="AA91" t="s">
        <v>15540</v>
      </c>
      <c r="AB91" t="s">
        <v>13699</v>
      </c>
      <c r="AC91" t="s">
        <v>13809</v>
      </c>
      <c r="AH91" t="s">
        <v>13851</v>
      </c>
      <c r="AI91" t="s">
        <v>13818</v>
      </c>
      <c r="AJ91" t="s">
        <v>13819</v>
      </c>
      <c r="AN91" t="s">
        <v>13711</v>
      </c>
      <c r="AO91" t="s">
        <v>13809</v>
      </c>
      <c r="AT91" t="s">
        <v>15541</v>
      </c>
      <c r="AU91" t="s">
        <v>13818</v>
      </c>
      <c r="AV91" t="s">
        <v>13819</v>
      </c>
      <c r="AZ91" t="s">
        <v>15542</v>
      </c>
      <c r="BA91" t="s">
        <v>13818</v>
      </c>
      <c r="BB91" t="s">
        <v>13819</v>
      </c>
      <c r="BF91" t="s">
        <v>15543</v>
      </c>
      <c r="BG91" t="s">
        <v>13818</v>
      </c>
      <c r="BH91" t="s">
        <v>13819</v>
      </c>
      <c r="BL91" t="s">
        <v>13735</v>
      </c>
      <c r="BM91" t="s">
        <v>13809</v>
      </c>
      <c r="BR91" t="s">
        <v>15544</v>
      </c>
      <c r="BS91" t="s">
        <v>13742</v>
      </c>
      <c r="BT91" t="s">
        <v>13809</v>
      </c>
      <c r="BY91" t="s">
        <v>13748</v>
      </c>
      <c r="BZ91" t="s">
        <v>13809</v>
      </c>
      <c r="CE91" t="s">
        <v>13754</v>
      </c>
      <c r="CF91" t="s">
        <v>13809</v>
      </c>
      <c r="CK91" t="s">
        <v>13760</v>
      </c>
      <c r="CL91" t="s">
        <v>13809</v>
      </c>
      <c r="CQ91" t="s">
        <v>13766</v>
      </c>
      <c r="CR91" t="s">
        <v>13809</v>
      </c>
      <c r="CT91" t="s">
        <v>14781</v>
      </c>
      <c r="DY91" t="s">
        <v>15364</v>
      </c>
      <c r="DZ91" t="s">
        <v>14406</v>
      </c>
      <c r="EA91" t="s">
        <v>14118</v>
      </c>
      <c r="EC91">
        <v>44628</v>
      </c>
      <c r="ED91" t="s">
        <v>13843</v>
      </c>
      <c r="EE91" t="s">
        <v>13576</v>
      </c>
    </row>
    <row r="92" spans="1:135">
      <c r="A92" t="s">
        <v>1615</v>
      </c>
      <c r="B92" t="s">
        <v>1589</v>
      </c>
      <c r="C92" t="s">
        <v>15545</v>
      </c>
      <c r="D92" s="24">
        <v>43277</v>
      </c>
      <c r="E92" s="24" t="s">
        <v>13571</v>
      </c>
      <c r="F92" s="24" t="s">
        <v>15546</v>
      </c>
      <c r="G92" s="24" t="s">
        <v>13808</v>
      </c>
      <c r="H92" s="24"/>
      <c r="I92" s="24" t="s">
        <v>13809</v>
      </c>
      <c r="J92" s="24"/>
      <c r="K92" s="24" t="s">
        <v>13809</v>
      </c>
      <c r="L92" s="24"/>
      <c r="M92" s="24" t="s">
        <v>15547</v>
      </c>
      <c r="N92" s="24" t="s">
        <v>13808</v>
      </c>
      <c r="O92" s="24"/>
      <c r="P92" s="24" t="s">
        <v>13808</v>
      </c>
      <c r="Q92" s="24"/>
      <c r="R92" s="24" t="s">
        <v>13808</v>
      </c>
      <c r="S92" s="24"/>
      <c r="T92" t="s">
        <v>15548</v>
      </c>
      <c r="U92" t="s">
        <v>13809</v>
      </c>
      <c r="W92" t="s">
        <v>13808</v>
      </c>
      <c r="X92" t="s">
        <v>15549</v>
      </c>
      <c r="Y92" t="s">
        <v>13809</v>
      </c>
      <c r="AA92" t="s">
        <v>15550</v>
      </c>
      <c r="AB92" t="s">
        <v>15551</v>
      </c>
      <c r="AC92" t="s">
        <v>13808</v>
      </c>
      <c r="AH92" t="s">
        <v>13851</v>
      </c>
      <c r="AI92" t="s">
        <v>13808</v>
      </c>
      <c r="AN92" t="s">
        <v>15552</v>
      </c>
      <c r="AO92" t="s">
        <v>13808</v>
      </c>
      <c r="AT92" t="s">
        <v>15091</v>
      </c>
      <c r="AU92" t="s">
        <v>13808</v>
      </c>
      <c r="AZ92" t="s">
        <v>15553</v>
      </c>
      <c r="BA92" t="s">
        <v>13808</v>
      </c>
      <c r="BF92" t="s">
        <v>15554</v>
      </c>
      <c r="BG92" t="s">
        <v>13808</v>
      </c>
      <c r="BL92" t="s">
        <v>13735</v>
      </c>
      <c r="BM92" t="s">
        <v>13809</v>
      </c>
      <c r="BR92" t="s">
        <v>15555</v>
      </c>
      <c r="BS92" t="s">
        <v>13824</v>
      </c>
      <c r="BT92" t="s">
        <v>13808</v>
      </c>
      <c r="BU92" t="s">
        <v>13985</v>
      </c>
      <c r="BY92" t="s">
        <v>14148</v>
      </c>
      <c r="BZ92" t="s">
        <v>13808</v>
      </c>
      <c r="CA92" t="s">
        <v>13937</v>
      </c>
      <c r="CE92" t="s">
        <v>13862</v>
      </c>
      <c r="CF92" t="s">
        <v>13818</v>
      </c>
      <c r="CG92" t="s">
        <v>15485</v>
      </c>
      <c r="CK92" t="s">
        <v>14581</v>
      </c>
      <c r="CL92" t="s">
        <v>13808</v>
      </c>
      <c r="CQ92" t="s">
        <v>13766</v>
      </c>
      <c r="CR92" t="s">
        <v>13809</v>
      </c>
      <c r="CT92" t="s">
        <v>15556</v>
      </c>
      <c r="CU92" t="s">
        <v>15557</v>
      </c>
      <c r="CV92" t="s">
        <v>13808</v>
      </c>
      <c r="DA92" t="s">
        <v>15558</v>
      </c>
      <c r="DB92" t="s">
        <v>13808</v>
      </c>
      <c r="DG92" t="s">
        <v>15559</v>
      </c>
      <c r="DH92" t="s">
        <v>13808</v>
      </c>
      <c r="DJ92" t="s">
        <v>15560</v>
      </c>
      <c r="DK92" t="s">
        <v>13808</v>
      </c>
      <c r="DY92" t="s">
        <v>15561</v>
      </c>
      <c r="DZ92" t="s">
        <v>15561</v>
      </c>
      <c r="EA92" t="s">
        <v>15562</v>
      </c>
      <c r="EC92">
        <v>44642</v>
      </c>
      <c r="ED92" t="s">
        <v>13843</v>
      </c>
      <c r="EE92" t="s">
        <v>6125</v>
      </c>
    </row>
    <row r="93" spans="1:135">
      <c r="A93" t="s">
        <v>2054</v>
      </c>
      <c r="B93" t="s">
        <v>2026</v>
      </c>
      <c r="C93" t="s">
        <v>15563</v>
      </c>
      <c r="D93" s="24">
        <v>44694</v>
      </c>
      <c r="E93" s="24" t="s">
        <v>13571</v>
      </c>
      <c r="F93" s="24" t="s">
        <v>15564</v>
      </c>
      <c r="G93" s="24" t="s">
        <v>13808</v>
      </c>
      <c r="H93" s="24"/>
      <c r="I93" s="24" t="s">
        <v>13809</v>
      </c>
      <c r="J93" s="24"/>
      <c r="K93" s="24" t="s">
        <v>13808</v>
      </c>
      <c r="L93" s="24"/>
      <c r="M93" s="24" t="s">
        <v>14136</v>
      </c>
      <c r="N93" s="24" t="s">
        <v>13808</v>
      </c>
      <c r="O93" s="24"/>
      <c r="P93" s="24" t="s">
        <v>13808</v>
      </c>
      <c r="Q93" s="24"/>
      <c r="R93" s="24" t="s">
        <v>13808</v>
      </c>
      <c r="S93" s="24"/>
      <c r="T93" t="s">
        <v>13907</v>
      </c>
      <c r="U93" t="s">
        <v>13809</v>
      </c>
      <c r="W93" t="s">
        <v>13808</v>
      </c>
      <c r="X93" t="s">
        <v>15565</v>
      </c>
      <c r="Y93" t="s">
        <v>13808</v>
      </c>
      <c r="AA93" t="s">
        <v>15566</v>
      </c>
      <c r="AB93" t="s">
        <v>15567</v>
      </c>
      <c r="AC93" t="s">
        <v>13808</v>
      </c>
      <c r="AH93" t="s">
        <v>13851</v>
      </c>
      <c r="AI93" t="s">
        <v>13808</v>
      </c>
      <c r="AN93" t="s">
        <v>15568</v>
      </c>
      <c r="AO93" t="s">
        <v>13808</v>
      </c>
      <c r="AT93" t="s">
        <v>15569</v>
      </c>
      <c r="AU93" t="s">
        <v>13808</v>
      </c>
      <c r="AZ93" t="s">
        <v>15570</v>
      </c>
      <c r="BA93" t="s">
        <v>13808</v>
      </c>
      <c r="BF93" t="s">
        <v>15571</v>
      </c>
      <c r="BG93" t="s">
        <v>13808</v>
      </c>
      <c r="BL93" t="s">
        <v>15572</v>
      </c>
      <c r="BM93" t="s">
        <v>13808</v>
      </c>
      <c r="BR93" t="s">
        <v>15573</v>
      </c>
      <c r="BS93" t="s">
        <v>13824</v>
      </c>
      <c r="BT93" t="s">
        <v>13808</v>
      </c>
      <c r="BU93" t="s">
        <v>14233</v>
      </c>
      <c r="BY93" t="s">
        <v>14148</v>
      </c>
      <c r="BZ93" t="s">
        <v>13808</v>
      </c>
      <c r="CA93" t="s">
        <v>13937</v>
      </c>
      <c r="CE93" t="s">
        <v>13862</v>
      </c>
      <c r="CF93" t="s">
        <v>13818</v>
      </c>
      <c r="CG93" t="s">
        <v>15574</v>
      </c>
      <c r="CH93" t="s">
        <v>14215</v>
      </c>
      <c r="CI93" t="s">
        <v>13818</v>
      </c>
      <c r="CJ93" t="s">
        <v>15575</v>
      </c>
      <c r="CK93" t="s">
        <v>13760</v>
      </c>
      <c r="CL93" t="s">
        <v>13809</v>
      </c>
      <c r="CQ93" t="s">
        <v>13766</v>
      </c>
      <c r="CR93" t="s">
        <v>13809</v>
      </c>
      <c r="CT93" t="s">
        <v>15576</v>
      </c>
      <c r="CU93" t="s">
        <v>15577</v>
      </c>
      <c r="CV93" t="s">
        <v>13808</v>
      </c>
      <c r="CW93" t="s">
        <v>15578</v>
      </c>
      <c r="CX93" t="s">
        <v>15579</v>
      </c>
      <c r="CY93" t="s">
        <v>13818</v>
      </c>
      <c r="DA93" t="s">
        <v>15580</v>
      </c>
      <c r="DB93" t="s">
        <v>13808</v>
      </c>
      <c r="DC93" t="s">
        <v>15578</v>
      </c>
      <c r="DD93" t="s">
        <v>15581</v>
      </c>
      <c r="DE93" t="s">
        <v>13818</v>
      </c>
      <c r="DG93" t="s">
        <v>15582</v>
      </c>
      <c r="DH93" t="s">
        <v>13818</v>
      </c>
      <c r="DI93" t="s">
        <v>15583</v>
      </c>
      <c r="DM93" t="s">
        <v>15584</v>
      </c>
      <c r="DN93" t="s">
        <v>13808</v>
      </c>
      <c r="DO93" t="s">
        <v>15578</v>
      </c>
      <c r="DP93" t="s">
        <v>15585</v>
      </c>
      <c r="DQ93" t="s">
        <v>13818</v>
      </c>
      <c r="DR93" t="s">
        <v>15578</v>
      </c>
      <c r="DY93" t="s">
        <v>13840</v>
      </c>
      <c r="DZ93" t="s">
        <v>13841</v>
      </c>
      <c r="EA93" t="s">
        <v>15382</v>
      </c>
      <c r="EC93">
        <v>44705</v>
      </c>
      <c r="ED93" t="s">
        <v>13843</v>
      </c>
      <c r="EE93" t="s">
        <v>6677</v>
      </c>
    </row>
    <row r="94" spans="1:135">
      <c r="A94" t="s">
        <v>1622</v>
      </c>
      <c r="B94" t="s">
        <v>1589</v>
      </c>
      <c r="C94" t="s">
        <v>15586</v>
      </c>
      <c r="D94" s="24">
        <v>43277</v>
      </c>
      <c r="E94" s="24" t="s">
        <v>13559</v>
      </c>
      <c r="F94" s="24" t="s">
        <v>15587</v>
      </c>
      <c r="G94" s="24" t="s">
        <v>13808</v>
      </c>
      <c r="H94" s="24"/>
      <c r="I94" s="24" t="s">
        <v>13809</v>
      </c>
      <c r="J94" s="24"/>
      <c r="K94" s="24" t="s">
        <v>13808</v>
      </c>
      <c r="L94" s="24" t="s">
        <v>15588</v>
      </c>
      <c r="M94" s="24" t="s">
        <v>15589</v>
      </c>
      <c r="N94" s="24" t="s">
        <v>13808</v>
      </c>
      <c r="O94" s="24"/>
      <c r="P94" s="24" t="s">
        <v>13808</v>
      </c>
      <c r="Q94" s="24"/>
      <c r="R94" s="24" t="s">
        <v>13808</v>
      </c>
      <c r="S94" s="24"/>
      <c r="T94" t="s">
        <v>14071</v>
      </c>
      <c r="U94" t="s">
        <v>13809</v>
      </c>
      <c r="W94" t="s">
        <v>13809</v>
      </c>
      <c r="Y94" t="s">
        <v>13809</v>
      </c>
      <c r="AA94" t="s">
        <v>15590</v>
      </c>
      <c r="AB94" t="s">
        <v>15591</v>
      </c>
      <c r="AC94" t="s">
        <v>13808</v>
      </c>
      <c r="AH94" t="s">
        <v>14073</v>
      </c>
      <c r="AI94" t="s">
        <v>13808</v>
      </c>
      <c r="AK94" t="s">
        <v>15592</v>
      </c>
      <c r="AL94" t="s">
        <v>13818</v>
      </c>
      <c r="AM94" t="s">
        <v>13819</v>
      </c>
      <c r="AN94" t="s">
        <v>15593</v>
      </c>
      <c r="AO94" t="s">
        <v>13818</v>
      </c>
      <c r="AP94" t="s">
        <v>13819</v>
      </c>
      <c r="AT94" t="s">
        <v>15594</v>
      </c>
      <c r="AU94" t="s">
        <v>13818</v>
      </c>
      <c r="AV94" t="s">
        <v>13819</v>
      </c>
      <c r="AZ94" t="s">
        <v>15390</v>
      </c>
      <c r="BA94" t="s">
        <v>13818</v>
      </c>
      <c r="BB94" t="s">
        <v>13819</v>
      </c>
      <c r="BF94" t="s">
        <v>15595</v>
      </c>
      <c r="BG94" t="s">
        <v>13818</v>
      </c>
      <c r="BH94" t="s">
        <v>13819</v>
      </c>
      <c r="BL94" t="s">
        <v>15596</v>
      </c>
      <c r="BM94" t="s">
        <v>13818</v>
      </c>
      <c r="BN94" t="s">
        <v>13819</v>
      </c>
      <c r="BR94" t="s">
        <v>15597</v>
      </c>
      <c r="BS94" t="s">
        <v>13824</v>
      </c>
      <c r="BT94" t="s">
        <v>13808</v>
      </c>
      <c r="BU94" t="s">
        <v>15598</v>
      </c>
      <c r="BY94" t="s">
        <v>13860</v>
      </c>
      <c r="BZ94" t="s">
        <v>13808</v>
      </c>
      <c r="CA94" t="s">
        <v>13937</v>
      </c>
      <c r="CE94" t="s">
        <v>13862</v>
      </c>
      <c r="CF94" t="s">
        <v>13818</v>
      </c>
      <c r="CG94" t="s">
        <v>13819</v>
      </c>
      <c r="CK94" t="s">
        <v>13760</v>
      </c>
      <c r="CL94" t="s">
        <v>13809</v>
      </c>
      <c r="CQ94" t="s">
        <v>13766</v>
      </c>
      <c r="CR94" t="s">
        <v>13809</v>
      </c>
      <c r="CT94" t="s">
        <v>15599</v>
      </c>
      <c r="CU94" t="s">
        <v>15600</v>
      </c>
      <c r="CV94" t="s">
        <v>13808</v>
      </c>
      <c r="CX94" t="s">
        <v>15601</v>
      </c>
      <c r="CY94" t="s">
        <v>13818</v>
      </c>
      <c r="DG94" t="s">
        <v>15602</v>
      </c>
      <c r="DH94" t="s">
        <v>13818</v>
      </c>
      <c r="DY94" t="s">
        <v>13840</v>
      </c>
      <c r="DZ94" t="s">
        <v>15603</v>
      </c>
      <c r="EA94" t="s">
        <v>13842</v>
      </c>
      <c r="EC94">
        <v>45043</v>
      </c>
      <c r="ED94" t="s">
        <v>13843</v>
      </c>
      <c r="EE94" t="s">
        <v>6131</v>
      </c>
    </row>
    <row r="95" spans="1:135">
      <c r="A95" t="s">
        <v>1960</v>
      </c>
      <c r="B95" t="s">
        <v>1920</v>
      </c>
      <c r="C95" t="s">
        <v>15604</v>
      </c>
      <c r="D95" s="24">
        <v>43754</v>
      </c>
      <c r="E95" s="24" t="s">
        <v>13553</v>
      </c>
      <c r="F95" s="24" t="s">
        <v>15605</v>
      </c>
      <c r="G95" s="24" t="s">
        <v>13808</v>
      </c>
      <c r="H95" s="24"/>
      <c r="I95" s="24" t="s">
        <v>13809</v>
      </c>
      <c r="J95" s="24"/>
      <c r="K95" s="24" t="s">
        <v>13809</v>
      </c>
      <c r="L95" s="24"/>
      <c r="M95" s="24" t="s">
        <v>14163</v>
      </c>
      <c r="N95" s="24" t="s">
        <v>13808</v>
      </c>
      <c r="O95" s="24"/>
      <c r="P95" s="24" t="s">
        <v>13808</v>
      </c>
      <c r="Q95" s="24"/>
      <c r="R95" s="24" t="s">
        <v>13808</v>
      </c>
      <c r="S95" s="24"/>
      <c r="T95" t="s">
        <v>15606</v>
      </c>
      <c r="U95" t="s">
        <v>13809</v>
      </c>
      <c r="W95" t="s">
        <v>13808</v>
      </c>
      <c r="X95" t="s">
        <v>15607</v>
      </c>
      <c r="Y95" t="s">
        <v>13809</v>
      </c>
      <c r="AA95" t="s">
        <v>13877</v>
      </c>
      <c r="AB95" t="s">
        <v>15608</v>
      </c>
      <c r="AC95" t="s">
        <v>13808</v>
      </c>
      <c r="AH95" t="s">
        <v>13909</v>
      </c>
      <c r="AI95" t="s">
        <v>13808</v>
      </c>
      <c r="AO95" t="s">
        <v>13809</v>
      </c>
      <c r="AT95" t="s">
        <v>14674</v>
      </c>
      <c r="AU95" t="s">
        <v>13808</v>
      </c>
      <c r="AZ95" t="s">
        <v>15609</v>
      </c>
      <c r="BA95" t="s">
        <v>13808</v>
      </c>
      <c r="BF95" t="s">
        <v>15610</v>
      </c>
      <c r="BG95" t="s">
        <v>13808</v>
      </c>
      <c r="BL95" t="s">
        <v>15611</v>
      </c>
      <c r="BM95" t="s">
        <v>13808</v>
      </c>
      <c r="BR95" t="s">
        <v>15612</v>
      </c>
      <c r="BS95" t="s">
        <v>13887</v>
      </c>
      <c r="BT95" t="s">
        <v>13808</v>
      </c>
      <c r="BU95" t="s">
        <v>15613</v>
      </c>
      <c r="BY95" t="s">
        <v>14265</v>
      </c>
      <c r="BZ95" t="s">
        <v>13808</v>
      </c>
      <c r="CA95" t="s">
        <v>14026</v>
      </c>
      <c r="CE95" t="s">
        <v>14265</v>
      </c>
      <c r="CF95" t="s">
        <v>13808</v>
      </c>
      <c r="CG95" t="s">
        <v>14173</v>
      </c>
      <c r="CL95" t="s">
        <v>13809</v>
      </c>
      <c r="CR95" t="s">
        <v>13809</v>
      </c>
      <c r="CT95" t="s">
        <v>15614</v>
      </c>
      <c r="CU95" t="s">
        <v>15615</v>
      </c>
      <c r="CV95" t="s">
        <v>13808</v>
      </c>
      <c r="DA95" t="s">
        <v>15616</v>
      </c>
      <c r="DB95" t="s">
        <v>13808</v>
      </c>
      <c r="DG95" t="s">
        <v>14022</v>
      </c>
      <c r="DH95" t="s">
        <v>13808</v>
      </c>
      <c r="DI95" t="s">
        <v>13893</v>
      </c>
      <c r="DJ95" t="s">
        <v>14022</v>
      </c>
      <c r="DK95" t="s">
        <v>13808</v>
      </c>
      <c r="DL95" t="s">
        <v>13895</v>
      </c>
      <c r="DM95" t="s">
        <v>15617</v>
      </c>
      <c r="DN95" t="s">
        <v>13808</v>
      </c>
      <c r="DY95" t="s">
        <v>13900</v>
      </c>
      <c r="DZ95" t="s">
        <v>15618</v>
      </c>
      <c r="EA95" t="s">
        <v>13922</v>
      </c>
      <c r="EC95">
        <v>43788</v>
      </c>
      <c r="ED95" t="s">
        <v>13903</v>
      </c>
      <c r="EE95" t="s">
        <v>6550</v>
      </c>
    </row>
    <row r="96" spans="1:135">
      <c r="A96" t="s">
        <v>1967</v>
      </c>
      <c r="B96" t="s">
        <v>1920</v>
      </c>
      <c r="C96" t="s">
        <v>15619</v>
      </c>
      <c r="D96" s="24">
        <v>43151</v>
      </c>
      <c r="E96" s="24" t="s">
        <v>13559</v>
      </c>
      <c r="F96" s="24" t="s">
        <v>15620</v>
      </c>
      <c r="G96" s="24" t="s">
        <v>13808</v>
      </c>
      <c r="H96" s="24"/>
      <c r="I96" s="24" t="s">
        <v>13809</v>
      </c>
      <c r="J96" s="24"/>
      <c r="K96" s="24" t="s">
        <v>13808</v>
      </c>
      <c r="L96" s="24"/>
      <c r="M96" s="24" t="s">
        <v>15621</v>
      </c>
      <c r="N96" s="24" t="s">
        <v>13808</v>
      </c>
      <c r="O96" s="24"/>
      <c r="P96" s="24" t="s">
        <v>13808</v>
      </c>
      <c r="Q96" s="24"/>
      <c r="R96" s="24" t="s">
        <v>13808</v>
      </c>
      <c r="S96" s="24" t="s">
        <v>15622</v>
      </c>
      <c r="T96" t="s">
        <v>14830</v>
      </c>
      <c r="U96" t="s">
        <v>13809</v>
      </c>
      <c r="W96" t="s">
        <v>13808</v>
      </c>
      <c r="X96" t="s">
        <v>15623</v>
      </c>
      <c r="Y96" t="s">
        <v>13809</v>
      </c>
      <c r="AA96" t="s">
        <v>15624</v>
      </c>
      <c r="AB96" t="s">
        <v>15625</v>
      </c>
      <c r="AC96" t="s">
        <v>13808</v>
      </c>
      <c r="AH96" t="s">
        <v>13909</v>
      </c>
      <c r="AI96" t="s">
        <v>13808</v>
      </c>
      <c r="AN96" t="s">
        <v>15626</v>
      </c>
      <c r="AO96" t="s">
        <v>13808</v>
      </c>
      <c r="AT96" t="s">
        <v>14851</v>
      </c>
      <c r="AU96" t="s">
        <v>13808</v>
      </c>
      <c r="AZ96" t="s">
        <v>15627</v>
      </c>
      <c r="BA96" t="s">
        <v>13808</v>
      </c>
      <c r="BC96" t="s">
        <v>15628</v>
      </c>
      <c r="BD96" t="s">
        <v>13808</v>
      </c>
      <c r="BF96" t="s">
        <v>15629</v>
      </c>
      <c r="BG96" t="s">
        <v>13808</v>
      </c>
      <c r="BM96" t="s">
        <v>13809</v>
      </c>
      <c r="BR96" t="s">
        <v>15630</v>
      </c>
      <c r="BS96" t="s">
        <v>13887</v>
      </c>
      <c r="BT96" t="s">
        <v>13808</v>
      </c>
      <c r="BU96" t="s">
        <v>14061</v>
      </c>
      <c r="BY96" t="s">
        <v>13887</v>
      </c>
      <c r="BZ96" t="s">
        <v>13808</v>
      </c>
      <c r="CA96" t="s">
        <v>13937</v>
      </c>
      <c r="CE96" t="s">
        <v>14197</v>
      </c>
      <c r="CF96" t="s">
        <v>13818</v>
      </c>
      <c r="CG96" t="s">
        <v>15631</v>
      </c>
      <c r="CH96" t="s">
        <v>14693</v>
      </c>
      <c r="CI96" t="s">
        <v>13808</v>
      </c>
      <c r="CL96" t="s">
        <v>13809</v>
      </c>
      <c r="CR96" t="s">
        <v>13809</v>
      </c>
      <c r="CT96" t="s">
        <v>15632</v>
      </c>
      <c r="CU96" t="s">
        <v>15633</v>
      </c>
      <c r="CV96" t="s">
        <v>13808</v>
      </c>
      <c r="CX96" t="s">
        <v>15309</v>
      </c>
      <c r="CY96" t="s">
        <v>13818</v>
      </c>
      <c r="DA96" t="s">
        <v>15634</v>
      </c>
      <c r="DB96" t="s">
        <v>13808</v>
      </c>
      <c r="DD96" t="s">
        <v>15309</v>
      </c>
      <c r="DE96" t="s">
        <v>13818</v>
      </c>
      <c r="DG96" t="s">
        <v>13909</v>
      </c>
      <c r="DH96" t="s">
        <v>13818</v>
      </c>
      <c r="DY96" t="s">
        <v>13840</v>
      </c>
      <c r="DZ96" t="s">
        <v>15635</v>
      </c>
      <c r="EA96" t="s">
        <v>14461</v>
      </c>
      <c r="EC96">
        <v>44118</v>
      </c>
      <c r="ED96" t="s">
        <v>13903</v>
      </c>
      <c r="EE96" t="s">
        <v>6556</v>
      </c>
    </row>
    <row r="97" spans="1:135">
      <c r="A97" t="s">
        <v>10212</v>
      </c>
      <c r="B97" t="s">
        <v>2026</v>
      </c>
      <c r="C97" t="s">
        <v>15636</v>
      </c>
      <c r="D97" s="24">
        <v>44041</v>
      </c>
      <c r="E97" s="24" t="s">
        <v>13561</v>
      </c>
      <c r="F97" s="24" t="s">
        <v>15637</v>
      </c>
      <c r="G97" s="24" t="s">
        <v>13818</v>
      </c>
      <c r="H97" s="24"/>
      <c r="I97" s="24" t="s">
        <v>13809</v>
      </c>
      <c r="J97" s="24"/>
      <c r="K97" s="24" t="s">
        <v>13818</v>
      </c>
      <c r="L97" s="24"/>
      <c r="M97" s="24" t="s">
        <v>15021</v>
      </c>
      <c r="N97" s="24" t="s">
        <v>13808</v>
      </c>
      <c r="O97" s="24"/>
      <c r="P97" s="24" t="s">
        <v>13808</v>
      </c>
      <c r="Q97" s="24"/>
      <c r="R97" s="24" t="s">
        <v>13808</v>
      </c>
      <c r="S97" s="24"/>
      <c r="T97" t="s">
        <v>14450</v>
      </c>
      <c r="U97" t="s">
        <v>13809</v>
      </c>
      <c r="W97" t="s">
        <v>13809</v>
      </c>
      <c r="Y97" t="s">
        <v>13809</v>
      </c>
      <c r="AA97" t="s">
        <v>14451</v>
      </c>
      <c r="AB97" t="s">
        <v>15638</v>
      </c>
      <c r="AC97" t="s">
        <v>13818</v>
      </c>
      <c r="AD97" t="s">
        <v>14309</v>
      </c>
      <c r="AH97" t="s">
        <v>13909</v>
      </c>
      <c r="AI97" t="s">
        <v>13818</v>
      </c>
      <c r="AJ97" t="s">
        <v>14309</v>
      </c>
      <c r="AN97" t="s">
        <v>15639</v>
      </c>
      <c r="AO97" t="s">
        <v>13818</v>
      </c>
      <c r="AP97" t="s">
        <v>14309</v>
      </c>
      <c r="AT97" t="s">
        <v>14058</v>
      </c>
      <c r="AU97" t="s">
        <v>13818</v>
      </c>
      <c r="AV97" t="s">
        <v>14309</v>
      </c>
      <c r="AZ97" t="s">
        <v>15640</v>
      </c>
      <c r="BA97" t="s">
        <v>13818</v>
      </c>
      <c r="BB97" t="s">
        <v>14309</v>
      </c>
      <c r="BF97" t="s">
        <v>14059</v>
      </c>
      <c r="BG97" t="s">
        <v>13818</v>
      </c>
      <c r="BH97" t="s">
        <v>14309</v>
      </c>
      <c r="BL97" t="s">
        <v>15641</v>
      </c>
      <c r="BM97" t="s">
        <v>13818</v>
      </c>
      <c r="BN97" t="s">
        <v>14415</v>
      </c>
      <c r="BR97" t="s">
        <v>15642</v>
      </c>
      <c r="BS97" t="s">
        <v>13887</v>
      </c>
      <c r="BT97" t="s">
        <v>13818</v>
      </c>
      <c r="BU97" t="s">
        <v>15643</v>
      </c>
      <c r="BY97" t="s">
        <v>14265</v>
      </c>
      <c r="BZ97" t="s">
        <v>13818</v>
      </c>
      <c r="CA97" t="s">
        <v>15644</v>
      </c>
      <c r="CE97" t="s">
        <v>13887</v>
      </c>
      <c r="CF97" t="s">
        <v>13818</v>
      </c>
      <c r="CG97" t="s">
        <v>15645</v>
      </c>
      <c r="CL97" t="s">
        <v>13809</v>
      </c>
      <c r="CR97" t="s">
        <v>13809</v>
      </c>
      <c r="CT97" t="s">
        <v>14459</v>
      </c>
      <c r="CU97" t="s">
        <v>15646</v>
      </c>
      <c r="CV97" t="s">
        <v>13818</v>
      </c>
      <c r="DA97" t="s">
        <v>15647</v>
      </c>
      <c r="DB97" t="s">
        <v>13818</v>
      </c>
      <c r="DG97" t="s">
        <v>13909</v>
      </c>
      <c r="DH97" t="s">
        <v>13818</v>
      </c>
      <c r="DY97" t="s">
        <v>13900</v>
      </c>
      <c r="DZ97" t="s">
        <v>13970</v>
      </c>
      <c r="EA97" t="s">
        <v>14461</v>
      </c>
      <c r="EC97">
        <v>44279</v>
      </c>
      <c r="ED97" t="s">
        <v>14276</v>
      </c>
      <c r="EE97" t="s">
        <v>13577</v>
      </c>
    </row>
    <row r="98" spans="1:135">
      <c r="A98" t="s">
        <v>1626</v>
      </c>
      <c r="B98" t="s">
        <v>1589</v>
      </c>
      <c r="C98" t="s">
        <v>15648</v>
      </c>
      <c r="D98" s="24">
        <v>43746</v>
      </c>
      <c r="E98" s="24" t="s">
        <v>13555</v>
      </c>
      <c r="F98" s="24" t="s">
        <v>15649</v>
      </c>
      <c r="G98" s="24" t="s">
        <v>13808</v>
      </c>
      <c r="H98" s="24"/>
      <c r="I98" s="24" t="s">
        <v>13809</v>
      </c>
      <c r="J98" s="24"/>
      <c r="K98" s="24" t="s">
        <v>13808</v>
      </c>
      <c r="L98" s="24"/>
      <c r="M98" s="24" t="s">
        <v>13874</v>
      </c>
      <c r="N98" s="24" t="s">
        <v>13808</v>
      </c>
      <c r="O98" s="24"/>
      <c r="P98" s="24" t="s">
        <v>13808</v>
      </c>
      <c r="Q98" s="24"/>
      <c r="R98" s="24" t="s">
        <v>13808</v>
      </c>
      <c r="S98" s="24"/>
      <c r="T98" t="s">
        <v>14034</v>
      </c>
      <c r="U98" t="s">
        <v>13809</v>
      </c>
      <c r="W98" t="s">
        <v>13808</v>
      </c>
      <c r="X98" t="s">
        <v>15650</v>
      </c>
      <c r="Y98" t="s">
        <v>13809</v>
      </c>
      <c r="AA98" t="s">
        <v>13877</v>
      </c>
      <c r="AB98" t="s">
        <v>15651</v>
      </c>
      <c r="AC98" t="s">
        <v>13808</v>
      </c>
      <c r="AH98" t="s">
        <v>13909</v>
      </c>
      <c r="AI98" t="s">
        <v>13808</v>
      </c>
      <c r="AN98" t="s">
        <v>14020</v>
      </c>
      <c r="AO98" t="s">
        <v>13808</v>
      </c>
      <c r="AT98" t="s">
        <v>14166</v>
      </c>
      <c r="AU98" t="s">
        <v>13808</v>
      </c>
      <c r="AZ98" t="s">
        <v>15652</v>
      </c>
      <c r="BA98" t="s">
        <v>13808</v>
      </c>
      <c r="BF98" t="s">
        <v>14367</v>
      </c>
      <c r="BG98" t="s">
        <v>13808</v>
      </c>
      <c r="BM98" t="s">
        <v>13809</v>
      </c>
      <c r="BR98" t="s">
        <v>15653</v>
      </c>
      <c r="BS98" t="s">
        <v>13887</v>
      </c>
      <c r="BT98" t="s">
        <v>13808</v>
      </c>
      <c r="BU98" t="s">
        <v>14128</v>
      </c>
      <c r="BY98" t="s">
        <v>13887</v>
      </c>
      <c r="BZ98" t="s">
        <v>13808</v>
      </c>
      <c r="CA98" t="s">
        <v>13888</v>
      </c>
      <c r="CE98" t="s">
        <v>14197</v>
      </c>
      <c r="CF98" t="s">
        <v>13808</v>
      </c>
      <c r="CL98" t="s">
        <v>13808</v>
      </c>
      <c r="CR98" t="s">
        <v>13809</v>
      </c>
      <c r="CT98" t="s">
        <v>15654</v>
      </c>
      <c r="CU98" t="s">
        <v>15655</v>
      </c>
      <c r="CV98" t="s">
        <v>13808</v>
      </c>
      <c r="CW98" t="s">
        <v>15656</v>
      </c>
      <c r="CX98" t="s">
        <v>15657</v>
      </c>
      <c r="CY98" t="s">
        <v>13818</v>
      </c>
      <c r="DA98" t="s">
        <v>15658</v>
      </c>
      <c r="DB98" t="s">
        <v>13808</v>
      </c>
      <c r="DD98" t="s">
        <v>15659</v>
      </c>
      <c r="DE98" t="s">
        <v>13818</v>
      </c>
      <c r="DH98" t="s">
        <v>13809</v>
      </c>
      <c r="DM98" t="s">
        <v>15660</v>
      </c>
      <c r="DN98" t="s">
        <v>13808</v>
      </c>
      <c r="DO98" t="s">
        <v>15661</v>
      </c>
      <c r="DP98" t="s">
        <v>15662</v>
      </c>
      <c r="DQ98" t="s">
        <v>13818</v>
      </c>
      <c r="DY98" t="s">
        <v>13920</v>
      </c>
      <c r="DZ98" t="s">
        <v>15663</v>
      </c>
      <c r="EA98" t="s">
        <v>15664</v>
      </c>
      <c r="EC98">
        <v>43788</v>
      </c>
      <c r="ED98" t="s">
        <v>14501</v>
      </c>
      <c r="EE98" t="s">
        <v>6135</v>
      </c>
    </row>
    <row r="99" spans="1:135">
      <c r="A99" t="s">
        <v>1483</v>
      </c>
      <c r="B99" t="s">
        <v>1442</v>
      </c>
      <c r="C99" t="s">
        <v>15665</v>
      </c>
      <c r="D99" s="24">
        <v>44736</v>
      </c>
      <c r="E99" s="24" t="s">
        <v>13557</v>
      </c>
      <c r="F99" s="24" t="s">
        <v>15666</v>
      </c>
      <c r="G99" s="24" t="s">
        <v>13808</v>
      </c>
      <c r="H99" s="24"/>
      <c r="I99" s="24" t="s">
        <v>13809</v>
      </c>
      <c r="J99" s="24"/>
      <c r="K99" s="24" t="s">
        <v>15667</v>
      </c>
      <c r="L99" s="24" t="s">
        <v>15668</v>
      </c>
      <c r="M99" s="24" t="s">
        <v>15669</v>
      </c>
      <c r="N99" s="24" t="s">
        <v>13818</v>
      </c>
      <c r="O99" s="24"/>
      <c r="P99" s="24" t="s">
        <v>13808</v>
      </c>
      <c r="Q99" s="24"/>
      <c r="R99" s="24" t="s">
        <v>13808</v>
      </c>
      <c r="S99" s="24"/>
      <c r="T99" t="s">
        <v>15670</v>
      </c>
      <c r="U99" t="s">
        <v>13809</v>
      </c>
      <c r="W99" t="s">
        <v>13808</v>
      </c>
      <c r="X99" t="s">
        <v>15671</v>
      </c>
      <c r="Y99" t="s">
        <v>13809</v>
      </c>
      <c r="AA99" t="s">
        <v>13928</v>
      </c>
      <c r="AB99" t="s">
        <v>15672</v>
      </c>
      <c r="AC99" t="s">
        <v>13808</v>
      </c>
      <c r="AH99" t="s">
        <v>13851</v>
      </c>
      <c r="AI99" t="s">
        <v>13808</v>
      </c>
      <c r="AN99" t="s">
        <v>15673</v>
      </c>
      <c r="AO99" t="s">
        <v>13808</v>
      </c>
      <c r="AT99" t="s">
        <v>15674</v>
      </c>
      <c r="AU99" t="s">
        <v>13808</v>
      </c>
      <c r="AZ99" t="s">
        <v>15675</v>
      </c>
      <c r="BA99" t="s">
        <v>13808</v>
      </c>
      <c r="BF99" t="s">
        <v>14870</v>
      </c>
      <c r="BG99" t="s">
        <v>13808</v>
      </c>
      <c r="BL99" t="s">
        <v>15676</v>
      </c>
      <c r="BM99" t="s">
        <v>13808</v>
      </c>
      <c r="BR99" t="s">
        <v>15677</v>
      </c>
      <c r="BS99" t="s">
        <v>13824</v>
      </c>
      <c r="BT99" t="s">
        <v>13808</v>
      </c>
      <c r="BU99" t="s">
        <v>14291</v>
      </c>
      <c r="BY99" t="s">
        <v>13986</v>
      </c>
      <c r="BZ99" t="s">
        <v>13808</v>
      </c>
      <c r="CA99" t="s">
        <v>13937</v>
      </c>
      <c r="CE99" t="s">
        <v>14215</v>
      </c>
      <c r="CF99" t="s">
        <v>13808</v>
      </c>
      <c r="CH99" t="s">
        <v>13862</v>
      </c>
      <c r="CI99" t="s">
        <v>13818</v>
      </c>
      <c r="CJ99" t="s">
        <v>15485</v>
      </c>
      <c r="CK99" t="s">
        <v>13760</v>
      </c>
      <c r="CL99" t="s">
        <v>13809</v>
      </c>
      <c r="CQ99" t="s">
        <v>13766</v>
      </c>
      <c r="CR99" t="s">
        <v>13809</v>
      </c>
      <c r="CT99" t="s">
        <v>15678</v>
      </c>
      <c r="CU99" t="s">
        <v>15679</v>
      </c>
      <c r="CV99" t="s">
        <v>13808</v>
      </c>
      <c r="CX99" t="s">
        <v>15680</v>
      </c>
      <c r="CY99" t="s">
        <v>13818</v>
      </c>
      <c r="DG99" t="s">
        <v>14562</v>
      </c>
      <c r="DH99" t="s">
        <v>13818</v>
      </c>
      <c r="DM99" t="s">
        <v>15681</v>
      </c>
      <c r="DN99" t="s">
        <v>13808</v>
      </c>
      <c r="DY99" t="s">
        <v>15682</v>
      </c>
      <c r="DZ99" t="s">
        <v>13841</v>
      </c>
      <c r="EA99" t="s">
        <v>15683</v>
      </c>
      <c r="EC99">
        <v>44741</v>
      </c>
      <c r="ED99" t="s">
        <v>14667</v>
      </c>
      <c r="EE99" t="s">
        <v>5966</v>
      </c>
    </row>
    <row r="100" spans="1:135">
      <c r="A100" t="s">
        <v>1490</v>
      </c>
      <c r="B100" t="s">
        <v>1442</v>
      </c>
      <c r="C100" t="s">
        <v>15684</v>
      </c>
      <c r="D100" s="24">
        <v>43312</v>
      </c>
      <c r="E100" s="24" t="s">
        <v>13558</v>
      </c>
      <c r="F100" s="24" t="s">
        <v>15685</v>
      </c>
      <c r="G100" s="24" t="s">
        <v>13808</v>
      </c>
      <c r="H100" s="24"/>
      <c r="I100" s="24" t="s">
        <v>13809</v>
      </c>
      <c r="J100" s="24"/>
      <c r="K100" s="24" t="s">
        <v>13808</v>
      </c>
      <c r="L100" s="24"/>
      <c r="M100" s="24" t="s">
        <v>14410</v>
      </c>
      <c r="N100" s="24" t="s">
        <v>13818</v>
      </c>
      <c r="O100" s="24"/>
      <c r="P100" s="24" t="s">
        <v>13808</v>
      </c>
      <c r="Q100" s="24"/>
      <c r="R100" s="24" t="s">
        <v>13808</v>
      </c>
      <c r="S100" s="24"/>
      <c r="T100" t="s">
        <v>15686</v>
      </c>
      <c r="U100" t="s">
        <v>13809</v>
      </c>
      <c r="W100" t="s">
        <v>13808</v>
      </c>
      <c r="X100" t="s">
        <v>15687</v>
      </c>
      <c r="Y100" t="s">
        <v>13809</v>
      </c>
      <c r="AA100" t="s">
        <v>15688</v>
      </c>
      <c r="AB100" t="s">
        <v>13699</v>
      </c>
      <c r="AC100" t="s">
        <v>13809</v>
      </c>
      <c r="AH100" t="s">
        <v>13851</v>
      </c>
      <c r="AI100" t="s">
        <v>13808</v>
      </c>
      <c r="AN100" t="s">
        <v>15689</v>
      </c>
      <c r="AO100" t="s">
        <v>13808</v>
      </c>
      <c r="AT100" t="s">
        <v>15110</v>
      </c>
      <c r="AU100" t="s">
        <v>13808</v>
      </c>
      <c r="AZ100" t="s">
        <v>15690</v>
      </c>
      <c r="BA100" t="s">
        <v>13808</v>
      </c>
      <c r="BF100" t="s">
        <v>15691</v>
      </c>
      <c r="BG100" t="s">
        <v>13808</v>
      </c>
      <c r="BL100" t="s">
        <v>13735</v>
      </c>
      <c r="BM100" t="s">
        <v>13809</v>
      </c>
      <c r="BR100" t="s">
        <v>15692</v>
      </c>
      <c r="BS100" t="s">
        <v>13824</v>
      </c>
      <c r="BT100" t="s">
        <v>13808</v>
      </c>
      <c r="BU100" t="s">
        <v>14233</v>
      </c>
      <c r="BY100" t="s">
        <v>13986</v>
      </c>
      <c r="BZ100" t="s">
        <v>13808</v>
      </c>
      <c r="CA100" t="s">
        <v>13937</v>
      </c>
      <c r="CE100" t="s">
        <v>13828</v>
      </c>
      <c r="CF100" t="s">
        <v>13808</v>
      </c>
      <c r="CK100" t="s">
        <v>13760</v>
      </c>
      <c r="CL100" t="s">
        <v>13809</v>
      </c>
      <c r="CQ100" t="s">
        <v>13766</v>
      </c>
      <c r="CR100" t="s">
        <v>13809</v>
      </c>
      <c r="CT100" t="s">
        <v>15693</v>
      </c>
      <c r="CU100" t="s">
        <v>15694</v>
      </c>
      <c r="CV100" t="s">
        <v>13818</v>
      </c>
      <c r="DA100" t="s">
        <v>15252</v>
      </c>
      <c r="DB100" t="s">
        <v>13818</v>
      </c>
      <c r="DG100" t="s">
        <v>15695</v>
      </c>
      <c r="DH100" t="s">
        <v>13818</v>
      </c>
      <c r="DJ100" t="s">
        <v>15271</v>
      </c>
      <c r="DK100" t="s">
        <v>13818</v>
      </c>
      <c r="DY100" t="s">
        <v>13840</v>
      </c>
      <c r="DZ100" t="s">
        <v>13841</v>
      </c>
      <c r="EA100" t="s">
        <v>15696</v>
      </c>
      <c r="EC100">
        <v>44659</v>
      </c>
      <c r="ED100" t="s">
        <v>13843</v>
      </c>
      <c r="EE100" t="s">
        <v>5972</v>
      </c>
    </row>
    <row r="101" spans="1:135">
      <c r="A101" t="s">
        <v>5632</v>
      </c>
      <c r="B101" t="s">
        <v>1155</v>
      </c>
      <c r="C101" t="s">
        <v>15697</v>
      </c>
      <c r="D101" s="24">
        <v>45043</v>
      </c>
      <c r="E101" s="24" t="s">
        <v>13563</v>
      </c>
      <c r="F101" s="24" t="s">
        <v>15698</v>
      </c>
      <c r="G101" s="24" t="s">
        <v>13808</v>
      </c>
      <c r="H101" s="24"/>
      <c r="I101" s="24" t="s">
        <v>13809</v>
      </c>
      <c r="J101" s="24"/>
      <c r="K101" s="24" t="s">
        <v>13809</v>
      </c>
      <c r="L101" s="24"/>
      <c r="M101" s="24" t="s">
        <v>15699</v>
      </c>
      <c r="N101" s="24" t="s">
        <v>13808</v>
      </c>
      <c r="O101" s="24"/>
      <c r="P101" s="24" t="s">
        <v>13808</v>
      </c>
      <c r="Q101" s="24"/>
      <c r="R101" s="24" t="s">
        <v>13808</v>
      </c>
      <c r="S101" s="24"/>
      <c r="T101" t="s">
        <v>14071</v>
      </c>
      <c r="U101" t="s">
        <v>13809</v>
      </c>
      <c r="W101" t="s">
        <v>13809</v>
      </c>
      <c r="Y101" t="s">
        <v>13809</v>
      </c>
      <c r="AA101" t="s">
        <v>14791</v>
      </c>
      <c r="AB101" t="s">
        <v>15700</v>
      </c>
      <c r="AC101" t="s">
        <v>13808</v>
      </c>
      <c r="AD101" t="s">
        <v>13819</v>
      </c>
      <c r="AH101" t="s">
        <v>14098</v>
      </c>
      <c r="AI101" t="s">
        <v>13818</v>
      </c>
      <c r="AJ101" t="s">
        <v>13819</v>
      </c>
      <c r="AN101" t="s">
        <v>15701</v>
      </c>
      <c r="AO101" t="s">
        <v>13808</v>
      </c>
      <c r="AP101" t="s">
        <v>13819</v>
      </c>
      <c r="AT101" t="s">
        <v>15702</v>
      </c>
      <c r="AU101" t="s">
        <v>13808</v>
      </c>
      <c r="AV101" t="s">
        <v>13819</v>
      </c>
      <c r="AZ101" t="s">
        <v>15690</v>
      </c>
      <c r="BA101" t="s">
        <v>13808</v>
      </c>
      <c r="BB101" t="s">
        <v>13819</v>
      </c>
      <c r="BF101" t="s">
        <v>15264</v>
      </c>
      <c r="BG101" t="s">
        <v>13808</v>
      </c>
      <c r="BH101" t="s">
        <v>13819</v>
      </c>
      <c r="BL101" t="s">
        <v>13735</v>
      </c>
      <c r="BM101" t="s">
        <v>13809</v>
      </c>
      <c r="BR101" t="s">
        <v>15703</v>
      </c>
      <c r="BS101" t="s">
        <v>13824</v>
      </c>
      <c r="BT101" t="s">
        <v>13818</v>
      </c>
      <c r="BU101" t="s">
        <v>14214</v>
      </c>
      <c r="BY101" t="s">
        <v>13860</v>
      </c>
      <c r="BZ101" t="s">
        <v>13808</v>
      </c>
      <c r="CA101" t="s">
        <v>13937</v>
      </c>
      <c r="CE101" t="s">
        <v>13828</v>
      </c>
      <c r="CF101" t="s">
        <v>13808</v>
      </c>
      <c r="CK101" t="s">
        <v>13760</v>
      </c>
      <c r="CL101" t="s">
        <v>13809</v>
      </c>
      <c r="CQ101" t="s">
        <v>13766</v>
      </c>
      <c r="CR101" t="s">
        <v>13809</v>
      </c>
      <c r="CT101" t="s">
        <v>15704</v>
      </c>
      <c r="CU101" t="s">
        <v>15705</v>
      </c>
      <c r="CV101" t="s">
        <v>13808</v>
      </c>
      <c r="CX101" t="s">
        <v>15706</v>
      </c>
      <c r="CY101" t="s">
        <v>13818</v>
      </c>
      <c r="DA101" t="s">
        <v>14962</v>
      </c>
      <c r="DB101" t="s">
        <v>13808</v>
      </c>
      <c r="DD101" t="s">
        <v>15707</v>
      </c>
      <c r="DE101" t="s">
        <v>13818</v>
      </c>
      <c r="DG101" t="s">
        <v>15708</v>
      </c>
      <c r="DH101" t="s">
        <v>13818</v>
      </c>
      <c r="DM101" t="s">
        <v>15709</v>
      </c>
      <c r="DN101" t="s">
        <v>13818</v>
      </c>
      <c r="DY101" t="s">
        <v>13840</v>
      </c>
      <c r="DZ101" t="s">
        <v>15710</v>
      </c>
      <c r="EA101" t="s">
        <v>14118</v>
      </c>
      <c r="EC101">
        <v>45047</v>
      </c>
      <c r="ED101" t="s">
        <v>13843</v>
      </c>
      <c r="EE101" t="s">
        <v>5636</v>
      </c>
    </row>
    <row r="102" spans="1:135">
      <c r="A102" t="s">
        <v>1633</v>
      </c>
      <c r="B102" t="s">
        <v>1589</v>
      </c>
      <c r="C102" t="s">
        <v>15711</v>
      </c>
      <c r="D102" s="24">
        <v>44540</v>
      </c>
      <c r="E102" s="24" t="s">
        <v>13560</v>
      </c>
      <c r="F102" s="24" t="s">
        <v>15712</v>
      </c>
      <c r="G102" s="24" t="s">
        <v>13808</v>
      </c>
      <c r="H102" s="24"/>
      <c r="I102" s="24" t="s">
        <v>13809</v>
      </c>
      <c r="J102" s="24"/>
      <c r="K102" s="24" t="s">
        <v>13808</v>
      </c>
      <c r="L102" s="24"/>
      <c r="M102" s="24" t="s">
        <v>14136</v>
      </c>
      <c r="N102" s="24" t="s">
        <v>13808</v>
      </c>
      <c r="O102" s="24"/>
      <c r="P102" s="24" t="s">
        <v>13818</v>
      </c>
      <c r="Q102" s="24" t="s">
        <v>14305</v>
      </c>
      <c r="R102" s="24" t="s">
        <v>13808</v>
      </c>
      <c r="S102" s="24"/>
      <c r="T102" t="s">
        <v>15300</v>
      </c>
      <c r="U102" t="s">
        <v>13809</v>
      </c>
      <c r="W102" t="s">
        <v>13808</v>
      </c>
      <c r="X102" t="s">
        <v>15713</v>
      </c>
      <c r="Y102" t="s">
        <v>13809</v>
      </c>
      <c r="AA102" t="s">
        <v>15089</v>
      </c>
      <c r="AB102" t="s">
        <v>15714</v>
      </c>
      <c r="AC102" t="s">
        <v>13808</v>
      </c>
      <c r="AH102" t="s">
        <v>13851</v>
      </c>
      <c r="AI102" t="s">
        <v>13808</v>
      </c>
      <c r="AN102" t="s">
        <v>13711</v>
      </c>
      <c r="AO102" t="s">
        <v>13809</v>
      </c>
      <c r="AT102" t="s">
        <v>15715</v>
      </c>
      <c r="AU102" t="s">
        <v>13808</v>
      </c>
      <c r="AZ102" t="s">
        <v>15716</v>
      </c>
      <c r="BA102" t="s">
        <v>13808</v>
      </c>
      <c r="BF102" t="s">
        <v>15717</v>
      </c>
      <c r="BG102" t="s">
        <v>13808</v>
      </c>
      <c r="BL102" t="s">
        <v>15718</v>
      </c>
      <c r="BM102" t="s">
        <v>13808</v>
      </c>
      <c r="BR102" t="s">
        <v>15719</v>
      </c>
      <c r="BS102" t="s">
        <v>13824</v>
      </c>
      <c r="BT102" t="s">
        <v>13808</v>
      </c>
      <c r="BU102" t="s">
        <v>14233</v>
      </c>
      <c r="BY102" t="s">
        <v>13860</v>
      </c>
      <c r="BZ102" t="s">
        <v>13808</v>
      </c>
      <c r="CA102" t="s">
        <v>13937</v>
      </c>
      <c r="CE102" t="s">
        <v>14215</v>
      </c>
      <c r="CF102" t="s">
        <v>13808</v>
      </c>
      <c r="CH102" t="s">
        <v>13862</v>
      </c>
      <c r="CI102" t="s">
        <v>13818</v>
      </c>
      <c r="CJ102" t="s">
        <v>15485</v>
      </c>
      <c r="CK102" t="s">
        <v>13760</v>
      </c>
      <c r="CL102" t="s">
        <v>13809</v>
      </c>
      <c r="CQ102" t="s">
        <v>13766</v>
      </c>
      <c r="CR102" t="s">
        <v>13809</v>
      </c>
      <c r="CT102" t="s">
        <v>15720</v>
      </c>
      <c r="CU102" t="s">
        <v>15721</v>
      </c>
      <c r="CV102" t="s">
        <v>13818</v>
      </c>
      <c r="DA102" t="s">
        <v>15722</v>
      </c>
      <c r="DB102" t="s">
        <v>13818</v>
      </c>
      <c r="DG102" t="s">
        <v>15723</v>
      </c>
      <c r="DH102" t="s">
        <v>13808</v>
      </c>
      <c r="DY102" t="s">
        <v>13840</v>
      </c>
      <c r="DZ102" t="s">
        <v>13841</v>
      </c>
      <c r="EA102" t="s">
        <v>13842</v>
      </c>
      <c r="EC102">
        <v>44679</v>
      </c>
      <c r="ED102" t="s">
        <v>14667</v>
      </c>
      <c r="EE102" t="s">
        <v>6141</v>
      </c>
    </row>
    <row r="103" spans="1:135">
      <c r="A103" t="s">
        <v>2058</v>
      </c>
      <c r="B103" t="s">
        <v>2026</v>
      </c>
      <c r="C103" t="s">
        <v>15724</v>
      </c>
      <c r="D103" s="24">
        <v>44855</v>
      </c>
      <c r="E103" s="24" t="s">
        <v>13555</v>
      </c>
      <c r="F103" s="24" t="s">
        <v>15725</v>
      </c>
      <c r="G103" s="24" t="s">
        <v>13808</v>
      </c>
      <c r="H103" s="24"/>
      <c r="I103" s="24" t="s">
        <v>13809</v>
      </c>
      <c r="J103" s="24"/>
      <c r="K103" s="24" t="s">
        <v>13809</v>
      </c>
      <c r="L103" s="24"/>
      <c r="M103" s="24" t="s">
        <v>15726</v>
      </c>
      <c r="N103" s="24" t="s">
        <v>13808</v>
      </c>
      <c r="O103" s="24"/>
      <c r="P103" s="24" t="s">
        <v>13808</v>
      </c>
      <c r="Q103" s="24"/>
      <c r="R103" s="24" t="s">
        <v>13808</v>
      </c>
      <c r="S103" s="24"/>
      <c r="T103" t="s">
        <v>15727</v>
      </c>
      <c r="U103" t="s">
        <v>13809</v>
      </c>
      <c r="W103" t="s">
        <v>13808</v>
      </c>
      <c r="X103" t="s">
        <v>15728</v>
      </c>
      <c r="Y103" t="s">
        <v>13808</v>
      </c>
      <c r="Z103" t="s">
        <v>15729</v>
      </c>
      <c r="AA103" t="s">
        <v>14971</v>
      </c>
      <c r="AB103" t="s">
        <v>15730</v>
      </c>
      <c r="AC103" t="s">
        <v>13808</v>
      </c>
      <c r="AH103" t="s">
        <v>13851</v>
      </c>
      <c r="AI103" t="s">
        <v>13808</v>
      </c>
      <c r="AN103" t="s">
        <v>13711</v>
      </c>
      <c r="AO103" t="s">
        <v>13809</v>
      </c>
      <c r="AT103" t="s">
        <v>15500</v>
      </c>
      <c r="AU103" t="s">
        <v>13808</v>
      </c>
      <c r="AZ103" t="s">
        <v>15731</v>
      </c>
      <c r="BA103" t="s">
        <v>13808</v>
      </c>
      <c r="BF103" t="s">
        <v>15732</v>
      </c>
      <c r="BG103" t="s">
        <v>13808</v>
      </c>
      <c r="BL103" t="s">
        <v>13735</v>
      </c>
      <c r="BM103" t="s">
        <v>13809</v>
      </c>
      <c r="BR103" t="s">
        <v>15733</v>
      </c>
      <c r="BS103" t="s">
        <v>13824</v>
      </c>
      <c r="BT103" t="s">
        <v>13808</v>
      </c>
      <c r="BU103" t="s">
        <v>13985</v>
      </c>
      <c r="BV103" t="s">
        <v>14957</v>
      </c>
      <c r="BW103" t="s">
        <v>13808</v>
      </c>
      <c r="BX103" t="s">
        <v>13985</v>
      </c>
      <c r="BY103" t="s">
        <v>14148</v>
      </c>
      <c r="BZ103" t="s">
        <v>13808</v>
      </c>
      <c r="CA103" t="s">
        <v>13861</v>
      </c>
      <c r="CE103" t="s">
        <v>14215</v>
      </c>
      <c r="CF103" t="s">
        <v>13808</v>
      </c>
      <c r="CG103" t="s">
        <v>14291</v>
      </c>
      <c r="CK103" t="s">
        <v>14581</v>
      </c>
      <c r="CL103" t="s">
        <v>13808</v>
      </c>
      <c r="CM103" t="s">
        <v>13863</v>
      </c>
      <c r="CQ103" t="s">
        <v>13766</v>
      </c>
      <c r="CR103" t="s">
        <v>13809</v>
      </c>
      <c r="CT103" t="s">
        <v>15734</v>
      </c>
      <c r="CU103" t="s">
        <v>15735</v>
      </c>
      <c r="CV103" t="s">
        <v>13808</v>
      </c>
      <c r="CX103" t="s">
        <v>15736</v>
      </c>
      <c r="CY103" t="s">
        <v>13818</v>
      </c>
      <c r="DA103" t="s">
        <v>15737</v>
      </c>
      <c r="DB103" t="s">
        <v>13808</v>
      </c>
      <c r="DD103" t="s">
        <v>15738</v>
      </c>
      <c r="DE103" t="s">
        <v>13818</v>
      </c>
      <c r="DG103" t="s">
        <v>15739</v>
      </c>
      <c r="DH103" t="s">
        <v>13818</v>
      </c>
      <c r="DM103" t="s">
        <v>15740</v>
      </c>
      <c r="DN103" t="s">
        <v>13808</v>
      </c>
      <c r="DO103" t="s">
        <v>15741</v>
      </c>
      <c r="DP103" t="s">
        <v>15742</v>
      </c>
      <c r="DQ103" t="s">
        <v>13808</v>
      </c>
      <c r="DY103" t="s">
        <v>13840</v>
      </c>
      <c r="DZ103" t="s">
        <v>15743</v>
      </c>
      <c r="EA103" t="s">
        <v>15744</v>
      </c>
      <c r="EC103">
        <v>44887</v>
      </c>
      <c r="ED103" t="s">
        <v>14298</v>
      </c>
      <c r="EE103" t="s">
        <v>6691</v>
      </c>
    </row>
    <row r="104" spans="1:135">
      <c r="A104" t="s">
        <v>1204</v>
      </c>
      <c r="B104" t="s">
        <v>1155</v>
      </c>
      <c r="C104" t="s">
        <v>15745</v>
      </c>
      <c r="D104" s="24">
        <v>45030</v>
      </c>
      <c r="E104" s="24" t="s">
        <v>13559</v>
      </c>
      <c r="F104" s="24" t="s">
        <v>15746</v>
      </c>
      <c r="G104" s="24" t="s">
        <v>13808</v>
      </c>
      <c r="H104" s="24"/>
      <c r="I104" s="24" t="s">
        <v>13809</v>
      </c>
      <c r="J104" s="24"/>
      <c r="K104" s="24" t="s">
        <v>13809</v>
      </c>
      <c r="L104" s="24"/>
      <c r="M104" s="24" t="s">
        <v>14304</v>
      </c>
      <c r="N104" s="24" t="s">
        <v>13808</v>
      </c>
      <c r="O104" s="24"/>
      <c r="P104" s="24" t="s">
        <v>13808</v>
      </c>
      <c r="Q104" s="24"/>
      <c r="R104" s="24" t="s">
        <v>13808</v>
      </c>
      <c r="S104" s="24"/>
      <c r="T104" t="s">
        <v>15747</v>
      </c>
      <c r="U104" t="s">
        <v>13809</v>
      </c>
      <c r="W104" t="s">
        <v>13808</v>
      </c>
      <c r="X104" t="s">
        <v>15748</v>
      </c>
      <c r="Y104" t="s">
        <v>13808</v>
      </c>
      <c r="Z104" t="s">
        <v>15749</v>
      </c>
      <c r="AA104" t="s">
        <v>13928</v>
      </c>
      <c r="AB104" t="s">
        <v>13699</v>
      </c>
      <c r="AC104" t="s">
        <v>13809</v>
      </c>
      <c r="AH104" t="s">
        <v>13851</v>
      </c>
      <c r="AI104" t="s">
        <v>13808</v>
      </c>
      <c r="AN104" t="s">
        <v>15750</v>
      </c>
      <c r="AO104" t="s">
        <v>13808</v>
      </c>
      <c r="AT104" t="s">
        <v>14312</v>
      </c>
      <c r="AU104" t="s">
        <v>13808</v>
      </c>
      <c r="AZ104" t="s">
        <v>15751</v>
      </c>
      <c r="BA104" t="s">
        <v>13808</v>
      </c>
      <c r="BF104" t="s">
        <v>15752</v>
      </c>
      <c r="BG104" t="s">
        <v>13808</v>
      </c>
      <c r="BL104" t="s">
        <v>13735</v>
      </c>
      <c r="BM104" t="s">
        <v>13809</v>
      </c>
      <c r="BR104" t="s">
        <v>15753</v>
      </c>
      <c r="BS104" t="s">
        <v>13824</v>
      </c>
      <c r="BT104" t="s">
        <v>13808</v>
      </c>
      <c r="BU104" t="s">
        <v>13985</v>
      </c>
      <c r="BY104" t="s">
        <v>13860</v>
      </c>
      <c r="BZ104" t="s">
        <v>13808</v>
      </c>
      <c r="CA104" t="s">
        <v>13937</v>
      </c>
      <c r="CE104" t="s">
        <v>14292</v>
      </c>
      <c r="CF104" t="s">
        <v>13808</v>
      </c>
      <c r="CK104" t="s">
        <v>13760</v>
      </c>
      <c r="CL104" t="s">
        <v>13809</v>
      </c>
      <c r="CQ104" t="s">
        <v>13766</v>
      </c>
      <c r="CR104" t="s">
        <v>13809</v>
      </c>
      <c r="CT104" t="s">
        <v>15754</v>
      </c>
      <c r="CU104" t="s">
        <v>15755</v>
      </c>
      <c r="CV104" t="s">
        <v>13818</v>
      </c>
      <c r="CX104" t="s">
        <v>15756</v>
      </c>
      <c r="CY104" t="s">
        <v>13818</v>
      </c>
      <c r="DA104" t="s">
        <v>15757</v>
      </c>
      <c r="DB104" t="s">
        <v>13808</v>
      </c>
      <c r="DG104" t="s">
        <v>15758</v>
      </c>
      <c r="DH104" t="s">
        <v>13808</v>
      </c>
      <c r="DJ104" t="s">
        <v>15759</v>
      </c>
      <c r="DK104" t="s">
        <v>13818</v>
      </c>
      <c r="DM104" t="s">
        <v>15760</v>
      </c>
      <c r="DN104" t="s">
        <v>13818</v>
      </c>
      <c r="DO104" t="s">
        <v>15761</v>
      </c>
      <c r="DY104" t="s">
        <v>13840</v>
      </c>
      <c r="DZ104" t="s">
        <v>15762</v>
      </c>
      <c r="EA104" t="s">
        <v>13996</v>
      </c>
      <c r="EC104">
        <v>45033</v>
      </c>
      <c r="ED104" t="s">
        <v>13843</v>
      </c>
      <c r="EE104" t="s">
        <v>5640</v>
      </c>
    </row>
    <row r="105" spans="1:135">
      <c r="A105" t="s">
        <v>1077</v>
      </c>
      <c r="B105" t="s">
        <v>1043</v>
      </c>
      <c r="C105" t="s">
        <v>15763</v>
      </c>
      <c r="D105" s="24">
        <v>44792</v>
      </c>
      <c r="E105" s="24" t="s">
        <v>13555</v>
      </c>
      <c r="F105" s="24" t="s">
        <v>15764</v>
      </c>
      <c r="G105" s="24" t="s">
        <v>13808</v>
      </c>
      <c r="H105" s="24"/>
      <c r="I105" s="24" t="s">
        <v>13809</v>
      </c>
      <c r="J105" s="24"/>
      <c r="K105" s="24" t="s">
        <v>13808</v>
      </c>
      <c r="L105" s="24"/>
      <c r="M105" s="24" t="s">
        <v>14304</v>
      </c>
      <c r="N105" s="24" t="s">
        <v>13808</v>
      </c>
      <c r="O105" s="24"/>
      <c r="P105" s="24" t="s">
        <v>13808</v>
      </c>
      <c r="Q105" s="24"/>
      <c r="R105" s="24" t="s">
        <v>13808</v>
      </c>
      <c r="S105" s="24"/>
      <c r="T105" t="s">
        <v>15765</v>
      </c>
      <c r="U105" t="s">
        <v>13808</v>
      </c>
      <c r="V105" t="s">
        <v>15766</v>
      </c>
      <c r="W105" t="s">
        <v>13808</v>
      </c>
      <c r="X105" t="s">
        <v>15767</v>
      </c>
      <c r="Y105" t="s">
        <v>13809</v>
      </c>
      <c r="AA105" t="s">
        <v>14865</v>
      </c>
      <c r="AB105" t="s">
        <v>13699</v>
      </c>
      <c r="AC105" t="s">
        <v>13809</v>
      </c>
      <c r="AH105" t="s">
        <v>13851</v>
      </c>
      <c r="AI105" t="s">
        <v>13808</v>
      </c>
      <c r="AN105" t="s">
        <v>13711</v>
      </c>
      <c r="AO105" t="s">
        <v>13809</v>
      </c>
      <c r="AT105" t="s">
        <v>15768</v>
      </c>
      <c r="AU105" t="s">
        <v>13808</v>
      </c>
      <c r="AZ105" t="s">
        <v>15769</v>
      </c>
      <c r="BA105" t="s">
        <v>13808</v>
      </c>
      <c r="BB105" t="s">
        <v>15770</v>
      </c>
      <c r="BF105" t="s">
        <v>15771</v>
      </c>
      <c r="BG105" t="s">
        <v>13808</v>
      </c>
      <c r="BL105" t="s">
        <v>15772</v>
      </c>
      <c r="BM105" t="s">
        <v>13808</v>
      </c>
      <c r="BR105" t="s">
        <v>15773</v>
      </c>
      <c r="BS105" t="s">
        <v>13824</v>
      </c>
      <c r="BT105" t="s">
        <v>13808</v>
      </c>
      <c r="BU105" t="s">
        <v>15774</v>
      </c>
      <c r="BY105" t="s">
        <v>13826</v>
      </c>
      <c r="BZ105" t="s">
        <v>13808</v>
      </c>
      <c r="CA105" t="s">
        <v>13937</v>
      </c>
      <c r="CE105" t="s">
        <v>13828</v>
      </c>
      <c r="CF105" t="s">
        <v>13808</v>
      </c>
      <c r="CK105" t="s">
        <v>15775</v>
      </c>
      <c r="CL105" t="s">
        <v>13808</v>
      </c>
      <c r="CM105" t="s">
        <v>15776</v>
      </c>
      <c r="CQ105" t="s">
        <v>13766</v>
      </c>
      <c r="CR105" t="s">
        <v>13809</v>
      </c>
      <c r="CT105" t="s">
        <v>15777</v>
      </c>
      <c r="CU105" t="s">
        <v>15376</v>
      </c>
      <c r="CV105" t="s">
        <v>13808</v>
      </c>
      <c r="CX105" t="s">
        <v>15778</v>
      </c>
      <c r="CY105" t="s">
        <v>13818</v>
      </c>
      <c r="DA105" t="s">
        <v>15779</v>
      </c>
      <c r="DB105" t="s">
        <v>13808</v>
      </c>
      <c r="DD105" t="s">
        <v>15780</v>
      </c>
      <c r="DE105" t="s">
        <v>13818</v>
      </c>
      <c r="DM105" t="s">
        <v>15781</v>
      </c>
      <c r="DN105" t="s">
        <v>13808</v>
      </c>
      <c r="DY105" t="s">
        <v>15782</v>
      </c>
      <c r="DZ105" t="s">
        <v>13841</v>
      </c>
      <c r="EA105" t="s">
        <v>13996</v>
      </c>
      <c r="EC105">
        <v>44796</v>
      </c>
      <c r="ED105" t="s">
        <v>14590</v>
      </c>
      <c r="EE105" t="s">
        <v>5475</v>
      </c>
    </row>
    <row r="106" spans="1:135">
      <c r="A106" t="s">
        <v>1860</v>
      </c>
      <c r="B106" t="s">
        <v>1808</v>
      </c>
      <c r="C106" t="s">
        <v>15783</v>
      </c>
      <c r="D106" s="24">
        <v>43326</v>
      </c>
      <c r="E106" s="24" t="s">
        <v>13555</v>
      </c>
      <c r="F106" s="24" t="s">
        <v>15784</v>
      </c>
      <c r="G106" s="24" t="s">
        <v>13808</v>
      </c>
      <c r="H106" s="24"/>
      <c r="I106" s="24" t="s">
        <v>13809</v>
      </c>
      <c r="J106" s="24"/>
      <c r="K106" s="24" t="s">
        <v>13808</v>
      </c>
      <c r="L106" s="24"/>
      <c r="M106" s="24" t="s">
        <v>15785</v>
      </c>
      <c r="N106" s="24" t="s">
        <v>13808</v>
      </c>
      <c r="O106" s="24"/>
      <c r="P106" s="24" t="s">
        <v>13808</v>
      </c>
      <c r="Q106" s="24"/>
      <c r="R106" s="24" t="s">
        <v>13808</v>
      </c>
      <c r="S106" s="24"/>
      <c r="T106" t="s">
        <v>13907</v>
      </c>
      <c r="U106" t="s">
        <v>13808</v>
      </c>
      <c r="W106" t="s">
        <v>13808</v>
      </c>
      <c r="X106" t="s">
        <v>15786</v>
      </c>
      <c r="Y106" t="s">
        <v>13809</v>
      </c>
      <c r="AA106" t="s">
        <v>14906</v>
      </c>
      <c r="AB106" t="s">
        <v>15787</v>
      </c>
      <c r="AC106" t="s">
        <v>13808</v>
      </c>
      <c r="AH106" t="s">
        <v>13851</v>
      </c>
      <c r="AI106" t="s">
        <v>13808</v>
      </c>
      <c r="AN106" t="s">
        <v>15788</v>
      </c>
      <c r="AO106" t="s">
        <v>13808</v>
      </c>
      <c r="AT106" t="s">
        <v>13980</v>
      </c>
      <c r="AU106" t="s">
        <v>13808</v>
      </c>
      <c r="AZ106" t="s">
        <v>15789</v>
      </c>
      <c r="BA106" t="s">
        <v>13808</v>
      </c>
      <c r="BF106" t="s">
        <v>15790</v>
      </c>
      <c r="BG106" t="s">
        <v>13808</v>
      </c>
      <c r="BL106" t="s">
        <v>15791</v>
      </c>
      <c r="BM106" t="s">
        <v>13808</v>
      </c>
      <c r="BR106" t="s">
        <v>15792</v>
      </c>
      <c r="BS106" t="s">
        <v>13824</v>
      </c>
      <c r="BT106" t="s">
        <v>13808</v>
      </c>
      <c r="BU106" t="s">
        <v>15793</v>
      </c>
      <c r="BY106" t="s">
        <v>14148</v>
      </c>
      <c r="BZ106" t="s">
        <v>13808</v>
      </c>
      <c r="CA106" t="s">
        <v>13861</v>
      </c>
      <c r="CE106" t="s">
        <v>14215</v>
      </c>
      <c r="CF106" t="s">
        <v>13808</v>
      </c>
      <c r="CH106" t="s">
        <v>13862</v>
      </c>
      <c r="CI106" t="s">
        <v>13818</v>
      </c>
      <c r="CJ106" t="s">
        <v>15485</v>
      </c>
      <c r="CK106" t="s">
        <v>13760</v>
      </c>
      <c r="CL106" t="s">
        <v>13809</v>
      </c>
      <c r="CQ106" t="s">
        <v>13766</v>
      </c>
      <c r="CR106" t="s">
        <v>13809</v>
      </c>
      <c r="CT106" t="s">
        <v>15794</v>
      </c>
      <c r="CU106" t="s">
        <v>15795</v>
      </c>
      <c r="CV106" t="s">
        <v>13808</v>
      </c>
      <c r="DA106" t="s">
        <v>15796</v>
      </c>
      <c r="DB106" t="s">
        <v>13808</v>
      </c>
      <c r="DG106" t="s">
        <v>15797</v>
      </c>
      <c r="DH106" t="s">
        <v>13808</v>
      </c>
      <c r="DJ106" t="s">
        <v>15798</v>
      </c>
      <c r="DK106" t="s">
        <v>13818</v>
      </c>
      <c r="DM106" t="s">
        <v>15799</v>
      </c>
      <c r="DN106" t="s">
        <v>13808</v>
      </c>
      <c r="DO106" t="s">
        <v>15800</v>
      </c>
      <c r="DP106" t="s">
        <v>15801</v>
      </c>
      <c r="DQ106" t="s">
        <v>13808</v>
      </c>
      <c r="DR106" t="s">
        <v>14115</v>
      </c>
      <c r="DY106" t="s">
        <v>13869</v>
      </c>
      <c r="DZ106" t="s">
        <v>15802</v>
      </c>
      <c r="EA106" t="s">
        <v>15382</v>
      </c>
      <c r="EC106">
        <v>44659</v>
      </c>
      <c r="ED106" t="s">
        <v>13843</v>
      </c>
      <c r="EE106" t="s">
        <v>6406</v>
      </c>
    </row>
    <row r="107" spans="1:135">
      <c r="A107" t="s">
        <v>1278</v>
      </c>
      <c r="B107" t="s">
        <v>1246</v>
      </c>
      <c r="C107" t="s">
        <v>15803</v>
      </c>
      <c r="D107" s="24">
        <v>43200</v>
      </c>
      <c r="E107" s="24" t="s">
        <v>13559</v>
      </c>
      <c r="F107" s="24" t="s">
        <v>15804</v>
      </c>
      <c r="G107" s="24" t="s">
        <v>13808</v>
      </c>
      <c r="H107" s="24"/>
      <c r="I107" s="24" t="s">
        <v>13809</v>
      </c>
      <c r="J107" s="24"/>
      <c r="K107" s="24" t="s">
        <v>13809</v>
      </c>
      <c r="L107" s="24"/>
      <c r="M107" s="24" t="s">
        <v>15805</v>
      </c>
      <c r="N107" s="24" t="s">
        <v>13808</v>
      </c>
      <c r="O107" s="24"/>
      <c r="P107" s="24" t="s">
        <v>13808</v>
      </c>
      <c r="Q107" s="24"/>
      <c r="R107" s="24" t="s">
        <v>13808</v>
      </c>
      <c r="S107" s="24"/>
      <c r="T107" t="s">
        <v>15806</v>
      </c>
      <c r="U107" t="s">
        <v>13809</v>
      </c>
      <c r="W107" t="s">
        <v>13809</v>
      </c>
      <c r="Y107" t="s">
        <v>13809</v>
      </c>
      <c r="AA107" t="s">
        <v>15807</v>
      </c>
      <c r="AB107" t="s">
        <v>14265</v>
      </c>
      <c r="AC107" t="s">
        <v>13818</v>
      </c>
      <c r="AD107" t="s">
        <v>15808</v>
      </c>
      <c r="AH107" t="s">
        <v>13887</v>
      </c>
      <c r="AI107" t="s">
        <v>13808</v>
      </c>
      <c r="AK107" t="s">
        <v>15309</v>
      </c>
      <c r="AL107" t="s">
        <v>13818</v>
      </c>
      <c r="AM107" t="s">
        <v>15808</v>
      </c>
      <c r="AO107" t="s">
        <v>13809</v>
      </c>
      <c r="AT107" t="s">
        <v>14544</v>
      </c>
      <c r="AU107" t="s">
        <v>13818</v>
      </c>
      <c r="AV107" t="s">
        <v>15808</v>
      </c>
      <c r="AZ107" t="s">
        <v>13892</v>
      </c>
      <c r="BA107" t="s">
        <v>13808</v>
      </c>
      <c r="BF107" t="s">
        <v>14169</v>
      </c>
      <c r="BG107" t="s">
        <v>13818</v>
      </c>
      <c r="BH107" t="s">
        <v>15808</v>
      </c>
      <c r="BM107" t="s">
        <v>13809</v>
      </c>
      <c r="BR107" t="s">
        <v>15809</v>
      </c>
      <c r="BS107" t="s">
        <v>14265</v>
      </c>
      <c r="BT107" t="s">
        <v>13818</v>
      </c>
      <c r="BU107" t="s">
        <v>15810</v>
      </c>
      <c r="BY107" t="s">
        <v>13887</v>
      </c>
      <c r="BZ107" t="s">
        <v>13808</v>
      </c>
      <c r="CA107" t="s">
        <v>13937</v>
      </c>
      <c r="CE107" t="s">
        <v>14265</v>
      </c>
      <c r="CF107" t="s">
        <v>13818</v>
      </c>
      <c r="CG107" t="s">
        <v>14309</v>
      </c>
      <c r="CL107" t="s">
        <v>13809</v>
      </c>
      <c r="CR107" t="s">
        <v>13809</v>
      </c>
      <c r="CT107" t="s">
        <v>15811</v>
      </c>
      <c r="CU107" t="s">
        <v>13887</v>
      </c>
      <c r="CV107" t="s">
        <v>13808</v>
      </c>
      <c r="CX107" t="s">
        <v>14839</v>
      </c>
      <c r="CY107" t="s">
        <v>13818</v>
      </c>
      <c r="CZ107" t="s">
        <v>14309</v>
      </c>
      <c r="DA107" t="s">
        <v>13887</v>
      </c>
      <c r="DB107" t="s">
        <v>13808</v>
      </c>
      <c r="DD107" t="s">
        <v>14839</v>
      </c>
      <c r="DE107" t="s">
        <v>13818</v>
      </c>
      <c r="DF107" t="s">
        <v>14309</v>
      </c>
      <c r="DG107" t="s">
        <v>13909</v>
      </c>
      <c r="DH107" t="s">
        <v>13818</v>
      </c>
      <c r="DY107" t="s">
        <v>13900</v>
      </c>
      <c r="DZ107" t="s">
        <v>15812</v>
      </c>
      <c r="EA107" t="s">
        <v>14201</v>
      </c>
      <c r="EC107">
        <v>44118</v>
      </c>
      <c r="ED107" t="s">
        <v>13903</v>
      </c>
      <c r="EE107" t="s">
        <v>5727</v>
      </c>
    </row>
    <row r="108" spans="1:135">
      <c r="A108" t="s">
        <v>2129</v>
      </c>
      <c r="B108" t="s">
        <v>2098</v>
      </c>
      <c r="C108" t="s">
        <v>15813</v>
      </c>
      <c r="D108" s="24">
        <v>43600</v>
      </c>
      <c r="E108" s="24" t="s">
        <v>13558</v>
      </c>
      <c r="F108" s="24" t="s">
        <v>15814</v>
      </c>
      <c r="G108" s="24" t="s">
        <v>13808</v>
      </c>
      <c r="H108" s="24"/>
      <c r="I108" s="24" t="s">
        <v>13809</v>
      </c>
      <c r="J108" s="24"/>
      <c r="K108" s="24" t="s">
        <v>13808</v>
      </c>
      <c r="L108" s="24"/>
      <c r="M108" s="24" t="s">
        <v>14449</v>
      </c>
      <c r="N108" s="24" t="s">
        <v>13818</v>
      </c>
      <c r="O108" s="24" t="s">
        <v>15815</v>
      </c>
      <c r="P108" s="24" t="s">
        <v>13808</v>
      </c>
      <c r="Q108" s="24"/>
      <c r="R108" s="24" t="s">
        <v>13808</v>
      </c>
      <c r="S108" s="24"/>
      <c r="T108" t="s">
        <v>15806</v>
      </c>
      <c r="U108" t="s">
        <v>13809</v>
      </c>
      <c r="W108" t="s">
        <v>13809</v>
      </c>
      <c r="Y108" t="s">
        <v>13809</v>
      </c>
      <c r="AA108" t="s">
        <v>15816</v>
      </c>
      <c r="AB108" t="s">
        <v>15817</v>
      </c>
      <c r="AC108" t="s">
        <v>13818</v>
      </c>
      <c r="AD108" t="s">
        <v>15808</v>
      </c>
      <c r="AH108" t="s">
        <v>13887</v>
      </c>
      <c r="AI108" t="s">
        <v>13808</v>
      </c>
      <c r="AK108" t="s">
        <v>15818</v>
      </c>
      <c r="AL108" t="s">
        <v>13818</v>
      </c>
      <c r="AM108" t="s">
        <v>15819</v>
      </c>
      <c r="AN108" t="s">
        <v>15820</v>
      </c>
      <c r="AO108" t="s">
        <v>13818</v>
      </c>
      <c r="AP108" t="s">
        <v>15819</v>
      </c>
      <c r="AT108" t="s">
        <v>15821</v>
      </c>
      <c r="AU108" t="s">
        <v>13818</v>
      </c>
      <c r="AZ108" t="s">
        <v>15822</v>
      </c>
      <c r="BA108" t="s">
        <v>13808</v>
      </c>
      <c r="BC108" t="s">
        <v>15823</v>
      </c>
      <c r="BD108" t="s">
        <v>13818</v>
      </c>
      <c r="BF108" t="s">
        <v>15824</v>
      </c>
      <c r="BG108" t="s">
        <v>13808</v>
      </c>
      <c r="BL108" t="s">
        <v>15825</v>
      </c>
      <c r="BM108" t="s">
        <v>13818</v>
      </c>
      <c r="BR108" t="s">
        <v>15826</v>
      </c>
      <c r="BS108" t="s">
        <v>13887</v>
      </c>
      <c r="BT108" t="s">
        <v>13808</v>
      </c>
      <c r="BU108" t="s">
        <v>15827</v>
      </c>
      <c r="BY108" t="s">
        <v>14265</v>
      </c>
      <c r="BZ108" t="s">
        <v>13818</v>
      </c>
      <c r="CA108" t="s">
        <v>15808</v>
      </c>
      <c r="CE108" t="s">
        <v>13887</v>
      </c>
      <c r="CF108" t="s">
        <v>13808</v>
      </c>
      <c r="CL108" t="s">
        <v>13809</v>
      </c>
      <c r="CR108" t="s">
        <v>13809</v>
      </c>
      <c r="CT108" t="s">
        <v>13962</v>
      </c>
      <c r="CU108" t="s">
        <v>13909</v>
      </c>
      <c r="CV108" t="s">
        <v>13818</v>
      </c>
      <c r="DA108" t="s">
        <v>13909</v>
      </c>
      <c r="DB108" t="s">
        <v>13818</v>
      </c>
      <c r="DG108" t="s">
        <v>13909</v>
      </c>
      <c r="DH108" t="s">
        <v>13818</v>
      </c>
      <c r="DY108" t="s">
        <v>15828</v>
      </c>
      <c r="DZ108" t="s">
        <v>15829</v>
      </c>
      <c r="EA108" t="s">
        <v>13971</v>
      </c>
      <c r="ED108" t="s">
        <v>13903</v>
      </c>
      <c r="EE108" t="s">
        <v>6782</v>
      </c>
    </row>
    <row r="109" spans="1:135">
      <c r="A109" t="s">
        <v>1864</v>
      </c>
      <c r="B109" t="s">
        <v>1808</v>
      </c>
      <c r="C109" t="s">
        <v>15830</v>
      </c>
      <c r="D109" s="24">
        <v>43749</v>
      </c>
      <c r="E109" s="24" t="s">
        <v>13553</v>
      </c>
      <c r="F109" s="24" t="s">
        <v>15831</v>
      </c>
      <c r="G109" s="24" t="s">
        <v>13808</v>
      </c>
      <c r="H109" s="24"/>
      <c r="I109" s="24" t="s">
        <v>13809</v>
      </c>
      <c r="J109" s="24"/>
      <c r="K109" s="24" t="s">
        <v>13809</v>
      </c>
      <c r="L109" s="24"/>
      <c r="M109" s="24" t="s">
        <v>14163</v>
      </c>
      <c r="N109" s="24" t="s">
        <v>13808</v>
      </c>
      <c r="O109" s="24"/>
      <c r="P109" s="24" t="s">
        <v>13808</v>
      </c>
      <c r="Q109" s="24"/>
      <c r="R109" s="24" t="s">
        <v>13808</v>
      </c>
      <c r="S109" s="24"/>
      <c r="T109" t="s">
        <v>14016</v>
      </c>
      <c r="U109" t="s">
        <v>13809</v>
      </c>
      <c r="W109" t="s">
        <v>13808</v>
      </c>
      <c r="X109" t="s">
        <v>15832</v>
      </c>
      <c r="Y109" t="s">
        <v>13809</v>
      </c>
      <c r="AA109" t="s">
        <v>13877</v>
      </c>
      <c r="AB109" t="s">
        <v>15833</v>
      </c>
      <c r="AC109" t="s">
        <v>13808</v>
      </c>
      <c r="AH109" t="s">
        <v>13887</v>
      </c>
      <c r="AI109" t="s">
        <v>13808</v>
      </c>
      <c r="AO109" t="s">
        <v>13809</v>
      </c>
      <c r="AT109" t="s">
        <v>15834</v>
      </c>
      <c r="AU109" t="s">
        <v>13808</v>
      </c>
      <c r="AZ109" t="s">
        <v>15835</v>
      </c>
      <c r="BA109" t="s">
        <v>13808</v>
      </c>
      <c r="BF109" t="s">
        <v>15836</v>
      </c>
      <c r="BG109" t="s">
        <v>13808</v>
      </c>
      <c r="BL109" t="s">
        <v>15837</v>
      </c>
      <c r="BM109" t="s">
        <v>13808</v>
      </c>
      <c r="BR109" t="s">
        <v>15838</v>
      </c>
      <c r="BS109" t="s">
        <v>13887</v>
      </c>
      <c r="BT109" t="s">
        <v>13808</v>
      </c>
      <c r="BU109" t="s">
        <v>14025</v>
      </c>
      <c r="BY109" t="s">
        <v>14265</v>
      </c>
      <c r="BZ109" t="s">
        <v>13808</v>
      </c>
      <c r="CA109" t="s">
        <v>14026</v>
      </c>
      <c r="CE109" t="s">
        <v>14693</v>
      </c>
      <c r="CF109" t="s">
        <v>13808</v>
      </c>
      <c r="CG109" t="s">
        <v>14173</v>
      </c>
      <c r="CL109" t="s">
        <v>13809</v>
      </c>
      <c r="CR109" t="s">
        <v>13809</v>
      </c>
      <c r="CT109" t="s">
        <v>14027</v>
      </c>
      <c r="CU109" t="s">
        <v>15839</v>
      </c>
      <c r="CV109" t="s">
        <v>13808</v>
      </c>
      <c r="DA109" t="s">
        <v>15840</v>
      </c>
      <c r="DB109" t="s">
        <v>13808</v>
      </c>
      <c r="DH109" t="s">
        <v>13809</v>
      </c>
      <c r="DM109" t="s">
        <v>15841</v>
      </c>
      <c r="DN109" t="s">
        <v>13808</v>
      </c>
      <c r="DY109" t="s">
        <v>15842</v>
      </c>
      <c r="DZ109" t="s">
        <v>15843</v>
      </c>
      <c r="EA109" t="s">
        <v>13922</v>
      </c>
      <c r="EC109">
        <v>43789</v>
      </c>
      <c r="ED109" t="s">
        <v>13903</v>
      </c>
      <c r="EE109" t="s">
        <v>6409</v>
      </c>
    </row>
    <row r="110" spans="1:135">
      <c r="A110" t="s">
        <v>10287</v>
      </c>
      <c r="B110" t="s">
        <v>1043</v>
      </c>
      <c r="C110" t="s">
        <v>15844</v>
      </c>
      <c r="D110" s="24">
        <v>44631</v>
      </c>
      <c r="E110" s="24" t="s">
        <v>13561</v>
      </c>
      <c r="F110" s="24" t="s">
        <v>15845</v>
      </c>
      <c r="G110" s="24" t="s">
        <v>13818</v>
      </c>
      <c r="H110" s="24" t="s">
        <v>15846</v>
      </c>
      <c r="I110" s="24" t="s">
        <v>13809</v>
      </c>
      <c r="J110" s="24"/>
      <c r="K110" s="24" t="s">
        <v>13809</v>
      </c>
      <c r="L110" s="24"/>
      <c r="M110" s="24" t="s">
        <v>15847</v>
      </c>
      <c r="N110" s="24" t="s">
        <v>13808</v>
      </c>
      <c r="O110" s="24" t="s">
        <v>13819</v>
      </c>
      <c r="P110" s="24" t="s">
        <v>13808</v>
      </c>
      <c r="Q110" s="24" t="s">
        <v>13819</v>
      </c>
      <c r="R110" s="24" t="s">
        <v>13808</v>
      </c>
      <c r="S110" s="24" t="s">
        <v>13819</v>
      </c>
      <c r="T110" t="s">
        <v>14385</v>
      </c>
      <c r="U110" t="s">
        <v>13809</v>
      </c>
      <c r="W110" t="s">
        <v>13809</v>
      </c>
      <c r="Y110" t="s">
        <v>13809</v>
      </c>
      <c r="AA110" t="s">
        <v>14386</v>
      </c>
      <c r="AB110" t="s">
        <v>15848</v>
      </c>
      <c r="AC110" t="s">
        <v>13818</v>
      </c>
      <c r="AD110" t="s">
        <v>13819</v>
      </c>
      <c r="AH110" t="s">
        <v>13851</v>
      </c>
      <c r="AI110" t="s">
        <v>13818</v>
      </c>
      <c r="AJ110" t="s">
        <v>13819</v>
      </c>
      <c r="AN110" t="s">
        <v>13711</v>
      </c>
      <c r="AO110" t="s">
        <v>13809</v>
      </c>
      <c r="AT110" t="s">
        <v>15849</v>
      </c>
      <c r="AU110" t="s">
        <v>13818</v>
      </c>
      <c r="AV110" t="s">
        <v>13819</v>
      </c>
      <c r="AZ110" t="s">
        <v>15850</v>
      </c>
      <c r="BA110" t="s">
        <v>13818</v>
      </c>
      <c r="BB110" t="s">
        <v>13819</v>
      </c>
      <c r="BF110" t="s">
        <v>15851</v>
      </c>
      <c r="BG110" t="s">
        <v>13818</v>
      </c>
      <c r="BH110" t="s">
        <v>13819</v>
      </c>
      <c r="BL110" t="s">
        <v>15852</v>
      </c>
      <c r="BM110" t="s">
        <v>13818</v>
      </c>
      <c r="BN110" t="s">
        <v>13819</v>
      </c>
      <c r="BR110" t="s">
        <v>15853</v>
      </c>
      <c r="BS110" t="s">
        <v>13824</v>
      </c>
      <c r="BT110" t="s">
        <v>13818</v>
      </c>
      <c r="BU110" t="s">
        <v>14214</v>
      </c>
      <c r="BY110" t="s">
        <v>13826</v>
      </c>
      <c r="BZ110" t="s">
        <v>13818</v>
      </c>
      <c r="CA110" t="s">
        <v>15854</v>
      </c>
      <c r="CE110" t="s">
        <v>13828</v>
      </c>
      <c r="CF110" t="s">
        <v>13818</v>
      </c>
      <c r="CG110" t="s">
        <v>13819</v>
      </c>
      <c r="CK110" t="s">
        <v>15855</v>
      </c>
      <c r="CL110" t="s">
        <v>13818</v>
      </c>
      <c r="CM110" t="s">
        <v>13819</v>
      </c>
      <c r="CQ110" t="s">
        <v>13766</v>
      </c>
      <c r="CR110" t="s">
        <v>13809</v>
      </c>
      <c r="CT110" t="s">
        <v>15856</v>
      </c>
      <c r="CU110" t="s">
        <v>15857</v>
      </c>
      <c r="CV110" t="s">
        <v>13808</v>
      </c>
      <c r="CW110" t="s">
        <v>14309</v>
      </c>
      <c r="CX110" t="s">
        <v>15858</v>
      </c>
      <c r="CY110" t="s">
        <v>13818</v>
      </c>
      <c r="CZ110" t="s">
        <v>14309</v>
      </c>
      <c r="DA110" t="s">
        <v>15859</v>
      </c>
      <c r="DB110" t="s">
        <v>13808</v>
      </c>
      <c r="DC110" t="s">
        <v>14309</v>
      </c>
      <c r="DD110" t="s">
        <v>15858</v>
      </c>
      <c r="DE110" t="s">
        <v>13818</v>
      </c>
      <c r="DF110" t="s">
        <v>14309</v>
      </c>
      <c r="DG110" t="s">
        <v>15860</v>
      </c>
      <c r="DH110" t="s">
        <v>13808</v>
      </c>
      <c r="DI110" t="s">
        <v>14309</v>
      </c>
      <c r="DM110" t="s">
        <v>15861</v>
      </c>
      <c r="DN110" t="s">
        <v>13818</v>
      </c>
      <c r="DO110" t="s">
        <v>14309</v>
      </c>
      <c r="DY110" t="s">
        <v>14606</v>
      </c>
      <c r="DZ110" t="s">
        <v>13841</v>
      </c>
      <c r="EA110" t="s">
        <v>14118</v>
      </c>
      <c r="EC110">
        <v>44635</v>
      </c>
      <c r="ED110" t="s">
        <v>13843</v>
      </c>
      <c r="EE110" t="s">
        <v>13578</v>
      </c>
    </row>
    <row r="111" spans="1:135">
      <c r="A111" t="s">
        <v>2062</v>
      </c>
      <c r="B111" t="s">
        <v>2026</v>
      </c>
      <c r="C111" t="s">
        <v>15862</v>
      </c>
      <c r="D111" s="24">
        <v>44736</v>
      </c>
      <c r="E111" s="24" t="s">
        <v>13555</v>
      </c>
      <c r="F111" s="24" t="s">
        <v>15863</v>
      </c>
      <c r="G111" s="24" t="s">
        <v>13808</v>
      </c>
      <c r="H111" s="24"/>
      <c r="I111" s="24" t="s">
        <v>13809</v>
      </c>
      <c r="J111" s="24"/>
      <c r="K111" s="24" t="s">
        <v>13808</v>
      </c>
      <c r="L111" s="24"/>
      <c r="M111" s="24" t="s">
        <v>14304</v>
      </c>
      <c r="N111" s="24" t="s">
        <v>13808</v>
      </c>
      <c r="O111" s="24"/>
      <c r="P111" s="24" t="s">
        <v>13808</v>
      </c>
      <c r="Q111" s="24"/>
      <c r="R111" s="24" t="s">
        <v>13808</v>
      </c>
      <c r="S111" s="24"/>
      <c r="T111" t="s">
        <v>15864</v>
      </c>
      <c r="U111" t="s">
        <v>13809</v>
      </c>
      <c r="W111" t="s">
        <v>13808</v>
      </c>
      <c r="X111" t="s">
        <v>15865</v>
      </c>
      <c r="Y111" t="s">
        <v>13809</v>
      </c>
      <c r="AA111" t="s">
        <v>14971</v>
      </c>
      <c r="AB111" t="s">
        <v>15348</v>
      </c>
      <c r="AC111" t="s">
        <v>13809</v>
      </c>
      <c r="AH111" t="s">
        <v>13851</v>
      </c>
      <c r="AI111" t="s">
        <v>13808</v>
      </c>
      <c r="AN111" t="s">
        <v>15866</v>
      </c>
      <c r="AO111" t="s">
        <v>13808</v>
      </c>
      <c r="AT111" t="s">
        <v>15867</v>
      </c>
      <c r="AU111" t="s">
        <v>13808</v>
      </c>
      <c r="AZ111" t="s">
        <v>15868</v>
      </c>
      <c r="BA111" t="s">
        <v>13808</v>
      </c>
      <c r="BF111" t="s">
        <v>15869</v>
      </c>
      <c r="BG111" t="s">
        <v>13808</v>
      </c>
      <c r="BL111" t="s">
        <v>15870</v>
      </c>
      <c r="BM111" t="s">
        <v>13808</v>
      </c>
      <c r="BR111" t="s">
        <v>15871</v>
      </c>
      <c r="BS111" t="s">
        <v>13824</v>
      </c>
      <c r="BT111" t="s">
        <v>13808</v>
      </c>
      <c r="BU111" t="s">
        <v>14528</v>
      </c>
      <c r="BY111" t="s">
        <v>13860</v>
      </c>
      <c r="BZ111" t="s">
        <v>13808</v>
      </c>
      <c r="CA111" t="s">
        <v>13937</v>
      </c>
      <c r="CE111" t="s">
        <v>13828</v>
      </c>
      <c r="CF111" t="s">
        <v>13808</v>
      </c>
      <c r="CK111" t="s">
        <v>13760</v>
      </c>
      <c r="CL111" t="s">
        <v>13809</v>
      </c>
      <c r="CQ111" t="s">
        <v>13766</v>
      </c>
      <c r="CR111" t="s">
        <v>13809</v>
      </c>
      <c r="CT111" t="s">
        <v>15872</v>
      </c>
      <c r="CU111" t="s">
        <v>15873</v>
      </c>
      <c r="CV111" t="s">
        <v>13808</v>
      </c>
      <c r="DA111" t="s">
        <v>15874</v>
      </c>
      <c r="DB111" t="s">
        <v>13808</v>
      </c>
      <c r="DM111" t="s">
        <v>15875</v>
      </c>
      <c r="DN111" t="s">
        <v>13808</v>
      </c>
      <c r="DY111" t="s">
        <v>13840</v>
      </c>
      <c r="DZ111" t="s">
        <v>13841</v>
      </c>
      <c r="EA111" t="s">
        <v>13996</v>
      </c>
      <c r="EC111">
        <v>44741</v>
      </c>
      <c r="ED111" t="s">
        <v>14298</v>
      </c>
      <c r="EE111" t="s">
        <v>6695</v>
      </c>
    </row>
    <row r="112" spans="1:135">
      <c r="A112" t="s">
        <v>2139</v>
      </c>
      <c r="B112" t="s">
        <v>2098</v>
      </c>
      <c r="C112" t="s">
        <v>15876</v>
      </c>
      <c r="D112" s="24">
        <v>43718</v>
      </c>
      <c r="E112" s="24" t="s">
        <v>13555</v>
      </c>
      <c r="F112" s="24" t="s">
        <v>15877</v>
      </c>
      <c r="G112" s="24" t="s">
        <v>13808</v>
      </c>
      <c r="H112" s="24"/>
      <c r="I112" s="24" t="s">
        <v>13809</v>
      </c>
      <c r="J112" s="24"/>
      <c r="K112" s="24" t="s">
        <v>13808</v>
      </c>
      <c r="L112" s="24"/>
      <c r="M112" s="24" t="s">
        <v>13874</v>
      </c>
      <c r="N112" s="24" t="s">
        <v>13808</v>
      </c>
      <c r="O112" s="24"/>
      <c r="P112" s="24" t="s">
        <v>13808</v>
      </c>
      <c r="Q112" s="24"/>
      <c r="R112" s="24" t="s">
        <v>13808</v>
      </c>
      <c r="S112" s="24"/>
      <c r="T112" t="s">
        <v>15878</v>
      </c>
      <c r="U112" t="s">
        <v>13809</v>
      </c>
      <c r="W112" t="s">
        <v>13808</v>
      </c>
      <c r="X112" t="s">
        <v>15879</v>
      </c>
      <c r="Y112" t="s">
        <v>13809</v>
      </c>
      <c r="AA112" t="s">
        <v>15880</v>
      </c>
      <c r="AC112" t="s">
        <v>13809</v>
      </c>
      <c r="AH112" t="s">
        <v>13909</v>
      </c>
      <c r="AI112" t="s">
        <v>13808</v>
      </c>
      <c r="AN112" t="s">
        <v>15881</v>
      </c>
      <c r="AO112" t="s">
        <v>13808</v>
      </c>
      <c r="AU112" t="s">
        <v>13809</v>
      </c>
      <c r="AZ112" t="s">
        <v>15882</v>
      </c>
      <c r="BA112" t="s">
        <v>13808</v>
      </c>
      <c r="BF112" t="s">
        <v>15883</v>
      </c>
      <c r="BG112" t="s">
        <v>13808</v>
      </c>
      <c r="BL112" t="s">
        <v>15884</v>
      </c>
      <c r="BM112" t="s">
        <v>13818</v>
      </c>
      <c r="BR112" t="s">
        <v>15885</v>
      </c>
      <c r="BS112" t="s">
        <v>13887</v>
      </c>
      <c r="BT112" t="s">
        <v>13808</v>
      </c>
      <c r="BU112" t="s">
        <v>15886</v>
      </c>
      <c r="BY112" t="s">
        <v>13887</v>
      </c>
      <c r="BZ112" t="s">
        <v>13808</v>
      </c>
      <c r="CA112" t="s">
        <v>13888</v>
      </c>
      <c r="CE112" t="s">
        <v>13887</v>
      </c>
      <c r="CF112" t="s">
        <v>13808</v>
      </c>
      <c r="CL112" t="s">
        <v>13809</v>
      </c>
      <c r="CR112" t="s">
        <v>13809</v>
      </c>
      <c r="CT112" t="s">
        <v>14027</v>
      </c>
      <c r="CU112" t="s">
        <v>15887</v>
      </c>
      <c r="CV112" t="s">
        <v>13808</v>
      </c>
      <c r="CX112" t="s">
        <v>15888</v>
      </c>
      <c r="CY112" t="s">
        <v>13818</v>
      </c>
      <c r="CZ112" t="s">
        <v>15889</v>
      </c>
      <c r="DA112" t="s">
        <v>15890</v>
      </c>
      <c r="DB112" t="s">
        <v>13808</v>
      </c>
      <c r="DD112" t="s">
        <v>15891</v>
      </c>
      <c r="DE112" t="s">
        <v>13818</v>
      </c>
      <c r="DF112" t="s">
        <v>15889</v>
      </c>
      <c r="DG112" t="s">
        <v>15892</v>
      </c>
      <c r="DH112" t="s">
        <v>13818</v>
      </c>
      <c r="DI112" t="s">
        <v>15889</v>
      </c>
      <c r="DM112" t="s">
        <v>15893</v>
      </c>
      <c r="DN112" t="s">
        <v>13808</v>
      </c>
      <c r="DO112" t="s">
        <v>15894</v>
      </c>
      <c r="DY112" t="s">
        <v>13900</v>
      </c>
      <c r="DZ112" t="s">
        <v>14696</v>
      </c>
      <c r="EA112" t="s">
        <v>14049</v>
      </c>
      <c r="ED112" t="s">
        <v>14501</v>
      </c>
      <c r="EE112" t="s">
        <v>6799</v>
      </c>
    </row>
    <row r="113" spans="1:135">
      <c r="A113" t="s">
        <v>1644</v>
      </c>
      <c r="B113" t="s">
        <v>1589</v>
      </c>
      <c r="C113" t="s">
        <v>15895</v>
      </c>
      <c r="D113" s="24">
        <v>43601</v>
      </c>
      <c r="E113" s="24" t="s">
        <v>13555</v>
      </c>
      <c r="F113" s="24" t="s">
        <v>15896</v>
      </c>
      <c r="G113" s="24" t="s">
        <v>13808</v>
      </c>
      <c r="H113" s="24"/>
      <c r="I113" s="24" t="s">
        <v>13809</v>
      </c>
      <c r="J113" s="24"/>
      <c r="K113" s="24" t="s">
        <v>13808</v>
      </c>
      <c r="L113" s="24"/>
      <c r="M113" s="24" t="s">
        <v>15021</v>
      </c>
      <c r="N113" s="24" t="s">
        <v>13808</v>
      </c>
      <c r="O113" s="24"/>
      <c r="P113" s="24" t="s">
        <v>13808</v>
      </c>
      <c r="Q113" s="24"/>
      <c r="R113" s="24" t="s">
        <v>13808</v>
      </c>
      <c r="S113" s="24"/>
      <c r="T113" t="s">
        <v>14016</v>
      </c>
      <c r="U113" t="s">
        <v>13809</v>
      </c>
      <c r="W113" t="s">
        <v>13808</v>
      </c>
      <c r="X113" t="s">
        <v>15897</v>
      </c>
      <c r="Y113" t="s">
        <v>13808</v>
      </c>
      <c r="AA113" t="s">
        <v>13877</v>
      </c>
      <c r="AC113" t="s">
        <v>13809</v>
      </c>
      <c r="AH113" t="s">
        <v>13909</v>
      </c>
      <c r="AI113" t="s">
        <v>13808</v>
      </c>
      <c r="AN113" t="s">
        <v>14816</v>
      </c>
      <c r="AO113" t="s">
        <v>13808</v>
      </c>
      <c r="AT113" t="s">
        <v>15898</v>
      </c>
      <c r="AU113" t="s">
        <v>13808</v>
      </c>
      <c r="AZ113" t="s">
        <v>15899</v>
      </c>
      <c r="BA113" t="s">
        <v>13808</v>
      </c>
      <c r="BC113" t="s">
        <v>15900</v>
      </c>
      <c r="BD113" t="s">
        <v>13808</v>
      </c>
      <c r="BF113" t="s">
        <v>14170</v>
      </c>
      <c r="BG113" t="s">
        <v>13808</v>
      </c>
      <c r="BM113" t="s">
        <v>13809</v>
      </c>
      <c r="BR113" t="s">
        <v>15901</v>
      </c>
      <c r="BS113" t="s">
        <v>13887</v>
      </c>
      <c r="BT113" t="s">
        <v>13808</v>
      </c>
      <c r="BU113" t="s">
        <v>14492</v>
      </c>
      <c r="BY113" t="s">
        <v>13887</v>
      </c>
      <c r="BZ113" t="s">
        <v>13808</v>
      </c>
      <c r="CA113" t="s">
        <v>14026</v>
      </c>
      <c r="CE113" t="s">
        <v>13887</v>
      </c>
      <c r="CF113" t="s">
        <v>13808</v>
      </c>
      <c r="CG113" t="s">
        <v>14173</v>
      </c>
      <c r="CK113" t="s">
        <v>13887</v>
      </c>
      <c r="CL113" t="s">
        <v>13808</v>
      </c>
      <c r="CR113" t="s">
        <v>13809</v>
      </c>
      <c r="CT113" t="s">
        <v>15902</v>
      </c>
      <c r="CU113" t="s">
        <v>13892</v>
      </c>
      <c r="CV113" t="s">
        <v>13808</v>
      </c>
      <c r="DA113" t="s">
        <v>13882</v>
      </c>
      <c r="DB113" t="s">
        <v>13808</v>
      </c>
      <c r="DH113" t="s">
        <v>13809</v>
      </c>
      <c r="DM113" t="s">
        <v>15903</v>
      </c>
      <c r="DN113" t="s">
        <v>13808</v>
      </c>
      <c r="DP113" t="s">
        <v>15904</v>
      </c>
      <c r="DQ113" t="s">
        <v>13808</v>
      </c>
      <c r="DR113" t="s">
        <v>14947</v>
      </c>
      <c r="DY113" t="s">
        <v>13900</v>
      </c>
      <c r="DZ113" t="s">
        <v>15905</v>
      </c>
      <c r="EA113" t="s">
        <v>15906</v>
      </c>
      <c r="ED113" t="s">
        <v>13903</v>
      </c>
      <c r="EE113" t="s">
        <v>6155</v>
      </c>
    </row>
    <row r="114" spans="1:135">
      <c r="A114" t="s">
        <v>1282</v>
      </c>
      <c r="B114" t="s">
        <v>1246</v>
      </c>
      <c r="C114" t="s">
        <v>15907</v>
      </c>
      <c r="D114" s="24">
        <v>44510</v>
      </c>
      <c r="E114" s="24" t="s">
        <v>13560</v>
      </c>
      <c r="F114" s="24" t="s">
        <v>15908</v>
      </c>
      <c r="G114" s="24" t="s">
        <v>13808</v>
      </c>
      <c r="H114" s="24"/>
      <c r="I114" s="24" t="s">
        <v>13809</v>
      </c>
      <c r="J114" s="24"/>
      <c r="K114" s="24" t="s">
        <v>13809</v>
      </c>
      <c r="L114" s="24"/>
      <c r="M114" s="24" t="s">
        <v>15909</v>
      </c>
      <c r="N114" s="24" t="s">
        <v>13808</v>
      </c>
      <c r="O114" s="24"/>
      <c r="P114" s="24" t="s">
        <v>13808</v>
      </c>
      <c r="Q114" s="24"/>
      <c r="R114" s="24" t="s">
        <v>13818</v>
      </c>
      <c r="S114" s="24" t="s">
        <v>15910</v>
      </c>
      <c r="T114" t="s">
        <v>15911</v>
      </c>
      <c r="U114" t="s">
        <v>13808</v>
      </c>
      <c r="V114" t="s">
        <v>15912</v>
      </c>
      <c r="W114" t="s">
        <v>13808</v>
      </c>
      <c r="X114" t="s">
        <v>15913</v>
      </c>
      <c r="Y114" t="s">
        <v>13808</v>
      </c>
      <c r="Z114" t="s">
        <v>15914</v>
      </c>
      <c r="AA114" t="s">
        <v>15089</v>
      </c>
      <c r="AB114" t="s">
        <v>15915</v>
      </c>
      <c r="AC114" t="s">
        <v>13808</v>
      </c>
      <c r="AH114" t="s">
        <v>13851</v>
      </c>
      <c r="AI114" t="s">
        <v>13808</v>
      </c>
      <c r="AN114" t="s">
        <v>13711</v>
      </c>
      <c r="AO114" t="s">
        <v>13809</v>
      </c>
      <c r="AT114" t="s">
        <v>13717</v>
      </c>
      <c r="AU114" t="s">
        <v>13809</v>
      </c>
      <c r="AZ114" t="s">
        <v>15916</v>
      </c>
      <c r="BA114" t="s">
        <v>13808</v>
      </c>
      <c r="BC114" t="s">
        <v>15917</v>
      </c>
      <c r="BD114" t="s">
        <v>13808</v>
      </c>
      <c r="BF114" t="s">
        <v>15918</v>
      </c>
      <c r="BG114" t="s">
        <v>13808</v>
      </c>
      <c r="BL114" t="s">
        <v>15919</v>
      </c>
      <c r="BM114" t="s">
        <v>13808</v>
      </c>
      <c r="BR114" t="s">
        <v>15920</v>
      </c>
      <c r="BS114" t="s">
        <v>13824</v>
      </c>
      <c r="BT114" t="s">
        <v>13808</v>
      </c>
      <c r="BU114" t="s">
        <v>15921</v>
      </c>
      <c r="BY114" t="s">
        <v>13860</v>
      </c>
      <c r="BZ114" t="s">
        <v>13808</v>
      </c>
      <c r="CA114" t="s">
        <v>13937</v>
      </c>
      <c r="CE114" t="s">
        <v>14292</v>
      </c>
      <c r="CF114" t="s">
        <v>13808</v>
      </c>
      <c r="CG114" t="s">
        <v>13863</v>
      </c>
      <c r="CK114" t="s">
        <v>13760</v>
      </c>
      <c r="CL114" t="s">
        <v>13809</v>
      </c>
      <c r="CQ114" t="s">
        <v>13766</v>
      </c>
      <c r="CR114" t="s">
        <v>13809</v>
      </c>
      <c r="CT114" t="s">
        <v>15922</v>
      </c>
      <c r="CU114" t="s">
        <v>15923</v>
      </c>
      <c r="CV114" t="s">
        <v>13818</v>
      </c>
      <c r="DA114" t="s">
        <v>15924</v>
      </c>
      <c r="DB114" t="s">
        <v>13808</v>
      </c>
      <c r="DD114" t="s">
        <v>15925</v>
      </c>
      <c r="DE114" t="s">
        <v>13818</v>
      </c>
      <c r="DG114" t="s">
        <v>15926</v>
      </c>
      <c r="DH114" t="s">
        <v>13818</v>
      </c>
      <c r="DM114" t="s">
        <v>15927</v>
      </c>
      <c r="DN114" t="s">
        <v>13808</v>
      </c>
      <c r="DP114" t="s">
        <v>15928</v>
      </c>
      <c r="DQ114" t="s">
        <v>13818</v>
      </c>
      <c r="DY114" t="s">
        <v>15364</v>
      </c>
      <c r="DZ114" t="s">
        <v>13841</v>
      </c>
      <c r="EA114" t="s">
        <v>14666</v>
      </c>
      <c r="EC114">
        <v>45121</v>
      </c>
      <c r="ED114" t="s">
        <v>14667</v>
      </c>
      <c r="EE114" t="s">
        <v>5731</v>
      </c>
    </row>
    <row r="115" spans="1:135">
      <c r="A115" t="s">
        <v>1971</v>
      </c>
      <c r="B115" t="s">
        <v>1920</v>
      </c>
      <c r="C115" t="s">
        <v>15929</v>
      </c>
      <c r="D115" s="24">
        <v>43488</v>
      </c>
      <c r="E115" s="24" t="s">
        <v>13558</v>
      </c>
      <c r="F115" s="24" t="s">
        <v>15930</v>
      </c>
      <c r="G115" s="24" t="s">
        <v>13808</v>
      </c>
      <c r="H115" s="24"/>
      <c r="I115" s="24" t="s">
        <v>13809</v>
      </c>
      <c r="J115" s="24"/>
      <c r="K115" s="24" t="s">
        <v>13808</v>
      </c>
      <c r="L115" s="24"/>
      <c r="M115" s="24" t="s">
        <v>15931</v>
      </c>
      <c r="N115" s="24" t="s">
        <v>13808</v>
      </c>
      <c r="O115" s="24"/>
      <c r="P115" s="24" t="s">
        <v>13808</v>
      </c>
      <c r="Q115" s="24"/>
      <c r="R115" s="24" t="s">
        <v>13818</v>
      </c>
      <c r="S115" s="24"/>
      <c r="T115" t="s">
        <v>15932</v>
      </c>
      <c r="U115" t="s">
        <v>13809</v>
      </c>
      <c r="W115" t="s">
        <v>13809</v>
      </c>
      <c r="Y115" t="s">
        <v>13809</v>
      </c>
      <c r="AA115" t="s">
        <v>15933</v>
      </c>
      <c r="AB115" t="s">
        <v>14704</v>
      </c>
      <c r="AC115" t="s">
        <v>13818</v>
      </c>
      <c r="AH115" t="s">
        <v>13887</v>
      </c>
      <c r="AI115" t="s">
        <v>13808</v>
      </c>
      <c r="AK115" t="s">
        <v>15934</v>
      </c>
      <c r="AL115" t="s">
        <v>13818</v>
      </c>
      <c r="AM115" t="s">
        <v>14309</v>
      </c>
      <c r="AN115" t="s">
        <v>15935</v>
      </c>
      <c r="AO115" t="s">
        <v>13818</v>
      </c>
      <c r="AP115" t="s">
        <v>14309</v>
      </c>
      <c r="AT115" t="s">
        <v>15936</v>
      </c>
      <c r="AU115" t="s">
        <v>13818</v>
      </c>
      <c r="AZ115" t="s">
        <v>15937</v>
      </c>
      <c r="BA115" t="s">
        <v>13808</v>
      </c>
      <c r="BC115" t="s">
        <v>15938</v>
      </c>
      <c r="BD115" t="s">
        <v>13818</v>
      </c>
      <c r="BE115" t="s">
        <v>14309</v>
      </c>
      <c r="BF115" t="s">
        <v>14369</v>
      </c>
      <c r="BG115" t="s">
        <v>13808</v>
      </c>
      <c r="BL115" t="s">
        <v>14544</v>
      </c>
      <c r="BM115" t="s">
        <v>13818</v>
      </c>
      <c r="BN115" t="s">
        <v>14309</v>
      </c>
      <c r="BR115" t="s">
        <v>15939</v>
      </c>
      <c r="BS115" t="s">
        <v>13887</v>
      </c>
      <c r="BT115" t="s">
        <v>13818</v>
      </c>
      <c r="BU115" t="s">
        <v>15940</v>
      </c>
      <c r="BY115" t="s">
        <v>14265</v>
      </c>
      <c r="BZ115" t="s">
        <v>13818</v>
      </c>
      <c r="CA115" t="s">
        <v>15941</v>
      </c>
      <c r="CE115" t="s">
        <v>13887</v>
      </c>
      <c r="CF115" t="s">
        <v>13818</v>
      </c>
      <c r="CG115" t="s">
        <v>14309</v>
      </c>
      <c r="CL115" t="s">
        <v>13809</v>
      </c>
      <c r="CR115" t="s">
        <v>13809</v>
      </c>
      <c r="CT115" t="s">
        <v>15942</v>
      </c>
      <c r="CU115" t="s">
        <v>13909</v>
      </c>
      <c r="CV115" t="s">
        <v>13818</v>
      </c>
      <c r="DA115" t="s">
        <v>13909</v>
      </c>
      <c r="DB115" t="s">
        <v>13818</v>
      </c>
      <c r="DG115" t="s">
        <v>13909</v>
      </c>
      <c r="DH115" t="s">
        <v>13818</v>
      </c>
      <c r="DZ115" t="s">
        <v>15943</v>
      </c>
      <c r="EA115" t="s">
        <v>15944</v>
      </c>
      <c r="EC115">
        <v>43480</v>
      </c>
      <c r="ED115" t="s">
        <v>13903</v>
      </c>
      <c r="EE115" t="s">
        <v>6567</v>
      </c>
    </row>
    <row r="116" spans="1:135">
      <c r="A116" t="s">
        <v>1085</v>
      </c>
      <c r="B116" t="s">
        <v>1043</v>
      </c>
      <c r="C116" t="s">
        <v>15945</v>
      </c>
      <c r="D116" s="24">
        <v>44673</v>
      </c>
      <c r="E116" s="24" t="s">
        <v>13558</v>
      </c>
      <c r="F116" s="24" t="s">
        <v>15946</v>
      </c>
      <c r="G116" s="24" t="s">
        <v>13808</v>
      </c>
      <c r="H116" s="24"/>
      <c r="I116" s="24" t="s">
        <v>13809</v>
      </c>
      <c r="J116" s="24"/>
      <c r="K116" s="24" t="s">
        <v>13808</v>
      </c>
      <c r="L116" s="24" t="s">
        <v>15947</v>
      </c>
      <c r="M116" s="24" t="s">
        <v>15948</v>
      </c>
      <c r="N116" s="24" t="s">
        <v>13818</v>
      </c>
      <c r="O116" s="24"/>
      <c r="P116" s="24" t="s">
        <v>13808</v>
      </c>
      <c r="Q116" s="24"/>
      <c r="R116" s="24" t="s">
        <v>13808</v>
      </c>
      <c r="S116" s="24"/>
      <c r="T116" t="s">
        <v>15949</v>
      </c>
      <c r="U116" t="s">
        <v>13809</v>
      </c>
      <c r="W116" t="s">
        <v>13809</v>
      </c>
      <c r="Y116" t="s">
        <v>13808</v>
      </c>
      <c r="Z116" t="s">
        <v>15950</v>
      </c>
      <c r="AA116" t="s">
        <v>15951</v>
      </c>
      <c r="AB116" t="s">
        <v>15952</v>
      </c>
      <c r="AC116" t="s">
        <v>13818</v>
      </c>
      <c r="AD116" t="s">
        <v>13819</v>
      </c>
      <c r="AH116" t="s">
        <v>15953</v>
      </c>
      <c r="AI116" t="s">
        <v>13808</v>
      </c>
      <c r="AK116" t="s">
        <v>14310</v>
      </c>
      <c r="AL116" t="s">
        <v>13818</v>
      </c>
      <c r="AM116" t="s">
        <v>13819</v>
      </c>
      <c r="AN116" t="s">
        <v>13711</v>
      </c>
      <c r="AO116" t="s">
        <v>13809</v>
      </c>
      <c r="AT116" t="s">
        <v>15954</v>
      </c>
      <c r="AU116" t="s">
        <v>13818</v>
      </c>
      <c r="AV116" t="s">
        <v>13819</v>
      </c>
      <c r="AZ116" t="s">
        <v>15955</v>
      </c>
      <c r="BA116" t="s">
        <v>13808</v>
      </c>
      <c r="BF116" t="s">
        <v>15956</v>
      </c>
      <c r="BG116" t="s">
        <v>13808</v>
      </c>
      <c r="BL116" t="s">
        <v>15957</v>
      </c>
      <c r="BM116" t="s">
        <v>13818</v>
      </c>
      <c r="BN116" t="s">
        <v>13819</v>
      </c>
      <c r="BR116" t="s">
        <v>15958</v>
      </c>
      <c r="BS116" t="s">
        <v>13824</v>
      </c>
      <c r="BT116" t="s">
        <v>13808</v>
      </c>
      <c r="BU116" t="s">
        <v>15959</v>
      </c>
      <c r="BY116" t="s">
        <v>13826</v>
      </c>
      <c r="BZ116" t="s">
        <v>13808</v>
      </c>
      <c r="CA116" t="s">
        <v>15960</v>
      </c>
      <c r="CE116" t="s">
        <v>13828</v>
      </c>
      <c r="CF116" t="s">
        <v>13808</v>
      </c>
      <c r="CK116" t="s">
        <v>13760</v>
      </c>
      <c r="CL116" t="s">
        <v>13809</v>
      </c>
      <c r="CQ116" t="s">
        <v>13766</v>
      </c>
      <c r="CR116" t="s">
        <v>13809</v>
      </c>
      <c r="CT116" t="s">
        <v>14781</v>
      </c>
      <c r="CU116" t="s">
        <v>15157</v>
      </c>
      <c r="CV116" t="s">
        <v>13818</v>
      </c>
      <c r="DA116" t="s">
        <v>15158</v>
      </c>
      <c r="DB116" t="s">
        <v>13818</v>
      </c>
      <c r="DG116" t="s">
        <v>15159</v>
      </c>
      <c r="DH116" t="s">
        <v>13818</v>
      </c>
      <c r="DM116" t="s">
        <v>15961</v>
      </c>
      <c r="DN116" t="s">
        <v>13818</v>
      </c>
      <c r="DO116" t="s">
        <v>15962</v>
      </c>
      <c r="DP116" t="s">
        <v>15963</v>
      </c>
      <c r="DQ116" t="s">
        <v>13818</v>
      </c>
      <c r="DR116" t="s">
        <v>15964</v>
      </c>
      <c r="DY116" t="s">
        <v>15965</v>
      </c>
      <c r="DZ116" t="s">
        <v>13841</v>
      </c>
      <c r="EA116" t="s">
        <v>14091</v>
      </c>
      <c r="EC116">
        <v>44676</v>
      </c>
      <c r="ED116" t="s">
        <v>13843</v>
      </c>
      <c r="EE116" t="s">
        <v>5486</v>
      </c>
    </row>
    <row r="117" spans="1:135">
      <c r="A117" t="s">
        <v>2067</v>
      </c>
      <c r="B117" t="s">
        <v>2026</v>
      </c>
      <c r="C117" t="s">
        <v>15966</v>
      </c>
      <c r="D117" s="24">
        <v>43032</v>
      </c>
      <c r="E117" s="24" t="s">
        <v>13564</v>
      </c>
      <c r="F117" s="24" t="s">
        <v>15967</v>
      </c>
      <c r="G117" s="24" t="s">
        <v>13808</v>
      </c>
      <c r="H117" s="24"/>
      <c r="I117" s="24" t="s">
        <v>13809</v>
      </c>
      <c r="J117" s="24"/>
      <c r="K117" s="24" t="s">
        <v>13808</v>
      </c>
      <c r="L117" s="24" t="s">
        <v>15968</v>
      </c>
      <c r="M117" s="24" t="s">
        <v>14304</v>
      </c>
      <c r="N117" s="24" t="s">
        <v>13808</v>
      </c>
      <c r="O117" s="24"/>
      <c r="P117" s="24" t="s">
        <v>13808</v>
      </c>
      <c r="Q117" s="24"/>
      <c r="R117" s="24" t="s">
        <v>13808</v>
      </c>
      <c r="S117" s="24"/>
      <c r="T117" t="s">
        <v>15969</v>
      </c>
      <c r="U117" t="s">
        <v>13809</v>
      </c>
      <c r="W117" t="s">
        <v>13808</v>
      </c>
      <c r="X117" t="s">
        <v>15970</v>
      </c>
      <c r="Y117" t="s">
        <v>13808</v>
      </c>
      <c r="AA117" t="s">
        <v>15971</v>
      </c>
      <c r="AC117" t="s">
        <v>13809</v>
      </c>
      <c r="AH117" t="s">
        <v>13909</v>
      </c>
      <c r="AI117" t="s">
        <v>13808</v>
      </c>
      <c r="AN117" t="s">
        <v>15972</v>
      </c>
      <c r="AO117" t="s">
        <v>13808</v>
      </c>
      <c r="AT117" t="s">
        <v>14058</v>
      </c>
      <c r="AU117" t="s">
        <v>13808</v>
      </c>
      <c r="AZ117" t="s">
        <v>15973</v>
      </c>
      <c r="BA117" t="s">
        <v>13808</v>
      </c>
      <c r="BF117" t="s">
        <v>14170</v>
      </c>
      <c r="BG117" t="s">
        <v>13808</v>
      </c>
      <c r="BM117" t="s">
        <v>13809</v>
      </c>
      <c r="BR117" t="s">
        <v>15974</v>
      </c>
      <c r="BS117" t="s">
        <v>13887</v>
      </c>
      <c r="BT117" t="s">
        <v>13808</v>
      </c>
      <c r="BU117" t="s">
        <v>14515</v>
      </c>
      <c r="BY117" t="s">
        <v>13887</v>
      </c>
      <c r="BZ117" t="s">
        <v>13808</v>
      </c>
      <c r="CA117" t="s">
        <v>15975</v>
      </c>
      <c r="CE117" t="s">
        <v>13887</v>
      </c>
      <c r="CF117" t="s">
        <v>13808</v>
      </c>
      <c r="CL117" t="s">
        <v>13809</v>
      </c>
      <c r="CR117" t="s">
        <v>13809</v>
      </c>
      <c r="CT117" t="s">
        <v>15976</v>
      </c>
      <c r="CU117" t="s">
        <v>14197</v>
      </c>
      <c r="CV117" t="s">
        <v>13808</v>
      </c>
      <c r="CX117" t="s">
        <v>15280</v>
      </c>
      <c r="CY117" t="s">
        <v>13818</v>
      </c>
      <c r="DA117" t="s">
        <v>14197</v>
      </c>
      <c r="DB117" t="s">
        <v>13808</v>
      </c>
      <c r="DD117" t="s">
        <v>15280</v>
      </c>
      <c r="DE117" t="s">
        <v>13818</v>
      </c>
      <c r="DG117" t="s">
        <v>13887</v>
      </c>
      <c r="DH117" t="s">
        <v>13808</v>
      </c>
      <c r="DY117" t="s">
        <v>14606</v>
      </c>
      <c r="DZ117" t="s">
        <v>15977</v>
      </c>
      <c r="EA117" t="s">
        <v>14275</v>
      </c>
      <c r="EC117">
        <v>44119</v>
      </c>
      <c r="ED117" t="s">
        <v>13903</v>
      </c>
      <c r="EE117" t="s">
        <v>6702</v>
      </c>
    </row>
    <row r="118" spans="1:135">
      <c r="A118" t="s">
        <v>1494</v>
      </c>
      <c r="B118" t="s">
        <v>1442</v>
      </c>
      <c r="C118" t="s">
        <v>15978</v>
      </c>
      <c r="D118" s="24">
        <v>44636</v>
      </c>
      <c r="E118" s="24" t="s">
        <v>13557</v>
      </c>
      <c r="F118" s="24" t="s">
        <v>15979</v>
      </c>
      <c r="G118" s="24" t="s">
        <v>13808</v>
      </c>
      <c r="H118" s="24"/>
      <c r="I118" s="24" t="s">
        <v>13809</v>
      </c>
      <c r="J118" s="24"/>
      <c r="K118" s="24" t="s">
        <v>13809</v>
      </c>
      <c r="L118" s="24"/>
      <c r="M118" s="24" t="s">
        <v>13846</v>
      </c>
      <c r="N118" s="24" t="s">
        <v>13808</v>
      </c>
      <c r="O118" s="24"/>
      <c r="P118" s="24" t="s">
        <v>13808</v>
      </c>
      <c r="Q118" s="24"/>
      <c r="R118" s="24" t="s">
        <v>13808</v>
      </c>
      <c r="S118" s="24"/>
      <c r="T118" t="s">
        <v>13907</v>
      </c>
      <c r="U118" t="s">
        <v>13809</v>
      </c>
      <c r="W118" t="s">
        <v>13808</v>
      </c>
      <c r="X118" t="s">
        <v>15980</v>
      </c>
      <c r="Y118" t="s">
        <v>13809</v>
      </c>
      <c r="AA118" t="s">
        <v>13928</v>
      </c>
      <c r="AB118" t="s">
        <v>15981</v>
      </c>
      <c r="AC118" t="s">
        <v>13808</v>
      </c>
      <c r="AH118" t="s">
        <v>13851</v>
      </c>
      <c r="AI118" t="s">
        <v>13808</v>
      </c>
      <c r="AN118" t="s">
        <v>15982</v>
      </c>
      <c r="AO118" t="s">
        <v>13808</v>
      </c>
      <c r="AT118" t="s">
        <v>15983</v>
      </c>
      <c r="AU118" t="s">
        <v>13808</v>
      </c>
      <c r="AZ118" t="s">
        <v>15984</v>
      </c>
      <c r="BA118" t="s">
        <v>13808</v>
      </c>
      <c r="BF118" t="s">
        <v>15985</v>
      </c>
      <c r="BG118" t="s">
        <v>13808</v>
      </c>
      <c r="BL118" t="s">
        <v>15986</v>
      </c>
      <c r="BM118" t="s">
        <v>13808</v>
      </c>
      <c r="BR118" t="s">
        <v>15987</v>
      </c>
      <c r="BS118" t="s">
        <v>13824</v>
      </c>
      <c r="BT118" t="s">
        <v>13808</v>
      </c>
      <c r="BU118" t="s">
        <v>15988</v>
      </c>
      <c r="BY118" t="s">
        <v>14148</v>
      </c>
      <c r="BZ118" t="s">
        <v>13808</v>
      </c>
      <c r="CA118" t="s">
        <v>13861</v>
      </c>
      <c r="CE118" t="s">
        <v>13828</v>
      </c>
      <c r="CF118" t="s">
        <v>13808</v>
      </c>
      <c r="CG118" t="s">
        <v>13863</v>
      </c>
      <c r="CK118" t="s">
        <v>13760</v>
      </c>
      <c r="CL118" t="s">
        <v>13809</v>
      </c>
      <c r="CQ118" t="s">
        <v>13766</v>
      </c>
      <c r="CR118" t="s">
        <v>13809</v>
      </c>
      <c r="CT118" t="s">
        <v>15989</v>
      </c>
      <c r="CU118" t="s">
        <v>15990</v>
      </c>
      <c r="CV118" t="s">
        <v>13808</v>
      </c>
      <c r="CX118" t="s">
        <v>15991</v>
      </c>
      <c r="CY118" t="s">
        <v>13818</v>
      </c>
      <c r="DA118" t="s">
        <v>15992</v>
      </c>
      <c r="DB118" t="s">
        <v>13808</v>
      </c>
      <c r="DD118" t="s">
        <v>15991</v>
      </c>
      <c r="DE118" t="s">
        <v>13818</v>
      </c>
      <c r="DG118" t="s">
        <v>15993</v>
      </c>
      <c r="DH118" t="s">
        <v>13808</v>
      </c>
      <c r="DJ118" t="s">
        <v>15994</v>
      </c>
      <c r="DK118" t="s">
        <v>13818</v>
      </c>
      <c r="DM118" t="s">
        <v>15995</v>
      </c>
      <c r="DN118" t="s">
        <v>13818</v>
      </c>
      <c r="DO118" t="s">
        <v>15996</v>
      </c>
      <c r="DY118" t="s">
        <v>13840</v>
      </c>
      <c r="DZ118" t="s">
        <v>15997</v>
      </c>
      <c r="EA118" t="s">
        <v>15998</v>
      </c>
      <c r="EC118">
        <v>44636</v>
      </c>
      <c r="ED118" t="s">
        <v>13843</v>
      </c>
      <c r="EE118" t="s">
        <v>5976</v>
      </c>
    </row>
    <row r="119" spans="1:135">
      <c r="A119" t="s">
        <v>1727</v>
      </c>
      <c r="B119" t="s">
        <v>1683</v>
      </c>
      <c r="C119" t="s">
        <v>15999</v>
      </c>
      <c r="D119" s="24">
        <v>44680</v>
      </c>
      <c r="E119" s="24" t="s">
        <v>13565</v>
      </c>
      <c r="F119" s="24" t="s">
        <v>16000</v>
      </c>
      <c r="G119" s="24" t="s">
        <v>13808</v>
      </c>
      <c r="H119" s="24" t="s">
        <v>16001</v>
      </c>
      <c r="I119" s="24" t="s">
        <v>13809</v>
      </c>
      <c r="J119" s="24"/>
      <c r="K119" s="24" t="s">
        <v>13808</v>
      </c>
      <c r="L119" s="24" t="s">
        <v>16002</v>
      </c>
      <c r="M119" s="24" t="s">
        <v>14304</v>
      </c>
      <c r="N119" s="24" t="s">
        <v>13808</v>
      </c>
      <c r="O119" s="24"/>
      <c r="P119" s="24" t="s">
        <v>13808</v>
      </c>
      <c r="Q119" s="24"/>
      <c r="R119" s="24" t="s">
        <v>13808</v>
      </c>
      <c r="S119" s="24"/>
      <c r="T119" t="s">
        <v>16003</v>
      </c>
      <c r="U119" t="s">
        <v>13809</v>
      </c>
      <c r="W119" t="s">
        <v>13808</v>
      </c>
      <c r="X119" t="s">
        <v>16004</v>
      </c>
      <c r="Y119" t="s">
        <v>13809</v>
      </c>
      <c r="AA119" t="s">
        <v>15089</v>
      </c>
      <c r="AB119" t="s">
        <v>13699</v>
      </c>
      <c r="AC119" t="s">
        <v>13809</v>
      </c>
      <c r="AH119" t="s">
        <v>13851</v>
      </c>
      <c r="AI119" t="s">
        <v>13808</v>
      </c>
      <c r="AN119" t="s">
        <v>13711</v>
      </c>
      <c r="AO119" t="s">
        <v>13809</v>
      </c>
      <c r="AT119" t="s">
        <v>15091</v>
      </c>
      <c r="AU119" t="s">
        <v>13808</v>
      </c>
      <c r="AZ119" t="s">
        <v>16005</v>
      </c>
      <c r="BA119" t="s">
        <v>13808</v>
      </c>
      <c r="BF119" t="s">
        <v>15717</v>
      </c>
      <c r="BG119" t="s">
        <v>13808</v>
      </c>
      <c r="BL119" t="s">
        <v>13735</v>
      </c>
      <c r="BM119" t="s">
        <v>13809</v>
      </c>
      <c r="BR119" t="s">
        <v>16006</v>
      </c>
      <c r="BS119" t="s">
        <v>13742</v>
      </c>
      <c r="BT119" t="s">
        <v>13809</v>
      </c>
      <c r="BY119" t="s">
        <v>13748</v>
      </c>
      <c r="BZ119" t="s">
        <v>13809</v>
      </c>
      <c r="CE119" t="s">
        <v>13754</v>
      </c>
      <c r="CF119" t="s">
        <v>13809</v>
      </c>
      <c r="CK119" t="s">
        <v>14581</v>
      </c>
      <c r="CL119" t="s">
        <v>13809</v>
      </c>
      <c r="CM119" t="s">
        <v>16007</v>
      </c>
      <c r="CQ119" t="s">
        <v>13766</v>
      </c>
      <c r="CR119" t="s">
        <v>13809</v>
      </c>
      <c r="CT119" t="s">
        <v>16008</v>
      </c>
      <c r="CU119" t="s">
        <v>16009</v>
      </c>
      <c r="CV119" t="s">
        <v>13808</v>
      </c>
      <c r="DA119" t="s">
        <v>16010</v>
      </c>
      <c r="DB119" t="s">
        <v>13808</v>
      </c>
      <c r="DM119" t="s">
        <v>16011</v>
      </c>
      <c r="DN119" t="s">
        <v>13808</v>
      </c>
      <c r="DP119" t="s">
        <v>16012</v>
      </c>
      <c r="DQ119" t="s">
        <v>13818</v>
      </c>
      <c r="DY119" t="s">
        <v>13840</v>
      </c>
      <c r="DZ119" t="s">
        <v>13841</v>
      </c>
      <c r="EA119" t="s">
        <v>14118</v>
      </c>
      <c r="EC119">
        <v>44686</v>
      </c>
      <c r="ED119" t="s">
        <v>13843</v>
      </c>
      <c r="EE119" t="s">
        <v>6255</v>
      </c>
    </row>
    <row r="120" spans="1:135">
      <c r="A120" t="s">
        <v>2183</v>
      </c>
      <c r="B120" t="s">
        <v>2174</v>
      </c>
      <c r="C120" t="s">
        <v>16013</v>
      </c>
      <c r="D120" s="24">
        <v>43066</v>
      </c>
      <c r="E120" s="24" t="s">
        <v>13559</v>
      </c>
      <c r="F120" s="24" t="s">
        <v>16014</v>
      </c>
      <c r="G120" s="24" t="s">
        <v>13808</v>
      </c>
      <c r="H120" s="24"/>
      <c r="I120" s="24" t="s">
        <v>13809</v>
      </c>
      <c r="J120" s="24"/>
      <c r="K120" s="24" t="s">
        <v>13808</v>
      </c>
      <c r="L120" s="24"/>
      <c r="M120" s="24" t="s">
        <v>14304</v>
      </c>
      <c r="N120" s="24" t="s">
        <v>13808</v>
      </c>
      <c r="O120" s="24"/>
      <c r="P120" s="24" t="s">
        <v>13808</v>
      </c>
      <c r="Q120" s="24"/>
      <c r="R120" s="24" t="s">
        <v>13808</v>
      </c>
      <c r="S120" s="24"/>
      <c r="T120" t="s">
        <v>14830</v>
      </c>
      <c r="U120" t="s">
        <v>13809</v>
      </c>
      <c r="W120" t="s">
        <v>13808</v>
      </c>
      <c r="X120" t="s">
        <v>16015</v>
      </c>
      <c r="Y120" t="s">
        <v>13808</v>
      </c>
      <c r="Z120" t="s">
        <v>16016</v>
      </c>
      <c r="AA120" t="s">
        <v>16017</v>
      </c>
      <c r="AB120" t="s">
        <v>13883</v>
      </c>
      <c r="AC120" t="s">
        <v>13808</v>
      </c>
      <c r="AH120" t="s">
        <v>13909</v>
      </c>
      <c r="AI120" t="s">
        <v>13808</v>
      </c>
      <c r="AN120" t="s">
        <v>16018</v>
      </c>
      <c r="AO120" t="s">
        <v>13808</v>
      </c>
      <c r="AT120" t="s">
        <v>16019</v>
      </c>
      <c r="AU120" t="s">
        <v>13808</v>
      </c>
      <c r="AZ120" t="s">
        <v>16020</v>
      </c>
      <c r="BA120" t="s">
        <v>13808</v>
      </c>
      <c r="BF120" t="s">
        <v>13892</v>
      </c>
      <c r="BG120" t="s">
        <v>13808</v>
      </c>
      <c r="BL120" t="s">
        <v>16021</v>
      </c>
      <c r="BM120" t="s">
        <v>13808</v>
      </c>
      <c r="BR120" t="s">
        <v>16022</v>
      </c>
      <c r="BS120" t="s">
        <v>13887</v>
      </c>
      <c r="BT120" t="s">
        <v>13808</v>
      </c>
      <c r="BU120" t="s">
        <v>16023</v>
      </c>
      <c r="BY120" t="s">
        <v>13887</v>
      </c>
      <c r="BZ120" t="s">
        <v>13808</v>
      </c>
      <c r="CA120" t="s">
        <v>13937</v>
      </c>
      <c r="CE120" t="s">
        <v>13887</v>
      </c>
      <c r="CF120" t="s">
        <v>13808</v>
      </c>
      <c r="CL120" t="s">
        <v>13809</v>
      </c>
      <c r="CR120" t="s">
        <v>13809</v>
      </c>
      <c r="CT120" t="s">
        <v>14561</v>
      </c>
      <c r="CU120" t="s">
        <v>13887</v>
      </c>
      <c r="CV120" t="s">
        <v>13808</v>
      </c>
      <c r="CX120" t="s">
        <v>14004</v>
      </c>
      <c r="CY120" t="s">
        <v>13818</v>
      </c>
      <c r="DA120" t="s">
        <v>16024</v>
      </c>
      <c r="DB120" t="s">
        <v>13808</v>
      </c>
      <c r="DD120" t="s">
        <v>14004</v>
      </c>
      <c r="DE120" t="s">
        <v>13818</v>
      </c>
      <c r="DG120" t="s">
        <v>13909</v>
      </c>
      <c r="DH120" t="s">
        <v>13818</v>
      </c>
      <c r="DY120" t="s">
        <v>14606</v>
      </c>
      <c r="DZ120" t="s">
        <v>16025</v>
      </c>
      <c r="EA120" t="s">
        <v>14275</v>
      </c>
      <c r="EC120">
        <v>44119</v>
      </c>
      <c r="ED120" t="s">
        <v>13903</v>
      </c>
      <c r="EE120" t="s">
        <v>6851</v>
      </c>
    </row>
    <row r="121" spans="1:135">
      <c r="A121" t="s">
        <v>1287</v>
      </c>
      <c r="B121" t="s">
        <v>1246</v>
      </c>
      <c r="C121" t="s">
        <v>16026</v>
      </c>
      <c r="D121" s="24">
        <v>44652</v>
      </c>
      <c r="E121" s="24" t="s">
        <v>13559</v>
      </c>
      <c r="F121" s="24" t="s">
        <v>16027</v>
      </c>
      <c r="G121" s="24"/>
      <c r="H121" s="24"/>
      <c r="I121" s="24"/>
      <c r="J121" s="24"/>
      <c r="K121" s="24"/>
      <c r="L121" s="24"/>
      <c r="M121" s="24" t="s">
        <v>16028</v>
      </c>
      <c r="N121" s="24" t="s">
        <v>13808</v>
      </c>
      <c r="O121" s="24"/>
      <c r="P121" s="24" t="s">
        <v>13808</v>
      </c>
      <c r="Q121" s="24"/>
      <c r="R121" s="24" t="s">
        <v>13808</v>
      </c>
      <c r="S121" s="24" t="s">
        <v>16029</v>
      </c>
      <c r="T121" t="s">
        <v>14071</v>
      </c>
      <c r="U121" t="s">
        <v>13809</v>
      </c>
      <c r="W121" t="s">
        <v>13809</v>
      </c>
      <c r="Y121" t="s">
        <v>13808</v>
      </c>
      <c r="AA121" t="s">
        <v>16030</v>
      </c>
      <c r="BR121" t="s">
        <v>16031</v>
      </c>
      <c r="BS121" t="s">
        <v>13824</v>
      </c>
      <c r="BT121" t="s">
        <v>13808</v>
      </c>
      <c r="BU121" t="s">
        <v>14336</v>
      </c>
      <c r="BY121" t="s">
        <v>13826</v>
      </c>
      <c r="BZ121" t="s">
        <v>13808</v>
      </c>
      <c r="CA121" t="s">
        <v>13861</v>
      </c>
      <c r="CE121" t="s">
        <v>13828</v>
      </c>
      <c r="CF121" t="s">
        <v>13808</v>
      </c>
      <c r="CK121" t="s">
        <v>16032</v>
      </c>
      <c r="CL121" t="s">
        <v>13808</v>
      </c>
      <c r="CM121" t="s">
        <v>13863</v>
      </c>
      <c r="CQ121" t="s">
        <v>13766</v>
      </c>
      <c r="CR121" t="s">
        <v>13809</v>
      </c>
      <c r="CT121" t="s">
        <v>16033</v>
      </c>
      <c r="CU121" t="s">
        <v>16034</v>
      </c>
      <c r="CV121" t="s">
        <v>13818</v>
      </c>
      <c r="DA121" t="s">
        <v>16035</v>
      </c>
      <c r="DB121" t="s">
        <v>13818</v>
      </c>
      <c r="DG121" t="s">
        <v>16036</v>
      </c>
      <c r="DH121" t="s">
        <v>13818</v>
      </c>
      <c r="DJ121" t="s">
        <v>16037</v>
      </c>
      <c r="DK121" t="s">
        <v>13818</v>
      </c>
      <c r="DM121" t="s">
        <v>16038</v>
      </c>
      <c r="DN121" t="s">
        <v>13818</v>
      </c>
      <c r="DO121" t="s">
        <v>16039</v>
      </c>
      <c r="DP121" t="s">
        <v>16040</v>
      </c>
      <c r="DQ121" t="s">
        <v>13808</v>
      </c>
      <c r="DY121" t="s">
        <v>13840</v>
      </c>
      <c r="DZ121" t="s">
        <v>13841</v>
      </c>
      <c r="EA121" t="s">
        <v>13842</v>
      </c>
      <c r="EC121">
        <v>44658</v>
      </c>
      <c r="ED121" t="s">
        <v>13843</v>
      </c>
      <c r="EE121" t="s">
        <v>5735</v>
      </c>
    </row>
    <row r="122" spans="1:135">
      <c r="A122" t="s">
        <v>2153</v>
      </c>
      <c r="B122" t="s">
        <v>2098</v>
      </c>
      <c r="C122" t="s">
        <v>16041</v>
      </c>
      <c r="D122" s="24">
        <v>43320</v>
      </c>
      <c r="E122" s="24" t="s">
        <v>13558</v>
      </c>
      <c r="F122" s="24" t="s">
        <v>16042</v>
      </c>
      <c r="G122" s="24" t="s">
        <v>13808</v>
      </c>
      <c r="H122" s="24"/>
      <c r="I122" s="24" t="s">
        <v>13809</v>
      </c>
      <c r="J122" s="24"/>
      <c r="K122" s="24" t="s">
        <v>13808</v>
      </c>
      <c r="L122" s="24"/>
      <c r="M122" s="24" t="s">
        <v>16043</v>
      </c>
      <c r="N122" s="24" t="s">
        <v>13808</v>
      </c>
      <c r="O122" s="24"/>
      <c r="P122" s="24" t="s">
        <v>13808</v>
      </c>
      <c r="Q122" s="24"/>
      <c r="R122" s="24" t="s">
        <v>13808</v>
      </c>
      <c r="S122" s="24"/>
      <c r="T122" t="s">
        <v>16044</v>
      </c>
      <c r="U122" t="s">
        <v>13808</v>
      </c>
      <c r="W122" t="s">
        <v>13809</v>
      </c>
      <c r="Y122" t="s">
        <v>13809</v>
      </c>
      <c r="AA122" t="s">
        <v>16045</v>
      </c>
      <c r="AB122" t="s">
        <v>16046</v>
      </c>
      <c r="AC122" t="s">
        <v>13818</v>
      </c>
      <c r="AD122" t="s">
        <v>15808</v>
      </c>
      <c r="AH122" t="s">
        <v>14003</v>
      </c>
      <c r="AI122" t="s">
        <v>13808</v>
      </c>
      <c r="AK122" t="s">
        <v>15309</v>
      </c>
      <c r="AL122" t="s">
        <v>13818</v>
      </c>
      <c r="AM122" t="s">
        <v>15808</v>
      </c>
      <c r="AO122" t="s">
        <v>13809</v>
      </c>
      <c r="AT122" t="s">
        <v>13958</v>
      </c>
      <c r="AU122" t="s">
        <v>13818</v>
      </c>
      <c r="AV122" t="s">
        <v>15808</v>
      </c>
      <c r="AZ122" t="s">
        <v>13883</v>
      </c>
      <c r="BA122" t="s">
        <v>13808</v>
      </c>
      <c r="BC122" t="s">
        <v>16047</v>
      </c>
      <c r="BD122" t="s">
        <v>13818</v>
      </c>
      <c r="BF122" t="s">
        <v>16048</v>
      </c>
      <c r="BG122" t="s">
        <v>13808</v>
      </c>
      <c r="BM122" t="s">
        <v>13809</v>
      </c>
      <c r="BR122" t="s">
        <v>16049</v>
      </c>
      <c r="BS122" t="s">
        <v>14003</v>
      </c>
      <c r="BT122" t="s">
        <v>13808</v>
      </c>
      <c r="BU122" t="s">
        <v>14128</v>
      </c>
      <c r="BY122" t="s">
        <v>14003</v>
      </c>
      <c r="BZ122" t="s">
        <v>13808</v>
      </c>
      <c r="CA122" t="s">
        <v>16050</v>
      </c>
      <c r="CE122" t="s">
        <v>14003</v>
      </c>
      <c r="CF122" t="s">
        <v>13818</v>
      </c>
      <c r="CG122" t="s">
        <v>16051</v>
      </c>
      <c r="CL122" t="s">
        <v>13809</v>
      </c>
      <c r="CR122" t="s">
        <v>13809</v>
      </c>
      <c r="CT122" t="s">
        <v>16052</v>
      </c>
      <c r="CU122" t="s">
        <v>14003</v>
      </c>
      <c r="CV122" t="s">
        <v>13808</v>
      </c>
      <c r="CX122" t="s">
        <v>15309</v>
      </c>
      <c r="CY122" t="s">
        <v>13818</v>
      </c>
      <c r="DA122" t="s">
        <v>13909</v>
      </c>
      <c r="DB122" t="s">
        <v>13818</v>
      </c>
      <c r="DG122" t="s">
        <v>13909</v>
      </c>
      <c r="DH122" t="s">
        <v>13818</v>
      </c>
      <c r="DY122" t="s">
        <v>13840</v>
      </c>
      <c r="DZ122" t="s">
        <v>13970</v>
      </c>
      <c r="EA122" t="s">
        <v>15419</v>
      </c>
      <c r="EC122">
        <v>44119</v>
      </c>
      <c r="ED122" t="s">
        <v>13903</v>
      </c>
      <c r="EE122" t="s">
        <v>6814</v>
      </c>
    </row>
    <row r="123" spans="1:135">
      <c r="A123" t="s">
        <v>1731</v>
      </c>
      <c r="B123" t="s">
        <v>1683</v>
      </c>
      <c r="C123" t="s">
        <v>16053</v>
      </c>
      <c r="D123" s="24">
        <v>43207</v>
      </c>
      <c r="E123" s="24" t="s">
        <v>13565</v>
      </c>
      <c r="F123" s="24" t="s">
        <v>16054</v>
      </c>
      <c r="G123" s="24" t="s">
        <v>13808</v>
      </c>
      <c r="H123" s="24"/>
      <c r="I123" s="24" t="s">
        <v>13809</v>
      </c>
      <c r="J123" s="24"/>
      <c r="K123" s="24" t="s">
        <v>13809</v>
      </c>
      <c r="L123" s="24"/>
      <c r="M123" s="24" t="s">
        <v>15299</v>
      </c>
      <c r="N123" s="24" t="s">
        <v>13808</v>
      </c>
      <c r="O123" s="24"/>
      <c r="P123" s="24" t="s">
        <v>13808</v>
      </c>
      <c r="Q123" s="24"/>
      <c r="R123" s="24" t="s">
        <v>13808</v>
      </c>
      <c r="S123" s="24"/>
      <c r="T123" t="s">
        <v>16055</v>
      </c>
      <c r="U123" t="s">
        <v>13809</v>
      </c>
      <c r="W123" t="s">
        <v>13808</v>
      </c>
      <c r="X123" t="s">
        <v>16056</v>
      </c>
      <c r="Y123" t="s">
        <v>13809</v>
      </c>
      <c r="AA123" t="s">
        <v>13928</v>
      </c>
      <c r="AB123" t="s">
        <v>13850</v>
      </c>
      <c r="AC123" t="s">
        <v>13809</v>
      </c>
      <c r="AH123" t="s">
        <v>13851</v>
      </c>
      <c r="AI123" t="s">
        <v>13808</v>
      </c>
      <c r="AN123" t="s">
        <v>15055</v>
      </c>
      <c r="AO123" t="s">
        <v>13809</v>
      </c>
      <c r="AT123" t="s">
        <v>15262</v>
      </c>
      <c r="AU123" t="s">
        <v>13808</v>
      </c>
      <c r="AZ123" t="s">
        <v>16057</v>
      </c>
      <c r="BA123" t="s">
        <v>13808</v>
      </c>
      <c r="BF123" t="s">
        <v>16058</v>
      </c>
      <c r="BG123" t="s">
        <v>13808</v>
      </c>
      <c r="BL123" t="s">
        <v>16059</v>
      </c>
      <c r="BM123" t="s">
        <v>13808</v>
      </c>
      <c r="BR123" t="s">
        <v>16060</v>
      </c>
      <c r="BS123" t="s">
        <v>14213</v>
      </c>
      <c r="BT123" t="s">
        <v>13808</v>
      </c>
      <c r="BU123" t="s">
        <v>14147</v>
      </c>
      <c r="BY123" t="s">
        <v>13986</v>
      </c>
      <c r="BZ123" t="s">
        <v>13808</v>
      </c>
      <c r="CA123" t="s">
        <v>13937</v>
      </c>
      <c r="CE123" t="s">
        <v>13828</v>
      </c>
      <c r="CF123" t="s">
        <v>13808</v>
      </c>
      <c r="CK123" t="s">
        <v>13760</v>
      </c>
      <c r="CL123" t="s">
        <v>13809</v>
      </c>
      <c r="CQ123" t="s">
        <v>13766</v>
      </c>
      <c r="CR123" t="s">
        <v>13809</v>
      </c>
      <c r="CT123" t="s">
        <v>16061</v>
      </c>
      <c r="CU123" t="s">
        <v>14236</v>
      </c>
      <c r="CV123" t="s">
        <v>13818</v>
      </c>
      <c r="DA123" t="s">
        <v>15252</v>
      </c>
      <c r="DB123" t="s">
        <v>13808</v>
      </c>
      <c r="DG123" t="s">
        <v>14240</v>
      </c>
      <c r="DH123" t="s">
        <v>13818</v>
      </c>
      <c r="DM123" t="s">
        <v>16062</v>
      </c>
      <c r="DN123" t="s">
        <v>13808</v>
      </c>
      <c r="DY123" t="s">
        <v>14243</v>
      </c>
      <c r="DZ123" t="s">
        <v>16063</v>
      </c>
      <c r="EA123" t="s">
        <v>13842</v>
      </c>
      <c r="EC123">
        <v>45043</v>
      </c>
      <c r="ED123" t="s">
        <v>13843</v>
      </c>
      <c r="EE123" t="s">
        <v>6259</v>
      </c>
    </row>
    <row r="124" spans="1:135">
      <c r="A124" t="s">
        <v>1981</v>
      </c>
      <c r="B124" t="s">
        <v>1920</v>
      </c>
      <c r="C124" t="s">
        <v>16064</v>
      </c>
      <c r="D124" s="24">
        <v>43038</v>
      </c>
      <c r="E124" s="24" t="s">
        <v>13555</v>
      </c>
      <c r="F124" s="24" t="s">
        <v>16065</v>
      </c>
      <c r="G124" s="24" t="s">
        <v>13808</v>
      </c>
      <c r="H124" s="24"/>
      <c r="I124" s="24" t="s">
        <v>13809</v>
      </c>
      <c r="J124" s="24"/>
      <c r="K124" s="24" t="s">
        <v>13808</v>
      </c>
      <c r="L124" s="24"/>
      <c r="M124" s="24" t="s">
        <v>16066</v>
      </c>
      <c r="N124" s="24" t="s">
        <v>13808</v>
      </c>
      <c r="O124" s="24"/>
      <c r="P124" s="24" t="s">
        <v>13808</v>
      </c>
      <c r="Q124" s="24"/>
      <c r="R124" s="24" t="s">
        <v>13808</v>
      </c>
      <c r="S124" s="24"/>
      <c r="T124" t="s">
        <v>16067</v>
      </c>
      <c r="U124" t="s">
        <v>13808</v>
      </c>
      <c r="W124" t="s">
        <v>13808</v>
      </c>
      <c r="X124" t="s">
        <v>16068</v>
      </c>
      <c r="Y124" t="s">
        <v>13809</v>
      </c>
      <c r="AA124" t="s">
        <v>16069</v>
      </c>
      <c r="AB124" t="s">
        <v>16070</v>
      </c>
      <c r="AC124" t="s">
        <v>13808</v>
      </c>
      <c r="AH124" t="s">
        <v>13909</v>
      </c>
      <c r="AI124" t="s">
        <v>13808</v>
      </c>
      <c r="AN124" t="s">
        <v>16071</v>
      </c>
      <c r="AO124" t="s">
        <v>13808</v>
      </c>
      <c r="AT124" t="s">
        <v>16072</v>
      </c>
      <c r="AU124" t="s">
        <v>13808</v>
      </c>
      <c r="AZ124" t="s">
        <v>16073</v>
      </c>
      <c r="BA124" t="s">
        <v>13808</v>
      </c>
      <c r="BF124" t="s">
        <v>16074</v>
      </c>
      <c r="BG124" t="s">
        <v>13808</v>
      </c>
      <c r="BL124" t="s">
        <v>16075</v>
      </c>
      <c r="BM124" t="s">
        <v>13808</v>
      </c>
      <c r="BR124" t="s">
        <v>16076</v>
      </c>
      <c r="BS124" t="s">
        <v>13887</v>
      </c>
      <c r="BT124" t="s">
        <v>13808</v>
      </c>
      <c r="BU124" t="s">
        <v>13985</v>
      </c>
      <c r="BY124" t="s">
        <v>13887</v>
      </c>
      <c r="BZ124" t="s">
        <v>13808</v>
      </c>
      <c r="CA124" t="s">
        <v>13937</v>
      </c>
      <c r="CE124" t="s">
        <v>13887</v>
      </c>
      <c r="CF124" t="s">
        <v>13808</v>
      </c>
      <c r="CL124" t="s">
        <v>13809</v>
      </c>
      <c r="CR124" t="s">
        <v>13809</v>
      </c>
      <c r="CT124" t="s">
        <v>16077</v>
      </c>
      <c r="CU124" t="s">
        <v>16078</v>
      </c>
      <c r="CV124" t="s">
        <v>13808</v>
      </c>
      <c r="CX124" t="s">
        <v>14625</v>
      </c>
      <c r="CY124" t="s">
        <v>13818</v>
      </c>
      <c r="DA124" t="s">
        <v>14039</v>
      </c>
      <c r="DB124" t="s">
        <v>13808</v>
      </c>
      <c r="DD124" t="s">
        <v>14625</v>
      </c>
      <c r="DE124" t="s">
        <v>13818</v>
      </c>
      <c r="DG124" t="s">
        <v>16079</v>
      </c>
      <c r="DH124" t="s">
        <v>13808</v>
      </c>
      <c r="DI124" t="s">
        <v>16080</v>
      </c>
      <c r="DJ124" t="s">
        <v>14625</v>
      </c>
      <c r="DK124" t="s">
        <v>13818</v>
      </c>
      <c r="DM124" t="s">
        <v>13909</v>
      </c>
      <c r="DN124" t="s">
        <v>13808</v>
      </c>
      <c r="DZ124" t="s">
        <v>16025</v>
      </c>
      <c r="EA124" t="s">
        <v>16081</v>
      </c>
      <c r="EC124">
        <v>43480</v>
      </c>
      <c r="ED124" t="s">
        <v>13903</v>
      </c>
      <c r="EE124" t="s">
        <v>6578</v>
      </c>
    </row>
    <row r="125" spans="1:135">
      <c r="A125" t="s">
        <v>1397</v>
      </c>
      <c r="B125" t="s">
        <v>1375</v>
      </c>
      <c r="C125" t="s">
        <v>16082</v>
      </c>
      <c r="D125" s="24">
        <v>43229</v>
      </c>
      <c r="E125" s="24" t="s">
        <v>13564</v>
      </c>
      <c r="F125" s="24" t="s">
        <v>16083</v>
      </c>
      <c r="G125" s="24" t="s">
        <v>13808</v>
      </c>
      <c r="H125" s="24"/>
      <c r="I125" s="24" t="s">
        <v>13809</v>
      </c>
      <c r="J125" s="24"/>
      <c r="K125" s="24" t="s">
        <v>13809</v>
      </c>
      <c r="L125" s="24"/>
      <c r="M125" s="24" t="s">
        <v>16084</v>
      </c>
      <c r="N125" s="24" t="s">
        <v>13808</v>
      </c>
      <c r="O125" s="24"/>
      <c r="P125" s="24" t="s">
        <v>13808</v>
      </c>
      <c r="Q125" s="24"/>
      <c r="R125" s="24" t="s">
        <v>13808</v>
      </c>
      <c r="S125" s="24"/>
      <c r="T125" t="s">
        <v>14034</v>
      </c>
      <c r="U125" t="s">
        <v>13809</v>
      </c>
      <c r="W125" t="s">
        <v>13808</v>
      </c>
      <c r="X125" t="s">
        <v>16085</v>
      </c>
      <c r="Y125" t="s">
        <v>13809</v>
      </c>
      <c r="AA125" t="s">
        <v>14055</v>
      </c>
      <c r="AB125" t="s">
        <v>16086</v>
      </c>
      <c r="AC125" t="s">
        <v>13808</v>
      </c>
      <c r="AH125" t="s">
        <v>13909</v>
      </c>
      <c r="AI125" t="s">
        <v>13808</v>
      </c>
      <c r="AN125" t="s">
        <v>16087</v>
      </c>
      <c r="AO125" t="s">
        <v>13808</v>
      </c>
      <c r="AT125" t="s">
        <v>16088</v>
      </c>
      <c r="AU125" t="s">
        <v>13808</v>
      </c>
      <c r="AZ125" t="s">
        <v>16089</v>
      </c>
      <c r="BA125" t="s">
        <v>13808</v>
      </c>
      <c r="BF125" t="s">
        <v>16090</v>
      </c>
      <c r="BG125" t="s">
        <v>13808</v>
      </c>
      <c r="BL125" t="s">
        <v>16091</v>
      </c>
      <c r="BM125" t="s">
        <v>13808</v>
      </c>
      <c r="BR125" t="s">
        <v>16092</v>
      </c>
      <c r="BS125" t="s">
        <v>13887</v>
      </c>
      <c r="BT125" t="s">
        <v>13808</v>
      </c>
      <c r="BU125" t="s">
        <v>16093</v>
      </c>
      <c r="BY125" t="s">
        <v>13887</v>
      </c>
      <c r="BZ125" t="s">
        <v>13808</v>
      </c>
      <c r="CA125" t="s">
        <v>13937</v>
      </c>
      <c r="CE125" t="s">
        <v>13887</v>
      </c>
      <c r="CF125" t="s">
        <v>13808</v>
      </c>
      <c r="CL125" t="s">
        <v>13809</v>
      </c>
      <c r="CR125" t="s">
        <v>13809</v>
      </c>
      <c r="CT125" t="s">
        <v>16094</v>
      </c>
      <c r="CU125" t="s">
        <v>16095</v>
      </c>
      <c r="CV125" t="s">
        <v>13808</v>
      </c>
      <c r="CX125" t="s">
        <v>14625</v>
      </c>
      <c r="CY125" t="s">
        <v>13818</v>
      </c>
      <c r="DA125" t="s">
        <v>16096</v>
      </c>
      <c r="DB125" t="s">
        <v>13808</v>
      </c>
      <c r="DD125" t="s">
        <v>14625</v>
      </c>
      <c r="DE125" t="s">
        <v>13818</v>
      </c>
      <c r="DG125" t="s">
        <v>13887</v>
      </c>
      <c r="DH125" t="s">
        <v>13808</v>
      </c>
      <c r="DI125" t="s">
        <v>16097</v>
      </c>
      <c r="DJ125" t="s">
        <v>13909</v>
      </c>
      <c r="DK125" t="s">
        <v>13818</v>
      </c>
      <c r="DL125" t="s">
        <v>16098</v>
      </c>
      <c r="DZ125" t="s">
        <v>16099</v>
      </c>
      <c r="EA125" t="s">
        <v>16100</v>
      </c>
      <c r="EC125">
        <v>43480</v>
      </c>
      <c r="ED125" t="s">
        <v>13903</v>
      </c>
      <c r="EE125" t="s">
        <v>5871</v>
      </c>
    </row>
    <row r="126" spans="1:135">
      <c r="A126" t="s">
        <v>1871</v>
      </c>
      <c r="B126" t="s">
        <v>1808</v>
      </c>
      <c r="C126" t="s">
        <v>16101</v>
      </c>
      <c r="D126" s="24">
        <v>43670</v>
      </c>
      <c r="E126" s="24" t="s">
        <v>13553</v>
      </c>
      <c r="F126" s="24" t="s">
        <v>16102</v>
      </c>
      <c r="G126" s="24" t="s">
        <v>13808</v>
      </c>
      <c r="H126" s="24"/>
      <c r="I126" s="24" t="s">
        <v>13809</v>
      </c>
      <c r="J126" s="24"/>
      <c r="K126" s="24" t="s">
        <v>13809</v>
      </c>
      <c r="L126" s="24"/>
      <c r="M126" s="24" t="s">
        <v>14163</v>
      </c>
      <c r="N126" s="24" t="s">
        <v>13808</v>
      </c>
      <c r="O126" s="24"/>
      <c r="P126" s="24" t="s">
        <v>13808</v>
      </c>
      <c r="Q126" s="24"/>
      <c r="R126" s="24" t="s">
        <v>13808</v>
      </c>
      <c r="S126" s="24"/>
      <c r="T126" t="s">
        <v>14016</v>
      </c>
      <c r="U126" t="s">
        <v>13809</v>
      </c>
      <c r="W126" t="s">
        <v>13808</v>
      </c>
      <c r="X126" t="s">
        <v>16103</v>
      </c>
      <c r="Y126" t="s">
        <v>13809</v>
      </c>
      <c r="AA126" t="s">
        <v>13877</v>
      </c>
      <c r="AB126" t="s">
        <v>14366</v>
      </c>
      <c r="AC126" t="s">
        <v>13808</v>
      </c>
      <c r="AH126" t="s">
        <v>13909</v>
      </c>
      <c r="AI126" t="s">
        <v>13808</v>
      </c>
      <c r="AO126" t="s">
        <v>13809</v>
      </c>
      <c r="AT126" t="s">
        <v>14732</v>
      </c>
      <c r="AU126" t="s">
        <v>13808</v>
      </c>
      <c r="AZ126" t="s">
        <v>13894</v>
      </c>
      <c r="BA126" t="s">
        <v>13808</v>
      </c>
      <c r="BF126" t="s">
        <v>16104</v>
      </c>
      <c r="BG126" t="s">
        <v>13808</v>
      </c>
      <c r="BL126" t="s">
        <v>16105</v>
      </c>
      <c r="BM126" t="s">
        <v>13808</v>
      </c>
      <c r="BR126" t="s">
        <v>16106</v>
      </c>
      <c r="BT126" t="s">
        <v>13809</v>
      </c>
      <c r="BY126" t="s">
        <v>14265</v>
      </c>
      <c r="BZ126" t="s">
        <v>13808</v>
      </c>
      <c r="CA126" t="s">
        <v>14026</v>
      </c>
      <c r="CE126" t="s">
        <v>13887</v>
      </c>
      <c r="CF126" t="s">
        <v>13808</v>
      </c>
      <c r="CG126" t="s">
        <v>14025</v>
      </c>
      <c r="CL126" t="s">
        <v>13809</v>
      </c>
      <c r="CR126" t="s">
        <v>13809</v>
      </c>
      <c r="CT126" t="s">
        <v>16107</v>
      </c>
      <c r="CU126" t="s">
        <v>16108</v>
      </c>
      <c r="CV126" t="s">
        <v>13897</v>
      </c>
      <c r="DA126" t="s">
        <v>16109</v>
      </c>
      <c r="DB126" t="s">
        <v>13808</v>
      </c>
      <c r="DH126" t="s">
        <v>13809</v>
      </c>
      <c r="DM126" t="s">
        <v>16110</v>
      </c>
      <c r="DN126" t="s">
        <v>13808</v>
      </c>
      <c r="DO126" t="s">
        <v>16111</v>
      </c>
      <c r="DP126" t="s">
        <v>16112</v>
      </c>
      <c r="DQ126" t="s">
        <v>13808</v>
      </c>
      <c r="DR126" t="s">
        <v>16113</v>
      </c>
      <c r="DY126" t="s">
        <v>13900</v>
      </c>
      <c r="DZ126" t="s">
        <v>16114</v>
      </c>
      <c r="EA126" t="s">
        <v>16115</v>
      </c>
      <c r="ED126" t="s">
        <v>14501</v>
      </c>
      <c r="EE126" t="s">
        <v>6415</v>
      </c>
    </row>
    <row r="127" spans="1:135">
      <c r="A127" t="s">
        <v>2069</v>
      </c>
      <c r="B127" t="s">
        <v>2026</v>
      </c>
      <c r="C127" t="s">
        <v>16116</v>
      </c>
      <c r="D127" s="24">
        <v>44051</v>
      </c>
      <c r="E127" s="24" t="s">
        <v>13558</v>
      </c>
      <c r="F127" s="24" t="s">
        <v>16117</v>
      </c>
      <c r="G127" s="24" t="s">
        <v>13808</v>
      </c>
      <c r="H127" s="24"/>
      <c r="I127" s="24" t="s">
        <v>13809</v>
      </c>
      <c r="J127" s="24"/>
      <c r="K127" s="24" t="s">
        <v>13818</v>
      </c>
      <c r="L127" s="24" t="s">
        <v>16118</v>
      </c>
      <c r="M127" s="24" t="s">
        <v>16119</v>
      </c>
      <c r="N127" s="24" t="s">
        <v>13808</v>
      </c>
      <c r="O127" s="24"/>
      <c r="P127" s="24" t="s">
        <v>13808</v>
      </c>
      <c r="Q127" s="24"/>
      <c r="R127" s="24" t="s">
        <v>13808</v>
      </c>
      <c r="S127" s="24"/>
      <c r="T127" t="s">
        <v>14071</v>
      </c>
      <c r="U127" t="s">
        <v>13809</v>
      </c>
      <c r="W127" t="s">
        <v>13809</v>
      </c>
      <c r="Y127" t="s">
        <v>13809</v>
      </c>
      <c r="AA127" t="s">
        <v>14551</v>
      </c>
      <c r="AB127" t="s">
        <v>16120</v>
      </c>
      <c r="AC127" t="s">
        <v>13818</v>
      </c>
      <c r="AD127" t="s">
        <v>14309</v>
      </c>
      <c r="AH127" t="s">
        <v>13887</v>
      </c>
      <c r="AI127" t="s">
        <v>13808</v>
      </c>
      <c r="AK127" t="s">
        <v>14004</v>
      </c>
      <c r="AL127" t="s">
        <v>13818</v>
      </c>
      <c r="AM127" t="s">
        <v>14309</v>
      </c>
      <c r="AN127" t="s">
        <v>14932</v>
      </c>
      <c r="AO127" t="s">
        <v>13818</v>
      </c>
      <c r="AP127" t="s">
        <v>14309</v>
      </c>
      <c r="AT127" t="s">
        <v>16121</v>
      </c>
      <c r="AU127" t="s">
        <v>13818</v>
      </c>
      <c r="AV127" t="s">
        <v>14309</v>
      </c>
      <c r="AZ127" t="s">
        <v>13894</v>
      </c>
      <c r="BA127" t="s">
        <v>13808</v>
      </c>
      <c r="BF127" t="s">
        <v>14046</v>
      </c>
      <c r="BG127" t="s">
        <v>13808</v>
      </c>
      <c r="BM127" t="s">
        <v>13809</v>
      </c>
      <c r="BR127" t="s">
        <v>16122</v>
      </c>
      <c r="BS127" t="s">
        <v>13887</v>
      </c>
      <c r="BT127" t="s">
        <v>13808</v>
      </c>
      <c r="BU127" t="s">
        <v>15304</v>
      </c>
      <c r="BY127" t="s">
        <v>13887</v>
      </c>
      <c r="BZ127" t="s">
        <v>13808</v>
      </c>
      <c r="CA127" t="s">
        <v>16123</v>
      </c>
      <c r="CE127" t="s">
        <v>13887</v>
      </c>
      <c r="CF127" t="s">
        <v>13808</v>
      </c>
      <c r="CL127" t="s">
        <v>13809</v>
      </c>
      <c r="CR127" t="s">
        <v>13809</v>
      </c>
      <c r="CT127" t="s">
        <v>13830</v>
      </c>
      <c r="CU127" t="s">
        <v>16124</v>
      </c>
      <c r="CV127" t="s">
        <v>13818</v>
      </c>
      <c r="DA127" t="s">
        <v>16125</v>
      </c>
      <c r="DB127" t="s">
        <v>13818</v>
      </c>
      <c r="DG127" t="s">
        <v>16126</v>
      </c>
      <c r="DH127" t="s">
        <v>13818</v>
      </c>
      <c r="DJ127" t="s">
        <v>16127</v>
      </c>
      <c r="DK127" t="s">
        <v>13818</v>
      </c>
      <c r="DM127" t="s">
        <v>16128</v>
      </c>
      <c r="DN127" t="s">
        <v>13818</v>
      </c>
      <c r="DY127" t="s">
        <v>14606</v>
      </c>
      <c r="DZ127" t="s">
        <v>13841</v>
      </c>
      <c r="EA127" t="s">
        <v>13842</v>
      </c>
      <c r="EC127">
        <v>44265</v>
      </c>
      <c r="ED127" t="s">
        <v>16129</v>
      </c>
      <c r="EE127" t="s">
        <v>6706</v>
      </c>
    </row>
    <row r="128" spans="1:135">
      <c r="A128" t="s">
        <v>1089</v>
      </c>
      <c r="B128" t="s">
        <v>1043</v>
      </c>
      <c r="C128" t="s">
        <v>16130</v>
      </c>
      <c r="D128" s="24">
        <v>43647</v>
      </c>
      <c r="E128" s="24" t="s">
        <v>13553</v>
      </c>
      <c r="F128" s="24" t="s">
        <v>16131</v>
      </c>
      <c r="G128" s="24" t="s">
        <v>13808</v>
      </c>
      <c r="H128" s="24"/>
      <c r="I128" s="24" t="s">
        <v>13809</v>
      </c>
      <c r="J128" s="24"/>
      <c r="K128" s="24" t="s">
        <v>13808</v>
      </c>
      <c r="L128" s="24" t="s">
        <v>16132</v>
      </c>
      <c r="M128" s="24" t="s">
        <v>16133</v>
      </c>
      <c r="N128" s="24" t="s">
        <v>13808</v>
      </c>
      <c r="O128" s="24"/>
      <c r="P128" s="24" t="s">
        <v>13808</v>
      </c>
      <c r="Q128" s="24"/>
      <c r="R128" s="24" t="s">
        <v>13808</v>
      </c>
      <c r="S128" s="24"/>
      <c r="T128" t="s">
        <v>14016</v>
      </c>
      <c r="U128" t="s">
        <v>13809</v>
      </c>
      <c r="W128" t="s">
        <v>13808</v>
      </c>
      <c r="X128" t="s">
        <v>16134</v>
      </c>
      <c r="Y128" t="s">
        <v>13809</v>
      </c>
      <c r="AA128" t="s">
        <v>13877</v>
      </c>
      <c r="AB128" t="s">
        <v>16135</v>
      </c>
      <c r="AC128" t="s">
        <v>13808</v>
      </c>
      <c r="AH128" t="s">
        <v>13909</v>
      </c>
      <c r="AI128" t="s">
        <v>13808</v>
      </c>
      <c r="AN128" t="s">
        <v>16136</v>
      </c>
      <c r="AO128" t="s">
        <v>13808</v>
      </c>
      <c r="AT128" t="s">
        <v>14596</v>
      </c>
      <c r="AU128" t="s">
        <v>13808</v>
      </c>
      <c r="AZ128" t="s">
        <v>16137</v>
      </c>
      <c r="BA128" t="s">
        <v>13808</v>
      </c>
      <c r="BF128" t="s">
        <v>16138</v>
      </c>
      <c r="BG128" t="s">
        <v>13808</v>
      </c>
      <c r="BL128" t="s">
        <v>16139</v>
      </c>
      <c r="BM128" t="s">
        <v>13808</v>
      </c>
      <c r="BR128" t="s">
        <v>16140</v>
      </c>
      <c r="BT128" t="s">
        <v>13809</v>
      </c>
      <c r="BY128" t="s">
        <v>13887</v>
      </c>
      <c r="BZ128" t="s">
        <v>13808</v>
      </c>
      <c r="CA128" t="s">
        <v>14026</v>
      </c>
      <c r="CE128" t="s">
        <v>16141</v>
      </c>
      <c r="CF128" t="s">
        <v>13808</v>
      </c>
      <c r="CG128" t="s">
        <v>16142</v>
      </c>
      <c r="CL128" t="s">
        <v>13809</v>
      </c>
      <c r="CR128" t="s">
        <v>13809</v>
      </c>
      <c r="CT128" t="s">
        <v>16143</v>
      </c>
      <c r="CU128" t="s">
        <v>16144</v>
      </c>
      <c r="CV128" t="s">
        <v>13808</v>
      </c>
      <c r="CW128" t="s">
        <v>16145</v>
      </c>
      <c r="CX128" t="s">
        <v>16146</v>
      </c>
      <c r="CY128" t="s">
        <v>13818</v>
      </c>
      <c r="CZ128" t="s">
        <v>16147</v>
      </c>
      <c r="DA128" t="s">
        <v>16148</v>
      </c>
      <c r="DB128" t="s">
        <v>13808</v>
      </c>
      <c r="DC128" t="s">
        <v>16149</v>
      </c>
      <c r="DD128" t="s">
        <v>16150</v>
      </c>
      <c r="DE128" t="s">
        <v>13818</v>
      </c>
      <c r="DF128" t="s">
        <v>16151</v>
      </c>
      <c r="DH128" t="s">
        <v>13809</v>
      </c>
      <c r="DM128" t="s">
        <v>16152</v>
      </c>
      <c r="DN128" t="s">
        <v>13808</v>
      </c>
      <c r="DO128" t="s">
        <v>16153</v>
      </c>
      <c r="DP128" t="s">
        <v>16154</v>
      </c>
      <c r="DQ128" t="s">
        <v>13818</v>
      </c>
      <c r="DR128" t="s">
        <v>16155</v>
      </c>
      <c r="DY128" t="s">
        <v>13920</v>
      </c>
      <c r="DZ128" t="s">
        <v>16156</v>
      </c>
      <c r="EA128" t="s">
        <v>16115</v>
      </c>
      <c r="EC128">
        <v>43958</v>
      </c>
      <c r="ED128" t="s">
        <v>14501</v>
      </c>
      <c r="EE128" t="s">
        <v>5494</v>
      </c>
    </row>
    <row r="129" spans="1:135">
      <c r="A129" t="s">
        <v>1875</v>
      </c>
      <c r="B129" t="s">
        <v>1808</v>
      </c>
      <c r="C129" t="s">
        <v>16157</v>
      </c>
      <c r="D129" s="24">
        <v>44680</v>
      </c>
      <c r="E129" s="24" t="s">
        <v>13555</v>
      </c>
      <c r="F129" s="24" t="s">
        <v>16158</v>
      </c>
      <c r="G129" s="24" t="s">
        <v>13808</v>
      </c>
      <c r="H129" s="24"/>
      <c r="I129" s="24" t="s">
        <v>13809</v>
      </c>
      <c r="J129" s="24"/>
      <c r="K129" s="24" t="s">
        <v>13809</v>
      </c>
      <c r="L129" s="24"/>
      <c r="M129" s="24" t="s">
        <v>14631</v>
      </c>
      <c r="N129" s="24" t="s">
        <v>13808</v>
      </c>
      <c r="O129" s="24"/>
      <c r="P129" s="24" t="s">
        <v>13808</v>
      </c>
      <c r="Q129" s="24"/>
      <c r="R129" s="24" t="s">
        <v>13808</v>
      </c>
      <c r="S129" s="24"/>
      <c r="T129" t="s">
        <v>13847</v>
      </c>
      <c r="U129" t="s">
        <v>13809</v>
      </c>
      <c r="W129" t="s">
        <v>13808</v>
      </c>
      <c r="X129" t="s">
        <v>16159</v>
      </c>
      <c r="Y129" t="s">
        <v>13808</v>
      </c>
      <c r="AA129" t="s">
        <v>14971</v>
      </c>
      <c r="AB129" t="s">
        <v>16160</v>
      </c>
      <c r="AC129" t="s">
        <v>13808</v>
      </c>
      <c r="AH129" t="s">
        <v>13851</v>
      </c>
      <c r="AI129" t="s">
        <v>13808</v>
      </c>
      <c r="AN129" t="s">
        <v>16161</v>
      </c>
      <c r="AO129" t="s">
        <v>13808</v>
      </c>
      <c r="AT129" t="s">
        <v>13980</v>
      </c>
      <c r="AU129" t="s">
        <v>13808</v>
      </c>
      <c r="AZ129" t="s">
        <v>16162</v>
      </c>
      <c r="BA129" t="s">
        <v>13808</v>
      </c>
      <c r="BF129" t="s">
        <v>14870</v>
      </c>
      <c r="BG129" t="s">
        <v>13808</v>
      </c>
      <c r="BL129" t="s">
        <v>13735</v>
      </c>
      <c r="BM129" t="s">
        <v>13809</v>
      </c>
      <c r="BR129" t="s">
        <v>14527</v>
      </c>
      <c r="BS129" t="s">
        <v>13824</v>
      </c>
      <c r="BT129" t="s">
        <v>13808</v>
      </c>
      <c r="BU129" t="s">
        <v>16163</v>
      </c>
      <c r="BY129" t="s">
        <v>13860</v>
      </c>
      <c r="BZ129" t="s">
        <v>13808</v>
      </c>
      <c r="CA129" t="s">
        <v>13861</v>
      </c>
      <c r="CE129" t="s">
        <v>13828</v>
      </c>
      <c r="CF129" t="s">
        <v>13808</v>
      </c>
      <c r="CK129" t="s">
        <v>13760</v>
      </c>
      <c r="CL129" t="s">
        <v>13809</v>
      </c>
      <c r="CQ129" t="s">
        <v>13766</v>
      </c>
      <c r="CR129" t="s">
        <v>13809</v>
      </c>
      <c r="CT129" t="s">
        <v>16164</v>
      </c>
      <c r="CU129" t="s">
        <v>16165</v>
      </c>
      <c r="CV129" t="s">
        <v>13808</v>
      </c>
      <c r="DA129" t="s">
        <v>16166</v>
      </c>
      <c r="DB129" t="s">
        <v>13808</v>
      </c>
      <c r="DD129" t="s">
        <v>16167</v>
      </c>
      <c r="DE129" t="s">
        <v>13818</v>
      </c>
      <c r="DG129" t="s">
        <v>16168</v>
      </c>
      <c r="DH129" t="s">
        <v>13808</v>
      </c>
      <c r="DJ129" t="s">
        <v>16169</v>
      </c>
      <c r="DK129" t="s">
        <v>16170</v>
      </c>
      <c r="DY129" t="s">
        <v>13840</v>
      </c>
      <c r="DZ129" t="s">
        <v>16171</v>
      </c>
      <c r="EA129" t="s">
        <v>16172</v>
      </c>
      <c r="EC129">
        <v>44683</v>
      </c>
      <c r="ED129" t="s">
        <v>14590</v>
      </c>
      <c r="EE129" t="s">
        <v>6419</v>
      </c>
    </row>
    <row r="130" spans="1:135">
      <c r="A130" t="s">
        <v>5977</v>
      </c>
      <c r="B130" t="s">
        <v>1442</v>
      </c>
      <c r="C130" t="s">
        <v>16173</v>
      </c>
      <c r="D130" s="24">
        <v>45044</v>
      </c>
      <c r="E130" s="24" t="s">
        <v>13560</v>
      </c>
      <c r="F130" s="24" t="s">
        <v>16174</v>
      </c>
      <c r="G130" s="24" t="s">
        <v>13808</v>
      </c>
      <c r="H130" s="24"/>
      <c r="I130" s="24" t="s">
        <v>13809</v>
      </c>
      <c r="J130" s="24"/>
      <c r="K130" s="24" t="s">
        <v>13809</v>
      </c>
      <c r="L130" s="24"/>
      <c r="M130" s="24" t="s">
        <v>16175</v>
      </c>
      <c r="N130" s="24" t="s">
        <v>13808</v>
      </c>
      <c r="O130" s="24"/>
      <c r="P130" s="24" t="s">
        <v>13808</v>
      </c>
      <c r="Q130" s="24"/>
      <c r="R130" s="24" t="s">
        <v>13808</v>
      </c>
      <c r="S130" s="24"/>
      <c r="T130" t="s">
        <v>14071</v>
      </c>
      <c r="U130" t="s">
        <v>13809</v>
      </c>
      <c r="W130" t="s">
        <v>13809</v>
      </c>
      <c r="Y130" t="s">
        <v>13809</v>
      </c>
      <c r="AA130" t="s">
        <v>16176</v>
      </c>
      <c r="AB130" t="s">
        <v>13699</v>
      </c>
      <c r="AC130" t="s">
        <v>13809</v>
      </c>
      <c r="AH130" t="s">
        <v>14073</v>
      </c>
      <c r="AI130" t="s">
        <v>13808</v>
      </c>
      <c r="AK130" t="s">
        <v>14310</v>
      </c>
      <c r="AL130" t="s">
        <v>13818</v>
      </c>
      <c r="AM130" t="s">
        <v>14309</v>
      </c>
      <c r="AN130" t="s">
        <v>14331</v>
      </c>
      <c r="AO130" t="s">
        <v>13818</v>
      </c>
      <c r="AP130" t="s">
        <v>14309</v>
      </c>
      <c r="AT130" t="s">
        <v>16177</v>
      </c>
      <c r="AU130" t="s">
        <v>13818</v>
      </c>
      <c r="AV130" t="s">
        <v>14309</v>
      </c>
      <c r="AZ130" t="s">
        <v>14794</v>
      </c>
      <c r="BA130" t="s">
        <v>13808</v>
      </c>
      <c r="BB130" t="s">
        <v>16178</v>
      </c>
      <c r="BC130" t="s">
        <v>16179</v>
      </c>
      <c r="BD130" t="s">
        <v>13818</v>
      </c>
      <c r="BE130" t="s">
        <v>16180</v>
      </c>
      <c r="BF130" t="s">
        <v>16181</v>
      </c>
      <c r="BG130" t="s">
        <v>13808</v>
      </c>
      <c r="BL130" t="s">
        <v>15772</v>
      </c>
      <c r="BM130" t="s">
        <v>13818</v>
      </c>
      <c r="BN130" t="s">
        <v>14309</v>
      </c>
      <c r="BR130" t="s">
        <v>16182</v>
      </c>
      <c r="BS130" t="s">
        <v>13824</v>
      </c>
      <c r="BT130" t="s">
        <v>13808</v>
      </c>
      <c r="BU130" t="s">
        <v>14233</v>
      </c>
      <c r="BY130" t="s">
        <v>13860</v>
      </c>
      <c r="BZ130" t="s">
        <v>13808</v>
      </c>
      <c r="CA130" t="s">
        <v>13937</v>
      </c>
      <c r="CE130" t="s">
        <v>13828</v>
      </c>
      <c r="CF130" t="s">
        <v>13808</v>
      </c>
      <c r="CK130" t="s">
        <v>13760</v>
      </c>
      <c r="CL130" t="s">
        <v>13809</v>
      </c>
      <c r="CQ130" t="s">
        <v>13766</v>
      </c>
      <c r="CR130" t="s">
        <v>13809</v>
      </c>
      <c r="CT130" t="s">
        <v>16183</v>
      </c>
      <c r="CU130" t="s">
        <v>16184</v>
      </c>
      <c r="CV130" t="s">
        <v>13808</v>
      </c>
      <c r="CX130" t="s">
        <v>16185</v>
      </c>
      <c r="CY130" t="s">
        <v>13808</v>
      </c>
      <c r="CZ130" t="s">
        <v>16186</v>
      </c>
      <c r="DA130" t="s">
        <v>16187</v>
      </c>
      <c r="DB130" t="s">
        <v>13808</v>
      </c>
      <c r="DC130" t="s">
        <v>16186</v>
      </c>
      <c r="DD130" t="s">
        <v>16188</v>
      </c>
      <c r="DE130" t="s">
        <v>13818</v>
      </c>
      <c r="DG130" t="s">
        <v>16189</v>
      </c>
      <c r="DH130" t="s">
        <v>13818</v>
      </c>
      <c r="DM130" t="s">
        <v>16190</v>
      </c>
      <c r="DN130" t="s">
        <v>13818</v>
      </c>
      <c r="DO130" t="s">
        <v>13839</v>
      </c>
      <c r="DY130" t="s">
        <v>13840</v>
      </c>
      <c r="DZ130" t="s">
        <v>14406</v>
      </c>
      <c r="EA130" t="s">
        <v>14118</v>
      </c>
      <c r="EC130">
        <v>45047</v>
      </c>
      <c r="ED130" t="s">
        <v>13843</v>
      </c>
      <c r="EE130" t="s">
        <v>5981</v>
      </c>
    </row>
    <row r="131" spans="1:135">
      <c r="A131" t="s">
        <v>1097</v>
      </c>
      <c r="B131" t="s">
        <v>1043</v>
      </c>
      <c r="C131" t="s">
        <v>16191</v>
      </c>
      <c r="D131" s="24">
        <v>43647</v>
      </c>
      <c r="E131" s="24" t="s">
        <v>13553</v>
      </c>
      <c r="F131" s="24" t="s">
        <v>16192</v>
      </c>
      <c r="G131" s="24" t="s">
        <v>13808</v>
      </c>
      <c r="H131" s="24"/>
      <c r="I131" s="24" t="s">
        <v>13809</v>
      </c>
      <c r="J131" s="24"/>
      <c r="K131" s="24" t="s">
        <v>13808</v>
      </c>
      <c r="L131" s="24" t="s">
        <v>16132</v>
      </c>
      <c r="M131" s="24" t="s">
        <v>16193</v>
      </c>
      <c r="N131" s="24" t="s">
        <v>13808</v>
      </c>
      <c r="O131" s="24"/>
      <c r="P131" s="24" t="s">
        <v>13808</v>
      </c>
      <c r="Q131" s="24"/>
      <c r="R131" s="24" t="s">
        <v>13808</v>
      </c>
      <c r="S131" s="24"/>
      <c r="T131" t="s">
        <v>16194</v>
      </c>
      <c r="U131" t="s">
        <v>13809</v>
      </c>
      <c r="W131" t="s">
        <v>13808</v>
      </c>
      <c r="X131" t="s">
        <v>16195</v>
      </c>
      <c r="Y131" t="s">
        <v>13809</v>
      </c>
      <c r="AA131" t="s">
        <v>13877</v>
      </c>
      <c r="AB131" t="s">
        <v>14732</v>
      </c>
      <c r="AC131" t="s">
        <v>13808</v>
      </c>
      <c r="AH131" t="s">
        <v>13909</v>
      </c>
      <c r="AI131" t="s">
        <v>13808</v>
      </c>
      <c r="AO131" t="s">
        <v>13809</v>
      </c>
      <c r="AT131" t="s">
        <v>14367</v>
      </c>
      <c r="AU131" t="s">
        <v>13808</v>
      </c>
      <c r="AZ131" t="s">
        <v>16196</v>
      </c>
      <c r="BA131" t="s">
        <v>13808</v>
      </c>
      <c r="BF131" t="s">
        <v>16197</v>
      </c>
      <c r="BG131" t="s">
        <v>13808</v>
      </c>
      <c r="BL131" t="s">
        <v>16198</v>
      </c>
      <c r="BM131" t="s">
        <v>13808</v>
      </c>
      <c r="BR131" t="s">
        <v>16199</v>
      </c>
      <c r="BS131" t="s">
        <v>13887</v>
      </c>
      <c r="BT131" t="s">
        <v>13808</v>
      </c>
      <c r="BU131" t="s">
        <v>16200</v>
      </c>
      <c r="BY131" t="s">
        <v>16201</v>
      </c>
      <c r="BZ131" t="s">
        <v>13808</v>
      </c>
      <c r="CA131" t="s">
        <v>14026</v>
      </c>
      <c r="CE131" t="s">
        <v>14197</v>
      </c>
      <c r="CF131" t="s">
        <v>13808</v>
      </c>
      <c r="CG131" t="s">
        <v>14173</v>
      </c>
      <c r="CL131" t="s">
        <v>13809</v>
      </c>
      <c r="CR131" t="s">
        <v>13809</v>
      </c>
      <c r="CT131" t="s">
        <v>16202</v>
      </c>
      <c r="CU131" t="s">
        <v>16203</v>
      </c>
      <c r="CV131" t="s">
        <v>13808</v>
      </c>
      <c r="DA131" t="s">
        <v>16204</v>
      </c>
      <c r="DB131" t="s">
        <v>13808</v>
      </c>
      <c r="DG131" t="s">
        <v>16205</v>
      </c>
      <c r="DH131" t="s">
        <v>13808</v>
      </c>
      <c r="DM131" t="s">
        <v>16206</v>
      </c>
      <c r="DN131" t="s">
        <v>13808</v>
      </c>
      <c r="DO131" t="s">
        <v>16207</v>
      </c>
      <c r="DP131" t="s">
        <v>16208</v>
      </c>
      <c r="DQ131" t="s">
        <v>13808</v>
      </c>
      <c r="DR131" t="s">
        <v>14947</v>
      </c>
      <c r="DY131" t="s">
        <v>13900</v>
      </c>
      <c r="DZ131" t="s">
        <v>16209</v>
      </c>
      <c r="EA131" t="s">
        <v>16115</v>
      </c>
      <c r="EC131">
        <v>44123</v>
      </c>
      <c r="ED131" t="s">
        <v>14501</v>
      </c>
      <c r="EE131" t="s">
        <v>5502</v>
      </c>
    </row>
    <row r="132" spans="1:135">
      <c r="A132" t="s">
        <v>1208</v>
      </c>
      <c r="B132" t="s">
        <v>1155</v>
      </c>
      <c r="C132" t="s">
        <v>16210</v>
      </c>
      <c r="D132" s="24">
        <v>43241</v>
      </c>
      <c r="E132" s="24" t="s">
        <v>13559</v>
      </c>
      <c r="F132" s="24" t="s">
        <v>16211</v>
      </c>
      <c r="G132" s="24" t="s">
        <v>13808</v>
      </c>
      <c r="H132" s="24"/>
      <c r="I132" s="24" t="s">
        <v>13809</v>
      </c>
      <c r="J132" s="24"/>
      <c r="K132" s="24" t="s">
        <v>13808</v>
      </c>
      <c r="L132" s="24"/>
      <c r="M132" s="24" t="s">
        <v>14847</v>
      </c>
      <c r="N132" s="24" t="s">
        <v>13808</v>
      </c>
      <c r="O132" s="24"/>
      <c r="P132" s="24" t="s">
        <v>13808</v>
      </c>
      <c r="Q132" s="24"/>
      <c r="R132" s="24" t="s">
        <v>13808</v>
      </c>
      <c r="S132" s="24"/>
      <c r="T132" t="s">
        <v>15806</v>
      </c>
      <c r="U132" t="s">
        <v>13809</v>
      </c>
      <c r="W132" t="s">
        <v>13809</v>
      </c>
      <c r="Y132" t="s">
        <v>13809</v>
      </c>
      <c r="AA132" t="s">
        <v>16212</v>
      </c>
      <c r="AB132" t="s">
        <v>16213</v>
      </c>
      <c r="AC132" t="s">
        <v>13808</v>
      </c>
      <c r="AH132" t="s">
        <v>13887</v>
      </c>
      <c r="AI132" t="s">
        <v>13808</v>
      </c>
      <c r="AK132" t="s">
        <v>14004</v>
      </c>
      <c r="AL132" t="s">
        <v>13818</v>
      </c>
      <c r="AM132" t="s">
        <v>15808</v>
      </c>
      <c r="AN132" t="s">
        <v>16214</v>
      </c>
      <c r="AO132" t="s">
        <v>13818</v>
      </c>
      <c r="AP132" t="s">
        <v>15808</v>
      </c>
      <c r="AT132" t="s">
        <v>14023</v>
      </c>
      <c r="AU132" t="s">
        <v>13818</v>
      </c>
      <c r="AV132" t="s">
        <v>15808</v>
      </c>
      <c r="AZ132" t="s">
        <v>15824</v>
      </c>
      <c r="BA132" t="s">
        <v>13808</v>
      </c>
      <c r="BF132" t="s">
        <v>16215</v>
      </c>
      <c r="BG132" t="s">
        <v>13808</v>
      </c>
      <c r="BL132" t="s">
        <v>16216</v>
      </c>
      <c r="BM132" t="s">
        <v>13818</v>
      </c>
      <c r="BN132" t="s">
        <v>15808</v>
      </c>
      <c r="BR132" t="s">
        <v>16217</v>
      </c>
      <c r="BS132" t="s">
        <v>14265</v>
      </c>
      <c r="BT132" t="s">
        <v>13818</v>
      </c>
      <c r="BU132" t="s">
        <v>16218</v>
      </c>
      <c r="BY132" t="s">
        <v>14265</v>
      </c>
      <c r="BZ132" t="s">
        <v>13818</v>
      </c>
      <c r="CA132" t="s">
        <v>16219</v>
      </c>
      <c r="CE132" t="s">
        <v>14265</v>
      </c>
      <c r="CF132" t="s">
        <v>13818</v>
      </c>
      <c r="CG132" t="s">
        <v>15808</v>
      </c>
      <c r="CL132" t="s">
        <v>13809</v>
      </c>
      <c r="CR132" t="s">
        <v>13809</v>
      </c>
      <c r="CT132" t="s">
        <v>16220</v>
      </c>
      <c r="CU132" t="s">
        <v>13909</v>
      </c>
      <c r="CV132" t="s">
        <v>13818</v>
      </c>
      <c r="DA132" t="s">
        <v>13909</v>
      </c>
      <c r="DB132" t="s">
        <v>13818</v>
      </c>
      <c r="DG132" t="s">
        <v>13887</v>
      </c>
      <c r="DH132" t="s">
        <v>13808</v>
      </c>
      <c r="DI132" t="s">
        <v>16221</v>
      </c>
      <c r="DJ132" t="s">
        <v>13887</v>
      </c>
      <c r="DK132" t="s">
        <v>13808</v>
      </c>
      <c r="DL132" t="s">
        <v>16222</v>
      </c>
      <c r="DY132" t="s">
        <v>15296</v>
      </c>
      <c r="DZ132" t="s">
        <v>14274</v>
      </c>
      <c r="EA132" t="s">
        <v>15744</v>
      </c>
      <c r="EC132">
        <v>44123</v>
      </c>
      <c r="ED132" t="s">
        <v>13903</v>
      </c>
      <c r="EE132" t="s">
        <v>5644</v>
      </c>
    </row>
    <row r="133" spans="1:135">
      <c r="A133" t="s">
        <v>1212</v>
      </c>
      <c r="B133" t="s">
        <v>1155</v>
      </c>
      <c r="C133" t="s">
        <v>16223</v>
      </c>
      <c r="D133" s="24">
        <v>43241</v>
      </c>
      <c r="E133" s="24" t="s">
        <v>13558</v>
      </c>
      <c r="F133" s="24" t="s">
        <v>16224</v>
      </c>
      <c r="G133" s="24" t="s">
        <v>13808</v>
      </c>
      <c r="H133" s="24"/>
      <c r="I133" s="24" t="s">
        <v>13809</v>
      </c>
      <c r="J133" s="24"/>
      <c r="K133" s="24" t="s">
        <v>13809</v>
      </c>
      <c r="L133" s="24"/>
      <c r="M133" s="24" t="s">
        <v>15299</v>
      </c>
      <c r="N133" s="24" t="s">
        <v>13808</v>
      </c>
      <c r="O133" s="24"/>
      <c r="P133" s="24" t="s">
        <v>13808</v>
      </c>
      <c r="Q133" s="24"/>
      <c r="R133" s="24" t="s">
        <v>13808</v>
      </c>
      <c r="S133" s="24"/>
      <c r="T133" t="s">
        <v>16225</v>
      </c>
      <c r="U133" t="s">
        <v>13809</v>
      </c>
      <c r="W133" t="s">
        <v>13809</v>
      </c>
      <c r="Y133" t="s">
        <v>13809</v>
      </c>
      <c r="AA133" t="s">
        <v>16226</v>
      </c>
      <c r="AC133" t="s">
        <v>13809</v>
      </c>
      <c r="AH133" t="s">
        <v>13887</v>
      </c>
      <c r="AI133" t="s">
        <v>13808</v>
      </c>
      <c r="AO133" t="s">
        <v>13809</v>
      </c>
      <c r="AU133" t="s">
        <v>13809</v>
      </c>
      <c r="AZ133" t="s">
        <v>14022</v>
      </c>
      <c r="BA133" t="s">
        <v>13808</v>
      </c>
      <c r="BG133" t="s">
        <v>13809</v>
      </c>
      <c r="BM133" t="s">
        <v>13809</v>
      </c>
      <c r="BR133" t="s">
        <v>16227</v>
      </c>
      <c r="BT133" t="s">
        <v>13809</v>
      </c>
      <c r="BY133" t="s">
        <v>13887</v>
      </c>
      <c r="BZ133" t="s">
        <v>13808</v>
      </c>
      <c r="CA133" t="s">
        <v>16228</v>
      </c>
      <c r="CF133" t="s">
        <v>13809</v>
      </c>
      <c r="CL133" t="s">
        <v>13809</v>
      </c>
      <c r="CR133" t="s">
        <v>13809</v>
      </c>
      <c r="CT133" t="s">
        <v>16229</v>
      </c>
      <c r="CU133" t="s">
        <v>13887</v>
      </c>
      <c r="CV133" t="s">
        <v>13818</v>
      </c>
      <c r="DA133" t="s">
        <v>13887</v>
      </c>
      <c r="DB133" t="s">
        <v>13818</v>
      </c>
      <c r="DG133" t="s">
        <v>13887</v>
      </c>
      <c r="DH133" t="s">
        <v>13818</v>
      </c>
      <c r="DY133" t="s">
        <v>15296</v>
      </c>
      <c r="DZ133" t="s">
        <v>14274</v>
      </c>
      <c r="EA133" t="s">
        <v>15744</v>
      </c>
      <c r="EC133">
        <v>44123</v>
      </c>
      <c r="ED133" t="s">
        <v>13903</v>
      </c>
      <c r="EE133" t="s">
        <v>5647</v>
      </c>
    </row>
    <row r="134" spans="1:135">
      <c r="A134" t="s">
        <v>1298</v>
      </c>
      <c r="B134" t="s">
        <v>1246</v>
      </c>
      <c r="C134" t="s">
        <v>16230</v>
      </c>
      <c r="D134" s="24">
        <v>43700</v>
      </c>
      <c r="E134" s="24" t="s">
        <v>13555</v>
      </c>
      <c r="F134" s="24" t="s">
        <v>16231</v>
      </c>
      <c r="G134" s="24" t="s">
        <v>13808</v>
      </c>
      <c r="H134" s="24"/>
      <c r="I134" s="24" t="s">
        <v>13809</v>
      </c>
      <c r="J134" s="24" t="s">
        <v>16232</v>
      </c>
      <c r="K134" s="24" t="s">
        <v>13808</v>
      </c>
      <c r="L134" s="24"/>
      <c r="M134" s="24" t="s">
        <v>15021</v>
      </c>
      <c r="N134" s="24" t="s">
        <v>13808</v>
      </c>
      <c r="O134" s="24"/>
      <c r="P134" s="24" t="s">
        <v>13808</v>
      </c>
      <c r="Q134" s="24"/>
      <c r="R134" s="24" t="s">
        <v>13808</v>
      </c>
      <c r="S134" s="24"/>
      <c r="T134" t="s">
        <v>14034</v>
      </c>
      <c r="U134" t="s">
        <v>13809</v>
      </c>
      <c r="W134" t="s">
        <v>13808</v>
      </c>
      <c r="X134" t="s">
        <v>16233</v>
      </c>
      <c r="Y134" t="s">
        <v>13809</v>
      </c>
      <c r="AA134" t="s">
        <v>13877</v>
      </c>
      <c r="AB134" t="s">
        <v>14935</v>
      </c>
      <c r="AC134" t="s">
        <v>13808</v>
      </c>
      <c r="AH134" t="s">
        <v>13909</v>
      </c>
      <c r="AI134" t="s">
        <v>13808</v>
      </c>
      <c r="AN134" t="s">
        <v>14674</v>
      </c>
      <c r="AO134" t="s">
        <v>13808</v>
      </c>
      <c r="AT134" t="s">
        <v>14706</v>
      </c>
      <c r="AU134" t="s">
        <v>13808</v>
      </c>
      <c r="AZ134" t="s">
        <v>16234</v>
      </c>
      <c r="BA134" t="s">
        <v>13808</v>
      </c>
      <c r="BF134" t="s">
        <v>14731</v>
      </c>
      <c r="BG134" t="s">
        <v>13808</v>
      </c>
      <c r="BM134" t="s">
        <v>13809</v>
      </c>
      <c r="BR134" t="s">
        <v>16235</v>
      </c>
      <c r="BS134" t="s">
        <v>13887</v>
      </c>
      <c r="BT134" t="s">
        <v>13808</v>
      </c>
      <c r="BU134" t="s">
        <v>14025</v>
      </c>
      <c r="BY134" t="s">
        <v>13887</v>
      </c>
      <c r="BZ134" t="s">
        <v>13808</v>
      </c>
      <c r="CA134" t="s">
        <v>14026</v>
      </c>
      <c r="CE134" t="s">
        <v>13887</v>
      </c>
      <c r="CF134" t="s">
        <v>13808</v>
      </c>
      <c r="CG134" t="s">
        <v>14173</v>
      </c>
      <c r="CL134" t="s">
        <v>13809</v>
      </c>
      <c r="CR134" t="s">
        <v>13809</v>
      </c>
      <c r="CT134" t="s">
        <v>16236</v>
      </c>
      <c r="CU134" t="s">
        <v>16237</v>
      </c>
      <c r="CV134" t="s">
        <v>13808</v>
      </c>
      <c r="CX134" t="s">
        <v>14851</v>
      </c>
      <c r="CY134" t="s">
        <v>13818</v>
      </c>
      <c r="DA134" t="s">
        <v>16238</v>
      </c>
      <c r="DB134" t="s">
        <v>13808</v>
      </c>
      <c r="DD134" t="s">
        <v>15076</v>
      </c>
      <c r="DE134" t="s">
        <v>13818</v>
      </c>
      <c r="DH134" t="s">
        <v>13809</v>
      </c>
      <c r="DM134" t="s">
        <v>16239</v>
      </c>
      <c r="DN134" t="s">
        <v>13808</v>
      </c>
      <c r="DY134" t="s">
        <v>13900</v>
      </c>
      <c r="DZ134" t="s">
        <v>16240</v>
      </c>
      <c r="EA134" t="s">
        <v>13902</v>
      </c>
      <c r="ED134" t="s">
        <v>14501</v>
      </c>
      <c r="EE134" t="s">
        <v>5743</v>
      </c>
    </row>
    <row r="135" spans="1:135">
      <c r="A135" t="s">
        <v>1404</v>
      </c>
      <c r="B135" t="s">
        <v>1375</v>
      </c>
      <c r="C135" t="s">
        <v>16241</v>
      </c>
      <c r="D135" s="24">
        <v>45168</v>
      </c>
      <c r="E135" s="24" t="s">
        <v>13555</v>
      </c>
      <c r="F135" s="24" t="s">
        <v>16242</v>
      </c>
      <c r="G135" s="24" t="s">
        <v>13808</v>
      </c>
      <c r="H135" s="24"/>
      <c r="I135" s="24" t="s">
        <v>13809</v>
      </c>
      <c r="J135" s="24"/>
      <c r="K135" s="24" t="s">
        <v>13809</v>
      </c>
      <c r="L135" s="24"/>
      <c r="M135" s="24" t="s">
        <v>13846</v>
      </c>
      <c r="N135" s="24" t="s">
        <v>13808</v>
      </c>
      <c r="O135" s="24"/>
      <c r="P135" s="24" t="s">
        <v>13808</v>
      </c>
      <c r="Q135" s="24"/>
      <c r="R135" s="24" t="s">
        <v>13808</v>
      </c>
      <c r="S135" s="24"/>
      <c r="T135" t="s">
        <v>14632</v>
      </c>
      <c r="U135" t="s">
        <v>13809</v>
      </c>
      <c r="W135" t="s">
        <v>13808</v>
      </c>
      <c r="X135" t="s">
        <v>16243</v>
      </c>
      <c r="Y135" t="s">
        <v>13809</v>
      </c>
      <c r="AA135" t="s">
        <v>14971</v>
      </c>
      <c r="AB135" t="s">
        <v>16244</v>
      </c>
      <c r="AC135" t="s">
        <v>13808</v>
      </c>
      <c r="AH135" t="s">
        <v>13851</v>
      </c>
      <c r="AI135" t="s">
        <v>13808</v>
      </c>
      <c r="AN135" t="s">
        <v>15168</v>
      </c>
      <c r="AO135" t="s">
        <v>13808</v>
      </c>
      <c r="AT135" t="s">
        <v>16245</v>
      </c>
      <c r="AU135" t="s">
        <v>13808</v>
      </c>
      <c r="AZ135" t="s">
        <v>16246</v>
      </c>
      <c r="BA135" t="s">
        <v>13808</v>
      </c>
      <c r="BB135" t="s">
        <v>16247</v>
      </c>
      <c r="BF135" t="s">
        <v>15171</v>
      </c>
      <c r="BG135" t="s">
        <v>13808</v>
      </c>
      <c r="BL135" t="s">
        <v>16248</v>
      </c>
      <c r="BM135" t="s">
        <v>13808</v>
      </c>
      <c r="BR135" t="s">
        <v>16249</v>
      </c>
      <c r="BS135" t="s">
        <v>13824</v>
      </c>
      <c r="BT135" t="s">
        <v>13808</v>
      </c>
      <c r="BU135" t="s">
        <v>14336</v>
      </c>
      <c r="BY135" t="s">
        <v>13860</v>
      </c>
      <c r="BZ135" t="s">
        <v>13808</v>
      </c>
      <c r="CA135" t="s">
        <v>13861</v>
      </c>
      <c r="CE135" t="s">
        <v>13828</v>
      </c>
      <c r="CF135" t="s">
        <v>13808</v>
      </c>
      <c r="CK135" t="s">
        <v>13760</v>
      </c>
      <c r="CL135" t="s">
        <v>13809</v>
      </c>
      <c r="CQ135" t="s">
        <v>13766</v>
      </c>
      <c r="CR135" t="s">
        <v>13809</v>
      </c>
      <c r="CT135" t="s">
        <v>16250</v>
      </c>
      <c r="CU135" t="s">
        <v>16251</v>
      </c>
      <c r="CV135" t="s">
        <v>13808</v>
      </c>
      <c r="CX135" t="s">
        <v>16252</v>
      </c>
      <c r="CY135" t="s">
        <v>13818</v>
      </c>
      <c r="DA135" t="s">
        <v>16253</v>
      </c>
      <c r="DB135" t="s">
        <v>13808</v>
      </c>
      <c r="DD135" t="s">
        <v>16254</v>
      </c>
      <c r="DE135" t="s">
        <v>13818</v>
      </c>
      <c r="DG135" t="s">
        <v>16255</v>
      </c>
      <c r="DH135" t="s">
        <v>13808</v>
      </c>
      <c r="DJ135" t="s">
        <v>16256</v>
      </c>
      <c r="DK135" t="s">
        <v>13818</v>
      </c>
      <c r="DM135" t="s">
        <v>16257</v>
      </c>
      <c r="DN135" t="s">
        <v>13808</v>
      </c>
      <c r="DO135" t="s">
        <v>16258</v>
      </c>
      <c r="DY135" t="s">
        <v>13840</v>
      </c>
      <c r="DZ135" t="s">
        <v>16259</v>
      </c>
      <c r="EA135" t="s">
        <v>14881</v>
      </c>
      <c r="EC135">
        <v>45202</v>
      </c>
      <c r="ED135" t="s">
        <v>14298</v>
      </c>
      <c r="EE135" t="s">
        <v>5875</v>
      </c>
    </row>
    <row r="136" spans="1:135">
      <c r="A136" t="s">
        <v>2134</v>
      </c>
      <c r="B136" t="s">
        <v>2098</v>
      </c>
      <c r="C136" t="s">
        <v>16260</v>
      </c>
      <c r="D136" s="24">
        <v>43601</v>
      </c>
      <c r="E136" s="24" t="s">
        <v>13558</v>
      </c>
      <c r="F136" s="24" t="s">
        <v>16261</v>
      </c>
      <c r="G136" s="24" t="s">
        <v>13808</v>
      </c>
      <c r="H136" s="24"/>
      <c r="I136" s="24" t="s">
        <v>13809</v>
      </c>
      <c r="J136" s="24"/>
      <c r="K136" s="24" t="s">
        <v>13808</v>
      </c>
      <c r="L136" s="24" t="s">
        <v>16262</v>
      </c>
      <c r="M136" s="24" t="s">
        <v>16263</v>
      </c>
      <c r="N136" s="24" t="s">
        <v>13808</v>
      </c>
      <c r="O136" s="24"/>
      <c r="P136" s="24" t="s">
        <v>13808</v>
      </c>
      <c r="Q136" s="24"/>
      <c r="R136" s="24" t="s">
        <v>13808</v>
      </c>
      <c r="S136" s="24"/>
      <c r="T136" t="s">
        <v>16264</v>
      </c>
      <c r="U136" t="s">
        <v>13809</v>
      </c>
      <c r="W136" t="s">
        <v>13809</v>
      </c>
      <c r="Y136" t="s">
        <v>13809</v>
      </c>
      <c r="AA136" t="s">
        <v>16265</v>
      </c>
      <c r="AB136" t="s">
        <v>14168</v>
      </c>
      <c r="AC136" t="s">
        <v>13818</v>
      </c>
      <c r="AH136" t="s">
        <v>13887</v>
      </c>
      <c r="AI136" t="s">
        <v>13808</v>
      </c>
      <c r="AK136" t="s">
        <v>14004</v>
      </c>
      <c r="AL136" t="s">
        <v>13818</v>
      </c>
      <c r="AM136" t="s">
        <v>16266</v>
      </c>
      <c r="AN136" t="s">
        <v>14687</v>
      </c>
      <c r="AO136" t="s">
        <v>13818</v>
      </c>
      <c r="AT136" t="s">
        <v>16267</v>
      </c>
      <c r="AU136" t="s">
        <v>13818</v>
      </c>
      <c r="AZ136" t="s">
        <v>16268</v>
      </c>
      <c r="BA136" t="s">
        <v>13808</v>
      </c>
      <c r="BF136" t="s">
        <v>14037</v>
      </c>
      <c r="BG136" t="s">
        <v>13818</v>
      </c>
      <c r="BL136" t="s">
        <v>14366</v>
      </c>
      <c r="BM136" t="s">
        <v>13818</v>
      </c>
      <c r="BR136" t="s">
        <v>16269</v>
      </c>
      <c r="BS136" t="s">
        <v>13887</v>
      </c>
      <c r="BT136" t="s">
        <v>13808</v>
      </c>
      <c r="BU136" t="s">
        <v>14528</v>
      </c>
      <c r="BY136" t="s">
        <v>13887</v>
      </c>
      <c r="BZ136" t="s">
        <v>13808</v>
      </c>
      <c r="CA136" t="s">
        <v>14026</v>
      </c>
      <c r="CE136" t="s">
        <v>13887</v>
      </c>
      <c r="CF136" t="s">
        <v>13808</v>
      </c>
      <c r="CL136" t="s">
        <v>13809</v>
      </c>
      <c r="CR136" t="s">
        <v>13809</v>
      </c>
      <c r="CT136" t="s">
        <v>13962</v>
      </c>
      <c r="CU136" t="s">
        <v>13909</v>
      </c>
      <c r="CV136" t="s">
        <v>13818</v>
      </c>
      <c r="DA136" t="s">
        <v>13909</v>
      </c>
      <c r="DB136" t="s">
        <v>13818</v>
      </c>
      <c r="DG136" t="s">
        <v>13909</v>
      </c>
      <c r="DH136" t="s">
        <v>13818</v>
      </c>
      <c r="DY136" t="s">
        <v>15828</v>
      </c>
      <c r="DZ136" t="s">
        <v>14696</v>
      </c>
      <c r="EA136" t="s">
        <v>16270</v>
      </c>
      <c r="EC136">
        <v>43958</v>
      </c>
      <c r="ED136" t="s">
        <v>13903</v>
      </c>
      <c r="EE136" t="s">
        <v>6818</v>
      </c>
    </row>
    <row r="137" spans="1:135">
      <c r="A137" t="s">
        <v>1988</v>
      </c>
      <c r="B137" t="s">
        <v>1920</v>
      </c>
      <c r="C137" t="s">
        <v>16271</v>
      </c>
      <c r="D137" s="24">
        <v>43038</v>
      </c>
      <c r="E137" s="24" t="s">
        <v>13555</v>
      </c>
      <c r="F137" s="24" t="s">
        <v>16272</v>
      </c>
      <c r="G137" s="24" t="s">
        <v>13808</v>
      </c>
      <c r="H137" s="24"/>
      <c r="I137" s="24" t="s">
        <v>13809</v>
      </c>
      <c r="J137" s="24"/>
      <c r="K137" s="24" t="s">
        <v>13808</v>
      </c>
      <c r="L137" s="24"/>
      <c r="M137" s="24" t="s">
        <v>16273</v>
      </c>
      <c r="N137" s="24" t="s">
        <v>13808</v>
      </c>
      <c r="O137" s="24"/>
      <c r="P137" s="24" t="s">
        <v>13808</v>
      </c>
      <c r="Q137" s="24"/>
      <c r="R137" s="24" t="s">
        <v>13808</v>
      </c>
      <c r="S137" s="24"/>
      <c r="T137" t="s">
        <v>14632</v>
      </c>
      <c r="U137" t="s">
        <v>13809</v>
      </c>
      <c r="W137" t="s">
        <v>13808</v>
      </c>
      <c r="Y137" t="s">
        <v>13809</v>
      </c>
      <c r="AA137" t="s">
        <v>14971</v>
      </c>
      <c r="AB137" t="s">
        <v>16274</v>
      </c>
      <c r="AC137" t="s">
        <v>13808</v>
      </c>
      <c r="AH137" t="s">
        <v>13909</v>
      </c>
      <c r="AI137" t="s">
        <v>13808</v>
      </c>
      <c r="AN137" t="s">
        <v>16275</v>
      </c>
      <c r="AO137" t="s">
        <v>13808</v>
      </c>
      <c r="AT137" t="s">
        <v>16121</v>
      </c>
      <c r="AU137" t="s">
        <v>13808</v>
      </c>
      <c r="AZ137" t="s">
        <v>16276</v>
      </c>
      <c r="BA137" t="s">
        <v>13808</v>
      </c>
      <c r="BF137" t="s">
        <v>16277</v>
      </c>
      <c r="BG137" t="s">
        <v>13808</v>
      </c>
      <c r="BM137" t="s">
        <v>13809</v>
      </c>
      <c r="BR137" t="s">
        <v>16278</v>
      </c>
      <c r="BS137" t="s">
        <v>13887</v>
      </c>
      <c r="BT137" t="s">
        <v>13808</v>
      </c>
      <c r="BU137" t="s">
        <v>13985</v>
      </c>
      <c r="BY137" t="s">
        <v>13887</v>
      </c>
      <c r="BZ137" t="s">
        <v>13808</v>
      </c>
      <c r="CA137" t="s">
        <v>16228</v>
      </c>
      <c r="CE137" t="s">
        <v>13887</v>
      </c>
      <c r="CF137" t="s">
        <v>13808</v>
      </c>
      <c r="CL137" t="s">
        <v>13809</v>
      </c>
      <c r="CR137" t="s">
        <v>13809</v>
      </c>
      <c r="CT137" t="s">
        <v>16279</v>
      </c>
      <c r="CU137" t="s">
        <v>16280</v>
      </c>
      <c r="CV137" t="s">
        <v>13808</v>
      </c>
      <c r="CX137" t="s">
        <v>13885</v>
      </c>
      <c r="CY137" t="s">
        <v>13818</v>
      </c>
      <c r="DA137" t="s">
        <v>16281</v>
      </c>
      <c r="DB137" t="s">
        <v>13808</v>
      </c>
      <c r="DD137" t="s">
        <v>13885</v>
      </c>
      <c r="DE137" t="s">
        <v>13818</v>
      </c>
      <c r="DG137" t="s">
        <v>13909</v>
      </c>
      <c r="DH137" t="s">
        <v>13818</v>
      </c>
      <c r="DY137" t="s">
        <v>13840</v>
      </c>
      <c r="DZ137" t="s">
        <v>15812</v>
      </c>
      <c r="EA137" t="s">
        <v>14118</v>
      </c>
      <c r="EC137">
        <v>43802</v>
      </c>
      <c r="ED137" t="s">
        <v>13903</v>
      </c>
      <c r="EE137" t="s">
        <v>6585</v>
      </c>
    </row>
    <row r="138" spans="1:135">
      <c r="A138" t="s">
        <v>1883</v>
      </c>
      <c r="B138" t="s">
        <v>1808</v>
      </c>
      <c r="C138" t="s">
        <v>16282</v>
      </c>
      <c r="D138" s="24">
        <v>43749</v>
      </c>
      <c r="E138" s="24" t="s">
        <v>13553</v>
      </c>
      <c r="F138" s="24" t="s">
        <v>16283</v>
      </c>
      <c r="G138" s="24" t="s">
        <v>13808</v>
      </c>
      <c r="H138" s="24"/>
      <c r="I138" s="24" t="s">
        <v>13809</v>
      </c>
      <c r="J138" s="24"/>
      <c r="K138" s="24" t="s">
        <v>13809</v>
      </c>
      <c r="L138" s="24"/>
      <c r="M138" s="24" t="s">
        <v>14163</v>
      </c>
      <c r="N138" s="24" t="s">
        <v>13808</v>
      </c>
      <c r="O138" s="24"/>
      <c r="P138" s="24" t="s">
        <v>13808</v>
      </c>
      <c r="Q138" s="24"/>
      <c r="R138" s="24" t="s">
        <v>13808</v>
      </c>
      <c r="S138" s="24"/>
      <c r="T138" t="s">
        <v>14016</v>
      </c>
      <c r="U138" t="s">
        <v>13809</v>
      </c>
      <c r="W138" t="s">
        <v>13808</v>
      </c>
      <c r="X138" t="s">
        <v>16284</v>
      </c>
      <c r="Y138" t="s">
        <v>13809</v>
      </c>
      <c r="AA138" t="s">
        <v>13877</v>
      </c>
      <c r="AB138" t="s">
        <v>16285</v>
      </c>
      <c r="AC138" t="s">
        <v>13808</v>
      </c>
      <c r="AH138" t="s">
        <v>13909</v>
      </c>
      <c r="AI138" t="s">
        <v>13808</v>
      </c>
      <c r="AO138" t="s">
        <v>13809</v>
      </c>
      <c r="AT138" t="s">
        <v>14489</v>
      </c>
      <c r="AU138" t="s">
        <v>13808</v>
      </c>
      <c r="AZ138" t="s">
        <v>16286</v>
      </c>
      <c r="BA138" t="s">
        <v>13808</v>
      </c>
      <c r="BF138" t="s">
        <v>14416</v>
      </c>
      <c r="BG138" t="s">
        <v>13808</v>
      </c>
      <c r="BL138" t="s">
        <v>16287</v>
      </c>
      <c r="BM138" t="s">
        <v>13808</v>
      </c>
      <c r="BR138" t="s">
        <v>16288</v>
      </c>
      <c r="BS138" t="s">
        <v>13887</v>
      </c>
      <c r="BT138" t="s">
        <v>13808</v>
      </c>
      <c r="BU138" t="s">
        <v>16289</v>
      </c>
      <c r="BY138" t="s">
        <v>14265</v>
      </c>
      <c r="BZ138" t="s">
        <v>13808</v>
      </c>
      <c r="CA138" t="s">
        <v>14026</v>
      </c>
      <c r="CE138" t="s">
        <v>14197</v>
      </c>
      <c r="CF138" t="s">
        <v>13808</v>
      </c>
      <c r="CG138" t="s">
        <v>14173</v>
      </c>
      <c r="CL138" t="s">
        <v>13809</v>
      </c>
      <c r="CR138" t="s">
        <v>13809</v>
      </c>
      <c r="CT138" t="s">
        <v>16290</v>
      </c>
      <c r="CU138" t="s">
        <v>16291</v>
      </c>
      <c r="CV138" t="s">
        <v>13808</v>
      </c>
      <c r="DA138" t="s">
        <v>16292</v>
      </c>
      <c r="DB138" t="s">
        <v>13808</v>
      </c>
      <c r="DH138" t="s">
        <v>13809</v>
      </c>
      <c r="DM138" t="s">
        <v>16293</v>
      </c>
      <c r="DN138" t="s">
        <v>13808</v>
      </c>
      <c r="DO138" t="s">
        <v>16294</v>
      </c>
      <c r="DP138" t="s">
        <v>16295</v>
      </c>
      <c r="DQ138" t="s">
        <v>13808</v>
      </c>
      <c r="DY138" t="s">
        <v>13900</v>
      </c>
      <c r="DZ138" t="s">
        <v>16296</v>
      </c>
      <c r="EA138" t="s">
        <v>13922</v>
      </c>
      <c r="EC138">
        <v>43789</v>
      </c>
      <c r="ED138" t="s">
        <v>13903</v>
      </c>
      <c r="EE138" t="s">
        <v>6431</v>
      </c>
    </row>
    <row r="139" spans="1:135">
      <c r="A139" t="s">
        <v>2161</v>
      </c>
      <c r="B139" t="s">
        <v>2098</v>
      </c>
      <c r="C139" t="s">
        <v>16297</v>
      </c>
      <c r="D139" s="24">
        <v>45063</v>
      </c>
      <c r="E139" s="24" t="s">
        <v>13555</v>
      </c>
      <c r="F139" s="24" t="s">
        <v>16298</v>
      </c>
      <c r="G139" s="24" t="s">
        <v>13808</v>
      </c>
      <c r="H139" s="24"/>
      <c r="I139" s="24" t="s">
        <v>13809</v>
      </c>
      <c r="J139" s="24"/>
      <c r="K139" s="24" t="s">
        <v>13809</v>
      </c>
      <c r="L139" s="24"/>
      <c r="M139" s="24" t="s">
        <v>15106</v>
      </c>
      <c r="N139" s="24" t="s">
        <v>13808</v>
      </c>
      <c r="O139" s="24"/>
      <c r="P139" s="24" t="s">
        <v>13808</v>
      </c>
      <c r="Q139" s="24"/>
      <c r="R139" s="24" t="s">
        <v>13808</v>
      </c>
      <c r="S139" s="24"/>
      <c r="T139" t="s">
        <v>16299</v>
      </c>
      <c r="U139" t="s">
        <v>13808</v>
      </c>
      <c r="W139" t="s">
        <v>13808</v>
      </c>
      <c r="X139" t="s">
        <v>16300</v>
      </c>
      <c r="Y139" t="s">
        <v>13809</v>
      </c>
      <c r="AA139" t="s">
        <v>14971</v>
      </c>
      <c r="AB139" t="s">
        <v>16301</v>
      </c>
      <c r="AC139" t="s">
        <v>13808</v>
      </c>
      <c r="AH139" t="s">
        <v>13851</v>
      </c>
      <c r="AI139" t="s">
        <v>13808</v>
      </c>
      <c r="AN139" t="s">
        <v>16302</v>
      </c>
      <c r="AO139" t="s">
        <v>13808</v>
      </c>
      <c r="AT139" t="s">
        <v>14142</v>
      </c>
      <c r="AU139" t="s">
        <v>13808</v>
      </c>
      <c r="AZ139" t="s">
        <v>16303</v>
      </c>
      <c r="BA139" t="s">
        <v>13808</v>
      </c>
      <c r="BF139" t="s">
        <v>14577</v>
      </c>
      <c r="BG139" t="s">
        <v>13808</v>
      </c>
      <c r="BL139" t="s">
        <v>16304</v>
      </c>
      <c r="BM139" t="s">
        <v>13808</v>
      </c>
      <c r="BR139" t="s">
        <v>16305</v>
      </c>
      <c r="BS139" t="s">
        <v>13824</v>
      </c>
      <c r="BT139" t="s">
        <v>13808</v>
      </c>
      <c r="BU139" t="s">
        <v>14291</v>
      </c>
      <c r="BY139" t="s">
        <v>13860</v>
      </c>
      <c r="BZ139" t="s">
        <v>13808</v>
      </c>
      <c r="CA139" t="s">
        <v>16306</v>
      </c>
      <c r="CE139" t="s">
        <v>13828</v>
      </c>
      <c r="CF139" t="s">
        <v>13808</v>
      </c>
      <c r="CK139" t="s">
        <v>13760</v>
      </c>
      <c r="CL139" t="s">
        <v>13809</v>
      </c>
      <c r="CQ139" t="s">
        <v>13766</v>
      </c>
      <c r="CR139" t="s">
        <v>13809</v>
      </c>
      <c r="CT139" t="s">
        <v>16307</v>
      </c>
      <c r="CU139" t="s">
        <v>16308</v>
      </c>
      <c r="CV139" t="s">
        <v>13808</v>
      </c>
      <c r="CX139" t="s">
        <v>16309</v>
      </c>
      <c r="CY139" t="s">
        <v>13818</v>
      </c>
      <c r="DA139" t="s">
        <v>16310</v>
      </c>
      <c r="DB139" t="s">
        <v>13808</v>
      </c>
      <c r="DD139" t="s">
        <v>16311</v>
      </c>
      <c r="DE139" t="s">
        <v>13818</v>
      </c>
      <c r="DG139" t="s">
        <v>16312</v>
      </c>
      <c r="DH139" t="s">
        <v>13808</v>
      </c>
      <c r="DJ139" t="s">
        <v>16313</v>
      </c>
      <c r="DK139" t="s">
        <v>13818</v>
      </c>
      <c r="DM139" t="s">
        <v>16314</v>
      </c>
      <c r="DN139" t="s">
        <v>13808</v>
      </c>
      <c r="DY139" t="s">
        <v>13840</v>
      </c>
      <c r="DZ139" t="s">
        <v>13841</v>
      </c>
      <c r="EA139" t="s">
        <v>13842</v>
      </c>
      <c r="EC139">
        <v>45085</v>
      </c>
      <c r="ED139" t="s">
        <v>14298</v>
      </c>
      <c r="EE139" t="s">
        <v>6822</v>
      </c>
    </row>
    <row r="140" spans="1:135">
      <c r="A140" t="s">
        <v>1455</v>
      </c>
      <c r="B140" t="s">
        <v>1246</v>
      </c>
      <c r="C140" t="s">
        <v>16315</v>
      </c>
      <c r="D140" s="24">
        <v>43207</v>
      </c>
      <c r="E140" s="24" t="s">
        <v>13561</v>
      </c>
      <c r="F140" s="24" t="s">
        <v>16316</v>
      </c>
      <c r="G140" s="24" t="s">
        <v>13808</v>
      </c>
      <c r="H140" s="24" t="s">
        <v>16317</v>
      </c>
      <c r="I140" s="24" t="s">
        <v>13809</v>
      </c>
      <c r="J140" s="24"/>
      <c r="K140" s="24" t="s">
        <v>13808</v>
      </c>
      <c r="L140" s="24" t="s">
        <v>16318</v>
      </c>
      <c r="M140" s="24" t="s">
        <v>16319</v>
      </c>
      <c r="N140" s="24" t="s">
        <v>13808</v>
      </c>
      <c r="O140" s="24"/>
      <c r="P140" s="24" t="s">
        <v>13808</v>
      </c>
      <c r="Q140" s="24"/>
      <c r="R140" s="24" t="s">
        <v>13808</v>
      </c>
      <c r="S140" s="24"/>
      <c r="T140" t="s">
        <v>16320</v>
      </c>
      <c r="U140" t="s">
        <v>13809</v>
      </c>
      <c r="W140" t="s">
        <v>13808</v>
      </c>
      <c r="X140" t="s">
        <v>16321</v>
      </c>
      <c r="Y140" t="s">
        <v>13809</v>
      </c>
      <c r="AA140" t="s">
        <v>16322</v>
      </c>
      <c r="AB140" t="s">
        <v>16046</v>
      </c>
      <c r="AC140" t="s">
        <v>13818</v>
      </c>
      <c r="AD140" t="s">
        <v>14309</v>
      </c>
      <c r="AH140" t="s">
        <v>13909</v>
      </c>
      <c r="AI140" t="s">
        <v>13818</v>
      </c>
      <c r="AJ140" t="s">
        <v>14309</v>
      </c>
      <c r="AO140" t="s">
        <v>13809</v>
      </c>
      <c r="AT140" t="s">
        <v>16323</v>
      </c>
      <c r="AU140" t="s">
        <v>13818</v>
      </c>
      <c r="AV140" t="s">
        <v>14309</v>
      </c>
      <c r="AZ140" t="s">
        <v>16324</v>
      </c>
      <c r="BA140" t="s">
        <v>13818</v>
      </c>
      <c r="BB140" t="s">
        <v>14309</v>
      </c>
      <c r="BF140" t="s">
        <v>16325</v>
      </c>
      <c r="BG140" t="s">
        <v>13808</v>
      </c>
      <c r="BL140" t="s">
        <v>16326</v>
      </c>
      <c r="BM140" t="s">
        <v>13818</v>
      </c>
      <c r="BN140" t="s">
        <v>14309</v>
      </c>
      <c r="BR140" t="s">
        <v>16327</v>
      </c>
      <c r="BT140" t="s">
        <v>13809</v>
      </c>
      <c r="BY140" t="s">
        <v>13887</v>
      </c>
      <c r="BZ140" t="s">
        <v>13818</v>
      </c>
      <c r="CA140" t="s">
        <v>16328</v>
      </c>
      <c r="CE140" t="s">
        <v>13887</v>
      </c>
      <c r="CF140" t="s">
        <v>13818</v>
      </c>
      <c r="CG140" t="s">
        <v>16329</v>
      </c>
      <c r="CL140" t="s">
        <v>13809</v>
      </c>
      <c r="CR140" t="s">
        <v>13809</v>
      </c>
      <c r="CT140" t="s">
        <v>16330</v>
      </c>
      <c r="CU140" t="s">
        <v>16331</v>
      </c>
      <c r="CV140" t="s">
        <v>13818</v>
      </c>
      <c r="DA140" t="s">
        <v>16332</v>
      </c>
      <c r="DB140" t="s">
        <v>13818</v>
      </c>
      <c r="DC140" t="s">
        <v>14415</v>
      </c>
      <c r="DM140" t="s">
        <v>16333</v>
      </c>
      <c r="DN140" t="s">
        <v>13818</v>
      </c>
      <c r="DO140" t="s">
        <v>16334</v>
      </c>
      <c r="DP140" t="s">
        <v>16335</v>
      </c>
      <c r="DQ140" t="s">
        <v>13818</v>
      </c>
      <c r="DR140" t="s">
        <v>16336</v>
      </c>
      <c r="DY140" t="s">
        <v>13920</v>
      </c>
      <c r="DZ140" t="s">
        <v>16337</v>
      </c>
      <c r="EA140" t="s">
        <v>15744</v>
      </c>
      <c r="EC140">
        <v>44124</v>
      </c>
      <c r="ED140" t="s">
        <v>14501</v>
      </c>
      <c r="EE140" t="s">
        <v>13579</v>
      </c>
    </row>
    <row r="141" spans="1:135">
      <c r="A141" t="s">
        <v>1415</v>
      </c>
      <c r="B141" t="s">
        <v>1375</v>
      </c>
      <c r="C141" t="s">
        <v>16338</v>
      </c>
      <c r="D141" s="24">
        <v>43839</v>
      </c>
      <c r="E141" s="24" t="s">
        <v>13560</v>
      </c>
      <c r="F141" s="24" t="s">
        <v>16339</v>
      </c>
      <c r="G141" s="24" t="s">
        <v>13808</v>
      </c>
      <c r="H141" s="24"/>
      <c r="I141" s="24" t="s">
        <v>13809</v>
      </c>
      <c r="J141" s="24"/>
      <c r="K141" s="24" t="s">
        <v>13808</v>
      </c>
      <c r="L141" s="24"/>
      <c r="M141" s="24" t="s">
        <v>14163</v>
      </c>
      <c r="N141" s="24" t="s">
        <v>13808</v>
      </c>
      <c r="O141" s="24"/>
      <c r="P141" s="24" t="s">
        <v>13808</v>
      </c>
      <c r="Q141" s="24"/>
      <c r="R141" s="24" t="s">
        <v>13808</v>
      </c>
      <c r="S141" s="24"/>
      <c r="T141" t="s">
        <v>14137</v>
      </c>
      <c r="U141" t="s">
        <v>13809</v>
      </c>
      <c r="W141" t="s">
        <v>13809</v>
      </c>
      <c r="Y141" t="s">
        <v>13809</v>
      </c>
      <c r="AA141" t="s">
        <v>16340</v>
      </c>
      <c r="AB141" t="s">
        <v>16341</v>
      </c>
      <c r="AC141" t="s">
        <v>13818</v>
      </c>
      <c r="AD141" t="s">
        <v>14415</v>
      </c>
      <c r="AH141" t="s">
        <v>14003</v>
      </c>
      <c r="AI141" t="s">
        <v>13808</v>
      </c>
      <c r="AK141" t="s">
        <v>14004</v>
      </c>
      <c r="AL141" t="s">
        <v>13818</v>
      </c>
      <c r="AM141" t="s">
        <v>14415</v>
      </c>
      <c r="AN141" t="s">
        <v>16342</v>
      </c>
      <c r="AO141" t="s">
        <v>13818</v>
      </c>
      <c r="AP141" t="s">
        <v>14415</v>
      </c>
      <c r="AT141" t="s">
        <v>16343</v>
      </c>
      <c r="AU141" t="s">
        <v>13818</v>
      </c>
      <c r="AV141" t="s">
        <v>14415</v>
      </c>
      <c r="AZ141" t="s">
        <v>16344</v>
      </c>
      <c r="BA141" t="s">
        <v>13808</v>
      </c>
      <c r="BB141" t="s">
        <v>1416</v>
      </c>
      <c r="BC141" t="s">
        <v>15008</v>
      </c>
      <c r="BD141" t="s">
        <v>13818</v>
      </c>
      <c r="BE141" t="s">
        <v>1420</v>
      </c>
      <c r="BF141" t="s">
        <v>16345</v>
      </c>
      <c r="BG141" t="s">
        <v>13808</v>
      </c>
      <c r="BL141" t="s">
        <v>16346</v>
      </c>
      <c r="BM141" t="s">
        <v>13818</v>
      </c>
      <c r="BR141" t="s">
        <v>16347</v>
      </c>
      <c r="BS141" t="s">
        <v>14003</v>
      </c>
      <c r="BT141" t="s">
        <v>13808</v>
      </c>
      <c r="BU141" t="s">
        <v>14233</v>
      </c>
      <c r="BY141" t="s">
        <v>14003</v>
      </c>
      <c r="BZ141" t="s">
        <v>13808</v>
      </c>
      <c r="CA141" t="s">
        <v>16348</v>
      </c>
      <c r="CE141" t="s">
        <v>14003</v>
      </c>
      <c r="CF141" t="s">
        <v>13808</v>
      </c>
      <c r="CL141" t="s">
        <v>13809</v>
      </c>
      <c r="CR141" t="s">
        <v>13809</v>
      </c>
      <c r="CT141" t="s">
        <v>16349</v>
      </c>
      <c r="CU141" t="s">
        <v>16350</v>
      </c>
      <c r="CV141" t="s">
        <v>13808</v>
      </c>
      <c r="CX141" t="s">
        <v>16351</v>
      </c>
      <c r="CY141" t="s">
        <v>14262</v>
      </c>
      <c r="CZ141" t="s">
        <v>14415</v>
      </c>
      <c r="DA141" t="s">
        <v>16352</v>
      </c>
      <c r="DB141" t="s">
        <v>13808</v>
      </c>
      <c r="DD141" t="s">
        <v>16353</v>
      </c>
      <c r="DE141" t="s">
        <v>13818</v>
      </c>
      <c r="DF141" t="s">
        <v>14309</v>
      </c>
      <c r="DM141" t="s">
        <v>16354</v>
      </c>
      <c r="DN141" t="s">
        <v>13808</v>
      </c>
      <c r="DP141" t="s">
        <v>16355</v>
      </c>
      <c r="DQ141" t="s">
        <v>13818</v>
      </c>
      <c r="DY141" t="s">
        <v>13900</v>
      </c>
      <c r="DZ141" t="s">
        <v>13970</v>
      </c>
      <c r="EA141" t="s">
        <v>14461</v>
      </c>
      <c r="ED141" t="s">
        <v>13903</v>
      </c>
      <c r="EE141" t="s">
        <v>5883</v>
      </c>
    </row>
    <row r="142" spans="1:135">
      <c r="A142" t="s">
        <v>1302</v>
      </c>
      <c r="B142" t="s">
        <v>1246</v>
      </c>
      <c r="C142" t="s">
        <v>16356</v>
      </c>
      <c r="D142" s="24">
        <v>43637</v>
      </c>
      <c r="E142" s="24" t="s">
        <v>13553</v>
      </c>
      <c r="F142" s="24" t="s">
        <v>16357</v>
      </c>
      <c r="G142" s="24" t="s">
        <v>13808</v>
      </c>
      <c r="H142" s="24"/>
      <c r="I142" s="24" t="s">
        <v>13809</v>
      </c>
      <c r="J142" s="24"/>
      <c r="K142" s="24" t="s">
        <v>13809</v>
      </c>
      <c r="L142" s="24"/>
      <c r="M142" s="24" t="s">
        <v>14163</v>
      </c>
      <c r="N142" s="24" t="s">
        <v>13808</v>
      </c>
      <c r="O142" s="24"/>
      <c r="P142" s="24" t="s">
        <v>13808</v>
      </c>
      <c r="Q142" s="24"/>
      <c r="R142" s="24" t="s">
        <v>13808</v>
      </c>
      <c r="S142" s="24"/>
      <c r="T142" t="s">
        <v>14016</v>
      </c>
      <c r="U142" t="s">
        <v>13808</v>
      </c>
      <c r="W142" t="s">
        <v>13808</v>
      </c>
      <c r="X142" t="s">
        <v>16358</v>
      </c>
      <c r="Y142" t="s">
        <v>13809</v>
      </c>
      <c r="AA142" t="s">
        <v>13877</v>
      </c>
      <c r="AB142" t="s">
        <v>16359</v>
      </c>
      <c r="AC142" t="s">
        <v>13808</v>
      </c>
      <c r="AH142" t="s">
        <v>13909</v>
      </c>
      <c r="AI142" t="s">
        <v>13808</v>
      </c>
      <c r="AO142" t="s">
        <v>13809</v>
      </c>
      <c r="AT142" t="s">
        <v>16360</v>
      </c>
      <c r="AU142" t="s">
        <v>13808</v>
      </c>
      <c r="AZ142" t="s">
        <v>14169</v>
      </c>
      <c r="BA142" t="s">
        <v>13808</v>
      </c>
      <c r="BF142" t="s">
        <v>16361</v>
      </c>
      <c r="BG142" t="s">
        <v>13808</v>
      </c>
      <c r="BL142" t="s">
        <v>16362</v>
      </c>
      <c r="BM142" t="s">
        <v>13808</v>
      </c>
      <c r="BR142" t="s">
        <v>16363</v>
      </c>
      <c r="BS142" t="s">
        <v>13887</v>
      </c>
      <c r="BT142" t="s">
        <v>13808</v>
      </c>
      <c r="BU142" t="s">
        <v>14128</v>
      </c>
      <c r="BY142" t="s">
        <v>14265</v>
      </c>
      <c r="BZ142" t="s">
        <v>13808</v>
      </c>
      <c r="CA142" t="s">
        <v>14026</v>
      </c>
      <c r="CE142" t="s">
        <v>14197</v>
      </c>
      <c r="CF142" t="s">
        <v>13808</v>
      </c>
      <c r="CG142" t="s">
        <v>14173</v>
      </c>
      <c r="CK142" t="s">
        <v>16364</v>
      </c>
      <c r="CL142" t="s">
        <v>13808</v>
      </c>
      <c r="CR142" t="s">
        <v>13809</v>
      </c>
      <c r="CT142" t="s">
        <v>16365</v>
      </c>
      <c r="CU142" t="s">
        <v>16366</v>
      </c>
      <c r="CV142" t="s">
        <v>13808</v>
      </c>
      <c r="DA142" t="s">
        <v>16367</v>
      </c>
      <c r="DB142" t="s">
        <v>13808</v>
      </c>
      <c r="DG142" t="s">
        <v>16368</v>
      </c>
      <c r="DH142" t="s">
        <v>13808</v>
      </c>
      <c r="DM142" t="s">
        <v>16369</v>
      </c>
      <c r="DN142" t="s">
        <v>13808</v>
      </c>
      <c r="DP142" t="s">
        <v>16370</v>
      </c>
      <c r="DQ142" t="s">
        <v>13808</v>
      </c>
      <c r="DY142" t="s">
        <v>13900</v>
      </c>
      <c r="DZ142" t="s">
        <v>16371</v>
      </c>
      <c r="EA142" t="s">
        <v>16372</v>
      </c>
      <c r="EC142">
        <v>43647</v>
      </c>
      <c r="ED142" t="s">
        <v>13903</v>
      </c>
      <c r="EE142" t="s">
        <v>5746</v>
      </c>
    </row>
    <row r="143" spans="1:135">
      <c r="A143" t="s">
        <v>1742</v>
      </c>
      <c r="B143" t="s">
        <v>1683</v>
      </c>
      <c r="C143" t="s">
        <v>16373</v>
      </c>
      <c r="D143" s="24">
        <v>45051</v>
      </c>
      <c r="E143" s="24" t="s">
        <v>13555</v>
      </c>
      <c r="F143" s="24" t="s">
        <v>16374</v>
      </c>
      <c r="G143" s="24" t="s">
        <v>13808</v>
      </c>
      <c r="H143" s="24"/>
      <c r="I143" s="24" t="s">
        <v>13809</v>
      </c>
      <c r="J143" s="24"/>
      <c r="K143" s="24" t="s">
        <v>13808</v>
      </c>
      <c r="L143" s="24" t="s">
        <v>16375</v>
      </c>
      <c r="M143" s="24" t="s">
        <v>14304</v>
      </c>
      <c r="N143" s="24" t="s">
        <v>13808</v>
      </c>
      <c r="O143" s="24"/>
      <c r="P143" s="24" t="s">
        <v>13818</v>
      </c>
      <c r="Q143" s="24" t="s">
        <v>16376</v>
      </c>
      <c r="R143" s="24" t="s">
        <v>13808</v>
      </c>
      <c r="S143" s="24"/>
      <c r="T143" t="s">
        <v>16377</v>
      </c>
      <c r="U143" t="s">
        <v>13809</v>
      </c>
      <c r="W143" t="s">
        <v>13808</v>
      </c>
      <c r="X143" t="s">
        <v>16378</v>
      </c>
      <c r="Y143" t="s">
        <v>13809</v>
      </c>
      <c r="AA143" t="s">
        <v>13849</v>
      </c>
      <c r="AB143" t="s">
        <v>16379</v>
      </c>
      <c r="AC143" t="s">
        <v>13808</v>
      </c>
      <c r="AH143" t="s">
        <v>13851</v>
      </c>
      <c r="AI143" t="s">
        <v>13808</v>
      </c>
      <c r="AN143" t="s">
        <v>13711</v>
      </c>
      <c r="AO143" t="s">
        <v>13809</v>
      </c>
      <c r="AT143" t="s">
        <v>16380</v>
      </c>
      <c r="AU143" t="s">
        <v>13808</v>
      </c>
      <c r="AZ143" t="s">
        <v>16381</v>
      </c>
      <c r="BA143" t="s">
        <v>13808</v>
      </c>
      <c r="BF143" t="s">
        <v>14795</v>
      </c>
      <c r="BG143" t="s">
        <v>13808</v>
      </c>
      <c r="BL143" t="s">
        <v>14526</v>
      </c>
      <c r="BM143" t="s">
        <v>13808</v>
      </c>
      <c r="BR143" t="s">
        <v>16382</v>
      </c>
      <c r="BS143" t="s">
        <v>13824</v>
      </c>
      <c r="BT143" t="s">
        <v>13808</v>
      </c>
      <c r="BU143" t="s">
        <v>16383</v>
      </c>
      <c r="BY143" t="s">
        <v>14148</v>
      </c>
      <c r="BZ143" t="s">
        <v>13808</v>
      </c>
      <c r="CA143" t="s">
        <v>13937</v>
      </c>
      <c r="CE143" t="s">
        <v>13828</v>
      </c>
      <c r="CF143" t="s">
        <v>13808</v>
      </c>
      <c r="CK143" t="s">
        <v>13760</v>
      </c>
      <c r="CL143" t="s">
        <v>13809</v>
      </c>
      <c r="CQ143" t="s">
        <v>13766</v>
      </c>
      <c r="CR143" t="s">
        <v>13809</v>
      </c>
      <c r="CT143" t="s">
        <v>16384</v>
      </c>
      <c r="CU143" t="s">
        <v>16385</v>
      </c>
      <c r="CV143" t="s">
        <v>13818</v>
      </c>
      <c r="DA143" t="s">
        <v>16386</v>
      </c>
      <c r="DB143" t="s">
        <v>13818</v>
      </c>
      <c r="DG143" t="s">
        <v>16387</v>
      </c>
      <c r="DH143" t="s">
        <v>13818</v>
      </c>
      <c r="DM143" t="s">
        <v>16388</v>
      </c>
      <c r="DN143" t="s">
        <v>13808</v>
      </c>
      <c r="DY143" t="s">
        <v>13869</v>
      </c>
      <c r="DZ143" t="s">
        <v>13841</v>
      </c>
      <c r="EA143" t="s">
        <v>13996</v>
      </c>
      <c r="EC143">
        <v>45062</v>
      </c>
      <c r="ED143" t="s">
        <v>14298</v>
      </c>
      <c r="EE143" t="s">
        <v>6272</v>
      </c>
    </row>
    <row r="144" spans="1:135">
      <c r="A144" t="s">
        <v>1499</v>
      </c>
      <c r="B144" t="s">
        <v>2098</v>
      </c>
      <c r="C144" t="s">
        <v>16389</v>
      </c>
      <c r="D144" s="24">
        <v>43718</v>
      </c>
      <c r="E144" s="24" t="s">
        <v>13553</v>
      </c>
      <c r="F144" s="24" t="s">
        <v>16390</v>
      </c>
      <c r="G144" s="24" t="s">
        <v>13808</v>
      </c>
      <c r="H144" s="24"/>
      <c r="I144" s="24" t="s">
        <v>13809</v>
      </c>
      <c r="J144" s="24"/>
      <c r="K144" s="24" t="s">
        <v>13808</v>
      </c>
      <c r="L144" s="24"/>
      <c r="M144" s="24" t="s">
        <v>16391</v>
      </c>
      <c r="N144" s="24" t="s">
        <v>13808</v>
      </c>
      <c r="O144" s="24"/>
      <c r="P144" s="24" t="s">
        <v>13808</v>
      </c>
      <c r="Q144" s="24"/>
      <c r="R144" s="24" t="s">
        <v>13808</v>
      </c>
      <c r="S144" s="24"/>
      <c r="T144" t="s">
        <v>16194</v>
      </c>
      <c r="U144" t="s">
        <v>13809</v>
      </c>
      <c r="W144" t="s">
        <v>13808</v>
      </c>
      <c r="X144" t="s">
        <v>16392</v>
      </c>
      <c r="Y144" t="s">
        <v>13809</v>
      </c>
      <c r="AA144" t="s">
        <v>13877</v>
      </c>
      <c r="AB144" t="s">
        <v>16393</v>
      </c>
      <c r="AC144" t="s">
        <v>13808</v>
      </c>
      <c r="AH144" t="s">
        <v>13909</v>
      </c>
      <c r="AI144" t="s">
        <v>13808</v>
      </c>
      <c r="AN144" t="s">
        <v>16394</v>
      </c>
      <c r="AO144" t="s">
        <v>13808</v>
      </c>
      <c r="AT144" t="s">
        <v>15626</v>
      </c>
      <c r="AU144" t="s">
        <v>13808</v>
      </c>
      <c r="AZ144" t="s">
        <v>13882</v>
      </c>
      <c r="BA144" t="s">
        <v>13808</v>
      </c>
      <c r="BF144" t="s">
        <v>14059</v>
      </c>
      <c r="BG144" t="s">
        <v>13808</v>
      </c>
      <c r="BL144" t="s">
        <v>16395</v>
      </c>
      <c r="BM144" t="s">
        <v>13808</v>
      </c>
      <c r="BR144" t="s">
        <v>16396</v>
      </c>
      <c r="BS144" t="s">
        <v>13885</v>
      </c>
      <c r="BT144" t="s">
        <v>13808</v>
      </c>
      <c r="BU144" t="s">
        <v>14437</v>
      </c>
      <c r="BY144" t="s">
        <v>13887</v>
      </c>
      <c r="BZ144" t="s">
        <v>13808</v>
      </c>
      <c r="CA144" t="s">
        <v>14026</v>
      </c>
      <c r="CE144" t="s">
        <v>13885</v>
      </c>
      <c r="CF144" t="s">
        <v>13808</v>
      </c>
      <c r="CG144" t="s">
        <v>14173</v>
      </c>
      <c r="CK144" t="s">
        <v>13885</v>
      </c>
      <c r="CL144" t="s">
        <v>13808</v>
      </c>
      <c r="CM144" t="s">
        <v>14173</v>
      </c>
      <c r="CR144" t="s">
        <v>13809</v>
      </c>
      <c r="CT144" t="s">
        <v>14027</v>
      </c>
      <c r="CU144" t="s">
        <v>16397</v>
      </c>
      <c r="CV144" t="s">
        <v>13808</v>
      </c>
      <c r="DA144" t="s">
        <v>16398</v>
      </c>
      <c r="DB144" t="s">
        <v>13808</v>
      </c>
      <c r="DH144" t="s">
        <v>13809</v>
      </c>
      <c r="DM144" t="s">
        <v>16399</v>
      </c>
      <c r="DN144" t="s">
        <v>13808</v>
      </c>
      <c r="DO144" t="s">
        <v>16400</v>
      </c>
      <c r="DY144" t="s">
        <v>15828</v>
      </c>
      <c r="DZ144" t="s">
        <v>14696</v>
      </c>
      <c r="EA144" t="s">
        <v>16115</v>
      </c>
      <c r="ED144" t="s">
        <v>14501</v>
      </c>
      <c r="EE144" t="s">
        <v>6826</v>
      </c>
    </row>
    <row r="145" spans="1:135">
      <c r="A145" t="s">
        <v>1648</v>
      </c>
      <c r="B145" t="s">
        <v>1589</v>
      </c>
      <c r="C145" t="s">
        <v>16401</v>
      </c>
      <c r="D145" s="24">
        <v>43746</v>
      </c>
      <c r="E145" s="24" t="s">
        <v>13553</v>
      </c>
      <c r="F145" s="24" t="s">
        <v>16402</v>
      </c>
      <c r="G145" s="24" t="s">
        <v>13808</v>
      </c>
      <c r="H145" s="24"/>
      <c r="I145" s="24" t="s">
        <v>13809</v>
      </c>
      <c r="J145" s="24"/>
      <c r="K145" s="24" t="s">
        <v>13809</v>
      </c>
      <c r="L145" s="24"/>
      <c r="M145" s="24" t="s">
        <v>14163</v>
      </c>
      <c r="N145" s="24" t="s">
        <v>13808</v>
      </c>
      <c r="O145" s="24"/>
      <c r="P145" s="24" t="s">
        <v>13808</v>
      </c>
      <c r="Q145" s="24"/>
      <c r="R145" s="24" t="s">
        <v>13808</v>
      </c>
      <c r="S145" s="24"/>
      <c r="T145" t="s">
        <v>14429</v>
      </c>
      <c r="U145" t="s">
        <v>13809</v>
      </c>
      <c r="W145" t="s">
        <v>13808</v>
      </c>
      <c r="X145" t="s">
        <v>16403</v>
      </c>
      <c r="Y145" t="s">
        <v>13809</v>
      </c>
      <c r="AA145" t="s">
        <v>13877</v>
      </c>
      <c r="AB145" t="s">
        <v>15626</v>
      </c>
      <c r="AC145" t="s">
        <v>13808</v>
      </c>
      <c r="AH145" t="s">
        <v>13909</v>
      </c>
      <c r="AI145" t="s">
        <v>13808</v>
      </c>
      <c r="AO145" t="s">
        <v>13809</v>
      </c>
      <c r="AT145" t="s">
        <v>15212</v>
      </c>
      <c r="AU145" t="s">
        <v>13808</v>
      </c>
      <c r="AZ145" t="s">
        <v>15883</v>
      </c>
      <c r="BA145" t="s">
        <v>13808</v>
      </c>
      <c r="BF145" t="s">
        <v>16404</v>
      </c>
      <c r="BG145" t="s">
        <v>13808</v>
      </c>
      <c r="BL145" t="s">
        <v>16405</v>
      </c>
      <c r="BM145" t="s">
        <v>13808</v>
      </c>
      <c r="BR145" t="s">
        <v>16406</v>
      </c>
      <c r="BT145" t="s">
        <v>13809</v>
      </c>
      <c r="BY145" t="s">
        <v>14265</v>
      </c>
      <c r="BZ145" t="s">
        <v>13808</v>
      </c>
      <c r="CA145" t="s">
        <v>14026</v>
      </c>
      <c r="CE145" t="s">
        <v>14265</v>
      </c>
      <c r="CF145" t="s">
        <v>13808</v>
      </c>
      <c r="CG145" t="s">
        <v>16407</v>
      </c>
      <c r="CL145" t="s">
        <v>13809</v>
      </c>
      <c r="CR145" t="s">
        <v>13809</v>
      </c>
      <c r="CT145" t="s">
        <v>14027</v>
      </c>
      <c r="CU145" t="s">
        <v>16408</v>
      </c>
      <c r="CV145" t="s">
        <v>13808</v>
      </c>
      <c r="DA145" t="s">
        <v>16409</v>
      </c>
      <c r="DB145" t="s">
        <v>13808</v>
      </c>
      <c r="DG145" t="s">
        <v>16410</v>
      </c>
      <c r="DH145" t="s">
        <v>13808</v>
      </c>
      <c r="DY145" t="s">
        <v>16411</v>
      </c>
      <c r="DZ145" t="s">
        <v>16412</v>
      </c>
      <c r="EA145" t="s">
        <v>14500</v>
      </c>
      <c r="EC145">
        <v>43789</v>
      </c>
      <c r="ED145" t="s">
        <v>13903</v>
      </c>
      <c r="EE145" t="s">
        <v>6159</v>
      </c>
    </row>
    <row r="146" spans="1:135">
      <c r="A146" t="s">
        <v>1064</v>
      </c>
      <c r="B146" t="s">
        <v>1246</v>
      </c>
      <c r="C146" t="s">
        <v>16413</v>
      </c>
      <c r="D146" s="24">
        <v>44582</v>
      </c>
      <c r="E146" s="24" t="s">
        <v>13561</v>
      </c>
      <c r="F146" s="24" t="s">
        <v>16414</v>
      </c>
      <c r="G146" s="24" t="s">
        <v>13808</v>
      </c>
      <c r="H146" s="24"/>
      <c r="I146" s="24" t="s">
        <v>13809</v>
      </c>
      <c r="J146" s="24"/>
      <c r="K146" s="24" t="s">
        <v>13808</v>
      </c>
      <c r="L146" s="24"/>
      <c r="M146" s="24" t="s">
        <v>15539</v>
      </c>
      <c r="N146" s="24" t="s">
        <v>13818</v>
      </c>
      <c r="O146" s="24"/>
      <c r="P146" s="24" t="s">
        <v>13818</v>
      </c>
      <c r="Q146" s="24"/>
      <c r="R146" s="24" t="s">
        <v>13818</v>
      </c>
      <c r="S146" s="24" t="s">
        <v>13819</v>
      </c>
      <c r="T146" t="s">
        <v>16415</v>
      </c>
      <c r="U146" t="s">
        <v>13809</v>
      </c>
      <c r="W146" t="s">
        <v>13809</v>
      </c>
      <c r="Y146" t="s">
        <v>13809</v>
      </c>
      <c r="AA146" t="s">
        <v>16416</v>
      </c>
      <c r="AB146" t="s">
        <v>13699</v>
      </c>
      <c r="AC146" t="s">
        <v>13809</v>
      </c>
      <c r="AH146" t="s">
        <v>13851</v>
      </c>
      <c r="AI146" t="s">
        <v>13818</v>
      </c>
      <c r="AJ146" t="s">
        <v>13819</v>
      </c>
      <c r="AN146" t="s">
        <v>13711</v>
      </c>
      <c r="AO146" t="s">
        <v>13809</v>
      </c>
      <c r="AT146" t="s">
        <v>13717</v>
      </c>
      <c r="AU146" t="s">
        <v>13809</v>
      </c>
      <c r="AZ146" t="s">
        <v>16417</v>
      </c>
      <c r="BA146" t="s">
        <v>13818</v>
      </c>
      <c r="BB146" t="s">
        <v>13819</v>
      </c>
      <c r="BF146" t="s">
        <v>16418</v>
      </c>
      <c r="BG146" t="s">
        <v>13818</v>
      </c>
      <c r="BH146" t="s">
        <v>13819</v>
      </c>
      <c r="BL146" t="s">
        <v>13735</v>
      </c>
      <c r="BM146" t="s">
        <v>13809</v>
      </c>
      <c r="BR146" t="s">
        <v>16419</v>
      </c>
      <c r="BS146" t="s">
        <v>13742</v>
      </c>
      <c r="BT146" t="s">
        <v>13809</v>
      </c>
      <c r="BY146" t="s">
        <v>13826</v>
      </c>
      <c r="BZ146" t="s">
        <v>13818</v>
      </c>
      <c r="CA146" t="s">
        <v>14780</v>
      </c>
      <c r="CE146" t="s">
        <v>13828</v>
      </c>
      <c r="CF146" t="s">
        <v>13818</v>
      </c>
      <c r="CG146" t="s">
        <v>16420</v>
      </c>
      <c r="CK146" t="s">
        <v>13760</v>
      </c>
      <c r="CL146" t="s">
        <v>13809</v>
      </c>
      <c r="CQ146" t="s">
        <v>13766</v>
      </c>
      <c r="CR146" t="s">
        <v>13809</v>
      </c>
      <c r="CT146" t="s">
        <v>16421</v>
      </c>
      <c r="CU146" t="s">
        <v>16422</v>
      </c>
      <c r="CV146" t="s">
        <v>13818</v>
      </c>
      <c r="CW146" t="s">
        <v>16423</v>
      </c>
      <c r="DA146" t="s">
        <v>16424</v>
      </c>
      <c r="DB146" t="s">
        <v>13809</v>
      </c>
      <c r="DG146" t="s">
        <v>16425</v>
      </c>
      <c r="DH146" t="s">
        <v>13809</v>
      </c>
      <c r="DI146" t="s">
        <v>16423</v>
      </c>
      <c r="DM146" t="s">
        <v>16426</v>
      </c>
      <c r="DN146" t="s">
        <v>13818</v>
      </c>
      <c r="DO146" t="s">
        <v>16427</v>
      </c>
      <c r="DP146" t="s">
        <v>16428</v>
      </c>
      <c r="DQ146" t="s">
        <v>13818</v>
      </c>
      <c r="DR146" t="s">
        <v>16429</v>
      </c>
      <c r="DY146" t="s">
        <v>15364</v>
      </c>
      <c r="DZ146" t="s">
        <v>13841</v>
      </c>
      <c r="EA146" t="s">
        <v>14118</v>
      </c>
      <c r="EC146">
        <v>44586</v>
      </c>
      <c r="ED146" t="s">
        <v>13843</v>
      </c>
      <c r="EE146" t="s">
        <v>13580</v>
      </c>
    </row>
    <row r="147" spans="1:135">
      <c r="A147" t="s">
        <v>1889</v>
      </c>
      <c r="B147" t="s">
        <v>1920</v>
      </c>
      <c r="C147" t="s">
        <v>16430</v>
      </c>
      <c r="D147" s="24">
        <v>44693</v>
      </c>
      <c r="E147" s="24" t="s">
        <v>13557</v>
      </c>
      <c r="F147" s="24" t="s">
        <v>16431</v>
      </c>
      <c r="G147" s="24" t="s">
        <v>13808</v>
      </c>
      <c r="H147" s="24"/>
      <c r="I147" s="24" t="s">
        <v>13809</v>
      </c>
      <c r="J147" s="24"/>
      <c r="K147" s="24" t="s">
        <v>13808</v>
      </c>
      <c r="L147" s="24" t="s">
        <v>16432</v>
      </c>
      <c r="M147" s="24" t="s">
        <v>16433</v>
      </c>
      <c r="N147" s="24" t="s">
        <v>13808</v>
      </c>
      <c r="O147" s="24"/>
      <c r="P147" s="24" t="s">
        <v>13808</v>
      </c>
      <c r="Q147" s="24"/>
      <c r="R147" s="24" t="s">
        <v>13808</v>
      </c>
      <c r="S147" s="24"/>
      <c r="T147" t="s">
        <v>15051</v>
      </c>
      <c r="U147" t="s">
        <v>13809</v>
      </c>
      <c r="W147" t="s">
        <v>13808</v>
      </c>
      <c r="X147" t="s">
        <v>16434</v>
      </c>
      <c r="Y147" t="s">
        <v>13809</v>
      </c>
      <c r="AA147" t="s">
        <v>13928</v>
      </c>
      <c r="AB147" t="s">
        <v>16435</v>
      </c>
      <c r="AC147" t="s">
        <v>13808</v>
      </c>
      <c r="AH147" t="s">
        <v>14953</v>
      </c>
      <c r="AI147" t="s">
        <v>13808</v>
      </c>
      <c r="AN147" t="s">
        <v>16436</v>
      </c>
      <c r="AO147" t="s">
        <v>13808</v>
      </c>
      <c r="AT147" t="s">
        <v>13717</v>
      </c>
      <c r="AU147" t="s">
        <v>13809</v>
      </c>
      <c r="AZ147" t="s">
        <v>16437</v>
      </c>
      <c r="BA147" t="s">
        <v>13808</v>
      </c>
      <c r="BF147" t="s">
        <v>16438</v>
      </c>
      <c r="BG147" t="s">
        <v>13808</v>
      </c>
      <c r="BL147" t="s">
        <v>13735</v>
      </c>
      <c r="BM147" t="s">
        <v>13809</v>
      </c>
      <c r="BR147" t="s">
        <v>16439</v>
      </c>
      <c r="BS147" t="s">
        <v>14213</v>
      </c>
      <c r="BT147" t="s">
        <v>13808</v>
      </c>
      <c r="BU147" t="s">
        <v>15988</v>
      </c>
      <c r="BY147" t="s">
        <v>13860</v>
      </c>
      <c r="BZ147" t="s">
        <v>13808</v>
      </c>
      <c r="CA147" t="s">
        <v>13937</v>
      </c>
      <c r="CE147" t="s">
        <v>13862</v>
      </c>
      <c r="CF147" t="s">
        <v>13808</v>
      </c>
      <c r="CK147" t="s">
        <v>13760</v>
      </c>
      <c r="CL147" t="s">
        <v>13809</v>
      </c>
      <c r="CQ147" t="s">
        <v>13766</v>
      </c>
      <c r="CR147" t="s">
        <v>13809</v>
      </c>
      <c r="CT147" t="s">
        <v>16440</v>
      </c>
      <c r="DA147" t="s">
        <v>16441</v>
      </c>
      <c r="DB147" t="s">
        <v>13818</v>
      </c>
      <c r="DG147" t="s">
        <v>16442</v>
      </c>
      <c r="DH147" t="s">
        <v>13818</v>
      </c>
      <c r="DY147" t="s">
        <v>13840</v>
      </c>
      <c r="DZ147" t="s">
        <v>16443</v>
      </c>
      <c r="EA147" t="s">
        <v>14118</v>
      </c>
      <c r="EC147">
        <v>44697</v>
      </c>
      <c r="ED147" t="s">
        <v>13843</v>
      </c>
      <c r="EE147" t="s">
        <v>6587</v>
      </c>
    </row>
    <row r="148" spans="1:135">
      <c r="A148" t="s">
        <v>1107</v>
      </c>
      <c r="B148" t="s">
        <v>1246</v>
      </c>
      <c r="C148" t="s">
        <v>16444</v>
      </c>
      <c r="D148" s="24">
        <v>44615</v>
      </c>
      <c r="E148" s="24" t="s">
        <v>13550</v>
      </c>
      <c r="F148" s="24" t="s">
        <v>16445</v>
      </c>
      <c r="G148" s="24" t="s">
        <v>13808</v>
      </c>
      <c r="H148" s="24" t="s">
        <v>16446</v>
      </c>
      <c r="I148" s="24" t="s">
        <v>13809</v>
      </c>
      <c r="J148" s="24"/>
      <c r="K148" s="24" t="s">
        <v>13809</v>
      </c>
      <c r="L148" s="24"/>
      <c r="M148" s="24" t="s">
        <v>16447</v>
      </c>
      <c r="N148" s="24" t="s">
        <v>13818</v>
      </c>
      <c r="O148" s="24" t="s">
        <v>14520</v>
      </c>
      <c r="P148" s="24" t="s">
        <v>13818</v>
      </c>
      <c r="Q148" s="24" t="s">
        <v>14520</v>
      </c>
      <c r="R148" s="24" t="s">
        <v>13818</v>
      </c>
      <c r="S148" s="24" t="s">
        <v>16448</v>
      </c>
      <c r="T148" t="s">
        <v>13812</v>
      </c>
      <c r="U148" t="s">
        <v>13809</v>
      </c>
      <c r="W148" t="s">
        <v>13809</v>
      </c>
      <c r="Y148" t="s">
        <v>13809</v>
      </c>
      <c r="AA148" t="s">
        <v>16449</v>
      </c>
      <c r="AB148" t="s">
        <v>14747</v>
      </c>
      <c r="AC148" t="s">
        <v>13818</v>
      </c>
      <c r="AD148" t="s">
        <v>13819</v>
      </c>
      <c r="AH148" t="s">
        <v>13851</v>
      </c>
      <c r="AI148" t="s">
        <v>13818</v>
      </c>
      <c r="AJ148" t="s">
        <v>13819</v>
      </c>
      <c r="AN148" t="s">
        <v>13711</v>
      </c>
      <c r="AO148" t="s">
        <v>13809</v>
      </c>
      <c r="AT148" t="s">
        <v>16450</v>
      </c>
      <c r="AU148" t="s">
        <v>13818</v>
      </c>
      <c r="AV148" t="s">
        <v>13819</v>
      </c>
      <c r="AZ148" t="s">
        <v>16451</v>
      </c>
      <c r="BA148" t="s">
        <v>13818</v>
      </c>
      <c r="BB148" t="s">
        <v>13819</v>
      </c>
      <c r="BF148" t="s">
        <v>16452</v>
      </c>
      <c r="BG148" t="s">
        <v>13818</v>
      </c>
      <c r="BH148" t="s">
        <v>13819</v>
      </c>
      <c r="BL148" t="s">
        <v>16453</v>
      </c>
      <c r="BM148" t="s">
        <v>13818</v>
      </c>
      <c r="BN148" t="s">
        <v>13819</v>
      </c>
      <c r="BR148" t="s">
        <v>16454</v>
      </c>
      <c r="BS148" t="s">
        <v>14290</v>
      </c>
      <c r="BT148" t="s">
        <v>13808</v>
      </c>
      <c r="BU148" t="s">
        <v>14147</v>
      </c>
      <c r="BY148" t="s">
        <v>13826</v>
      </c>
      <c r="BZ148" t="s">
        <v>13808</v>
      </c>
      <c r="CA148" t="s">
        <v>13937</v>
      </c>
      <c r="CE148" t="s">
        <v>14292</v>
      </c>
      <c r="CF148" t="s">
        <v>13818</v>
      </c>
      <c r="CG148" t="s">
        <v>13819</v>
      </c>
      <c r="CK148" t="s">
        <v>13760</v>
      </c>
      <c r="CL148" t="s">
        <v>13809</v>
      </c>
      <c r="CQ148" t="s">
        <v>13766</v>
      </c>
      <c r="CR148" t="s">
        <v>13809</v>
      </c>
      <c r="CT148" t="s">
        <v>14781</v>
      </c>
      <c r="CU148" t="s">
        <v>16455</v>
      </c>
      <c r="CV148" t="s">
        <v>13818</v>
      </c>
      <c r="CW148" t="s">
        <v>16456</v>
      </c>
      <c r="DA148" t="s">
        <v>16457</v>
      </c>
      <c r="DB148" t="s">
        <v>13818</v>
      </c>
      <c r="DC148" t="s">
        <v>16458</v>
      </c>
      <c r="DH148" t="s">
        <v>13818</v>
      </c>
      <c r="DM148" t="s">
        <v>16459</v>
      </c>
      <c r="DN148" t="s">
        <v>13818</v>
      </c>
      <c r="DO148" t="s">
        <v>16460</v>
      </c>
      <c r="DY148" t="s">
        <v>15364</v>
      </c>
      <c r="DZ148" t="s">
        <v>14406</v>
      </c>
      <c r="EA148" t="s">
        <v>14118</v>
      </c>
      <c r="EC148">
        <v>44617</v>
      </c>
      <c r="ED148" t="s">
        <v>13843</v>
      </c>
      <c r="EE148" t="s">
        <v>13581</v>
      </c>
    </row>
    <row r="149" spans="1:135">
      <c r="A149" t="s">
        <v>6864</v>
      </c>
      <c r="B149" t="s">
        <v>2174</v>
      </c>
      <c r="C149" t="s">
        <v>16461</v>
      </c>
      <c r="D149" s="24">
        <v>45029</v>
      </c>
      <c r="E149" s="24" t="s">
        <v>13553</v>
      </c>
      <c r="F149" s="24" t="s">
        <v>16462</v>
      </c>
      <c r="G149" s="24" t="s">
        <v>13808</v>
      </c>
      <c r="H149" s="24"/>
      <c r="I149" s="24" t="s">
        <v>13809</v>
      </c>
      <c r="J149" s="24"/>
      <c r="K149" s="24" t="s">
        <v>13809</v>
      </c>
      <c r="L149" s="24"/>
      <c r="M149" s="24" t="s">
        <v>13846</v>
      </c>
      <c r="N149" s="24" t="s">
        <v>13808</v>
      </c>
      <c r="O149" s="24"/>
      <c r="P149" s="24" t="s">
        <v>13808</v>
      </c>
      <c r="Q149" s="24"/>
      <c r="R149" s="24" t="s">
        <v>13808</v>
      </c>
      <c r="S149" s="24"/>
      <c r="T149" t="s">
        <v>16463</v>
      </c>
      <c r="U149" t="s">
        <v>13809</v>
      </c>
      <c r="W149" t="s">
        <v>13808</v>
      </c>
      <c r="X149" t="s">
        <v>16464</v>
      </c>
      <c r="Y149" t="s">
        <v>13809</v>
      </c>
      <c r="AA149" t="s">
        <v>13849</v>
      </c>
      <c r="AB149" t="s">
        <v>13699</v>
      </c>
      <c r="AC149" t="s">
        <v>13809</v>
      </c>
      <c r="AH149" t="s">
        <v>13851</v>
      </c>
      <c r="AI149" t="s">
        <v>13808</v>
      </c>
      <c r="AN149" t="s">
        <v>16465</v>
      </c>
      <c r="AO149" t="s">
        <v>13808</v>
      </c>
      <c r="AT149" t="s">
        <v>16466</v>
      </c>
      <c r="AU149" t="s">
        <v>13808</v>
      </c>
      <c r="AZ149" t="s">
        <v>15501</v>
      </c>
      <c r="BA149" t="s">
        <v>13808</v>
      </c>
      <c r="BF149" t="s">
        <v>16467</v>
      </c>
      <c r="BG149" t="s">
        <v>13808</v>
      </c>
      <c r="BL149" t="s">
        <v>13735</v>
      </c>
      <c r="BM149" t="s">
        <v>13809</v>
      </c>
      <c r="BR149" t="s">
        <v>16468</v>
      </c>
      <c r="BS149" t="s">
        <v>13824</v>
      </c>
      <c r="BT149" t="s">
        <v>13808</v>
      </c>
      <c r="BU149" t="s">
        <v>14336</v>
      </c>
      <c r="BY149" t="s">
        <v>13860</v>
      </c>
      <c r="BZ149" t="s">
        <v>13808</v>
      </c>
      <c r="CA149" t="s">
        <v>13937</v>
      </c>
      <c r="CE149" t="s">
        <v>14292</v>
      </c>
      <c r="CF149" t="s">
        <v>13808</v>
      </c>
      <c r="CK149" t="s">
        <v>13760</v>
      </c>
      <c r="CL149" t="s">
        <v>13809</v>
      </c>
      <c r="CQ149" t="s">
        <v>13766</v>
      </c>
      <c r="CR149" t="s">
        <v>13809</v>
      </c>
      <c r="CT149" t="s">
        <v>16469</v>
      </c>
      <c r="CU149" t="s">
        <v>16470</v>
      </c>
      <c r="CV149" t="s">
        <v>13808</v>
      </c>
      <c r="DA149" t="s">
        <v>16471</v>
      </c>
      <c r="DB149" t="s">
        <v>13808</v>
      </c>
      <c r="DG149" t="s">
        <v>16472</v>
      </c>
      <c r="DH149" t="s">
        <v>13808</v>
      </c>
      <c r="DM149" t="s">
        <v>16473</v>
      </c>
      <c r="DN149" t="s">
        <v>13808</v>
      </c>
      <c r="DO149" t="s">
        <v>16474</v>
      </c>
      <c r="DY149" t="s">
        <v>13840</v>
      </c>
      <c r="DZ149" t="s">
        <v>16475</v>
      </c>
      <c r="EA149" t="s">
        <v>13871</v>
      </c>
      <c r="EC149">
        <v>45030</v>
      </c>
      <c r="ED149" t="s">
        <v>14667</v>
      </c>
      <c r="EE149" t="s">
        <v>6867</v>
      </c>
    </row>
    <row r="150" spans="1:135">
      <c r="A150" t="s">
        <v>2192</v>
      </c>
      <c r="B150" t="s">
        <v>2174</v>
      </c>
      <c r="C150" t="s">
        <v>16476</v>
      </c>
      <c r="D150" s="24">
        <v>43066</v>
      </c>
      <c r="E150" s="24" t="s">
        <v>13558</v>
      </c>
      <c r="F150" s="24" t="s">
        <v>16477</v>
      </c>
      <c r="G150" s="24" t="s">
        <v>13808</v>
      </c>
      <c r="H150" s="24"/>
      <c r="I150" s="24" t="s">
        <v>13809</v>
      </c>
      <c r="J150" s="24"/>
      <c r="K150" s="24" t="s">
        <v>13808</v>
      </c>
      <c r="L150" s="24" t="s">
        <v>16478</v>
      </c>
      <c r="M150" s="24" t="s">
        <v>16479</v>
      </c>
      <c r="N150" s="24" t="s">
        <v>13808</v>
      </c>
      <c r="O150" s="24"/>
      <c r="P150" s="24" t="s">
        <v>13808</v>
      </c>
      <c r="Q150" s="24"/>
      <c r="R150" s="24" t="s">
        <v>13818</v>
      </c>
      <c r="S150" s="24" t="s">
        <v>16480</v>
      </c>
      <c r="T150" t="s">
        <v>15051</v>
      </c>
      <c r="U150" t="s">
        <v>13809</v>
      </c>
      <c r="W150" t="s">
        <v>13808</v>
      </c>
      <c r="X150" t="s">
        <v>16481</v>
      </c>
      <c r="Y150" t="s">
        <v>13809</v>
      </c>
      <c r="AA150" t="s">
        <v>16482</v>
      </c>
      <c r="AB150" t="s">
        <v>16214</v>
      </c>
      <c r="AC150" t="s">
        <v>13808</v>
      </c>
      <c r="AH150" t="s">
        <v>13909</v>
      </c>
      <c r="AI150" t="s">
        <v>13808</v>
      </c>
      <c r="AN150" t="s">
        <v>16483</v>
      </c>
      <c r="AO150" t="s">
        <v>13808</v>
      </c>
      <c r="AT150" t="s">
        <v>15936</v>
      </c>
      <c r="AU150" t="s">
        <v>13808</v>
      </c>
      <c r="AZ150" t="s">
        <v>16484</v>
      </c>
      <c r="BA150" t="s">
        <v>13808</v>
      </c>
      <c r="BF150" t="s">
        <v>15822</v>
      </c>
      <c r="BG150" t="s">
        <v>13808</v>
      </c>
      <c r="BL150" t="s">
        <v>16485</v>
      </c>
      <c r="BM150" t="s">
        <v>13808</v>
      </c>
      <c r="BR150" t="s">
        <v>16486</v>
      </c>
      <c r="BS150" t="s">
        <v>13887</v>
      </c>
      <c r="BT150" t="s">
        <v>13808</v>
      </c>
      <c r="BU150" t="s">
        <v>15012</v>
      </c>
      <c r="BY150" t="s">
        <v>13887</v>
      </c>
      <c r="BZ150" t="s">
        <v>13808</v>
      </c>
      <c r="CA150" t="s">
        <v>13937</v>
      </c>
      <c r="CE150" t="s">
        <v>13885</v>
      </c>
      <c r="CF150" t="s">
        <v>13818</v>
      </c>
      <c r="CG150" t="s">
        <v>16487</v>
      </c>
      <c r="CL150" t="s">
        <v>13809</v>
      </c>
      <c r="CR150" t="s">
        <v>13809</v>
      </c>
      <c r="CT150" t="s">
        <v>16488</v>
      </c>
      <c r="CU150" t="s">
        <v>13909</v>
      </c>
      <c r="CV150" t="s">
        <v>13818</v>
      </c>
      <c r="DA150" t="s">
        <v>13885</v>
      </c>
      <c r="DB150" t="s">
        <v>13808</v>
      </c>
      <c r="DD150" t="s">
        <v>15280</v>
      </c>
      <c r="DE150" t="s">
        <v>13818</v>
      </c>
      <c r="DG150" t="s">
        <v>13887</v>
      </c>
      <c r="DH150" t="s">
        <v>13808</v>
      </c>
      <c r="DZ150" t="s">
        <v>16025</v>
      </c>
      <c r="EA150" t="s">
        <v>14275</v>
      </c>
      <c r="EC150">
        <v>44124</v>
      </c>
      <c r="ED150" t="s">
        <v>13903</v>
      </c>
      <c r="EE150" t="s">
        <v>6871</v>
      </c>
    </row>
    <row r="151" spans="1:135">
      <c r="A151" t="s">
        <v>1216</v>
      </c>
      <c r="B151" t="s">
        <v>1155</v>
      </c>
      <c r="C151" t="s">
        <v>16489</v>
      </c>
      <c r="D151" s="24">
        <v>43080</v>
      </c>
      <c r="E151" s="24" t="s">
        <v>13559</v>
      </c>
      <c r="F151" s="24" t="s">
        <v>16490</v>
      </c>
      <c r="G151" s="24" t="s">
        <v>13808</v>
      </c>
      <c r="H151" s="24"/>
      <c r="I151" s="24" t="s">
        <v>13809</v>
      </c>
      <c r="J151" s="24"/>
      <c r="K151" s="24" t="s">
        <v>13808</v>
      </c>
      <c r="L151" s="24"/>
      <c r="M151" s="24" t="s">
        <v>16491</v>
      </c>
      <c r="N151" s="24" t="s">
        <v>13808</v>
      </c>
      <c r="O151" s="24"/>
      <c r="P151" s="24" t="s">
        <v>13808</v>
      </c>
      <c r="Q151" s="24"/>
      <c r="R151" s="24" t="s">
        <v>13818</v>
      </c>
      <c r="S151" s="24" t="s">
        <v>16492</v>
      </c>
      <c r="T151" t="s">
        <v>15051</v>
      </c>
      <c r="U151" t="s">
        <v>13809</v>
      </c>
      <c r="W151" t="s">
        <v>13808</v>
      </c>
      <c r="X151" t="s">
        <v>16493</v>
      </c>
      <c r="Y151" t="s">
        <v>13809</v>
      </c>
      <c r="AA151" t="s">
        <v>16494</v>
      </c>
      <c r="AC151" t="s">
        <v>13809</v>
      </c>
      <c r="AH151" t="s">
        <v>13909</v>
      </c>
      <c r="AI151" t="s">
        <v>13808</v>
      </c>
      <c r="AN151" t="s">
        <v>14018</v>
      </c>
      <c r="AO151" t="s">
        <v>13808</v>
      </c>
      <c r="AT151" t="s">
        <v>16495</v>
      </c>
      <c r="AU151" t="s">
        <v>13808</v>
      </c>
      <c r="AZ151" t="s">
        <v>16496</v>
      </c>
      <c r="BA151" t="s">
        <v>13808</v>
      </c>
      <c r="BF151" t="s">
        <v>16497</v>
      </c>
      <c r="BG151" t="s">
        <v>13808</v>
      </c>
      <c r="BM151" t="s">
        <v>13809</v>
      </c>
      <c r="BR151" t="s">
        <v>16498</v>
      </c>
      <c r="BS151" t="s">
        <v>13887</v>
      </c>
      <c r="BT151" t="s">
        <v>13808</v>
      </c>
      <c r="BU151" t="s">
        <v>16499</v>
      </c>
      <c r="BY151" t="s">
        <v>13887</v>
      </c>
      <c r="BZ151" t="s">
        <v>13808</v>
      </c>
      <c r="CA151" t="s">
        <v>13937</v>
      </c>
      <c r="CE151" t="s">
        <v>16500</v>
      </c>
      <c r="CF151" t="s">
        <v>13818</v>
      </c>
      <c r="CG151" t="s">
        <v>16501</v>
      </c>
      <c r="CL151" t="s">
        <v>13809</v>
      </c>
      <c r="CR151" t="s">
        <v>13809</v>
      </c>
      <c r="CT151" t="s">
        <v>16502</v>
      </c>
      <c r="CU151" t="s">
        <v>13885</v>
      </c>
      <c r="CV151" t="s">
        <v>13808</v>
      </c>
      <c r="CX151" t="s">
        <v>16503</v>
      </c>
      <c r="CY151" t="s">
        <v>13818</v>
      </c>
      <c r="DA151" t="s">
        <v>13885</v>
      </c>
      <c r="DB151" t="s">
        <v>13808</v>
      </c>
      <c r="DD151" t="s">
        <v>16503</v>
      </c>
      <c r="DE151" t="s">
        <v>13818</v>
      </c>
      <c r="DG151" t="s">
        <v>13909</v>
      </c>
      <c r="DH151" t="s">
        <v>13818</v>
      </c>
      <c r="DY151" t="s">
        <v>13840</v>
      </c>
      <c r="DZ151" t="s">
        <v>16025</v>
      </c>
      <c r="EA151" t="s">
        <v>14275</v>
      </c>
      <c r="EC151">
        <v>44125</v>
      </c>
      <c r="ED151" t="s">
        <v>13903</v>
      </c>
      <c r="EE151" t="s">
        <v>5649</v>
      </c>
    </row>
    <row r="152" spans="1:135">
      <c r="A152" t="s">
        <v>2198</v>
      </c>
      <c r="B152" t="s">
        <v>2174</v>
      </c>
      <c r="C152" t="s">
        <v>16504</v>
      </c>
      <c r="D152" s="24">
        <v>43066</v>
      </c>
      <c r="E152" s="24" t="s">
        <v>13571</v>
      </c>
      <c r="F152" s="24" t="s">
        <v>16505</v>
      </c>
      <c r="G152" s="24" t="s">
        <v>13808</v>
      </c>
      <c r="H152" s="24"/>
      <c r="I152" s="24" t="s">
        <v>13809</v>
      </c>
      <c r="J152" s="24"/>
      <c r="K152" s="24" t="s">
        <v>13809</v>
      </c>
      <c r="L152" s="24"/>
      <c r="M152" s="24" t="s">
        <v>16506</v>
      </c>
      <c r="N152" s="24" t="s">
        <v>13808</v>
      </c>
      <c r="O152" s="24"/>
      <c r="P152" s="24" t="s">
        <v>13808</v>
      </c>
      <c r="Q152" s="24"/>
      <c r="R152" s="24" t="s">
        <v>13808</v>
      </c>
      <c r="S152" s="24"/>
      <c r="T152" t="s">
        <v>14830</v>
      </c>
      <c r="U152" t="s">
        <v>13809</v>
      </c>
      <c r="W152" t="s">
        <v>13808</v>
      </c>
      <c r="X152" t="s">
        <v>16507</v>
      </c>
      <c r="Y152" t="s">
        <v>13808</v>
      </c>
      <c r="AA152" t="s">
        <v>14055</v>
      </c>
      <c r="AB152" t="s">
        <v>16508</v>
      </c>
      <c r="AC152" t="s">
        <v>13808</v>
      </c>
      <c r="AH152" t="s">
        <v>13909</v>
      </c>
      <c r="AI152" t="s">
        <v>13808</v>
      </c>
      <c r="AO152" t="s">
        <v>13809</v>
      </c>
      <c r="AT152" t="s">
        <v>14197</v>
      </c>
      <c r="AU152" t="s">
        <v>13808</v>
      </c>
      <c r="AZ152" t="s">
        <v>16509</v>
      </c>
      <c r="BA152" t="s">
        <v>13808</v>
      </c>
      <c r="BF152" t="s">
        <v>16510</v>
      </c>
      <c r="BG152" t="s">
        <v>13808</v>
      </c>
      <c r="BL152" t="s">
        <v>16511</v>
      </c>
      <c r="BM152" t="s">
        <v>13808</v>
      </c>
      <c r="BR152" t="s">
        <v>16512</v>
      </c>
      <c r="BS152" t="s">
        <v>13887</v>
      </c>
      <c r="BT152" t="s">
        <v>13808</v>
      </c>
      <c r="BU152" t="s">
        <v>16513</v>
      </c>
      <c r="BY152" t="s">
        <v>13887</v>
      </c>
      <c r="BZ152" t="s">
        <v>13808</v>
      </c>
      <c r="CA152" t="s">
        <v>13937</v>
      </c>
      <c r="CE152" t="s">
        <v>13885</v>
      </c>
      <c r="CF152" t="s">
        <v>13808</v>
      </c>
      <c r="CL152" t="s">
        <v>13809</v>
      </c>
      <c r="CR152" t="s">
        <v>13809</v>
      </c>
      <c r="CT152" t="s">
        <v>16514</v>
      </c>
      <c r="CU152" t="s">
        <v>13909</v>
      </c>
      <c r="CV152" t="s">
        <v>13818</v>
      </c>
      <c r="DA152" t="s">
        <v>16515</v>
      </c>
      <c r="DB152" t="s">
        <v>13808</v>
      </c>
      <c r="DD152" t="s">
        <v>16516</v>
      </c>
      <c r="DE152" t="s">
        <v>13818</v>
      </c>
      <c r="DG152" t="s">
        <v>13909</v>
      </c>
      <c r="DH152" t="s">
        <v>13818</v>
      </c>
      <c r="DM152" t="s">
        <v>16517</v>
      </c>
      <c r="DN152" t="s">
        <v>13808</v>
      </c>
      <c r="DO152" t="s">
        <v>16518</v>
      </c>
      <c r="DY152" t="s">
        <v>13869</v>
      </c>
      <c r="DZ152" t="s">
        <v>16519</v>
      </c>
      <c r="EA152" t="s">
        <v>16520</v>
      </c>
      <c r="EC152">
        <v>43958</v>
      </c>
      <c r="ED152" t="s">
        <v>13903</v>
      </c>
      <c r="EE152" t="s">
        <v>6877</v>
      </c>
    </row>
    <row r="153" spans="1:135">
      <c r="A153" t="s">
        <v>2205</v>
      </c>
      <c r="B153" t="s">
        <v>2174</v>
      </c>
      <c r="C153" t="s">
        <v>16521</v>
      </c>
      <c r="D153" s="24">
        <v>43082</v>
      </c>
      <c r="E153" s="24" t="s">
        <v>13558</v>
      </c>
      <c r="F153" s="24" t="s">
        <v>16522</v>
      </c>
      <c r="G153" s="24" t="s">
        <v>13808</v>
      </c>
      <c r="H153" s="24"/>
      <c r="I153" s="24" t="s">
        <v>13809</v>
      </c>
      <c r="J153" s="24"/>
      <c r="K153" s="24" t="s">
        <v>13808</v>
      </c>
      <c r="L153" s="24"/>
      <c r="M153" s="24" t="s">
        <v>14304</v>
      </c>
      <c r="N153" s="24" t="s">
        <v>13808</v>
      </c>
      <c r="O153" s="24"/>
      <c r="P153" s="24" t="s">
        <v>13808</v>
      </c>
      <c r="Q153" s="24"/>
      <c r="R153" s="24" t="s">
        <v>13808</v>
      </c>
      <c r="S153" s="24"/>
      <c r="T153" t="s">
        <v>15407</v>
      </c>
      <c r="U153" t="s">
        <v>13808</v>
      </c>
      <c r="W153" t="s">
        <v>13808</v>
      </c>
      <c r="X153" t="s">
        <v>16523</v>
      </c>
      <c r="Y153" t="s">
        <v>13809</v>
      </c>
      <c r="AA153" t="s">
        <v>16524</v>
      </c>
      <c r="AB153" t="s">
        <v>16525</v>
      </c>
      <c r="AC153" t="s">
        <v>13808</v>
      </c>
      <c r="AH153" t="s">
        <v>13909</v>
      </c>
      <c r="AI153" t="s">
        <v>13808</v>
      </c>
      <c r="AN153" t="s">
        <v>16526</v>
      </c>
      <c r="AO153" t="s">
        <v>13808</v>
      </c>
      <c r="AT153" t="s">
        <v>15898</v>
      </c>
      <c r="AU153" t="s">
        <v>13808</v>
      </c>
      <c r="AZ153" t="s">
        <v>16527</v>
      </c>
      <c r="BA153" t="s">
        <v>13808</v>
      </c>
      <c r="BF153" t="s">
        <v>16368</v>
      </c>
      <c r="BG153" t="s">
        <v>13808</v>
      </c>
      <c r="BL153" t="s">
        <v>16528</v>
      </c>
      <c r="BM153" t="s">
        <v>13808</v>
      </c>
      <c r="BR153" t="s">
        <v>16529</v>
      </c>
      <c r="BS153" t="s">
        <v>13887</v>
      </c>
      <c r="BT153" t="s">
        <v>13808</v>
      </c>
      <c r="BU153" t="s">
        <v>16530</v>
      </c>
      <c r="BY153" t="s">
        <v>13887</v>
      </c>
      <c r="BZ153" t="s">
        <v>13808</v>
      </c>
      <c r="CA153" t="s">
        <v>13937</v>
      </c>
      <c r="CE153" t="s">
        <v>13887</v>
      </c>
      <c r="CF153" t="s">
        <v>13808</v>
      </c>
      <c r="CL153" t="s">
        <v>13809</v>
      </c>
      <c r="CR153" t="s">
        <v>13809</v>
      </c>
      <c r="CT153" t="s">
        <v>16531</v>
      </c>
      <c r="CU153" t="s">
        <v>13909</v>
      </c>
      <c r="CV153" t="s">
        <v>13818</v>
      </c>
      <c r="DA153" t="s">
        <v>13887</v>
      </c>
      <c r="DB153" t="s">
        <v>13818</v>
      </c>
      <c r="DC153" t="s">
        <v>16532</v>
      </c>
      <c r="DD153" t="s">
        <v>14004</v>
      </c>
      <c r="DE153" t="s">
        <v>13818</v>
      </c>
      <c r="DG153" t="s">
        <v>13909</v>
      </c>
      <c r="DH153" t="s">
        <v>13818</v>
      </c>
      <c r="DY153" t="s">
        <v>13840</v>
      </c>
      <c r="DZ153" t="s">
        <v>16025</v>
      </c>
      <c r="EA153" t="s">
        <v>14275</v>
      </c>
      <c r="EC153">
        <v>44126</v>
      </c>
      <c r="ED153" t="s">
        <v>13903</v>
      </c>
      <c r="EE153" t="s">
        <v>6879</v>
      </c>
    </row>
    <row r="154" spans="1:135">
      <c r="A154" t="s">
        <v>1498</v>
      </c>
      <c r="B154" t="s">
        <v>1442</v>
      </c>
      <c r="C154" t="s">
        <v>16533</v>
      </c>
      <c r="D154" s="24">
        <v>43087</v>
      </c>
      <c r="E154" s="24" t="s">
        <v>13559</v>
      </c>
      <c r="F154" s="24" t="s">
        <v>16534</v>
      </c>
      <c r="G154" s="24" t="s">
        <v>13808</v>
      </c>
      <c r="H154" s="24"/>
      <c r="I154" s="24" t="s">
        <v>13809</v>
      </c>
      <c r="J154" s="24"/>
      <c r="K154" s="24" t="s">
        <v>13808</v>
      </c>
      <c r="L154" s="24"/>
      <c r="M154" s="24" t="s">
        <v>14304</v>
      </c>
      <c r="N154" s="24" t="s">
        <v>13808</v>
      </c>
      <c r="O154" s="24"/>
      <c r="P154" s="24" t="s">
        <v>13808</v>
      </c>
      <c r="Q154" s="24"/>
      <c r="R154" s="24" t="s">
        <v>13808</v>
      </c>
      <c r="S154" s="24"/>
      <c r="T154" t="s">
        <v>15051</v>
      </c>
      <c r="U154" t="s">
        <v>13809</v>
      </c>
      <c r="W154" t="s">
        <v>13808</v>
      </c>
      <c r="X154" t="s">
        <v>16535</v>
      </c>
      <c r="Y154" t="s">
        <v>13809</v>
      </c>
      <c r="AA154" t="s">
        <v>13928</v>
      </c>
      <c r="AB154" t="s">
        <v>16536</v>
      </c>
      <c r="AC154" t="s">
        <v>13808</v>
      </c>
      <c r="AH154" t="s">
        <v>13909</v>
      </c>
      <c r="AI154" t="s">
        <v>13808</v>
      </c>
      <c r="AO154" t="s">
        <v>13809</v>
      </c>
      <c r="AT154" t="s">
        <v>13885</v>
      </c>
      <c r="AU154" t="s">
        <v>13808</v>
      </c>
      <c r="AZ154" t="s">
        <v>16537</v>
      </c>
      <c r="BA154" t="s">
        <v>13808</v>
      </c>
      <c r="BF154" t="s">
        <v>14189</v>
      </c>
      <c r="BG154" t="s">
        <v>13808</v>
      </c>
      <c r="BL154" t="s">
        <v>16538</v>
      </c>
      <c r="BM154" t="s">
        <v>13808</v>
      </c>
      <c r="BR154" t="s">
        <v>16539</v>
      </c>
      <c r="BS154" t="s">
        <v>13887</v>
      </c>
      <c r="BT154" t="s">
        <v>13808</v>
      </c>
      <c r="BU154" t="s">
        <v>16499</v>
      </c>
      <c r="BY154" t="s">
        <v>14265</v>
      </c>
      <c r="BZ154" t="s">
        <v>13808</v>
      </c>
      <c r="CA154" t="s">
        <v>13937</v>
      </c>
      <c r="CE154" t="s">
        <v>13887</v>
      </c>
      <c r="CF154" t="s">
        <v>13808</v>
      </c>
      <c r="CL154" t="s">
        <v>13809</v>
      </c>
      <c r="CR154" t="s">
        <v>13809</v>
      </c>
      <c r="CT154" t="s">
        <v>16540</v>
      </c>
      <c r="CU154" t="s">
        <v>13887</v>
      </c>
      <c r="CV154" t="s">
        <v>13808</v>
      </c>
      <c r="CX154" t="s">
        <v>14841</v>
      </c>
      <c r="CY154" t="s">
        <v>13818</v>
      </c>
      <c r="DA154" t="s">
        <v>13887</v>
      </c>
      <c r="DB154" t="s">
        <v>13808</v>
      </c>
      <c r="DD154" t="s">
        <v>14841</v>
      </c>
      <c r="DE154" t="s">
        <v>13818</v>
      </c>
      <c r="DG154" t="s">
        <v>13909</v>
      </c>
      <c r="DH154" t="s">
        <v>13818</v>
      </c>
      <c r="DY154" t="s">
        <v>13840</v>
      </c>
      <c r="DZ154" t="s">
        <v>16025</v>
      </c>
      <c r="EA154" t="s">
        <v>14275</v>
      </c>
      <c r="EC154">
        <v>44126</v>
      </c>
      <c r="ED154" t="s">
        <v>13903</v>
      </c>
      <c r="EE154" t="s">
        <v>5994</v>
      </c>
    </row>
    <row r="155" spans="1:135">
      <c r="A155" t="s">
        <v>1577</v>
      </c>
      <c r="B155" t="s">
        <v>2026</v>
      </c>
      <c r="C155" t="s">
        <v>16541</v>
      </c>
      <c r="D155" s="24">
        <v>43648</v>
      </c>
      <c r="E155" s="24" t="s">
        <v>13553</v>
      </c>
      <c r="F155" s="24" t="s">
        <v>16542</v>
      </c>
      <c r="G155" s="24" t="s">
        <v>13808</v>
      </c>
      <c r="H155" s="24"/>
      <c r="I155" s="24" t="s">
        <v>13809</v>
      </c>
      <c r="J155" s="24"/>
      <c r="K155" s="24" t="s">
        <v>13809</v>
      </c>
      <c r="L155" s="24"/>
      <c r="M155" s="24" t="s">
        <v>16543</v>
      </c>
      <c r="N155" s="24" t="s">
        <v>13808</v>
      </c>
      <c r="O155" s="24"/>
      <c r="P155" s="24" t="s">
        <v>13808</v>
      </c>
      <c r="Q155" s="24"/>
      <c r="R155" s="24" t="s">
        <v>13808</v>
      </c>
      <c r="S155" s="24"/>
      <c r="T155" t="s">
        <v>14034</v>
      </c>
      <c r="U155" t="s">
        <v>13809</v>
      </c>
      <c r="W155" t="s">
        <v>13808</v>
      </c>
      <c r="X155" t="s">
        <v>16544</v>
      </c>
      <c r="Y155" t="s">
        <v>13809</v>
      </c>
      <c r="AA155" t="s">
        <v>13877</v>
      </c>
      <c r="AC155" t="s">
        <v>13809</v>
      </c>
      <c r="AH155" t="s">
        <v>13909</v>
      </c>
      <c r="AI155" t="s">
        <v>13808</v>
      </c>
      <c r="AN155" t="s">
        <v>16545</v>
      </c>
      <c r="AO155" t="s">
        <v>13808</v>
      </c>
      <c r="AT155">
        <v>212</v>
      </c>
      <c r="AU155" t="s">
        <v>13808</v>
      </c>
      <c r="AZ155" t="s">
        <v>16546</v>
      </c>
      <c r="BA155" t="s">
        <v>13808</v>
      </c>
      <c r="BF155">
        <v>211</v>
      </c>
      <c r="BG155" t="s">
        <v>13808</v>
      </c>
      <c r="BL155" t="s">
        <v>16547</v>
      </c>
      <c r="BM155" t="s">
        <v>13818</v>
      </c>
      <c r="BR155" t="s">
        <v>16548</v>
      </c>
      <c r="BS155" t="s">
        <v>13887</v>
      </c>
      <c r="BT155" t="s">
        <v>13808</v>
      </c>
      <c r="BU155" t="s">
        <v>14492</v>
      </c>
      <c r="BY155" t="s">
        <v>13887</v>
      </c>
      <c r="BZ155" t="s">
        <v>13808</v>
      </c>
      <c r="CA155" t="s">
        <v>14438</v>
      </c>
      <c r="CE155" t="s">
        <v>13887</v>
      </c>
      <c r="CF155" t="s">
        <v>13808</v>
      </c>
      <c r="CL155" t="s">
        <v>13809</v>
      </c>
      <c r="CR155" t="s">
        <v>13809</v>
      </c>
      <c r="CT155" t="s">
        <v>14694</v>
      </c>
      <c r="CU155" t="s">
        <v>16549</v>
      </c>
      <c r="CV155" t="s">
        <v>13808</v>
      </c>
      <c r="CX155" t="s">
        <v>16550</v>
      </c>
      <c r="CY155" t="s">
        <v>13808</v>
      </c>
      <c r="DA155" t="s">
        <v>16551</v>
      </c>
      <c r="DB155" t="s">
        <v>13808</v>
      </c>
      <c r="DD155" t="s">
        <v>16552</v>
      </c>
      <c r="DE155" t="s">
        <v>13818</v>
      </c>
      <c r="DG155">
        <v>311</v>
      </c>
      <c r="DH155" t="s">
        <v>13808</v>
      </c>
      <c r="DI155" t="s">
        <v>16553</v>
      </c>
      <c r="DJ155">
        <v>317</v>
      </c>
      <c r="DK155" t="s">
        <v>13808</v>
      </c>
      <c r="DL155" t="s">
        <v>14199</v>
      </c>
      <c r="DM155" t="s">
        <v>16554</v>
      </c>
      <c r="DN155" t="s">
        <v>13897</v>
      </c>
      <c r="DO155" t="s">
        <v>16555</v>
      </c>
      <c r="DY155" t="s">
        <v>13900</v>
      </c>
      <c r="DZ155" t="s">
        <v>16556</v>
      </c>
      <c r="EA155" t="s">
        <v>16557</v>
      </c>
      <c r="EC155">
        <v>43654</v>
      </c>
      <c r="ED155" t="s">
        <v>13903</v>
      </c>
      <c r="EE155" t="s">
        <v>6708</v>
      </c>
    </row>
    <row r="156" spans="1:135">
      <c r="A156" t="s">
        <v>1480</v>
      </c>
      <c r="B156" t="s">
        <v>2098</v>
      </c>
      <c r="C156" t="s">
        <v>16558</v>
      </c>
      <c r="D156" s="24">
        <v>43601</v>
      </c>
      <c r="E156" s="24" t="s">
        <v>13571</v>
      </c>
      <c r="F156" s="24" t="s">
        <v>16559</v>
      </c>
      <c r="G156" s="24" t="s">
        <v>13808</v>
      </c>
      <c r="H156" s="24"/>
      <c r="I156" s="24" t="s">
        <v>13809</v>
      </c>
      <c r="J156" s="24"/>
      <c r="K156" s="24" t="s">
        <v>13808</v>
      </c>
      <c r="L156" s="24"/>
      <c r="M156" s="24" t="s">
        <v>16560</v>
      </c>
      <c r="N156" s="24" t="s">
        <v>13818</v>
      </c>
      <c r="O156" s="24" t="s">
        <v>15815</v>
      </c>
      <c r="P156" s="24" t="s">
        <v>13808</v>
      </c>
      <c r="Q156" s="24"/>
      <c r="R156" s="24" t="s">
        <v>13808</v>
      </c>
      <c r="S156" s="24"/>
      <c r="T156" t="s">
        <v>16561</v>
      </c>
      <c r="U156" t="s">
        <v>13809</v>
      </c>
      <c r="W156" t="s">
        <v>13808</v>
      </c>
      <c r="X156" t="s">
        <v>16562</v>
      </c>
      <c r="Y156" t="s">
        <v>13809</v>
      </c>
      <c r="AA156" t="s">
        <v>16563</v>
      </c>
      <c r="AC156" t="s">
        <v>13809</v>
      </c>
      <c r="AH156" t="s">
        <v>13909</v>
      </c>
      <c r="AI156" t="s">
        <v>13808</v>
      </c>
      <c r="AJ156" t="s">
        <v>16564</v>
      </c>
      <c r="AO156" t="s">
        <v>13809</v>
      </c>
      <c r="AU156" t="s">
        <v>13809</v>
      </c>
      <c r="AZ156" t="s">
        <v>16565</v>
      </c>
      <c r="BA156" t="s">
        <v>13808</v>
      </c>
      <c r="BF156" t="s">
        <v>16566</v>
      </c>
      <c r="BG156" t="s">
        <v>13808</v>
      </c>
      <c r="BM156" t="s">
        <v>13809</v>
      </c>
      <c r="BR156" t="s">
        <v>16567</v>
      </c>
      <c r="BS156" t="s">
        <v>13887</v>
      </c>
      <c r="BT156" t="s">
        <v>13808</v>
      </c>
      <c r="BU156" t="s">
        <v>16568</v>
      </c>
      <c r="BY156" t="s">
        <v>13887</v>
      </c>
      <c r="BZ156" t="s">
        <v>13808</v>
      </c>
      <c r="CA156" t="s">
        <v>14026</v>
      </c>
      <c r="CE156" t="s">
        <v>13887</v>
      </c>
      <c r="CF156" t="s">
        <v>13808</v>
      </c>
      <c r="CK156" t="s">
        <v>16569</v>
      </c>
      <c r="CL156" t="s">
        <v>13808</v>
      </c>
      <c r="CR156" t="s">
        <v>13809</v>
      </c>
      <c r="CT156" t="s">
        <v>16570</v>
      </c>
      <c r="CU156" t="s">
        <v>16571</v>
      </c>
      <c r="CV156" t="s">
        <v>13808</v>
      </c>
      <c r="DA156" t="s">
        <v>16572</v>
      </c>
      <c r="DB156" t="s">
        <v>13818</v>
      </c>
      <c r="DH156" t="s">
        <v>13809</v>
      </c>
      <c r="DM156" t="s">
        <v>16573</v>
      </c>
      <c r="DN156" t="s">
        <v>13808</v>
      </c>
      <c r="DP156" t="s">
        <v>16574</v>
      </c>
      <c r="DQ156" t="s">
        <v>13808</v>
      </c>
      <c r="DY156" t="s">
        <v>15828</v>
      </c>
      <c r="DZ156" t="s">
        <v>16575</v>
      </c>
      <c r="EA156" t="s">
        <v>16270</v>
      </c>
      <c r="ED156" t="s">
        <v>13903</v>
      </c>
      <c r="EE156" t="s">
        <v>6829</v>
      </c>
    </row>
    <row r="157" spans="1:135">
      <c r="A157" t="s">
        <v>1506</v>
      </c>
      <c r="B157" t="s">
        <v>1442</v>
      </c>
      <c r="C157" t="s">
        <v>16576</v>
      </c>
      <c r="D157" s="24">
        <v>43284</v>
      </c>
      <c r="E157" s="24" t="s">
        <v>13560</v>
      </c>
      <c r="F157" s="24" t="s">
        <v>16577</v>
      </c>
      <c r="G157" s="24" t="s">
        <v>13808</v>
      </c>
      <c r="H157" s="24"/>
      <c r="I157" s="24" t="s">
        <v>13809</v>
      </c>
      <c r="J157" s="24"/>
      <c r="K157" s="24" t="s">
        <v>13808</v>
      </c>
      <c r="L157" s="24" t="s">
        <v>16578</v>
      </c>
      <c r="M157" s="24" t="s">
        <v>14410</v>
      </c>
      <c r="N157" s="24" t="s">
        <v>13818</v>
      </c>
      <c r="O157" s="24"/>
      <c r="P157" s="24" t="s">
        <v>13808</v>
      </c>
      <c r="Q157" s="24"/>
      <c r="R157" s="24" t="s">
        <v>13808</v>
      </c>
      <c r="S157" s="24"/>
      <c r="T157" t="s">
        <v>16579</v>
      </c>
      <c r="U157" t="s">
        <v>13809</v>
      </c>
      <c r="W157" t="s">
        <v>13808</v>
      </c>
      <c r="X157" t="s">
        <v>16580</v>
      </c>
      <c r="Y157" t="s">
        <v>13809</v>
      </c>
      <c r="AA157" t="s">
        <v>13928</v>
      </c>
      <c r="AC157" t="s">
        <v>13809</v>
      </c>
      <c r="AH157" t="s">
        <v>13909</v>
      </c>
      <c r="AI157" t="s">
        <v>13808</v>
      </c>
      <c r="AN157" t="s">
        <v>14597</v>
      </c>
      <c r="AO157" t="s">
        <v>13808</v>
      </c>
      <c r="AT157" t="s">
        <v>14704</v>
      </c>
      <c r="AU157" t="s">
        <v>13808</v>
      </c>
      <c r="AZ157" t="s">
        <v>16234</v>
      </c>
      <c r="BA157" t="s">
        <v>13808</v>
      </c>
      <c r="BF157" t="s">
        <v>16581</v>
      </c>
      <c r="BG157" t="s">
        <v>13808</v>
      </c>
      <c r="BM157" t="s">
        <v>13809</v>
      </c>
      <c r="BR157" t="s">
        <v>16582</v>
      </c>
      <c r="BT157" t="s">
        <v>13809</v>
      </c>
      <c r="BY157" t="s">
        <v>13887</v>
      </c>
      <c r="BZ157" t="s">
        <v>13808</v>
      </c>
      <c r="CA157" t="s">
        <v>13937</v>
      </c>
      <c r="CF157" t="s">
        <v>13809</v>
      </c>
      <c r="CK157" t="s">
        <v>13887</v>
      </c>
      <c r="CL157" t="s">
        <v>13808</v>
      </c>
      <c r="CM157" t="s">
        <v>14233</v>
      </c>
      <c r="CR157" t="s">
        <v>13809</v>
      </c>
      <c r="CT157" t="s">
        <v>16583</v>
      </c>
      <c r="CU157" t="s">
        <v>16368</v>
      </c>
      <c r="CV157" t="s">
        <v>13808</v>
      </c>
      <c r="CX157" t="s">
        <v>14625</v>
      </c>
      <c r="CY157" t="s">
        <v>13818</v>
      </c>
      <c r="DA157" t="s">
        <v>16584</v>
      </c>
      <c r="DB157" t="s">
        <v>13808</v>
      </c>
      <c r="DD157" t="s">
        <v>14625</v>
      </c>
      <c r="DE157" t="s">
        <v>13818</v>
      </c>
      <c r="DG157" t="s">
        <v>13909</v>
      </c>
      <c r="DH157" t="s">
        <v>13818</v>
      </c>
      <c r="DY157" t="s">
        <v>13840</v>
      </c>
      <c r="DZ157" t="s">
        <v>15812</v>
      </c>
      <c r="EA157" t="s">
        <v>13871</v>
      </c>
      <c r="EC157">
        <v>43802</v>
      </c>
      <c r="ED157" t="s">
        <v>13903</v>
      </c>
      <c r="EE157" t="s">
        <v>6000</v>
      </c>
    </row>
    <row r="158" spans="1:135">
      <c r="A158" t="s">
        <v>1510</v>
      </c>
      <c r="B158" t="s">
        <v>1442</v>
      </c>
      <c r="C158" t="s">
        <v>16585</v>
      </c>
      <c r="D158" s="24">
        <v>43718</v>
      </c>
      <c r="E158" s="24" t="s">
        <v>13564</v>
      </c>
      <c r="F158" s="24" t="s">
        <v>16586</v>
      </c>
      <c r="G158" s="24" t="s">
        <v>13808</v>
      </c>
      <c r="H158" s="24"/>
      <c r="I158" s="24" t="s">
        <v>13809</v>
      </c>
      <c r="J158" s="24"/>
      <c r="K158" s="24" t="s">
        <v>13808</v>
      </c>
      <c r="L158" s="24" t="s">
        <v>16587</v>
      </c>
      <c r="M158" s="24" t="s">
        <v>13874</v>
      </c>
      <c r="N158" s="24" t="s">
        <v>13808</v>
      </c>
      <c r="O158" s="24"/>
      <c r="P158" s="24" t="s">
        <v>13808</v>
      </c>
      <c r="Q158" s="24"/>
      <c r="R158" s="24" t="s">
        <v>13808</v>
      </c>
      <c r="S158" s="24"/>
      <c r="T158" t="s">
        <v>13907</v>
      </c>
      <c r="U158" t="s">
        <v>13809</v>
      </c>
      <c r="W158" t="s">
        <v>13808</v>
      </c>
      <c r="X158" t="s">
        <v>16588</v>
      </c>
      <c r="Y158" t="s">
        <v>13808</v>
      </c>
      <c r="AA158" t="s">
        <v>16563</v>
      </c>
      <c r="AB158" t="s">
        <v>16589</v>
      </c>
      <c r="AC158" t="s">
        <v>13808</v>
      </c>
      <c r="AH158" t="s">
        <v>13909</v>
      </c>
      <c r="AI158" t="s">
        <v>13808</v>
      </c>
      <c r="AN158" t="s">
        <v>16590</v>
      </c>
      <c r="AO158" t="s">
        <v>13808</v>
      </c>
      <c r="AT158" t="s">
        <v>16591</v>
      </c>
      <c r="AU158" t="s">
        <v>13808</v>
      </c>
      <c r="AZ158" t="s">
        <v>16592</v>
      </c>
      <c r="BA158" t="s">
        <v>13808</v>
      </c>
      <c r="BF158" t="s">
        <v>16593</v>
      </c>
      <c r="BG158" t="s">
        <v>13808</v>
      </c>
      <c r="BM158" t="s">
        <v>13809</v>
      </c>
      <c r="BR158" t="s">
        <v>16594</v>
      </c>
      <c r="BS158" t="s">
        <v>13887</v>
      </c>
      <c r="BT158" t="s">
        <v>13808</v>
      </c>
      <c r="BU158" t="s">
        <v>16568</v>
      </c>
      <c r="BY158" t="s">
        <v>13887</v>
      </c>
      <c r="BZ158" t="s">
        <v>13808</v>
      </c>
      <c r="CA158" t="s">
        <v>13888</v>
      </c>
      <c r="CE158" t="s">
        <v>14265</v>
      </c>
      <c r="CF158" t="s">
        <v>13808</v>
      </c>
      <c r="CK158" t="s">
        <v>14197</v>
      </c>
      <c r="CL158" t="s">
        <v>13818</v>
      </c>
      <c r="CM158" t="s">
        <v>16595</v>
      </c>
      <c r="CR158" t="s">
        <v>13809</v>
      </c>
      <c r="CT158" t="s">
        <v>16596</v>
      </c>
      <c r="CU158" t="s">
        <v>16597</v>
      </c>
      <c r="CV158" t="s">
        <v>13808</v>
      </c>
      <c r="CX158" t="s">
        <v>14731</v>
      </c>
      <c r="CY158" t="s">
        <v>13818</v>
      </c>
      <c r="DA158" t="s">
        <v>16598</v>
      </c>
      <c r="DB158" t="s">
        <v>13808</v>
      </c>
      <c r="DD158" t="s">
        <v>13883</v>
      </c>
      <c r="DE158" t="s">
        <v>13818</v>
      </c>
      <c r="DG158" t="s">
        <v>16599</v>
      </c>
      <c r="DH158" t="s">
        <v>13818</v>
      </c>
      <c r="DM158" t="s">
        <v>16600</v>
      </c>
      <c r="DN158" t="s">
        <v>13818</v>
      </c>
      <c r="DP158" t="s">
        <v>16601</v>
      </c>
      <c r="DQ158" t="s">
        <v>13818</v>
      </c>
      <c r="DR158" t="s">
        <v>14947</v>
      </c>
      <c r="DY158" t="s">
        <v>13900</v>
      </c>
      <c r="DZ158" t="s">
        <v>15812</v>
      </c>
      <c r="EA158" t="s">
        <v>14049</v>
      </c>
      <c r="ED158" t="s">
        <v>14501</v>
      </c>
      <c r="EE158" t="s">
        <v>6004</v>
      </c>
    </row>
    <row r="159" spans="1:135">
      <c r="A159" t="s">
        <v>1517</v>
      </c>
      <c r="B159" t="s">
        <v>1442</v>
      </c>
      <c r="C159" t="s">
        <v>16602</v>
      </c>
      <c r="D159" s="24">
        <v>43362</v>
      </c>
      <c r="E159" s="24" t="s">
        <v>13558</v>
      </c>
      <c r="F159" s="24" t="s">
        <v>16603</v>
      </c>
      <c r="G159" s="24" t="s">
        <v>13808</v>
      </c>
      <c r="H159" s="24"/>
      <c r="I159" s="24" t="s">
        <v>13809</v>
      </c>
      <c r="J159" s="24"/>
      <c r="K159" s="24" t="s">
        <v>13808</v>
      </c>
      <c r="L159" s="24"/>
      <c r="M159" s="24" t="s">
        <v>16604</v>
      </c>
      <c r="N159" s="24" t="s">
        <v>13808</v>
      </c>
      <c r="O159" s="24"/>
      <c r="P159" s="24" t="s">
        <v>13808</v>
      </c>
      <c r="Q159" s="24"/>
      <c r="R159" s="24" t="s">
        <v>13808</v>
      </c>
      <c r="S159" s="24"/>
      <c r="T159" t="s">
        <v>16605</v>
      </c>
      <c r="U159" t="s">
        <v>13809</v>
      </c>
      <c r="W159" t="s">
        <v>13808</v>
      </c>
      <c r="X159" t="s">
        <v>16606</v>
      </c>
      <c r="Y159" t="s">
        <v>13808</v>
      </c>
      <c r="AA159" t="s">
        <v>16607</v>
      </c>
      <c r="AC159" t="s">
        <v>13809</v>
      </c>
      <c r="AH159" t="s">
        <v>13887</v>
      </c>
      <c r="AI159" t="s">
        <v>13808</v>
      </c>
      <c r="AK159" t="s">
        <v>16608</v>
      </c>
      <c r="AL159" t="s">
        <v>13808</v>
      </c>
      <c r="AM159" t="s">
        <v>16609</v>
      </c>
      <c r="AN159" t="s">
        <v>13910</v>
      </c>
      <c r="AO159" t="s">
        <v>13808</v>
      </c>
      <c r="AT159" t="s">
        <v>14366</v>
      </c>
      <c r="AU159" t="s">
        <v>13808</v>
      </c>
      <c r="AZ159" t="s">
        <v>16234</v>
      </c>
      <c r="BA159" t="s">
        <v>13808</v>
      </c>
      <c r="BF159" t="s">
        <v>16048</v>
      </c>
      <c r="BG159" t="s">
        <v>13808</v>
      </c>
      <c r="BL159" t="s">
        <v>16610</v>
      </c>
      <c r="BM159" t="s">
        <v>13808</v>
      </c>
      <c r="BR159" t="s">
        <v>16611</v>
      </c>
      <c r="BT159" t="s">
        <v>13809</v>
      </c>
      <c r="BY159" t="s">
        <v>13887</v>
      </c>
      <c r="BZ159" t="s">
        <v>13808</v>
      </c>
      <c r="CA159" t="s">
        <v>13937</v>
      </c>
      <c r="CF159" t="s">
        <v>13809</v>
      </c>
      <c r="CK159" t="s">
        <v>13887</v>
      </c>
      <c r="CL159" t="s">
        <v>13808</v>
      </c>
      <c r="CM159" t="s">
        <v>16612</v>
      </c>
      <c r="CR159" t="s">
        <v>13809</v>
      </c>
      <c r="CT159" t="s">
        <v>16613</v>
      </c>
      <c r="CU159" t="s">
        <v>13909</v>
      </c>
      <c r="CV159" t="s">
        <v>13818</v>
      </c>
      <c r="DA159" t="s">
        <v>13909</v>
      </c>
      <c r="DB159" t="s">
        <v>13818</v>
      </c>
      <c r="DH159" t="s">
        <v>13809</v>
      </c>
      <c r="DM159" t="s">
        <v>14004</v>
      </c>
      <c r="DN159" t="s">
        <v>13808</v>
      </c>
      <c r="DP159" t="s">
        <v>13887</v>
      </c>
      <c r="DQ159" t="s">
        <v>13818</v>
      </c>
      <c r="DZ159" t="s">
        <v>16614</v>
      </c>
      <c r="EA159" t="s">
        <v>14201</v>
      </c>
      <c r="EC159">
        <v>43480</v>
      </c>
      <c r="ED159" t="s">
        <v>13903</v>
      </c>
      <c r="EE159" t="s">
        <v>6010</v>
      </c>
    </row>
    <row r="160" spans="1:135">
      <c r="A160" t="s">
        <v>1993</v>
      </c>
      <c r="B160" t="s">
        <v>1920</v>
      </c>
      <c r="C160" t="s">
        <v>16615</v>
      </c>
      <c r="D160" s="24">
        <v>43066</v>
      </c>
      <c r="E160" s="24" t="s">
        <v>13564</v>
      </c>
      <c r="F160" s="24" t="s">
        <v>16616</v>
      </c>
      <c r="G160" s="24" t="s">
        <v>13808</v>
      </c>
      <c r="H160" s="24"/>
      <c r="I160" s="24" t="s">
        <v>13809</v>
      </c>
      <c r="J160" s="24"/>
      <c r="K160" s="24" t="s">
        <v>13808</v>
      </c>
      <c r="L160" s="24"/>
      <c r="M160" s="24" t="s">
        <v>13950</v>
      </c>
      <c r="N160" s="24" t="s">
        <v>13808</v>
      </c>
      <c r="O160" s="24"/>
      <c r="P160" s="24" t="s">
        <v>13818</v>
      </c>
      <c r="Q160" s="24" t="s">
        <v>16617</v>
      </c>
      <c r="R160" s="24" t="s">
        <v>13808</v>
      </c>
      <c r="S160" s="24"/>
      <c r="T160" t="s">
        <v>14632</v>
      </c>
      <c r="U160" t="s">
        <v>13809</v>
      </c>
      <c r="W160" t="s">
        <v>13808</v>
      </c>
      <c r="X160" t="s">
        <v>16618</v>
      </c>
      <c r="Y160" t="s">
        <v>13809</v>
      </c>
      <c r="AA160" t="s">
        <v>16619</v>
      </c>
      <c r="AB160" t="s">
        <v>16405</v>
      </c>
      <c r="AC160" t="s">
        <v>13808</v>
      </c>
      <c r="AH160" t="s">
        <v>13909</v>
      </c>
      <c r="AI160" t="s">
        <v>13808</v>
      </c>
      <c r="AN160" t="s">
        <v>16620</v>
      </c>
      <c r="AO160" t="s">
        <v>13808</v>
      </c>
      <c r="AT160" t="s">
        <v>16621</v>
      </c>
      <c r="AU160" t="s">
        <v>13808</v>
      </c>
      <c r="AZ160" t="s">
        <v>16622</v>
      </c>
      <c r="BA160" t="s">
        <v>13808</v>
      </c>
      <c r="BF160" t="s">
        <v>16623</v>
      </c>
      <c r="BG160" t="s">
        <v>13808</v>
      </c>
      <c r="BL160" t="s">
        <v>16624</v>
      </c>
      <c r="BM160" t="s">
        <v>13808</v>
      </c>
      <c r="BR160" t="s">
        <v>16625</v>
      </c>
      <c r="BS160" t="s">
        <v>13887</v>
      </c>
      <c r="BT160" t="s">
        <v>13808</v>
      </c>
      <c r="BU160" t="s">
        <v>14128</v>
      </c>
      <c r="BY160" t="s">
        <v>14265</v>
      </c>
      <c r="BZ160" t="s">
        <v>13808</v>
      </c>
      <c r="CA160" t="s">
        <v>16626</v>
      </c>
      <c r="CE160" t="s">
        <v>16627</v>
      </c>
      <c r="CF160" t="s">
        <v>13808</v>
      </c>
      <c r="CL160" t="s">
        <v>13809</v>
      </c>
      <c r="CR160" t="s">
        <v>13809</v>
      </c>
      <c r="CT160" t="s">
        <v>16628</v>
      </c>
      <c r="CU160" t="s">
        <v>14840</v>
      </c>
      <c r="CV160" t="s">
        <v>13808</v>
      </c>
      <c r="CX160" t="s">
        <v>15128</v>
      </c>
      <c r="CY160" t="s">
        <v>13818</v>
      </c>
      <c r="DA160" t="s">
        <v>16503</v>
      </c>
      <c r="DB160" t="s">
        <v>13808</v>
      </c>
      <c r="DD160" t="s">
        <v>16629</v>
      </c>
      <c r="DE160" t="s">
        <v>13818</v>
      </c>
      <c r="DG160" t="s">
        <v>13909</v>
      </c>
      <c r="DH160" t="s">
        <v>13818</v>
      </c>
      <c r="DM160" t="s">
        <v>13885</v>
      </c>
      <c r="DN160" t="s">
        <v>13808</v>
      </c>
      <c r="DZ160" t="s">
        <v>16025</v>
      </c>
      <c r="EA160" t="s">
        <v>14275</v>
      </c>
      <c r="EC160">
        <v>44126</v>
      </c>
      <c r="ED160" t="s">
        <v>13903</v>
      </c>
      <c r="EE160" t="s">
        <v>6591</v>
      </c>
    </row>
    <row r="161" spans="1:135">
      <c r="A161" t="s">
        <v>6731</v>
      </c>
      <c r="B161" t="s">
        <v>2026</v>
      </c>
      <c r="C161" t="s">
        <v>16630</v>
      </c>
      <c r="D161" s="24">
        <v>45191</v>
      </c>
      <c r="E161" s="24" t="s">
        <v>13561</v>
      </c>
      <c r="F161" s="24" t="s">
        <v>16631</v>
      </c>
      <c r="G161" s="24" t="s">
        <v>13818</v>
      </c>
      <c r="H161" s="24"/>
      <c r="I161" s="24" t="s">
        <v>13809</v>
      </c>
      <c r="J161" s="24"/>
      <c r="K161" s="24" t="s">
        <v>13818</v>
      </c>
      <c r="L161" s="24" t="s">
        <v>16632</v>
      </c>
      <c r="M161" s="24" t="s">
        <v>14304</v>
      </c>
      <c r="N161" s="24" t="s">
        <v>13808</v>
      </c>
      <c r="O161" s="24"/>
      <c r="P161" s="24" t="s">
        <v>13808</v>
      </c>
      <c r="Q161" s="24"/>
      <c r="R161" s="24" t="s">
        <v>13808</v>
      </c>
      <c r="S161" s="24"/>
      <c r="T161" t="s">
        <v>16633</v>
      </c>
      <c r="U161" t="s">
        <v>13809</v>
      </c>
      <c r="W161" t="s">
        <v>13808</v>
      </c>
      <c r="X161" t="s">
        <v>16634</v>
      </c>
      <c r="Y161" t="s">
        <v>13809</v>
      </c>
      <c r="AA161" t="s">
        <v>16635</v>
      </c>
      <c r="AB161" t="s">
        <v>16636</v>
      </c>
      <c r="AC161" t="s">
        <v>13808</v>
      </c>
      <c r="AD161" t="s">
        <v>14309</v>
      </c>
      <c r="AH161" t="s">
        <v>14650</v>
      </c>
      <c r="AI161" t="s">
        <v>13808</v>
      </c>
      <c r="AJ161" t="s">
        <v>14309</v>
      </c>
      <c r="AK161" t="s">
        <v>16637</v>
      </c>
      <c r="AL161" t="s">
        <v>13818</v>
      </c>
      <c r="AM161" t="s">
        <v>16638</v>
      </c>
      <c r="AN161" t="s">
        <v>16639</v>
      </c>
      <c r="AO161" t="s">
        <v>13808</v>
      </c>
      <c r="AP161" t="s">
        <v>14309</v>
      </c>
      <c r="AT161" t="s">
        <v>16640</v>
      </c>
      <c r="AU161" t="s">
        <v>13808</v>
      </c>
      <c r="AV161" t="s">
        <v>16641</v>
      </c>
      <c r="AZ161" t="s">
        <v>13821</v>
      </c>
      <c r="BA161" t="s">
        <v>13808</v>
      </c>
      <c r="BB161" t="s">
        <v>14309</v>
      </c>
      <c r="BF161" t="s">
        <v>16642</v>
      </c>
      <c r="BG161" t="s">
        <v>13808</v>
      </c>
      <c r="BH161" t="s">
        <v>14309</v>
      </c>
      <c r="BL161" t="s">
        <v>16643</v>
      </c>
      <c r="BM161" t="s">
        <v>13808</v>
      </c>
      <c r="BN161" t="s">
        <v>16644</v>
      </c>
      <c r="BR161" t="s">
        <v>15853</v>
      </c>
      <c r="BS161" t="s">
        <v>13824</v>
      </c>
      <c r="BT161" t="s">
        <v>13818</v>
      </c>
      <c r="BU161" t="s">
        <v>16645</v>
      </c>
      <c r="BY161" t="s">
        <v>13826</v>
      </c>
      <c r="BZ161" t="s">
        <v>13818</v>
      </c>
      <c r="CA161" t="s">
        <v>16646</v>
      </c>
      <c r="CE161" t="s">
        <v>13828</v>
      </c>
      <c r="CF161" t="s">
        <v>13818</v>
      </c>
      <c r="CK161" t="s">
        <v>13760</v>
      </c>
      <c r="CL161" t="s">
        <v>13809</v>
      </c>
      <c r="CQ161" t="s">
        <v>13766</v>
      </c>
      <c r="CR161" t="s">
        <v>13809</v>
      </c>
      <c r="CT161" t="s">
        <v>14781</v>
      </c>
      <c r="CU161" t="s">
        <v>16647</v>
      </c>
      <c r="CV161" t="s">
        <v>13818</v>
      </c>
      <c r="DA161" t="s">
        <v>16648</v>
      </c>
      <c r="DB161" t="s">
        <v>13818</v>
      </c>
      <c r="DD161" t="s">
        <v>16649</v>
      </c>
      <c r="DE161" t="s">
        <v>13808</v>
      </c>
      <c r="DF161" t="s">
        <v>14309</v>
      </c>
      <c r="DG161" t="s">
        <v>16650</v>
      </c>
      <c r="DH161" t="s">
        <v>13818</v>
      </c>
      <c r="DY161" t="s">
        <v>16651</v>
      </c>
      <c r="DZ161" t="s">
        <v>13841</v>
      </c>
      <c r="EA161" t="s">
        <v>13842</v>
      </c>
      <c r="EC161">
        <v>45203</v>
      </c>
      <c r="ED161" t="s">
        <v>14298</v>
      </c>
      <c r="EE161" t="s">
        <v>16652</v>
      </c>
    </row>
    <row r="162" spans="1:135">
      <c r="A162" t="s">
        <v>2010</v>
      </c>
      <c r="B162" t="s">
        <v>1920</v>
      </c>
      <c r="C162" t="s">
        <v>16653</v>
      </c>
      <c r="D162" s="24">
        <v>44742</v>
      </c>
      <c r="E162" s="24" t="s">
        <v>13555</v>
      </c>
      <c r="F162" s="24" t="s">
        <v>16654</v>
      </c>
      <c r="G162" s="24" t="s">
        <v>13808</v>
      </c>
      <c r="H162" s="24"/>
      <c r="I162" s="24" t="s">
        <v>13809</v>
      </c>
      <c r="J162" s="24"/>
      <c r="K162" s="24" t="s">
        <v>13808</v>
      </c>
      <c r="L162" s="24"/>
      <c r="M162" s="24" t="s">
        <v>16655</v>
      </c>
      <c r="N162" s="24" t="s">
        <v>13808</v>
      </c>
      <c r="O162" s="24"/>
      <c r="P162" s="24" t="s">
        <v>13808</v>
      </c>
      <c r="Q162" s="24"/>
      <c r="R162" s="24" t="s">
        <v>13808</v>
      </c>
      <c r="S162" s="24"/>
      <c r="T162" t="s">
        <v>15051</v>
      </c>
      <c r="U162" t="s">
        <v>13809</v>
      </c>
      <c r="W162" t="s">
        <v>13808</v>
      </c>
      <c r="X162" t="s">
        <v>16656</v>
      </c>
      <c r="Y162" t="s">
        <v>13809</v>
      </c>
      <c r="AA162" t="s">
        <v>16657</v>
      </c>
      <c r="AB162" t="s">
        <v>16658</v>
      </c>
      <c r="AC162" t="s">
        <v>13808</v>
      </c>
      <c r="AH162" t="s">
        <v>13851</v>
      </c>
      <c r="AI162" t="s">
        <v>13808</v>
      </c>
      <c r="AN162" t="s">
        <v>16659</v>
      </c>
      <c r="AO162" t="s">
        <v>13808</v>
      </c>
      <c r="AT162" t="s">
        <v>16660</v>
      </c>
      <c r="AU162" t="s">
        <v>13808</v>
      </c>
      <c r="AZ162" t="s">
        <v>15425</v>
      </c>
      <c r="BA162" t="s">
        <v>13808</v>
      </c>
      <c r="BF162" t="s">
        <v>16661</v>
      </c>
      <c r="BG162" t="s">
        <v>13808</v>
      </c>
      <c r="BL162" t="s">
        <v>16662</v>
      </c>
      <c r="BM162" t="s">
        <v>13808</v>
      </c>
      <c r="BR162" t="s">
        <v>16663</v>
      </c>
      <c r="BS162" t="s">
        <v>13824</v>
      </c>
      <c r="BT162" t="s">
        <v>13808</v>
      </c>
      <c r="BU162" t="s">
        <v>13985</v>
      </c>
      <c r="BY162" t="s">
        <v>13826</v>
      </c>
      <c r="BZ162" t="s">
        <v>13808</v>
      </c>
      <c r="CA162" t="s">
        <v>13937</v>
      </c>
      <c r="CE162" t="s">
        <v>16664</v>
      </c>
      <c r="CF162" t="s">
        <v>13808</v>
      </c>
      <c r="CK162" t="s">
        <v>13760</v>
      </c>
      <c r="CL162" t="s">
        <v>13809</v>
      </c>
      <c r="CQ162" t="s">
        <v>16665</v>
      </c>
      <c r="CR162" t="s">
        <v>13818</v>
      </c>
      <c r="CS162" t="s">
        <v>16666</v>
      </c>
      <c r="CT162" t="s">
        <v>16667</v>
      </c>
      <c r="DY162" t="s">
        <v>16668</v>
      </c>
      <c r="DZ162" t="s">
        <v>13841</v>
      </c>
      <c r="EA162" t="s">
        <v>14881</v>
      </c>
      <c r="EC162">
        <v>44750</v>
      </c>
      <c r="ED162" t="s">
        <v>14298</v>
      </c>
      <c r="EE162" t="s">
        <v>6601</v>
      </c>
    </row>
    <row r="163" spans="1:135">
      <c r="A163" t="s">
        <v>1652</v>
      </c>
      <c r="B163" t="s">
        <v>1589</v>
      </c>
      <c r="C163" t="s">
        <v>16669</v>
      </c>
      <c r="D163" s="24">
        <v>45201</v>
      </c>
      <c r="E163" s="24" t="s">
        <v>13557</v>
      </c>
      <c r="F163" s="24" t="s">
        <v>16670</v>
      </c>
      <c r="G163" s="24" t="s">
        <v>13808</v>
      </c>
      <c r="H163" s="24" t="s">
        <v>16671</v>
      </c>
      <c r="I163" s="24" t="s">
        <v>13809</v>
      </c>
      <c r="J163" s="24"/>
      <c r="K163" s="24" t="s">
        <v>13808</v>
      </c>
      <c r="L163" s="24" t="s">
        <v>16672</v>
      </c>
      <c r="M163" s="24" t="s">
        <v>13846</v>
      </c>
      <c r="N163" s="24" t="s">
        <v>13808</v>
      </c>
      <c r="O163" s="24"/>
      <c r="P163" s="24" t="s">
        <v>13808</v>
      </c>
      <c r="Q163" s="24"/>
      <c r="R163" s="24" t="s">
        <v>13808</v>
      </c>
      <c r="S163" s="24"/>
      <c r="T163" t="s">
        <v>16673</v>
      </c>
      <c r="U163" t="s">
        <v>13809</v>
      </c>
      <c r="W163" t="s">
        <v>13808</v>
      </c>
      <c r="X163" t="s">
        <v>16674</v>
      </c>
      <c r="Y163" t="s">
        <v>13808</v>
      </c>
      <c r="AA163" t="s">
        <v>16675</v>
      </c>
      <c r="AB163" t="s">
        <v>16676</v>
      </c>
      <c r="AC163" t="s">
        <v>13808</v>
      </c>
      <c r="AH163" t="s">
        <v>16677</v>
      </c>
      <c r="AI163" t="s">
        <v>13808</v>
      </c>
      <c r="AK163" t="s">
        <v>14208</v>
      </c>
      <c r="AL163" t="s">
        <v>13808</v>
      </c>
      <c r="AN163" t="s">
        <v>16678</v>
      </c>
      <c r="AO163" t="s">
        <v>13808</v>
      </c>
      <c r="AT163" t="s">
        <v>15110</v>
      </c>
      <c r="AU163" t="s">
        <v>13808</v>
      </c>
      <c r="AZ163" t="s">
        <v>16679</v>
      </c>
      <c r="BA163" t="s">
        <v>13808</v>
      </c>
      <c r="BF163" t="s">
        <v>16680</v>
      </c>
      <c r="BG163" t="s">
        <v>13808</v>
      </c>
      <c r="BL163" t="s">
        <v>16681</v>
      </c>
      <c r="BM163" t="s">
        <v>13808</v>
      </c>
      <c r="BR163" t="s">
        <v>16682</v>
      </c>
      <c r="BS163" t="s">
        <v>16683</v>
      </c>
      <c r="BT163" t="s">
        <v>13808</v>
      </c>
      <c r="BU163" t="s">
        <v>14291</v>
      </c>
      <c r="BY163" t="s">
        <v>13826</v>
      </c>
      <c r="BZ163" t="s">
        <v>13808</v>
      </c>
      <c r="CA163" t="s">
        <v>13937</v>
      </c>
      <c r="CE163" t="s">
        <v>16684</v>
      </c>
      <c r="CF163" t="s">
        <v>13808</v>
      </c>
      <c r="CG163" t="s">
        <v>16685</v>
      </c>
      <c r="CK163" t="s">
        <v>13760</v>
      </c>
      <c r="CL163" t="s">
        <v>13809</v>
      </c>
      <c r="CQ163" t="s">
        <v>16665</v>
      </c>
      <c r="CR163" t="s">
        <v>13818</v>
      </c>
      <c r="CT163" t="s">
        <v>16686</v>
      </c>
      <c r="CU163" t="s">
        <v>16687</v>
      </c>
      <c r="CV163" t="s">
        <v>13808</v>
      </c>
      <c r="DA163" t="s">
        <v>16688</v>
      </c>
      <c r="DB163" t="s">
        <v>13808</v>
      </c>
      <c r="DD163" t="s">
        <v>16689</v>
      </c>
      <c r="DE163" t="s">
        <v>13818</v>
      </c>
      <c r="DG163" t="s">
        <v>16690</v>
      </c>
      <c r="DH163" t="s">
        <v>13808</v>
      </c>
      <c r="DJ163" t="s">
        <v>16691</v>
      </c>
      <c r="DK163" t="s">
        <v>13808</v>
      </c>
      <c r="DM163" t="s">
        <v>16692</v>
      </c>
      <c r="DN163" t="s">
        <v>13808</v>
      </c>
      <c r="DY163" t="s">
        <v>13840</v>
      </c>
      <c r="DZ163" t="s">
        <v>16693</v>
      </c>
      <c r="EA163" t="s">
        <v>13842</v>
      </c>
      <c r="EC163">
        <v>45215</v>
      </c>
      <c r="ED163" t="s">
        <v>14298</v>
      </c>
      <c r="EE163" t="s">
        <v>6163</v>
      </c>
    </row>
    <row r="164" spans="1:135">
      <c r="A164" t="s">
        <v>1749</v>
      </c>
      <c r="B164" t="s">
        <v>1683</v>
      </c>
      <c r="C164" t="s">
        <v>16694</v>
      </c>
      <c r="D164" s="24">
        <v>44778</v>
      </c>
      <c r="E164" s="24" t="s">
        <v>13557</v>
      </c>
      <c r="F164" s="24" t="s">
        <v>16695</v>
      </c>
      <c r="G164" s="24" t="s">
        <v>13808</v>
      </c>
      <c r="H164" s="24" t="s">
        <v>16696</v>
      </c>
      <c r="I164" s="24" t="s">
        <v>13809</v>
      </c>
      <c r="J164" s="24"/>
      <c r="K164" s="24" t="s">
        <v>13808</v>
      </c>
      <c r="L164" s="24"/>
      <c r="M164" s="24" t="s">
        <v>14136</v>
      </c>
      <c r="N164" s="24" t="s">
        <v>13808</v>
      </c>
      <c r="O164" s="24"/>
      <c r="P164" s="24" t="s">
        <v>13808</v>
      </c>
      <c r="Q164" s="24"/>
      <c r="R164" s="24" t="s">
        <v>13808</v>
      </c>
      <c r="S164" s="24"/>
      <c r="T164" t="s">
        <v>16697</v>
      </c>
      <c r="U164" t="s">
        <v>13809</v>
      </c>
      <c r="W164" t="s">
        <v>13808</v>
      </c>
      <c r="X164" t="s">
        <v>16698</v>
      </c>
      <c r="Y164" t="s">
        <v>13809</v>
      </c>
      <c r="AA164" t="s">
        <v>16699</v>
      </c>
      <c r="AH164" t="s">
        <v>16700</v>
      </c>
      <c r="AI164" t="s">
        <v>13808</v>
      </c>
      <c r="AN164" t="s">
        <v>16701</v>
      </c>
      <c r="AO164" t="s">
        <v>13808</v>
      </c>
      <c r="AT164" t="s">
        <v>16702</v>
      </c>
      <c r="AU164" t="s">
        <v>13808</v>
      </c>
      <c r="AZ164" t="s">
        <v>16703</v>
      </c>
      <c r="BA164" t="s">
        <v>13808</v>
      </c>
      <c r="BB164" t="s">
        <v>16704</v>
      </c>
      <c r="BF164" t="s">
        <v>16705</v>
      </c>
      <c r="BG164" t="s">
        <v>13808</v>
      </c>
      <c r="BL164" t="s">
        <v>16706</v>
      </c>
      <c r="BM164" t="s">
        <v>13808</v>
      </c>
      <c r="BR164" t="s">
        <v>16707</v>
      </c>
      <c r="BS164" t="s">
        <v>13824</v>
      </c>
      <c r="BT164" t="s">
        <v>13808</v>
      </c>
      <c r="BU164" t="s">
        <v>13985</v>
      </c>
      <c r="BY164" t="s">
        <v>13826</v>
      </c>
      <c r="BZ164" t="s">
        <v>13808</v>
      </c>
      <c r="CA164" t="s">
        <v>13937</v>
      </c>
      <c r="CE164" t="s">
        <v>16708</v>
      </c>
      <c r="CF164" t="s">
        <v>13808</v>
      </c>
      <c r="CG164" t="s">
        <v>16709</v>
      </c>
      <c r="CK164" t="s">
        <v>13760</v>
      </c>
      <c r="CL164" t="s">
        <v>13809</v>
      </c>
      <c r="CQ164" t="s">
        <v>16710</v>
      </c>
      <c r="CR164" t="s">
        <v>13818</v>
      </c>
      <c r="CS164" t="s">
        <v>16711</v>
      </c>
      <c r="CT164" t="s">
        <v>16712</v>
      </c>
      <c r="CU164" t="s">
        <v>16713</v>
      </c>
      <c r="CV164" t="s">
        <v>13808</v>
      </c>
      <c r="CX164" t="s">
        <v>16714</v>
      </c>
      <c r="CY164" t="s">
        <v>13818</v>
      </c>
      <c r="DA164" t="s">
        <v>16715</v>
      </c>
      <c r="DB164" t="s">
        <v>13808</v>
      </c>
      <c r="DD164" t="s">
        <v>15379</v>
      </c>
      <c r="DE164" t="s">
        <v>13818</v>
      </c>
      <c r="DG164" t="s">
        <v>14240</v>
      </c>
      <c r="DH164" t="s">
        <v>13818</v>
      </c>
      <c r="DM164" t="s">
        <v>16062</v>
      </c>
      <c r="DN164" t="s">
        <v>13808</v>
      </c>
      <c r="DO164" t="s">
        <v>16716</v>
      </c>
      <c r="DP164" t="s">
        <v>16717</v>
      </c>
      <c r="DQ164" t="s">
        <v>13818</v>
      </c>
      <c r="DY164" t="s">
        <v>14606</v>
      </c>
      <c r="DZ164" t="s">
        <v>16718</v>
      </c>
      <c r="EA164" t="s">
        <v>16719</v>
      </c>
      <c r="EC164">
        <v>44781</v>
      </c>
      <c r="ED164" t="s">
        <v>14590</v>
      </c>
      <c r="EE164" t="s">
        <v>6278</v>
      </c>
    </row>
    <row r="165" spans="1:135">
      <c r="A165" t="s">
        <v>1766</v>
      </c>
      <c r="B165" t="s">
        <v>1683</v>
      </c>
      <c r="C165" t="s">
        <v>16720</v>
      </c>
      <c r="D165" s="24">
        <v>43761</v>
      </c>
      <c r="E165" s="24" t="s">
        <v>13553</v>
      </c>
      <c r="F165" s="24" t="s">
        <v>16721</v>
      </c>
      <c r="G165" s="24" t="s">
        <v>13808</v>
      </c>
      <c r="H165" s="24"/>
      <c r="I165" s="24" t="s">
        <v>13809</v>
      </c>
      <c r="J165" s="24"/>
      <c r="K165" s="24" t="s">
        <v>13809</v>
      </c>
      <c r="L165" s="24"/>
      <c r="M165" s="24" t="s">
        <v>14163</v>
      </c>
      <c r="N165" s="24" t="s">
        <v>13808</v>
      </c>
      <c r="O165" s="24"/>
      <c r="P165" s="24" t="s">
        <v>13808</v>
      </c>
      <c r="Q165" s="24"/>
      <c r="R165" s="24" t="s">
        <v>13808</v>
      </c>
      <c r="S165" s="24"/>
      <c r="T165" t="s">
        <v>14429</v>
      </c>
      <c r="U165" t="s">
        <v>13809</v>
      </c>
      <c r="W165" t="s">
        <v>13808</v>
      </c>
      <c r="X165" t="s">
        <v>16722</v>
      </c>
      <c r="Y165" t="s">
        <v>13808</v>
      </c>
      <c r="AA165" t="s">
        <v>13877</v>
      </c>
      <c r="AB165" t="s">
        <v>16723</v>
      </c>
      <c r="AC165" t="s">
        <v>13808</v>
      </c>
      <c r="AH165" t="s">
        <v>13909</v>
      </c>
      <c r="AI165" t="s">
        <v>13808</v>
      </c>
      <c r="AO165" t="s">
        <v>13809</v>
      </c>
      <c r="AT165" t="s">
        <v>16724</v>
      </c>
      <c r="AU165" t="s">
        <v>13809</v>
      </c>
      <c r="AZ165" t="s">
        <v>16725</v>
      </c>
      <c r="BA165" t="s">
        <v>13808</v>
      </c>
      <c r="BF165" t="s">
        <v>16726</v>
      </c>
      <c r="BG165" t="s">
        <v>13808</v>
      </c>
      <c r="BL165" t="s">
        <v>16727</v>
      </c>
      <c r="BM165" t="s">
        <v>13808</v>
      </c>
      <c r="BR165" t="s">
        <v>16728</v>
      </c>
      <c r="BS165" t="s">
        <v>13887</v>
      </c>
      <c r="BT165" t="s">
        <v>13808</v>
      </c>
      <c r="BU165" t="s">
        <v>16729</v>
      </c>
      <c r="BY165" t="s">
        <v>13887</v>
      </c>
      <c r="BZ165" t="s">
        <v>13808</v>
      </c>
      <c r="CA165" t="s">
        <v>13888</v>
      </c>
      <c r="CE165" t="s">
        <v>13887</v>
      </c>
      <c r="CF165" t="s">
        <v>13808</v>
      </c>
      <c r="CL165" t="s">
        <v>13809</v>
      </c>
      <c r="CR165" t="s">
        <v>13809</v>
      </c>
      <c r="CT165" t="s">
        <v>16730</v>
      </c>
      <c r="CU165" t="s">
        <v>16731</v>
      </c>
      <c r="CV165" t="s">
        <v>13808</v>
      </c>
      <c r="DA165" t="s">
        <v>16732</v>
      </c>
      <c r="DB165" t="s">
        <v>13808</v>
      </c>
      <c r="DH165" t="s">
        <v>13809</v>
      </c>
      <c r="DM165" t="s">
        <v>16733</v>
      </c>
      <c r="DN165" t="s">
        <v>13808</v>
      </c>
      <c r="DP165" t="s">
        <v>16734</v>
      </c>
      <c r="DQ165" t="s">
        <v>13808</v>
      </c>
      <c r="DY165" t="s">
        <v>13900</v>
      </c>
      <c r="DZ165" t="s">
        <v>16735</v>
      </c>
      <c r="EA165" t="s">
        <v>13922</v>
      </c>
      <c r="EC165">
        <v>43789</v>
      </c>
      <c r="ED165" t="s">
        <v>13903</v>
      </c>
      <c r="EE165" t="s">
        <v>6288</v>
      </c>
    </row>
    <row r="166" spans="1:135">
      <c r="A166" t="s">
        <v>2077</v>
      </c>
      <c r="B166" t="s">
        <v>2026</v>
      </c>
      <c r="C166" t="s">
        <v>16736</v>
      </c>
      <c r="D166" s="24">
        <v>43031</v>
      </c>
      <c r="E166" s="24" t="s">
        <v>13559</v>
      </c>
      <c r="F166" s="24" t="s">
        <v>16737</v>
      </c>
      <c r="G166" s="24" t="s">
        <v>13808</v>
      </c>
      <c r="H166" s="24"/>
      <c r="I166" s="24" t="s">
        <v>13809</v>
      </c>
      <c r="J166" s="24"/>
      <c r="K166" s="24" t="s">
        <v>13809</v>
      </c>
      <c r="L166" s="24"/>
      <c r="M166" s="24" t="s">
        <v>14304</v>
      </c>
      <c r="N166" s="24" t="s">
        <v>13808</v>
      </c>
      <c r="O166" s="24"/>
      <c r="P166" s="24" t="s">
        <v>13818</v>
      </c>
      <c r="Q166" s="24" t="s">
        <v>16738</v>
      </c>
      <c r="R166" s="24" t="s">
        <v>13808</v>
      </c>
      <c r="S166" s="24"/>
      <c r="T166" t="s">
        <v>16739</v>
      </c>
      <c r="U166" t="s">
        <v>13809</v>
      </c>
      <c r="W166" t="s">
        <v>13808</v>
      </c>
      <c r="X166" t="s">
        <v>16740</v>
      </c>
      <c r="Y166" t="s">
        <v>13808</v>
      </c>
      <c r="AA166" t="s">
        <v>16741</v>
      </c>
      <c r="AB166" t="s">
        <v>16742</v>
      </c>
      <c r="AC166" t="s">
        <v>13808</v>
      </c>
      <c r="AH166" t="s">
        <v>13851</v>
      </c>
      <c r="AI166" t="s">
        <v>13808</v>
      </c>
      <c r="AN166" t="s">
        <v>16743</v>
      </c>
      <c r="AO166" t="s">
        <v>13808</v>
      </c>
      <c r="AT166" t="s">
        <v>16744</v>
      </c>
      <c r="AU166" t="s">
        <v>13808</v>
      </c>
      <c r="AZ166" t="s">
        <v>16745</v>
      </c>
      <c r="BA166" t="s">
        <v>13808</v>
      </c>
      <c r="BF166" t="s">
        <v>16746</v>
      </c>
      <c r="BG166" t="s">
        <v>13808</v>
      </c>
      <c r="BL166" t="s">
        <v>16747</v>
      </c>
      <c r="BM166" t="s">
        <v>13808</v>
      </c>
      <c r="BR166" t="s">
        <v>16748</v>
      </c>
      <c r="BS166" t="s">
        <v>13824</v>
      </c>
      <c r="BT166" t="s">
        <v>13808</v>
      </c>
      <c r="BU166" t="s">
        <v>14336</v>
      </c>
      <c r="BY166" t="s">
        <v>13860</v>
      </c>
      <c r="BZ166" t="s">
        <v>13808</v>
      </c>
      <c r="CA166" t="s">
        <v>13937</v>
      </c>
      <c r="CE166" t="s">
        <v>16749</v>
      </c>
      <c r="CF166" t="s">
        <v>13808</v>
      </c>
      <c r="CH166" t="s">
        <v>16750</v>
      </c>
      <c r="CI166" t="s">
        <v>13818</v>
      </c>
      <c r="CJ166" t="s">
        <v>16751</v>
      </c>
      <c r="CK166" t="s">
        <v>16752</v>
      </c>
      <c r="CL166" t="s">
        <v>13808</v>
      </c>
      <c r="CM166" t="s">
        <v>13863</v>
      </c>
      <c r="CN166" t="s">
        <v>16753</v>
      </c>
      <c r="CO166" t="s">
        <v>13808</v>
      </c>
      <c r="CQ166" t="s">
        <v>13766</v>
      </c>
      <c r="CR166" t="s">
        <v>13809</v>
      </c>
      <c r="CT166" t="s">
        <v>16754</v>
      </c>
      <c r="DY166" t="s">
        <v>13920</v>
      </c>
      <c r="DZ166" t="s">
        <v>16755</v>
      </c>
      <c r="EA166" t="s">
        <v>13842</v>
      </c>
      <c r="EC166">
        <v>44691</v>
      </c>
      <c r="ED166" t="s">
        <v>13843</v>
      </c>
      <c r="EE166" t="s">
        <v>6713</v>
      </c>
    </row>
    <row r="167" spans="1:135">
      <c r="A167" t="s">
        <v>1102</v>
      </c>
      <c r="B167" t="s">
        <v>1043</v>
      </c>
      <c r="C167" t="s">
        <v>16756</v>
      </c>
      <c r="D167" s="24">
        <v>43840</v>
      </c>
      <c r="E167" s="24" t="s">
        <v>13557</v>
      </c>
      <c r="F167" s="24" t="s">
        <v>16757</v>
      </c>
      <c r="G167" s="24" t="s">
        <v>13808</v>
      </c>
      <c r="H167" s="24" t="s">
        <v>14279</v>
      </c>
      <c r="I167" s="24" t="s">
        <v>13809</v>
      </c>
      <c r="J167" s="24"/>
      <c r="K167" s="24" t="s">
        <v>13808</v>
      </c>
      <c r="L167" s="24"/>
      <c r="M167" s="24" t="s">
        <v>13846</v>
      </c>
      <c r="N167" s="24" t="s">
        <v>13808</v>
      </c>
      <c r="O167" s="24"/>
      <c r="P167" s="24" t="s">
        <v>13808</v>
      </c>
      <c r="Q167" s="24"/>
      <c r="R167" s="24" t="s">
        <v>13808</v>
      </c>
      <c r="S167" s="24"/>
      <c r="T167" t="s">
        <v>16758</v>
      </c>
      <c r="U167" t="s">
        <v>13809</v>
      </c>
      <c r="W167" t="s">
        <v>13808</v>
      </c>
      <c r="X167" t="s">
        <v>16759</v>
      </c>
      <c r="Y167" t="s">
        <v>13808</v>
      </c>
      <c r="AA167" t="s">
        <v>13928</v>
      </c>
      <c r="AB167" t="s">
        <v>16760</v>
      </c>
      <c r="AC167" t="s">
        <v>13808</v>
      </c>
      <c r="AH167" t="s">
        <v>13851</v>
      </c>
      <c r="AI167" t="s">
        <v>13808</v>
      </c>
      <c r="AN167" t="s">
        <v>16761</v>
      </c>
      <c r="AO167" t="s">
        <v>13808</v>
      </c>
      <c r="AT167" t="s">
        <v>16762</v>
      </c>
      <c r="AU167" t="s">
        <v>13808</v>
      </c>
      <c r="AZ167" t="s">
        <v>16763</v>
      </c>
      <c r="BA167" t="s">
        <v>13808</v>
      </c>
      <c r="BF167" t="s">
        <v>16764</v>
      </c>
      <c r="BG167" t="s">
        <v>13808</v>
      </c>
      <c r="BL167" t="s">
        <v>16765</v>
      </c>
      <c r="BM167" t="s">
        <v>13808</v>
      </c>
      <c r="BR167" t="s">
        <v>16766</v>
      </c>
      <c r="BS167" t="s">
        <v>13824</v>
      </c>
      <c r="BT167" t="s">
        <v>13808</v>
      </c>
      <c r="BU167" t="s">
        <v>16767</v>
      </c>
      <c r="BY167" t="s">
        <v>16768</v>
      </c>
      <c r="BZ167" t="s">
        <v>13808</v>
      </c>
      <c r="CA167" t="s">
        <v>13937</v>
      </c>
      <c r="CE167" t="s">
        <v>16769</v>
      </c>
      <c r="CF167" t="s">
        <v>13808</v>
      </c>
      <c r="CG167" t="s">
        <v>16770</v>
      </c>
      <c r="CK167" t="s">
        <v>13760</v>
      </c>
      <c r="CL167" t="s">
        <v>13809</v>
      </c>
      <c r="CQ167" t="s">
        <v>13766</v>
      </c>
      <c r="CR167" t="s">
        <v>13809</v>
      </c>
      <c r="CT167" t="s">
        <v>16771</v>
      </c>
      <c r="CU167" t="s">
        <v>14236</v>
      </c>
      <c r="CV167" t="s">
        <v>13808</v>
      </c>
      <c r="DA167" t="s">
        <v>15252</v>
      </c>
      <c r="DB167" t="s">
        <v>13808</v>
      </c>
      <c r="DG167" t="s">
        <v>14240</v>
      </c>
      <c r="DH167" t="s">
        <v>13808</v>
      </c>
      <c r="DY167" t="s">
        <v>15364</v>
      </c>
      <c r="DZ167" t="s">
        <v>16772</v>
      </c>
      <c r="EA167" t="s">
        <v>15744</v>
      </c>
      <c r="EC167">
        <v>45012</v>
      </c>
      <c r="ED167" t="s">
        <v>13843</v>
      </c>
      <c r="EE167" t="s">
        <v>5506</v>
      </c>
    </row>
    <row r="168" spans="1:135">
      <c r="A168" t="s">
        <v>6011</v>
      </c>
      <c r="B168" t="s">
        <v>1442</v>
      </c>
      <c r="C168" t="s">
        <v>16773</v>
      </c>
      <c r="D168" s="24">
        <v>43600</v>
      </c>
      <c r="E168" s="24" t="s">
        <v>13553</v>
      </c>
      <c r="F168" s="24" t="s">
        <v>16774</v>
      </c>
      <c r="G168" s="24" t="s">
        <v>13808</v>
      </c>
      <c r="H168" s="24"/>
      <c r="I168" s="24" t="s">
        <v>13809</v>
      </c>
      <c r="J168" s="24"/>
      <c r="K168" s="24" t="s">
        <v>13809</v>
      </c>
      <c r="L168" s="24"/>
      <c r="M168" s="24" t="s">
        <v>14163</v>
      </c>
      <c r="N168" s="24" t="s">
        <v>13808</v>
      </c>
      <c r="O168" s="24"/>
      <c r="P168" s="24" t="s">
        <v>13808</v>
      </c>
      <c r="Q168" s="24"/>
      <c r="R168" s="24" t="s">
        <v>13808</v>
      </c>
      <c r="S168" s="24"/>
      <c r="T168" t="s">
        <v>14034</v>
      </c>
      <c r="U168" t="s">
        <v>13808</v>
      </c>
      <c r="W168" t="s">
        <v>13808</v>
      </c>
      <c r="X168" t="s">
        <v>16775</v>
      </c>
      <c r="Y168" t="s">
        <v>13809</v>
      </c>
      <c r="AA168" t="s">
        <v>13877</v>
      </c>
      <c r="AB168" t="s">
        <v>16776</v>
      </c>
      <c r="AC168" t="s">
        <v>13808</v>
      </c>
      <c r="AH168" t="s">
        <v>13909</v>
      </c>
      <c r="AI168" t="s">
        <v>13808</v>
      </c>
      <c r="AO168" t="s">
        <v>13809</v>
      </c>
      <c r="AT168" t="s">
        <v>13887</v>
      </c>
      <c r="AU168" t="s">
        <v>13808</v>
      </c>
      <c r="AZ168" t="s">
        <v>13887</v>
      </c>
      <c r="BA168" t="s">
        <v>13808</v>
      </c>
      <c r="BF168" t="s">
        <v>13887</v>
      </c>
      <c r="BG168" t="s">
        <v>13808</v>
      </c>
      <c r="BL168" t="s">
        <v>16777</v>
      </c>
      <c r="BM168" t="s">
        <v>13897</v>
      </c>
      <c r="BR168" t="s">
        <v>16778</v>
      </c>
      <c r="BT168" t="s">
        <v>13809</v>
      </c>
      <c r="BY168" t="s">
        <v>13887</v>
      </c>
      <c r="BZ168" t="s">
        <v>13808</v>
      </c>
      <c r="CA168" t="s">
        <v>16779</v>
      </c>
      <c r="CE168" t="s">
        <v>15197</v>
      </c>
      <c r="CF168" t="s">
        <v>13808</v>
      </c>
      <c r="CK168" t="s">
        <v>16141</v>
      </c>
      <c r="CL168" t="s">
        <v>13808</v>
      </c>
      <c r="CR168" t="s">
        <v>13809</v>
      </c>
      <c r="CT168" t="s">
        <v>16780</v>
      </c>
      <c r="CU168" t="s">
        <v>16781</v>
      </c>
      <c r="CV168" t="s">
        <v>13808</v>
      </c>
      <c r="DA168" t="s">
        <v>16782</v>
      </c>
      <c r="DB168" t="s">
        <v>13808</v>
      </c>
      <c r="DG168" t="s">
        <v>13887</v>
      </c>
      <c r="DH168" t="s">
        <v>13808</v>
      </c>
      <c r="DM168" t="s">
        <v>13909</v>
      </c>
      <c r="DN168" t="s">
        <v>13808</v>
      </c>
      <c r="DY168" t="s">
        <v>15828</v>
      </c>
      <c r="DZ168" t="s">
        <v>14274</v>
      </c>
      <c r="EA168" t="s">
        <v>16783</v>
      </c>
      <c r="EC168">
        <v>44127</v>
      </c>
      <c r="ED168" t="s">
        <v>13903</v>
      </c>
      <c r="EE168" t="s">
        <v>6013</v>
      </c>
    </row>
    <row r="169" spans="1:135">
      <c r="A169" t="s">
        <v>1310</v>
      </c>
      <c r="B169" t="s">
        <v>1246</v>
      </c>
      <c r="C169" t="s">
        <v>16784</v>
      </c>
      <c r="D169" s="24">
        <v>43697</v>
      </c>
      <c r="E169" s="24" t="s">
        <v>13553</v>
      </c>
      <c r="F169" s="24" t="s">
        <v>16785</v>
      </c>
      <c r="G169" s="24" t="s">
        <v>13808</v>
      </c>
      <c r="H169" s="24"/>
      <c r="I169" s="24" t="s">
        <v>13809</v>
      </c>
      <c r="J169" s="24"/>
      <c r="K169" s="24" t="s">
        <v>13808</v>
      </c>
      <c r="L169" s="24"/>
      <c r="M169" s="24" t="s">
        <v>14163</v>
      </c>
      <c r="N169" s="24" t="s">
        <v>13808</v>
      </c>
      <c r="O169" s="24"/>
      <c r="P169" s="24" t="s">
        <v>13808</v>
      </c>
      <c r="Q169" s="24"/>
      <c r="R169" s="24" t="s">
        <v>13808</v>
      </c>
      <c r="S169" s="24"/>
      <c r="T169" t="s">
        <v>16786</v>
      </c>
      <c r="U169" t="s">
        <v>13809</v>
      </c>
      <c r="W169" t="s">
        <v>13808</v>
      </c>
      <c r="X169" t="s">
        <v>16787</v>
      </c>
      <c r="Y169" t="s">
        <v>13809</v>
      </c>
      <c r="AA169" t="s">
        <v>13877</v>
      </c>
      <c r="AC169" t="s">
        <v>13809</v>
      </c>
      <c r="AH169" t="s">
        <v>13909</v>
      </c>
      <c r="AI169" t="s">
        <v>13808</v>
      </c>
      <c r="AO169" t="s">
        <v>13809</v>
      </c>
      <c r="AT169" t="s">
        <v>16788</v>
      </c>
      <c r="AU169" t="s">
        <v>13808</v>
      </c>
      <c r="AZ169" t="s">
        <v>16789</v>
      </c>
      <c r="BA169" t="s">
        <v>13808</v>
      </c>
      <c r="BF169" t="s">
        <v>16790</v>
      </c>
      <c r="BG169" t="s">
        <v>13808</v>
      </c>
      <c r="BL169" t="s">
        <v>16791</v>
      </c>
      <c r="BM169" t="s">
        <v>13808</v>
      </c>
      <c r="BR169" t="s">
        <v>16792</v>
      </c>
      <c r="BT169" t="s">
        <v>13809</v>
      </c>
      <c r="BY169" t="s">
        <v>16793</v>
      </c>
      <c r="BZ169" t="s">
        <v>13808</v>
      </c>
      <c r="CA169" t="s">
        <v>14026</v>
      </c>
      <c r="CE169" t="s">
        <v>16201</v>
      </c>
      <c r="CF169" t="s">
        <v>13808</v>
      </c>
      <c r="CG169" t="s">
        <v>14173</v>
      </c>
      <c r="CK169" t="s">
        <v>13885</v>
      </c>
      <c r="CL169" t="s">
        <v>13808</v>
      </c>
      <c r="CM169" t="s">
        <v>16794</v>
      </c>
      <c r="CR169" t="s">
        <v>13809</v>
      </c>
      <c r="CT169" t="s">
        <v>16795</v>
      </c>
      <c r="CU169" t="s">
        <v>16796</v>
      </c>
      <c r="CV169" t="s">
        <v>13808</v>
      </c>
      <c r="DA169" t="s">
        <v>16797</v>
      </c>
      <c r="DB169" t="s">
        <v>13808</v>
      </c>
      <c r="DH169" t="s">
        <v>13809</v>
      </c>
      <c r="DM169" t="s">
        <v>16798</v>
      </c>
      <c r="DN169" t="s">
        <v>13897</v>
      </c>
      <c r="DY169" t="s">
        <v>16799</v>
      </c>
      <c r="DZ169" t="s">
        <v>16800</v>
      </c>
      <c r="EA169" t="s">
        <v>13922</v>
      </c>
      <c r="ED169" t="s">
        <v>13903</v>
      </c>
      <c r="EE169" t="s">
        <v>5752</v>
      </c>
    </row>
    <row r="170" spans="1:135">
      <c r="A170" t="s">
        <v>1521</v>
      </c>
      <c r="B170" t="s">
        <v>1442</v>
      </c>
      <c r="C170" t="s">
        <v>16801</v>
      </c>
      <c r="D170" s="24">
        <v>44736</v>
      </c>
      <c r="E170" s="24" t="s">
        <v>13555</v>
      </c>
      <c r="F170" s="24" t="s">
        <v>16802</v>
      </c>
      <c r="G170" s="24" t="s">
        <v>13808</v>
      </c>
      <c r="H170" s="24"/>
      <c r="I170" s="24" t="s">
        <v>13809</v>
      </c>
      <c r="J170" s="24"/>
      <c r="K170" s="24" t="s">
        <v>13808</v>
      </c>
      <c r="L170" s="24"/>
      <c r="M170" s="24" t="s">
        <v>13846</v>
      </c>
      <c r="N170" s="24" t="s">
        <v>13808</v>
      </c>
      <c r="O170" s="24"/>
      <c r="P170" s="24" t="s">
        <v>13808</v>
      </c>
      <c r="Q170" s="24"/>
      <c r="R170" s="24" t="s">
        <v>13808</v>
      </c>
      <c r="S170" s="24" t="s">
        <v>16803</v>
      </c>
      <c r="T170" t="s">
        <v>13847</v>
      </c>
      <c r="U170" t="s">
        <v>13808</v>
      </c>
      <c r="W170" t="s">
        <v>13808</v>
      </c>
      <c r="X170" t="s">
        <v>16804</v>
      </c>
      <c r="Y170" t="s">
        <v>13808</v>
      </c>
      <c r="AA170" t="s">
        <v>14971</v>
      </c>
      <c r="AB170" t="s">
        <v>16805</v>
      </c>
      <c r="AC170" t="s">
        <v>13808</v>
      </c>
      <c r="AH170" t="s">
        <v>13851</v>
      </c>
      <c r="AI170" t="s">
        <v>13808</v>
      </c>
      <c r="AN170" t="s">
        <v>16806</v>
      </c>
      <c r="AO170" t="s">
        <v>13808</v>
      </c>
      <c r="AT170" t="s">
        <v>16807</v>
      </c>
      <c r="AU170" t="s">
        <v>13808</v>
      </c>
      <c r="AZ170" t="s">
        <v>16808</v>
      </c>
      <c r="BA170" t="s">
        <v>13808</v>
      </c>
      <c r="BF170" t="s">
        <v>16809</v>
      </c>
      <c r="BG170" t="s">
        <v>13808</v>
      </c>
      <c r="BL170" t="s">
        <v>16810</v>
      </c>
      <c r="BM170" t="s">
        <v>13808</v>
      </c>
      <c r="BR170" t="s">
        <v>16811</v>
      </c>
      <c r="BS170" t="s">
        <v>13824</v>
      </c>
      <c r="BT170" t="s">
        <v>13808</v>
      </c>
      <c r="BU170" t="s">
        <v>14336</v>
      </c>
      <c r="BY170" t="s">
        <v>13826</v>
      </c>
      <c r="BZ170" t="s">
        <v>13808</v>
      </c>
      <c r="CA170" t="s">
        <v>13937</v>
      </c>
      <c r="CE170" t="s">
        <v>16812</v>
      </c>
      <c r="CF170" t="s">
        <v>13808</v>
      </c>
      <c r="CG170" t="s">
        <v>16813</v>
      </c>
      <c r="CK170" t="s">
        <v>13760</v>
      </c>
      <c r="CL170" t="s">
        <v>13809</v>
      </c>
      <c r="CQ170" t="s">
        <v>16814</v>
      </c>
      <c r="CR170" t="s">
        <v>13808</v>
      </c>
      <c r="CS170" t="s">
        <v>15354</v>
      </c>
      <c r="CT170" t="s">
        <v>16815</v>
      </c>
      <c r="CU170" t="s">
        <v>16816</v>
      </c>
      <c r="CV170" t="s">
        <v>13808</v>
      </c>
      <c r="DA170" t="s">
        <v>16817</v>
      </c>
      <c r="DB170" t="s">
        <v>13808</v>
      </c>
      <c r="DD170" t="s">
        <v>16818</v>
      </c>
      <c r="DE170" t="s">
        <v>13818</v>
      </c>
      <c r="DG170" t="s">
        <v>16819</v>
      </c>
      <c r="DH170" t="s">
        <v>13808</v>
      </c>
      <c r="DM170" t="s">
        <v>13788</v>
      </c>
      <c r="DN170" t="s">
        <v>13808</v>
      </c>
      <c r="DY170" t="s">
        <v>15682</v>
      </c>
      <c r="DZ170" t="s">
        <v>16820</v>
      </c>
      <c r="EA170" t="s">
        <v>16821</v>
      </c>
      <c r="EC170">
        <v>44741</v>
      </c>
      <c r="ED170" t="s">
        <v>14667</v>
      </c>
      <c r="EE170" t="s">
        <v>6020</v>
      </c>
    </row>
    <row r="171" spans="1:135">
      <c r="A171" t="s">
        <v>1888</v>
      </c>
      <c r="B171" t="s">
        <v>1808</v>
      </c>
      <c r="C171" t="s">
        <v>16822</v>
      </c>
      <c r="D171" s="24">
        <v>43041</v>
      </c>
      <c r="E171" s="24" t="s">
        <v>13557</v>
      </c>
      <c r="F171" s="24" t="s">
        <v>16823</v>
      </c>
      <c r="G171" s="24" t="s">
        <v>13808</v>
      </c>
      <c r="H171" s="24"/>
      <c r="I171" s="24" t="s">
        <v>13809</v>
      </c>
      <c r="J171" s="24"/>
      <c r="K171" s="24" t="s">
        <v>13808</v>
      </c>
      <c r="L171" s="24"/>
      <c r="M171" s="24" t="s">
        <v>15494</v>
      </c>
      <c r="N171" s="24" t="s">
        <v>13808</v>
      </c>
      <c r="O171" s="24"/>
      <c r="P171" s="24" t="s">
        <v>13808</v>
      </c>
      <c r="Q171" s="24"/>
      <c r="R171" s="24" t="s">
        <v>13808</v>
      </c>
      <c r="S171" s="24"/>
      <c r="T171" t="s">
        <v>16824</v>
      </c>
      <c r="U171" t="s">
        <v>13808</v>
      </c>
      <c r="W171" t="s">
        <v>13808</v>
      </c>
      <c r="X171" t="s">
        <v>16825</v>
      </c>
      <c r="Y171" t="s">
        <v>13809</v>
      </c>
      <c r="AA171" t="s">
        <v>15438</v>
      </c>
      <c r="AB171" t="s">
        <v>16826</v>
      </c>
      <c r="AC171" t="s">
        <v>13808</v>
      </c>
      <c r="AH171" t="s">
        <v>13909</v>
      </c>
      <c r="AI171" t="s">
        <v>13808</v>
      </c>
      <c r="AN171" t="s">
        <v>16827</v>
      </c>
      <c r="AO171" t="s">
        <v>13808</v>
      </c>
      <c r="AT171" t="s">
        <v>14972</v>
      </c>
      <c r="AU171" t="s">
        <v>13808</v>
      </c>
      <c r="AZ171" t="s">
        <v>16828</v>
      </c>
      <c r="BA171" t="s">
        <v>13808</v>
      </c>
      <c r="BF171" t="s">
        <v>14369</v>
      </c>
      <c r="BG171" t="s">
        <v>13808</v>
      </c>
      <c r="BL171" t="s">
        <v>16829</v>
      </c>
      <c r="BM171" t="s">
        <v>13808</v>
      </c>
      <c r="BR171" t="s">
        <v>16830</v>
      </c>
      <c r="BS171" t="s">
        <v>13887</v>
      </c>
      <c r="BT171" t="s">
        <v>13808</v>
      </c>
      <c r="BU171" t="s">
        <v>16831</v>
      </c>
      <c r="BY171" t="s">
        <v>15280</v>
      </c>
      <c r="BZ171" t="s">
        <v>13808</v>
      </c>
      <c r="CA171" t="s">
        <v>13937</v>
      </c>
      <c r="CE171" t="s">
        <v>13887</v>
      </c>
      <c r="CF171" t="s">
        <v>13808</v>
      </c>
      <c r="CL171" t="s">
        <v>13809</v>
      </c>
      <c r="CQ171" t="s">
        <v>14265</v>
      </c>
      <c r="CR171" t="s">
        <v>13808</v>
      </c>
      <c r="CT171" t="s">
        <v>16832</v>
      </c>
      <c r="CU171" t="s">
        <v>16833</v>
      </c>
      <c r="CV171" t="s">
        <v>13808</v>
      </c>
      <c r="CX171" t="s">
        <v>16834</v>
      </c>
      <c r="CY171" t="s">
        <v>13818</v>
      </c>
      <c r="DA171" t="s">
        <v>16833</v>
      </c>
      <c r="DB171" t="s">
        <v>13808</v>
      </c>
      <c r="DD171" t="s">
        <v>16834</v>
      </c>
      <c r="DE171" t="s">
        <v>13818</v>
      </c>
      <c r="DG171" t="s">
        <v>13885</v>
      </c>
      <c r="DH171" t="s">
        <v>13808</v>
      </c>
      <c r="DY171" t="s">
        <v>14606</v>
      </c>
      <c r="DZ171" t="s">
        <v>16025</v>
      </c>
      <c r="EA171" t="s">
        <v>14275</v>
      </c>
      <c r="EC171">
        <v>44130</v>
      </c>
      <c r="ED171" t="s">
        <v>13903</v>
      </c>
      <c r="EE171" t="s">
        <v>6435</v>
      </c>
    </row>
    <row r="172" spans="1:135">
      <c r="A172" t="s">
        <v>1220</v>
      </c>
      <c r="B172" t="s">
        <v>1155</v>
      </c>
      <c r="C172" t="s">
        <v>16835</v>
      </c>
      <c r="D172" s="24">
        <v>43023</v>
      </c>
      <c r="E172" s="24" t="s">
        <v>13557</v>
      </c>
      <c r="F172" s="24" t="s">
        <v>16836</v>
      </c>
      <c r="G172" s="24" t="s">
        <v>13808</v>
      </c>
      <c r="H172" s="24"/>
      <c r="I172" s="24" t="s">
        <v>13809</v>
      </c>
      <c r="J172" s="24"/>
      <c r="K172" s="24" t="s">
        <v>13808</v>
      </c>
      <c r="L172" s="24"/>
      <c r="M172" s="24" t="s">
        <v>14304</v>
      </c>
      <c r="N172" s="24" t="s">
        <v>13808</v>
      </c>
      <c r="O172" s="24"/>
      <c r="P172" s="24" t="s">
        <v>13808</v>
      </c>
      <c r="Q172" s="24"/>
      <c r="R172" s="24" t="s">
        <v>13808</v>
      </c>
      <c r="S172" s="24"/>
      <c r="T172" t="s">
        <v>15051</v>
      </c>
      <c r="U172" t="s">
        <v>13809</v>
      </c>
      <c r="W172" t="s">
        <v>13808</v>
      </c>
      <c r="X172" t="s">
        <v>16837</v>
      </c>
      <c r="Y172" t="s">
        <v>13808</v>
      </c>
      <c r="AA172" t="s">
        <v>13928</v>
      </c>
      <c r="AB172" t="s">
        <v>16838</v>
      </c>
      <c r="AC172" t="s">
        <v>13808</v>
      </c>
      <c r="AH172" t="s">
        <v>13851</v>
      </c>
      <c r="AI172" t="s">
        <v>13808</v>
      </c>
      <c r="AN172" t="s">
        <v>16839</v>
      </c>
      <c r="AO172" t="s">
        <v>13808</v>
      </c>
      <c r="AT172" t="s">
        <v>15768</v>
      </c>
      <c r="AU172" t="s">
        <v>13808</v>
      </c>
      <c r="AZ172" t="s">
        <v>16840</v>
      </c>
      <c r="BA172" t="s">
        <v>13808</v>
      </c>
      <c r="BF172" t="s">
        <v>16841</v>
      </c>
      <c r="BG172" t="s">
        <v>13808</v>
      </c>
      <c r="BL172" t="s">
        <v>16842</v>
      </c>
      <c r="BM172" t="s">
        <v>13808</v>
      </c>
      <c r="BR172" t="s">
        <v>16843</v>
      </c>
      <c r="BS172" t="s">
        <v>14213</v>
      </c>
      <c r="BT172" t="s">
        <v>13808</v>
      </c>
      <c r="BU172" t="s">
        <v>14233</v>
      </c>
      <c r="BY172" t="s">
        <v>13860</v>
      </c>
      <c r="BZ172" t="s">
        <v>13808</v>
      </c>
      <c r="CA172" t="s">
        <v>13937</v>
      </c>
      <c r="CE172" t="s">
        <v>16844</v>
      </c>
      <c r="CF172" t="s">
        <v>13808</v>
      </c>
      <c r="CK172" t="s">
        <v>16845</v>
      </c>
      <c r="CL172" t="s">
        <v>13818</v>
      </c>
      <c r="CM172" t="s">
        <v>16487</v>
      </c>
      <c r="CQ172" t="s">
        <v>13766</v>
      </c>
      <c r="CR172" t="s">
        <v>13809</v>
      </c>
      <c r="CT172" t="s">
        <v>16846</v>
      </c>
      <c r="CU172" t="s">
        <v>13941</v>
      </c>
      <c r="CV172" t="s">
        <v>13808</v>
      </c>
      <c r="CX172" t="s">
        <v>16847</v>
      </c>
      <c r="CY172" t="s">
        <v>13818</v>
      </c>
      <c r="DA172" t="s">
        <v>16848</v>
      </c>
      <c r="DB172" t="s">
        <v>13808</v>
      </c>
      <c r="DD172" t="s">
        <v>16847</v>
      </c>
      <c r="DE172" t="s">
        <v>13818</v>
      </c>
      <c r="DH172" t="s">
        <v>13808</v>
      </c>
      <c r="DZ172" t="s">
        <v>16849</v>
      </c>
      <c r="EA172" t="s">
        <v>16850</v>
      </c>
      <c r="EC172">
        <v>44642</v>
      </c>
      <c r="ED172" t="s">
        <v>13843</v>
      </c>
      <c r="EE172" t="s">
        <v>5655</v>
      </c>
    </row>
    <row r="173" spans="1:135">
      <c r="A173" t="s">
        <v>1422</v>
      </c>
      <c r="B173" t="s">
        <v>1375</v>
      </c>
      <c r="C173" t="s">
        <v>16851</v>
      </c>
      <c r="D173" s="24">
        <v>43082</v>
      </c>
      <c r="E173" s="24" t="s">
        <v>13559</v>
      </c>
      <c r="F173" s="24" t="s">
        <v>16852</v>
      </c>
      <c r="G173" s="24" t="s">
        <v>13808</v>
      </c>
      <c r="H173" s="24"/>
      <c r="I173" s="24" t="s">
        <v>13809</v>
      </c>
      <c r="J173" s="24"/>
      <c r="K173" s="24" t="s">
        <v>13808</v>
      </c>
      <c r="L173" s="24"/>
      <c r="M173" s="24" t="s">
        <v>13846</v>
      </c>
      <c r="N173" s="24" t="s">
        <v>13808</v>
      </c>
      <c r="O173" s="24"/>
      <c r="P173" s="24" t="s">
        <v>13808</v>
      </c>
      <c r="Q173" s="24"/>
      <c r="R173" s="24" t="s">
        <v>13808</v>
      </c>
      <c r="S173" s="24"/>
      <c r="T173" t="s">
        <v>16853</v>
      </c>
      <c r="U173" t="s">
        <v>13809</v>
      </c>
      <c r="W173" t="s">
        <v>13808</v>
      </c>
      <c r="X173" t="s">
        <v>16854</v>
      </c>
      <c r="Y173" t="s">
        <v>13809</v>
      </c>
      <c r="AA173" t="s">
        <v>13928</v>
      </c>
      <c r="AB173" t="s">
        <v>16855</v>
      </c>
      <c r="AC173" t="s">
        <v>13808</v>
      </c>
      <c r="AH173" t="s">
        <v>13909</v>
      </c>
      <c r="AI173" t="s">
        <v>13808</v>
      </c>
      <c r="AN173" t="s">
        <v>16856</v>
      </c>
      <c r="AO173" t="s">
        <v>13808</v>
      </c>
      <c r="AT173" t="s">
        <v>14433</v>
      </c>
      <c r="AU173" t="s">
        <v>13808</v>
      </c>
      <c r="AZ173" t="s">
        <v>16857</v>
      </c>
      <c r="BA173" t="s">
        <v>13808</v>
      </c>
      <c r="BF173" t="s">
        <v>16858</v>
      </c>
      <c r="BG173" t="s">
        <v>13808</v>
      </c>
      <c r="BL173" t="s">
        <v>16859</v>
      </c>
      <c r="BM173" t="s">
        <v>13808</v>
      </c>
      <c r="BR173" t="s">
        <v>16860</v>
      </c>
      <c r="BS173" t="s">
        <v>13887</v>
      </c>
      <c r="BT173" t="s">
        <v>13808</v>
      </c>
      <c r="BU173" t="s">
        <v>13985</v>
      </c>
      <c r="BY173" t="s">
        <v>13885</v>
      </c>
      <c r="BZ173" t="s">
        <v>13808</v>
      </c>
      <c r="CA173" t="s">
        <v>13937</v>
      </c>
      <c r="CE173" t="s">
        <v>13887</v>
      </c>
      <c r="CF173" t="s">
        <v>13818</v>
      </c>
      <c r="CG173" t="s">
        <v>16861</v>
      </c>
      <c r="CL173" t="s">
        <v>13809</v>
      </c>
      <c r="CR173" t="s">
        <v>13809</v>
      </c>
      <c r="CT173" t="s">
        <v>16862</v>
      </c>
      <c r="CU173" t="s">
        <v>13909</v>
      </c>
      <c r="CV173" t="s">
        <v>13808</v>
      </c>
      <c r="DA173" t="s">
        <v>13909</v>
      </c>
      <c r="DB173" t="s">
        <v>13818</v>
      </c>
      <c r="DG173" t="s">
        <v>13909</v>
      </c>
      <c r="DH173" t="s">
        <v>13818</v>
      </c>
      <c r="DM173" t="s">
        <v>13887</v>
      </c>
      <c r="DN173" t="s">
        <v>13808</v>
      </c>
      <c r="DZ173" t="s">
        <v>16025</v>
      </c>
      <c r="EA173" t="s">
        <v>15509</v>
      </c>
      <c r="EC173">
        <v>43480</v>
      </c>
      <c r="ED173" t="s">
        <v>13903</v>
      </c>
      <c r="EE173" t="s">
        <v>5889</v>
      </c>
    </row>
    <row r="174" spans="1:135">
      <c r="A174" t="s">
        <v>1106</v>
      </c>
      <c r="B174" t="s">
        <v>1043</v>
      </c>
      <c r="C174" t="s">
        <v>16863</v>
      </c>
      <c r="D174" s="24">
        <v>43080</v>
      </c>
      <c r="E174" s="24" t="s">
        <v>13555</v>
      </c>
      <c r="F174" s="24" t="s">
        <v>16864</v>
      </c>
      <c r="G174" s="24" t="s">
        <v>13808</v>
      </c>
      <c r="H174" s="24"/>
      <c r="I174" s="24" t="s">
        <v>13809</v>
      </c>
      <c r="J174" s="24"/>
      <c r="K174" s="24" t="s">
        <v>13808</v>
      </c>
      <c r="L174" s="24"/>
      <c r="M174" s="24" t="s">
        <v>16865</v>
      </c>
      <c r="N174" s="24" t="s">
        <v>13808</v>
      </c>
      <c r="O174" s="24"/>
      <c r="P174" s="24" t="s">
        <v>13808</v>
      </c>
      <c r="Q174" s="24"/>
      <c r="R174" s="24" t="s">
        <v>13808</v>
      </c>
      <c r="S174" s="24"/>
      <c r="T174" t="s">
        <v>15051</v>
      </c>
      <c r="U174" t="s">
        <v>13809</v>
      </c>
      <c r="W174" t="s">
        <v>13808</v>
      </c>
      <c r="X174" t="s">
        <v>16866</v>
      </c>
      <c r="Y174" t="s">
        <v>13809</v>
      </c>
      <c r="AA174" t="s">
        <v>14971</v>
      </c>
      <c r="AB174" t="s">
        <v>16867</v>
      </c>
      <c r="AC174" t="s">
        <v>13808</v>
      </c>
      <c r="AH174" t="s">
        <v>13909</v>
      </c>
      <c r="AI174" t="s">
        <v>13808</v>
      </c>
      <c r="AN174" t="s">
        <v>16868</v>
      </c>
      <c r="AO174" t="s">
        <v>13808</v>
      </c>
      <c r="AU174" t="s">
        <v>13809</v>
      </c>
      <c r="AZ174" t="s">
        <v>16869</v>
      </c>
      <c r="BA174" t="s">
        <v>13808</v>
      </c>
      <c r="BG174" t="s">
        <v>13809</v>
      </c>
      <c r="BL174" t="s">
        <v>16870</v>
      </c>
      <c r="BM174" t="s">
        <v>13808</v>
      </c>
      <c r="BR174" t="s">
        <v>16871</v>
      </c>
      <c r="BS174" t="s">
        <v>13887</v>
      </c>
      <c r="BT174" t="s">
        <v>13808</v>
      </c>
      <c r="BU174" t="s">
        <v>16499</v>
      </c>
      <c r="BY174" t="s">
        <v>14265</v>
      </c>
      <c r="BZ174" t="s">
        <v>13808</v>
      </c>
      <c r="CA174" t="s">
        <v>16872</v>
      </c>
      <c r="CE174" t="s">
        <v>16201</v>
      </c>
      <c r="CF174" t="s">
        <v>13808</v>
      </c>
      <c r="CK174" t="s">
        <v>14693</v>
      </c>
      <c r="CL174" t="s">
        <v>13808</v>
      </c>
      <c r="CR174" t="s">
        <v>13809</v>
      </c>
      <c r="CT174" t="s">
        <v>16873</v>
      </c>
      <c r="CU174" t="s">
        <v>16874</v>
      </c>
      <c r="CV174" t="s">
        <v>13808</v>
      </c>
      <c r="DA174" t="s">
        <v>16874</v>
      </c>
      <c r="DB174" t="s">
        <v>13808</v>
      </c>
      <c r="DG174" t="s">
        <v>16875</v>
      </c>
      <c r="DH174" t="s">
        <v>13808</v>
      </c>
      <c r="DY174" t="s">
        <v>13900</v>
      </c>
      <c r="DZ174" t="s">
        <v>16025</v>
      </c>
      <c r="EA174" t="s">
        <v>14275</v>
      </c>
      <c r="EC174">
        <v>44130</v>
      </c>
      <c r="ED174" t="s">
        <v>13903</v>
      </c>
      <c r="EE174" t="s">
        <v>5510</v>
      </c>
    </row>
    <row r="175" spans="1:135">
      <c r="A175" t="s">
        <v>1315</v>
      </c>
      <c r="B175" t="s">
        <v>1246</v>
      </c>
      <c r="C175" t="s">
        <v>16876</v>
      </c>
      <c r="D175" s="24">
        <v>43488</v>
      </c>
      <c r="E175" s="24" t="s">
        <v>13555</v>
      </c>
      <c r="F175" s="24" t="s">
        <v>16877</v>
      </c>
      <c r="G175" s="24" t="s">
        <v>13808</v>
      </c>
      <c r="H175" s="24"/>
      <c r="I175" s="24" t="s">
        <v>13809</v>
      </c>
      <c r="J175" s="24"/>
      <c r="K175" s="24" t="s">
        <v>13808</v>
      </c>
      <c r="L175" s="24"/>
      <c r="M175" s="24" t="s">
        <v>16878</v>
      </c>
      <c r="N175" s="24" t="s">
        <v>13808</v>
      </c>
      <c r="O175" s="24"/>
      <c r="P175" s="24" t="s">
        <v>13808</v>
      </c>
      <c r="Q175" s="24"/>
      <c r="R175" s="24" t="s">
        <v>13808</v>
      </c>
      <c r="S175" s="24"/>
      <c r="T175" t="s">
        <v>16879</v>
      </c>
      <c r="U175" t="s">
        <v>13808</v>
      </c>
      <c r="W175" t="s">
        <v>13808</v>
      </c>
      <c r="X175" t="s">
        <v>16880</v>
      </c>
      <c r="Y175" t="s">
        <v>13809</v>
      </c>
      <c r="AA175" t="s">
        <v>14971</v>
      </c>
      <c r="AB175" t="s">
        <v>16881</v>
      </c>
      <c r="AC175" t="s">
        <v>13808</v>
      </c>
      <c r="AH175" t="s">
        <v>13851</v>
      </c>
      <c r="AI175" t="s">
        <v>13808</v>
      </c>
      <c r="AN175" t="s">
        <v>16882</v>
      </c>
      <c r="AO175" t="s">
        <v>13808</v>
      </c>
      <c r="AT175" t="s">
        <v>16883</v>
      </c>
      <c r="AU175" t="s">
        <v>13808</v>
      </c>
      <c r="AZ175" t="s">
        <v>16884</v>
      </c>
      <c r="BA175" t="s">
        <v>13808</v>
      </c>
      <c r="BF175" t="s">
        <v>16885</v>
      </c>
      <c r="BG175" t="s">
        <v>13808</v>
      </c>
      <c r="BL175" t="s">
        <v>16886</v>
      </c>
      <c r="BM175" t="s">
        <v>13808</v>
      </c>
      <c r="BR175" t="s">
        <v>16887</v>
      </c>
      <c r="BS175" t="s">
        <v>14779</v>
      </c>
      <c r="BT175" t="s">
        <v>13808</v>
      </c>
      <c r="BU175" t="s">
        <v>14291</v>
      </c>
      <c r="BY175" t="s">
        <v>13986</v>
      </c>
      <c r="BZ175" t="s">
        <v>13808</v>
      </c>
      <c r="CA175" t="s">
        <v>13937</v>
      </c>
      <c r="CE175" t="s">
        <v>16888</v>
      </c>
      <c r="CF175" t="s">
        <v>13808</v>
      </c>
      <c r="CK175" t="s">
        <v>13760</v>
      </c>
      <c r="CL175" t="s">
        <v>13809</v>
      </c>
      <c r="CQ175" t="s">
        <v>16889</v>
      </c>
      <c r="CR175" t="s">
        <v>13808</v>
      </c>
      <c r="CS175" t="s">
        <v>16890</v>
      </c>
      <c r="CT175" t="s">
        <v>16891</v>
      </c>
      <c r="CU175" t="s">
        <v>16892</v>
      </c>
      <c r="CV175" t="s">
        <v>13808</v>
      </c>
      <c r="CX175" t="s">
        <v>15061</v>
      </c>
      <c r="CY175" t="s">
        <v>13818</v>
      </c>
      <c r="DA175" t="s">
        <v>16893</v>
      </c>
      <c r="DB175" t="s">
        <v>13808</v>
      </c>
      <c r="DD175" t="s">
        <v>15061</v>
      </c>
      <c r="DE175" t="s">
        <v>13818</v>
      </c>
      <c r="DG175" t="s">
        <v>16894</v>
      </c>
      <c r="DH175" t="s">
        <v>13808</v>
      </c>
      <c r="DM175" t="s">
        <v>16895</v>
      </c>
      <c r="DN175" t="s">
        <v>13808</v>
      </c>
      <c r="DZ175" t="s">
        <v>16896</v>
      </c>
      <c r="EA175" t="s">
        <v>13996</v>
      </c>
      <c r="EC175">
        <v>44623</v>
      </c>
      <c r="ED175" t="s">
        <v>13843</v>
      </c>
      <c r="EE175" t="s">
        <v>5757</v>
      </c>
    </row>
    <row r="176" spans="1:135">
      <c r="A176" t="s">
        <v>1535</v>
      </c>
      <c r="B176" t="s">
        <v>1442</v>
      </c>
      <c r="C176" t="s">
        <v>16897</v>
      </c>
      <c r="D176" s="24">
        <v>43069</v>
      </c>
      <c r="E176" s="24" t="s">
        <v>13557</v>
      </c>
      <c r="F176" s="24" t="s">
        <v>16898</v>
      </c>
      <c r="G176" s="24" t="s">
        <v>13808</v>
      </c>
      <c r="H176" s="24"/>
      <c r="I176" s="24" t="s">
        <v>13809</v>
      </c>
      <c r="J176" s="24"/>
      <c r="K176" s="24" t="s">
        <v>13808</v>
      </c>
      <c r="L176" s="24"/>
      <c r="M176" s="24" t="s">
        <v>14304</v>
      </c>
      <c r="N176" s="24" t="s">
        <v>13808</v>
      </c>
      <c r="O176" s="24"/>
      <c r="P176" s="24" t="s">
        <v>13808</v>
      </c>
      <c r="Q176" s="24"/>
      <c r="R176" s="24" t="s">
        <v>13818</v>
      </c>
      <c r="S176" s="24" t="s">
        <v>16899</v>
      </c>
      <c r="T176" t="s">
        <v>16824</v>
      </c>
      <c r="U176" t="s">
        <v>13809</v>
      </c>
      <c r="W176" t="s">
        <v>13808</v>
      </c>
      <c r="X176" t="s">
        <v>16900</v>
      </c>
      <c r="Y176" t="s">
        <v>13808</v>
      </c>
      <c r="AA176" t="s">
        <v>16901</v>
      </c>
      <c r="AH176" t="s">
        <v>16902</v>
      </c>
      <c r="AI176" t="s">
        <v>13808</v>
      </c>
      <c r="AN176" t="s">
        <v>16903</v>
      </c>
      <c r="AO176" t="s">
        <v>13808</v>
      </c>
      <c r="AT176" t="s">
        <v>16904</v>
      </c>
      <c r="AU176" t="s">
        <v>13808</v>
      </c>
      <c r="AZ176" t="s">
        <v>16905</v>
      </c>
      <c r="BA176" t="s">
        <v>13808</v>
      </c>
      <c r="BF176" t="s">
        <v>16906</v>
      </c>
      <c r="BG176" t="s">
        <v>13808</v>
      </c>
      <c r="BL176" t="s">
        <v>16907</v>
      </c>
      <c r="BM176" t="s">
        <v>13808</v>
      </c>
      <c r="BR176" t="s">
        <v>16908</v>
      </c>
      <c r="BS176" t="s">
        <v>13824</v>
      </c>
      <c r="BT176" t="s">
        <v>13808</v>
      </c>
      <c r="BU176" t="s">
        <v>13985</v>
      </c>
      <c r="BY176" t="s">
        <v>16909</v>
      </c>
      <c r="BZ176" t="s">
        <v>13808</v>
      </c>
      <c r="CA176" t="s">
        <v>13937</v>
      </c>
      <c r="CE176" t="s">
        <v>13828</v>
      </c>
      <c r="CF176" t="s">
        <v>13808</v>
      </c>
      <c r="CH176" t="s">
        <v>16910</v>
      </c>
      <c r="CI176" t="s">
        <v>13818</v>
      </c>
      <c r="CJ176" t="s">
        <v>16911</v>
      </c>
      <c r="CK176" t="s">
        <v>15775</v>
      </c>
      <c r="CL176" t="s">
        <v>13818</v>
      </c>
      <c r="CM176" t="s">
        <v>14309</v>
      </c>
      <c r="CQ176" t="s">
        <v>16710</v>
      </c>
      <c r="CR176" t="s">
        <v>13808</v>
      </c>
      <c r="CT176" t="s">
        <v>16912</v>
      </c>
      <c r="DZ176" t="s">
        <v>14923</v>
      </c>
      <c r="EA176" t="s">
        <v>13842</v>
      </c>
      <c r="EC176">
        <v>44623</v>
      </c>
      <c r="ED176" t="s">
        <v>13843</v>
      </c>
      <c r="EE176" t="s">
        <v>6030</v>
      </c>
    </row>
    <row r="177" spans="1:135">
      <c r="A177" t="s">
        <v>2209</v>
      </c>
      <c r="B177" t="s">
        <v>2174</v>
      </c>
      <c r="C177" t="s">
        <v>16913</v>
      </c>
      <c r="D177" s="24">
        <v>44973</v>
      </c>
      <c r="E177" s="24" t="s">
        <v>13565</v>
      </c>
      <c r="F177" s="24" t="s">
        <v>16914</v>
      </c>
      <c r="G177" s="24" t="s">
        <v>13808</v>
      </c>
      <c r="H177" s="24"/>
      <c r="I177" s="24" t="s">
        <v>13809</v>
      </c>
      <c r="J177" s="24"/>
      <c r="K177" s="24" t="s">
        <v>13809</v>
      </c>
      <c r="L177" s="24" t="s">
        <v>16915</v>
      </c>
      <c r="M177" s="24" t="s">
        <v>14304</v>
      </c>
      <c r="N177" s="24" t="s">
        <v>13808</v>
      </c>
      <c r="O177" s="24"/>
      <c r="P177" s="24" t="s">
        <v>13808</v>
      </c>
      <c r="Q177" s="24"/>
      <c r="R177" s="24" t="s">
        <v>13818</v>
      </c>
      <c r="S177" s="24"/>
      <c r="T177" t="s">
        <v>16916</v>
      </c>
      <c r="U177" t="s">
        <v>13808</v>
      </c>
      <c r="V177" t="s">
        <v>16917</v>
      </c>
      <c r="W177" t="s">
        <v>13808</v>
      </c>
      <c r="X177" t="s">
        <v>16918</v>
      </c>
      <c r="Y177" t="s">
        <v>13809</v>
      </c>
      <c r="AA177" t="s">
        <v>16919</v>
      </c>
      <c r="AB177" t="s">
        <v>16920</v>
      </c>
      <c r="AC177" t="s">
        <v>13808</v>
      </c>
      <c r="AH177" t="s">
        <v>13851</v>
      </c>
      <c r="AI177" t="s">
        <v>13808</v>
      </c>
      <c r="AN177" t="s">
        <v>16921</v>
      </c>
      <c r="AO177" t="s">
        <v>13808</v>
      </c>
      <c r="AT177" t="s">
        <v>16922</v>
      </c>
      <c r="AU177" t="s">
        <v>13808</v>
      </c>
      <c r="AZ177" t="s">
        <v>16923</v>
      </c>
      <c r="BA177" t="s">
        <v>13808</v>
      </c>
      <c r="BF177" t="s">
        <v>16924</v>
      </c>
      <c r="BG177" t="s">
        <v>13808</v>
      </c>
      <c r="BL177" t="s">
        <v>16925</v>
      </c>
      <c r="BM177" t="s">
        <v>13808</v>
      </c>
      <c r="BR177" t="s">
        <v>16926</v>
      </c>
      <c r="BS177" t="s">
        <v>13824</v>
      </c>
      <c r="BT177" t="s">
        <v>13808</v>
      </c>
      <c r="BU177" t="s">
        <v>14147</v>
      </c>
      <c r="BY177" t="s">
        <v>16927</v>
      </c>
      <c r="BZ177" t="s">
        <v>13808</v>
      </c>
      <c r="CA177" t="s">
        <v>16928</v>
      </c>
      <c r="CE177" t="s">
        <v>13828</v>
      </c>
      <c r="CF177" t="s">
        <v>13808</v>
      </c>
      <c r="CK177" t="s">
        <v>13760</v>
      </c>
      <c r="CL177" t="s">
        <v>13809</v>
      </c>
      <c r="CQ177" t="s">
        <v>16814</v>
      </c>
      <c r="CR177" t="s">
        <v>13818</v>
      </c>
      <c r="CS177" t="s">
        <v>16929</v>
      </c>
      <c r="CT177" t="s">
        <v>16930</v>
      </c>
      <c r="DG177" t="s">
        <v>16931</v>
      </c>
      <c r="DH177" t="s">
        <v>16932</v>
      </c>
      <c r="DY177" t="s">
        <v>15364</v>
      </c>
      <c r="DZ177" t="s">
        <v>14923</v>
      </c>
      <c r="EA177" t="s">
        <v>13842</v>
      </c>
      <c r="EC177">
        <v>45022</v>
      </c>
      <c r="ED177" t="s">
        <v>13843</v>
      </c>
      <c r="EE177" t="s">
        <v>6885</v>
      </c>
    </row>
    <row r="178" spans="1:135">
      <c r="A178" t="s">
        <v>1895</v>
      </c>
      <c r="B178" t="s">
        <v>1808</v>
      </c>
      <c r="C178" t="s">
        <v>16933</v>
      </c>
      <c r="D178" s="24">
        <v>43041</v>
      </c>
      <c r="E178" s="24" t="s">
        <v>13555</v>
      </c>
      <c r="F178" s="24" t="s">
        <v>16934</v>
      </c>
      <c r="G178" s="24" t="s">
        <v>13808</v>
      </c>
      <c r="H178" s="24"/>
      <c r="I178" s="24" t="s">
        <v>13809</v>
      </c>
      <c r="J178" s="24"/>
      <c r="K178" s="24" t="s">
        <v>13808</v>
      </c>
      <c r="L178" s="24"/>
      <c r="M178" s="24" t="s">
        <v>14304</v>
      </c>
      <c r="N178" s="24" t="s">
        <v>13808</v>
      </c>
      <c r="O178" s="24"/>
      <c r="P178" s="24" t="s">
        <v>13808</v>
      </c>
      <c r="Q178" s="24"/>
      <c r="R178" s="24" t="s">
        <v>13808</v>
      </c>
      <c r="S178" s="24"/>
      <c r="T178" t="s">
        <v>16935</v>
      </c>
      <c r="U178" t="s">
        <v>13808</v>
      </c>
      <c r="W178" t="s">
        <v>13808</v>
      </c>
      <c r="X178" t="s">
        <v>16936</v>
      </c>
      <c r="Y178" t="s">
        <v>13809</v>
      </c>
      <c r="AA178" t="s">
        <v>14971</v>
      </c>
      <c r="AB178" t="s">
        <v>14732</v>
      </c>
      <c r="AC178" t="s">
        <v>13808</v>
      </c>
      <c r="AH178" t="s">
        <v>13909</v>
      </c>
      <c r="AI178" t="s">
        <v>13808</v>
      </c>
      <c r="AN178" t="s">
        <v>16937</v>
      </c>
      <c r="AO178" t="s">
        <v>13808</v>
      </c>
      <c r="AT178" t="s">
        <v>13887</v>
      </c>
      <c r="AU178" t="s">
        <v>13808</v>
      </c>
      <c r="AZ178" t="s">
        <v>16368</v>
      </c>
      <c r="BA178" t="s">
        <v>13808</v>
      </c>
      <c r="BF178" t="s">
        <v>15025</v>
      </c>
      <c r="BG178" t="s">
        <v>13808</v>
      </c>
      <c r="BL178" t="s">
        <v>16938</v>
      </c>
      <c r="BM178" t="s">
        <v>13808</v>
      </c>
      <c r="BR178" t="s">
        <v>16939</v>
      </c>
      <c r="BS178" t="s">
        <v>13887</v>
      </c>
      <c r="BT178" t="s">
        <v>13808</v>
      </c>
      <c r="BU178" t="s">
        <v>13985</v>
      </c>
      <c r="BY178" t="s">
        <v>15138</v>
      </c>
      <c r="BZ178" t="s">
        <v>13808</v>
      </c>
      <c r="CA178" t="s">
        <v>16940</v>
      </c>
      <c r="CE178" t="s">
        <v>14265</v>
      </c>
      <c r="CF178" t="s">
        <v>13808</v>
      </c>
      <c r="CL178" t="s">
        <v>13809</v>
      </c>
      <c r="CR178" t="s">
        <v>13809</v>
      </c>
      <c r="CT178" t="s">
        <v>16941</v>
      </c>
      <c r="CU178" t="s">
        <v>16942</v>
      </c>
      <c r="CV178" t="s">
        <v>13808</v>
      </c>
      <c r="CX178" t="s">
        <v>16943</v>
      </c>
      <c r="CY178" t="s">
        <v>13818</v>
      </c>
      <c r="DA178" t="s">
        <v>15196</v>
      </c>
      <c r="DB178" t="s">
        <v>13808</v>
      </c>
      <c r="DD178" t="s">
        <v>16629</v>
      </c>
      <c r="DE178" t="s">
        <v>13818</v>
      </c>
      <c r="DG178" t="s">
        <v>13909</v>
      </c>
      <c r="DH178" t="s">
        <v>13818</v>
      </c>
      <c r="DY178" t="s">
        <v>15296</v>
      </c>
      <c r="DZ178" t="s">
        <v>16944</v>
      </c>
      <c r="EA178" t="s">
        <v>14500</v>
      </c>
      <c r="EC178">
        <v>43802</v>
      </c>
      <c r="ED178" t="s">
        <v>13903</v>
      </c>
      <c r="EE178" t="s">
        <v>6441</v>
      </c>
    </row>
    <row r="179" spans="1:135">
      <c r="A179" t="s">
        <v>1899</v>
      </c>
      <c r="B179" t="s">
        <v>1808</v>
      </c>
      <c r="C179" t="s">
        <v>16945</v>
      </c>
      <c r="D179" s="24">
        <v>43046</v>
      </c>
      <c r="E179" s="24" t="s">
        <v>13571</v>
      </c>
      <c r="F179" s="24" t="s">
        <v>16946</v>
      </c>
      <c r="G179" s="24" t="s">
        <v>13808</v>
      </c>
      <c r="H179" s="24"/>
      <c r="I179" s="24" t="s">
        <v>13808</v>
      </c>
      <c r="J179" s="24"/>
      <c r="K179" s="24" t="s">
        <v>13808</v>
      </c>
      <c r="L179" s="24"/>
      <c r="M179" s="24" t="s">
        <v>16947</v>
      </c>
      <c r="N179" s="24" t="s">
        <v>13808</v>
      </c>
      <c r="O179" s="24"/>
      <c r="P179" s="24" t="s">
        <v>13808</v>
      </c>
      <c r="Q179" s="24"/>
      <c r="R179" s="24" t="s">
        <v>13818</v>
      </c>
      <c r="S179" s="24"/>
      <c r="T179" t="s">
        <v>16948</v>
      </c>
      <c r="U179" t="s">
        <v>13808</v>
      </c>
      <c r="W179" t="s">
        <v>13808</v>
      </c>
      <c r="X179" t="s">
        <v>16949</v>
      </c>
      <c r="Y179" t="s">
        <v>13808</v>
      </c>
      <c r="AA179" t="s">
        <v>16950</v>
      </c>
      <c r="AB179" t="s">
        <v>16951</v>
      </c>
      <c r="AC179" t="s">
        <v>13808</v>
      </c>
      <c r="AH179" t="s">
        <v>13909</v>
      </c>
      <c r="AI179" t="s">
        <v>13808</v>
      </c>
      <c r="AK179" t="s">
        <v>16952</v>
      </c>
      <c r="AL179" t="s">
        <v>13818</v>
      </c>
      <c r="AN179" t="s">
        <v>16953</v>
      </c>
      <c r="AO179" t="s">
        <v>13808</v>
      </c>
      <c r="AT179" t="s">
        <v>14544</v>
      </c>
      <c r="AU179" t="s">
        <v>13808</v>
      </c>
      <c r="AZ179" t="s">
        <v>16078</v>
      </c>
      <c r="BA179" t="s">
        <v>13808</v>
      </c>
      <c r="BF179" t="s">
        <v>16954</v>
      </c>
      <c r="BG179" t="s">
        <v>13808</v>
      </c>
      <c r="BL179" t="s">
        <v>16955</v>
      </c>
      <c r="BM179" t="s">
        <v>13808</v>
      </c>
      <c r="BR179" t="s">
        <v>16956</v>
      </c>
      <c r="BS179" t="s">
        <v>13887</v>
      </c>
      <c r="BT179" t="s">
        <v>13808</v>
      </c>
      <c r="BU179" t="s">
        <v>14315</v>
      </c>
      <c r="BY179" t="s">
        <v>14265</v>
      </c>
      <c r="BZ179" t="s">
        <v>13808</v>
      </c>
      <c r="CA179" t="s">
        <v>16940</v>
      </c>
      <c r="CE179" t="s">
        <v>13887</v>
      </c>
      <c r="CF179" t="s">
        <v>13808</v>
      </c>
      <c r="CL179" t="s">
        <v>13809</v>
      </c>
      <c r="CQ179" t="s">
        <v>14265</v>
      </c>
      <c r="CR179" t="s">
        <v>13808</v>
      </c>
      <c r="CT179" t="s">
        <v>16957</v>
      </c>
      <c r="CU179" t="s">
        <v>13887</v>
      </c>
      <c r="CV179" t="s">
        <v>13808</v>
      </c>
      <c r="CX179" t="s">
        <v>16608</v>
      </c>
      <c r="CY179" t="s">
        <v>13818</v>
      </c>
      <c r="DA179" t="s">
        <v>16958</v>
      </c>
      <c r="DB179" t="s">
        <v>13808</v>
      </c>
      <c r="DD179" t="s">
        <v>16608</v>
      </c>
      <c r="DE179" t="s">
        <v>13818</v>
      </c>
      <c r="DG179" t="s">
        <v>15280</v>
      </c>
      <c r="DH179" t="s">
        <v>13808</v>
      </c>
      <c r="DZ179" t="s">
        <v>16025</v>
      </c>
      <c r="EA179" t="s">
        <v>16850</v>
      </c>
      <c r="EC179">
        <v>43480</v>
      </c>
      <c r="ED179" t="s">
        <v>13903</v>
      </c>
      <c r="EE179" t="s">
        <v>6447</v>
      </c>
    </row>
    <row r="180" spans="1:135">
      <c r="A180" t="s">
        <v>2081</v>
      </c>
      <c r="B180" t="s">
        <v>2026</v>
      </c>
      <c r="C180" t="s">
        <v>16959</v>
      </c>
      <c r="D180" s="24">
        <v>44736</v>
      </c>
      <c r="E180" s="24" t="s">
        <v>13555</v>
      </c>
      <c r="F180" s="24" t="s">
        <v>16960</v>
      </c>
      <c r="G180" s="24" t="s">
        <v>13808</v>
      </c>
      <c r="H180" s="24"/>
      <c r="I180" s="24" t="s">
        <v>13809</v>
      </c>
      <c r="J180" s="24"/>
      <c r="K180" s="24" t="s">
        <v>13808</v>
      </c>
      <c r="L180" s="24"/>
      <c r="M180" s="24" t="s">
        <v>14304</v>
      </c>
      <c r="N180" s="24" t="s">
        <v>13808</v>
      </c>
      <c r="O180" s="24"/>
      <c r="P180" s="24" t="s">
        <v>13808</v>
      </c>
      <c r="Q180" s="24"/>
      <c r="R180" s="24" t="s">
        <v>13808</v>
      </c>
      <c r="S180" s="24"/>
      <c r="T180" t="s">
        <v>14863</v>
      </c>
      <c r="U180" t="s">
        <v>13809</v>
      </c>
      <c r="W180" t="s">
        <v>13808</v>
      </c>
      <c r="X180" t="s">
        <v>16961</v>
      </c>
      <c r="Y180" t="s">
        <v>13808</v>
      </c>
      <c r="Z180" t="s">
        <v>16962</v>
      </c>
      <c r="AA180" t="s">
        <v>14971</v>
      </c>
      <c r="AB180" t="s">
        <v>16963</v>
      </c>
      <c r="AC180" t="s">
        <v>13808</v>
      </c>
      <c r="AH180" t="s">
        <v>13851</v>
      </c>
      <c r="AI180" t="s">
        <v>13808</v>
      </c>
      <c r="AN180" t="s">
        <v>16964</v>
      </c>
      <c r="AO180" t="s">
        <v>13808</v>
      </c>
      <c r="AT180" t="s">
        <v>13820</v>
      </c>
      <c r="AU180" t="s">
        <v>13808</v>
      </c>
      <c r="AZ180" t="s">
        <v>16965</v>
      </c>
      <c r="BA180" t="s">
        <v>13808</v>
      </c>
      <c r="BF180" t="s">
        <v>14910</v>
      </c>
      <c r="BG180" t="s">
        <v>13808</v>
      </c>
      <c r="BL180" t="s">
        <v>16966</v>
      </c>
      <c r="BM180" t="s">
        <v>13808</v>
      </c>
      <c r="BR180" t="s">
        <v>16967</v>
      </c>
      <c r="BS180" t="s">
        <v>13824</v>
      </c>
      <c r="BT180" t="s">
        <v>13808</v>
      </c>
      <c r="BU180" t="s">
        <v>15774</v>
      </c>
      <c r="BY180" t="s">
        <v>13860</v>
      </c>
      <c r="BZ180" t="s">
        <v>13808</v>
      </c>
      <c r="CA180" t="s">
        <v>13937</v>
      </c>
      <c r="CE180" t="s">
        <v>16968</v>
      </c>
      <c r="CF180" t="s">
        <v>13808</v>
      </c>
      <c r="CK180" t="s">
        <v>14581</v>
      </c>
      <c r="CL180" t="s">
        <v>13808</v>
      </c>
      <c r="CQ180" t="s">
        <v>13766</v>
      </c>
      <c r="CR180" t="s">
        <v>13809</v>
      </c>
      <c r="CT180" t="s">
        <v>16969</v>
      </c>
      <c r="CU180" t="s">
        <v>16970</v>
      </c>
      <c r="CV180" t="s">
        <v>13808</v>
      </c>
      <c r="DA180" t="s">
        <v>16971</v>
      </c>
      <c r="DB180" t="s">
        <v>13808</v>
      </c>
      <c r="DG180" t="s">
        <v>16972</v>
      </c>
      <c r="DH180" t="s">
        <v>13808</v>
      </c>
      <c r="DM180" t="s">
        <v>16973</v>
      </c>
      <c r="DN180" t="s">
        <v>13808</v>
      </c>
      <c r="DY180" t="s">
        <v>13869</v>
      </c>
      <c r="DZ180" t="s">
        <v>16974</v>
      </c>
      <c r="EA180" t="s">
        <v>15065</v>
      </c>
      <c r="EC180">
        <v>44741</v>
      </c>
      <c r="ED180" t="s">
        <v>14298</v>
      </c>
      <c r="EE180" t="s">
        <v>6717</v>
      </c>
    </row>
    <row r="181" spans="1:135">
      <c r="A181" t="s">
        <v>1663</v>
      </c>
      <c r="B181" t="s">
        <v>1589</v>
      </c>
      <c r="C181" t="s">
        <v>16975</v>
      </c>
      <c r="D181" s="24">
        <v>43032</v>
      </c>
      <c r="E181" s="24" t="s">
        <v>13564</v>
      </c>
      <c r="F181" s="24" t="s">
        <v>16976</v>
      </c>
      <c r="G181" s="24" t="s">
        <v>13808</v>
      </c>
      <c r="H181" s="24"/>
      <c r="I181" s="24" t="s">
        <v>13809</v>
      </c>
      <c r="J181" s="24"/>
      <c r="K181" s="24" t="s">
        <v>13809</v>
      </c>
      <c r="L181" s="24"/>
      <c r="M181" s="24" t="s">
        <v>16977</v>
      </c>
      <c r="N181" s="24" t="s">
        <v>13808</v>
      </c>
      <c r="O181" s="24"/>
      <c r="P181" s="24" t="s">
        <v>13818</v>
      </c>
      <c r="Q181" s="24" t="s">
        <v>16978</v>
      </c>
      <c r="R181" s="24" t="s">
        <v>13808</v>
      </c>
      <c r="S181" s="24"/>
      <c r="T181" t="s">
        <v>14863</v>
      </c>
      <c r="U181" t="s">
        <v>13809</v>
      </c>
      <c r="W181" t="s">
        <v>13808</v>
      </c>
      <c r="X181" t="s">
        <v>16979</v>
      </c>
      <c r="Y181" t="s">
        <v>13808</v>
      </c>
      <c r="AA181" t="s">
        <v>15089</v>
      </c>
      <c r="AB181" t="s">
        <v>16980</v>
      </c>
      <c r="AC181" t="s">
        <v>13808</v>
      </c>
      <c r="AH181" t="s">
        <v>13851</v>
      </c>
      <c r="AI181" t="s">
        <v>13808</v>
      </c>
      <c r="AN181" t="s">
        <v>16981</v>
      </c>
      <c r="AO181" t="s">
        <v>13808</v>
      </c>
      <c r="AT181" t="s">
        <v>16982</v>
      </c>
      <c r="AU181" t="s">
        <v>13808</v>
      </c>
      <c r="AZ181" t="s">
        <v>16983</v>
      </c>
      <c r="BA181" t="s">
        <v>13808</v>
      </c>
      <c r="BF181" t="s">
        <v>16984</v>
      </c>
      <c r="BG181" t="s">
        <v>13808</v>
      </c>
      <c r="BL181" t="s">
        <v>16985</v>
      </c>
      <c r="BM181" t="s">
        <v>13808</v>
      </c>
      <c r="BR181" t="s">
        <v>16986</v>
      </c>
      <c r="BS181" t="s">
        <v>13824</v>
      </c>
      <c r="BT181" t="s">
        <v>13808</v>
      </c>
      <c r="BU181" t="s">
        <v>16987</v>
      </c>
      <c r="BY181" t="s">
        <v>16988</v>
      </c>
      <c r="BZ181" t="s">
        <v>13818</v>
      </c>
      <c r="CA181" t="s">
        <v>16989</v>
      </c>
      <c r="CE181" t="s">
        <v>16990</v>
      </c>
      <c r="CF181" t="s">
        <v>13808</v>
      </c>
      <c r="CK181" t="s">
        <v>13760</v>
      </c>
      <c r="CL181" t="s">
        <v>13809</v>
      </c>
      <c r="CQ181" t="s">
        <v>13766</v>
      </c>
      <c r="CR181" t="s">
        <v>13809</v>
      </c>
      <c r="CT181" t="s">
        <v>16991</v>
      </c>
      <c r="CU181" t="s">
        <v>16992</v>
      </c>
      <c r="CV181" t="s">
        <v>13808</v>
      </c>
      <c r="CX181" t="s">
        <v>14997</v>
      </c>
      <c r="CY181" t="s">
        <v>13818</v>
      </c>
      <c r="DA181" t="s">
        <v>16993</v>
      </c>
      <c r="DB181" t="s">
        <v>13808</v>
      </c>
      <c r="DD181" t="s">
        <v>14997</v>
      </c>
      <c r="DE181" t="s">
        <v>13818</v>
      </c>
      <c r="DG181" t="s">
        <v>14240</v>
      </c>
      <c r="DH181" t="s">
        <v>13808</v>
      </c>
      <c r="DY181" t="s">
        <v>13840</v>
      </c>
      <c r="DZ181" t="s">
        <v>16994</v>
      </c>
      <c r="EA181" t="s">
        <v>14118</v>
      </c>
      <c r="EC181">
        <v>44642</v>
      </c>
      <c r="ED181" t="s">
        <v>13843</v>
      </c>
      <c r="EE181" t="s">
        <v>6183</v>
      </c>
    </row>
    <row r="182" spans="1:135">
      <c r="A182" t="s">
        <v>6448</v>
      </c>
      <c r="B182" t="s">
        <v>1808</v>
      </c>
      <c r="C182" t="s">
        <v>16995</v>
      </c>
      <c r="D182" s="24">
        <v>43697</v>
      </c>
      <c r="E182" s="24" t="s">
        <v>13553</v>
      </c>
      <c r="F182" s="24" t="s">
        <v>16996</v>
      </c>
      <c r="G182" s="24" t="s">
        <v>13808</v>
      </c>
      <c r="H182" s="24"/>
      <c r="I182" s="24" t="s">
        <v>13809</v>
      </c>
      <c r="J182" s="24"/>
      <c r="K182" s="24" t="s">
        <v>13809</v>
      </c>
      <c r="L182" s="24"/>
      <c r="M182" s="24" t="s">
        <v>14163</v>
      </c>
      <c r="N182" s="24" t="s">
        <v>13808</v>
      </c>
      <c r="O182" s="24"/>
      <c r="P182" s="24" t="s">
        <v>13808</v>
      </c>
      <c r="Q182" s="24"/>
      <c r="R182" s="24" t="s">
        <v>13808</v>
      </c>
      <c r="S182" s="24"/>
      <c r="T182" t="s">
        <v>16997</v>
      </c>
      <c r="U182" t="s">
        <v>13809</v>
      </c>
      <c r="W182" t="s">
        <v>13808</v>
      </c>
      <c r="X182" t="s">
        <v>16998</v>
      </c>
      <c r="Y182" t="s">
        <v>13808</v>
      </c>
      <c r="AA182" t="s">
        <v>13877</v>
      </c>
      <c r="AB182" t="s">
        <v>14124</v>
      </c>
      <c r="AC182" t="s">
        <v>13808</v>
      </c>
      <c r="AH182" t="s">
        <v>13909</v>
      </c>
      <c r="AI182" t="s">
        <v>13808</v>
      </c>
      <c r="AO182" t="s">
        <v>13809</v>
      </c>
      <c r="AT182" t="s">
        <v>14168</v>
      </c>
      <c r="AU182" t="s">
        <v>13808</v>
      </c>
      <c r="AZ182" t="s">
        <v>14046</v>
      </c>
      <c r="BA182" t="s">
        <v>13808</v>
      </c>
      <c r="BF182" t="s">
        <v>15076</v>
      </c>
      <c r="BG182" t="s">
        <v>13808</v>
      </c>
      <c r="BL182" t="s">
        <v>15077</v>
      </c>
      <c r="BM182" t="s">
        <v>13808</v>
      </c>
      <c r="BR182" t="s">
        <v>16999</v>
      </c>
      <c r="BS182" t="s">
        <v>13885</v>
      </c>
      <c r="BT182" t="s">
        <v>13808</v>
      </c>
      <c r="BU182" t="s">
        <v>17000</v>
      </c>
      <c r="BY182" t="s">
        <v>14265</v>
      </c>
      <c r="BZ182" t="s">
        <v>13808</v>
      </c>
      <c r="CA182" t="s">
        <v>14026</v>
      </c>
      <c r="CE182" t="s">
        <v>13887</v>
      </c>
      <c r="CF182" t="s">
        <v>13808</v>
      </c>
      <c r="CL182" t="s">
        <v>13809</v>
      </c>
      <c r="CR182" t="s">
        <v>13809</v>
      </c>
      <c r="CT182" t="s">
        <v>17001</v>
      </c>
      <c r="CU182" t="s">
        <v>17002</v>
      </c>
      <c r="CV182" t="s">
        <v>13808</v>
      </c>
      <c r="DA182" t="s">
        <v>17003</v>
      </c>
      <c r="DB182" t="s">
        <v>13808</v>
      </c>
      <c r="DH182" t="s">
        <v>13809</v>
      </c>
      <c r="DM182" t="s">
        <v>17004</v>
      </c>
      <c r="DN182" t="s">
        <v>13808</v>
      </c>
      <c r="DY182" t="s">
        <v>17005</v>
      </c>
      <c r="DZ182" t="s">
        <v>15083</v>
      </c>
      <c r="EA182" t="s">
        <v>14182</v>
      </c>
      <c r="ED182" t="s">
        <v>13903</v>
      </c>
      <c r="EE182" t="s">
        <v>6450</v>
      </c>
    </row>
    <row r="183" spans="1:135">
      <c r="A183" t="s">
        <v>2014</v>
      </c>
      <c r="B183" t="s">
        <v>1920</v>
      </c>
      <c r="C183" t="s">
        <v>17006</v>
      </c>
      <c r="D183" s="24">
        <v>45029</v>
      </c>
      <c r="E183" s="24" t="s">
        <v>13571</v>
      </c>
      <c r="F183" s="24" t="s">
        <v>17007</v>
      </c>
      <c r="G183" s="24" t="s">
        <v>13808</v>
      </c>
      <c r="H183" s="24"/>
      <c r="I183" s="24" t="s">
        <v>13809</v>
      </c>
      <c r="J183" s="24"/>
      <c r="K183" s="24" t="s">
        <v>13808</v>
      </c>
      <c r="L183" s="24"/>
      <c r="M183" s="24" t="s">
        <v>17008</v>
      </c>
      <c r="N183" s="24" t="s">
        <v>13808</v>
      </c>
      <c r="O183" s="24"/>
      <c r="P183" s="24" t="s">
        <v>13818</v>
      </c>
      <c r="Q183" s="24" t="s">
        <v>17009</v>
      </c>
      <c r="R183" s="24" t="s">
        <v>13808</v>
      </c>
      <c r="S183" s="24"/>
      <c r="T183" t="s">
        <v>14863</v>
      </c>
      <c r="U183" t="s">
        <v>13809</v>
      </c>
      <c r="W183" t="s">
        <v>13808</v>
      </c>
      <c r="X183" t="s">
        <v>17010</v>
      </c>
      <c r="Y183" t="s">
        <v>13809</v>
      </c>
      <c r="AA183" t="s">
        <v>15089</v>
      </c>
      <c r="AB183" t="s">
        <v>16742</v>
      </c>
      <c r="AC183" t="s">
        <v>13808</v>
      </c>
      <c r="AH183" t="s">
        <v>13851</v>
      </c>
      <c r="AI183" t="s">
        <v>13808</v>
      </c>
      <c r="AN183" t="s">
        <v>17011</v>
      </c>
      <c r="AO183" t="s">
        <v>13808</v>
      </c>
      <c r="AT183" t="s">
        <v>16744</v>
      </c>
      <c r="AU183" t="s">
        <v>13808</v>
      </c>
      <c r="AZ183" t="s">
        <v>16745</v>
      </c>
      <c r="BA183" t="s">
        <v>13808</v>
      </c>
      <c r="BF183" t="s">
        <v>17012</v>
      </c>
      <c r="BG183" t="s">
        <v>13808</v>
      </c>
      <c r="BL183" t="s">
        <v>16747</v>
      </c>
      <c r="BM183" t="s">
        <v>13808</v>
      </c>
      <c r="BR183" t="s">
        <v>17013</v>
      </c>
      <c r="BS183" t="s">
        <v>13824</v>
      </c>
      <c r="BT183" t="s">
        <v>13808</v>
      </c>
      <c r="BU183" t="s">
        <v>14336</v>
      </c>
      <c r="BY183" t="s">
        <v>13860</v>
      </c>
      <c r="BZ183" t="s">
        <v>13808</v>
      </c>
      <c r="CA183" t="s">
        <v>13937</v>
      </c>
      <c r="CE183" t="s">
        <v>17014</v>
      </c>
      <c r="CF183" t="s">
        <v>13808</v>
      </c>
      <c r="CH183" t="s">
        <v>17015</v>
      </c>
      <c r="CI183" t="s">
        <v>13818</v>
      </c>
      <c r="CJ183" t="s">
        <v>17016</v>
      </c>
      <c r="CK183" t="s">
        <v>16753</v>
      </c>
      <c r="CL183" t="s">
        <v>13808</v>
      </c>
      <c r="CQ183" t="s">
        <v>13766</v>
      </c>
      <c r="CR183" t="s">
        <v>13809</v>
      </c>
      <c r="CT183" t="s">
        <v>17017</v>
      </c>
      <c r="CU183" t="s">
        <v>17018</v>
      </c>
      <c r="CV183" t="s">
        <v>13808</v>
      </c>
      <c r="CX183" t="s">
        <v>17019</v>
      </c>
      <c r="CY183" t="s">
        <v>13818</v>
      </c>
      <c r="DA183" t="s">
        <v>17020</v>
      </c>
      <c r="DB183" t="s">
        <v>13808</v>
      </c>
      <c r="DD183" t="s">
        <v>17021</v>
      </c>
      <c r="DE183" t="s">
        <v>13818</v>
      </c>
      <c r="DM183" t="s">
        <v>17022</v>
      </c>
      <c r="DN183" t="s">
        <v>13808</v>
      </c>
      <c r="DY183" t="s">
        <v>14606</v>
      </c>
      <c r="DZ183" t="s">
        <v>17023</v>
      </c>
      <c r="EA183" t="s">
        <v>13842</v>
      </c>
      <c r="EC183">
        <v>45033</v>
      </c>
      <c r="ED183" t="s">
        <v>14667</v>
      </c>
      <c r="EE183" t="s">
        <v>6607</v>
      </c>
    </row>
    <row r="184" spans="1:135">
      <c r="A184" t="s">
        <v>2094</v>
      </c>
      <c r="B184" t="s">
        <v>2026</v>
      </c>
      <c r="C184" t="s">
        <v>17024</v>
      </c>
      <c r="D184" s="24">
        <v>43718</v>
      </c>
      <c r="E184" s="24" t="s">
        <v>13553</v>
      </c>
      <c r="F184" s="24" t="s">
        <v>17025</v>
      </c>
      <c r="G184" s="24" t="s">
        <v>13808</v>
      </c>
      <c r="H184" s="24"/>
      <c r="I184" s="24" t="s">
        <v>13809</v>
      </c>
      <c r="J184" s="24"/>
      <c r="K184" s="24" t="s">
        <v>13808</v>
      </c>
      <c r="L184" s="24"/>
      <c r="M184" s="24" t="s">
        <v>15021</v>
      </c>
      <c r="N184" s="24" t="s">
        <v>13808</v>
      </c>
      <c r="O184" s="24"/>
      <c r="P184" s="24" t="s">
        <v>13808</v>
      </c>
      <c r="Q184" s="24"/>
      <c r="R184" s="24" t="s">
        <v>13808</v>
      </c>
      <c r="S184" s="24"/>
      <c r="T184" t="s">
        <v>16194</v>
      </c>
      <c r="U184" t="s">
        <v>13809</v>
      </c>
      <c r="W184" t="s">
        <v>13808</v>
      </c>
      <c r="X184" t="s">
        <v>17026</v>
      </c>
      <c r="Y184" t="s">
        <v>13809</v>
      </c>
      <c r="AA184" t="s">
        <v>13877</v>
      </c>
      <c r="AB184" t="s">
        <v>17027</v>
      </c>
      <c r="AC184" t="s">
        <v>13808</v>
      </c>
      <c r="AH184" t="s">
        <v>13909</v>
      </c>
      <c r="AI184" t="s">
        <v>13808</v>
      </c>
      <c r="AN184" t="s">
        <v>17028</v>
      </c>
      <c r="AO184" t="s">
        <v>13808</v>
      </c>
      <c r="AT184" t="s">
        <v>15025</v>
      </c>
      <c r="AU184" t="s">
        <v>13808</v>
      </c>
      <c r="AZ184" t="s">
        <v>17029</v>
      </c>
      <c r="BA184" t="s">
        <v>13808</v>
      </c>
      <c r="BF184" t="s">
        <v>16724</v>
      </c>
      <c r="BG184" t="s">
        <v>13808</v>
      </c>
      <c r="BL184" t="s">
        <v>17030</v>
      </c>
      <c r="BM184" t="s">
        <v>13808</v>
      </c>
      <c r="BR184" t="s">
        <v>17031</v>
      </c>
      <c r="BT184" t="s">
        <v>13809</v>
      </c>
      <c r="BY184" t="s">
        <v>13887</v>
      </c>
      <c r="BZ184" t="s">
        <v>13808</v>
      </c>
      <c r="CA184" t="s">
        <v>14026</v>
      </c>
      <c r="CE184" t="s">
        <v>13885</v>
      </c>
      <c r="CF184" t="s">
        <v>13808</v>
      </c>
      <c r="CK184" t="s">
        <v>13887</v>
      </c>
      <c r="CL184" t="s">
        <v>13808</v>
      </c>
      <c r="CR184" t="s">
        <v>13809</v>
      </c>
      <c r="CT184" t="s">
        <v>17032</v>
      </c>
      <c r="CU184" t="s">
        <v>17033</v>
      </c>
      <c r="CV184" t="s">
        <v>13808</v>
      </c>
      <c r="DA184" t="s">
        <v>17034</v>
      </c>
      <c r="DB184" t="s">
        <v>13808</v>
      </c>
      <c r="DH184" t="s">
        <v>13809</v>
      </c>
      <c r="DM184" t="s">
        <v>17035</v>
      </c>
      <c r="DN184" t="s">
        <v>13808</v>
      </c>
      <c r="DO184" t="s">
        <v>17036</v>
      </c>
      <c r="DY184" t="s">
        <v>13900</v>
      </c>
      <c r="DZ184" t="s">
        <v>14696</v>
      </c>
      <c r="EA184" t="s">
        <v>16115</v>
      </c>
      <c r="ED184" t="s">
        <v>14501</v>
      </c>
      <c r="EE184" t="s">
        <v>6726</v>
      </c>
    </row>
    <row r="185" spans="1:135">
      <c r="A185" t="s">
        <v>2223</v>
      </c>
      <c r="B185" t="s">
        <v>2174</v>
      </c>
      <c r="C185" t="s">
        <v>17037</v>
      </c>
      <c r="D185" s="24">
        <v>44012</v>
      </c>
      <c r="E185" s="24" t="s">
        <v>13553</v>
      </c>
      <c r="F185" s="24" t="s">
        <v>17038</v>
      </c>
      <c r="G185" s="24" t="s">
        <v>13808</v>
      </c>
      <c r="H185" s="24"/>
      <c r="I185" s="24" t="s">
        <v>13809</v>
      </c>
      <c r="J185" s="24"/>
      <c r="K185" s="24" t="s">
        <v>13809</v>
      </c>
      <c r="L185" s="24"/>
      <c r="M185" s="24" t="s">
        <v>13846</v>
      </c>
      <c r="N185" s="24" t="s">
        <v>13808</v>
      </c>
      <c r="O185" s="24"/>
      <c r="P185" s="24" t="s">
        <v>13808</v>
      </c>
      <c r="Q185" s="24"/>
      <c r="R185" s="24" t="s">
        <v>13808</v>
      </c>
      <c r="S185" s="24"/>
      <c r="T185" t="s">
        <v>17039</v>
      </c>
      <c r="U185" t="s">
        <v>13808</v>
      </c>
      <c r="W185" t="s">
        <v>13808</v>
      </c>
      <c r="X185" t="s">
        <v>17040</v>
      </c>
      <c r="Y185" t="s">
        <v>13809</v>
      </c>
      <c r="AA185" t="s">
        <v>13849</v>
      </c>
      <c r="AB185" t="s">
        <v>17041</v>
      </c>
      <c r="AC185" t="s">
        <v>13808</v>
      </c>
      <c r="AH185" t="s">
        <v>13909</v>
      </c>
      <c r="AI185" t="s">
        <v>13808</v>
      </c>
      <c r="AO185" t="s">
        <v>13809</v>
      </c>
      <c r="AT185" t="s">
        <v>15883</v>
      </c>
      <c r="AU185" t="s">
        <v>13808</v>
      </c>
      <c r="AZ185" t="s">
        <v>15025</v>
      </c>
      <c r="BA185" t="s">
        <v>13808</v>
      </c>
      <c r="BF185" t="s">
        <v>17042</v>
      </c>
      <c r="BG185" t="s">
        <v>13808</v>
      </c>
      <c r="BL185" t="s">
        <v>17043</v>
      </c>
      <c r="BM185" t="s">
        <v>13808</v>
      </c>
      <c r="BR185" t="s">
        <v>17044</v>
      </c>
      <c r="BS185" t="s">
        <v>17045</v>
      </c>
      <c r="BT185" t="s">
        <v>13808</v>
      </c>
      <c r="BU185" t="s">
        <v>14291</v>
      </c>
      <c r="BY185" t="s">
        <v>14265</v>
      </c>
      <c r="BZ185" t="s">
        <v>13808</v>
      </c>
      <c r="CA185" t="s">
        <v>13861</v>
      </c>
      <c r="CF185" t="s">
        <v>13809</v>
      </c>
      <c r="CK185" t="s">
        <v>13809</v>
      </c>
      <c r="CR185" t="s">
        <v>13809</v>
      </c>
      <c r="CT185" t="s">
        <v>17046</v>
      </c>
      <c r="CU185" t="s">
        <v>17047</v>
      </c>
      <c r="CV185" t="s">
        <v>13808</v>
      </c>
      <c r="DA185" t="s">
        <v>17048</v>
      </c>
      <c r="DB185" t="s">
        <v>13808</v>
      </c>
      <c r="DM185" t="s">
        <v>17049</v>
      </c>
      <c r="DN185" t="s">
        <v>13808</v>
      </c>
      <c r="DY185" t="s">
        <v>13869</v>
      </c>
      <c r="DZ185" t="s">
        <v>17050</v>
      </c>
      <c r="EA185" t="s">
        <v>13871</v>
      </c>
      <c r="ED185" t="s">
        <v>13903</v>
      </c>
      <c r="EE185" t="s">
        <v>6895</v>
      </c>
    </row>
    <row r="186" spans="1:135">
      <c r="A186" t="s">
        <v>1366</v>
      </c>
      <c r="B186" t="s">
        <v>2026</v>
      </c>
      <c r="C186" t="s">
        <v>17051</v>
      </c>
      <c r="D186" s="24">
        <v>43031</v>
      </c>
      <c r="E186" s="24" t="s">
        <v>13555</v>
      </c>
      <c r="F186" s="24" t="s">
        <v>17052</v>
      </c>
      <c r="G186" s="24" t="s">
        <v>13808</v>
      </c>
      <c r="H186" s="24"/>
      <c r="I186" s="24" t="s">
        <v>13808</v>
      </c>
      <c r="J186" s="24"/>
      <c r="K186" s="24" t="s">
        <v>13809</v>
      </c>
      <c r="L186" s="24"/>
      <c r="M186" s="24" t="s">
        <v>14304</v>
      </c>
      <c r="N186" s="24" t="s">
        <v>13808</v>
      </c>
      <c r="O186" s="24"/>
      <c r="P186" s="24" t="s">
        <v>13808</v>
      </c>
      <c r="Q186" s="24"/>
      <c r="R186" s="24" t="s">
        <v>13808</v>
      </c>
      <c r="S186" s="24"/>
      <c r="T186" t="s">
        <v>15051</v>
      </c>
      <c r="U186" t="s">
        <v>13809</v>
      </c>
      <c r="W186" t="s">
        <v>13808</v>
      </c>
      <c r="X186" t="s">
        <v>17053</v>
      </c>
      <c r="Y186" t="s">
        <v>13809</v>
      </c>
      <c r="AA186" t="s">
        <v>17054</v>
      </c>
      <c r="AB186" t="s">
        <v>15348</v>
      </c>
      <c r="AC186" t="s">
        <v>13809</v>
      </c>
      <c r="AH186" t="s">
        <v>17055</v>
      </c>
      <c r="AI186" t="s">
        <v>13808</v>
      </c>
      <c r="AN186" t="s">
        <v>17056</v>
      </c>
      <c r="AO186" t="s">
        <v>13808</v>
      </c>
      <c r="AT186" t="s">
        <v>13717</v>
      </c>
      <c r="AU186" t="s">
        <v>13809</v>
      </c>
      <c r="AZ186" t="s">
        <v>17057</v>
      </c>
      <c r="BA186" t="s">
        <v>13808</v>
      </c>
      <c r="BF186" t="s">
        <v>17058</v>
      </c>
      <c r="BG186" t="s">
        <v>13809</v>
      </c>
      <c r="BL186" t="s">
        <v>13735</v>
      </c>
      <c r="BM186" t="s">
        <v>13809</v>
      </c>
      <c r="BR186" t="s">
        <v>17059</v>
      </c>
      <c r="BY186" t="s">
        <v>13748</v>
      </c>
      <c r="BZ186" t="s">
        <v>13809</v>
      </c>
      <c r="CE186" t="s">
        <v>13754</v>
      </c>
      <c r="CF186" t="s">
        <v>13809</v>
      </c>
      <c r="CK186" t="s">
        <v>13760</v>
      </c>
      <c r="CL186" t="s">
        <v>13809</v>
      </c>
      <c r="CQ186" t="s">
        <v>13766</v>
      </c>
      <c r="CR186" t="s">
        <v>13809</v>
      </c>
      <c r="CT186" t="s">
        <v>17060</v>
      </c>
      <c r="DG186" t="s">
        <v>14965</v>
      </c>
      <c r="DH186" t="s">
        <v>16932</v>
      </c>
      <c r="DY186" t="s">
        <v>14606</v>
      </c>
      <c r="DZ186" t="s">
        <v>14923</v>
      </c>
      <c r="EA186" t="s">
        <v>17061</v>
      </c>
      <c r="EC186">
        <v>44720</v>
      </c>
      <c r="ED186" t="s">
        <v>17062</v>
      </c>
      <c r="EE186" t="s">
        <v>6730</v>
      </c>
    </row>
    <row r="187" spans="1:135">
      <c r="A187" t="s">
        <v>5764</v>
      </c>
      <c r="B187" t="s">
        <v>1246</v>
      </c>
      <c r="C187" t="s">
        <v>17063</v>
      </c>
      <c r="D187" s="24">
        <v>45195</v>
      </c>
      <c r="E187" s="24" t="s">
        <v>13553</v>
      </c>
      <c r="F187" s="24" t="s">
        <v>17064</v>
      </c>
      <c r="G187" s="24" t="s">
        <v>13808</v>
      </c>
      <c r="H187" s="24"/>
      <c r="I187" s="24" t="s">
        <v>13809</v>
      </c>
      <c r="J187" s="24"/>
      <c r="K187" s="24" t="s">
        <v>13809</v>
      </c>
      <c r="L187" s="24"/>
      <c r="M187" s="24" t="s">
        <v>13846</v>
      </c>
      <c r="N187" s="24" t="s">
        <v>13808</v>
      </c>
      <c r="O187" s="24"/>
      <c r="P187" s="24" t="s">
        <v>13808</v>
      </c>
      <c r="Q187" s="24"/>
      <c r="R187" s="24" t="s">
        <v>13808</v>
      </c>
      <c r="S187" s="24"/>
      <c r="T187" t="s">
        <v>17065</v>
      </c>
      <c r="U187" t="s">
        <v>13809</v>
      </c>
      <c r="W187" t="s">
        <v>13808</v>
      </c>
      <c r="X187" t="s">
        <v>17066</v>
      </c>
      <c r="Y187" t="s">
        <v>13809</v>
      </c>
      <c r="AA187" t="s">
        <v>13849</v>
      </c>
      <c r="AB187" t="s">
        <v>13699</v>
      </c>
      <c r="AC187" t="s">
        <v>13809</v>
      </c>
      <c r="AH187" t="s">
        <v>14650</v>
      </c>
      <c r="AI187" t="s">
        <v>13808</v>
      </c>
      <c r="AN187" t="s">
        <v>13711</v>
      </c>
      <c r="AO187" t="s">
        <v>13809</v>
      </c>
      <c r="AT187" t="s">
        <v>16450</v>
      </c>
      <c r="AU187" t="s">
        <v>13808</v>
      </c>
      <c r="AZ187" t="s">
        <v>17067</v>
      </c>
      <c r="BA187" t="s">
        <v>13808</v>
      </c>
      <c r="BF187" t="s">
        <v>17068</v>
      </c>
      <c r="BG187" t="s">
        <v>13808</v>
      </c>
      <c r="BL187" t="s">
        <v>13735</v>
      </c>
      <c r="BM187" t="s">
        <v>13809</v>
      </c>
      <c r="BR187" t="s">
        <v>17069</v>
      </c>
      <c r="BS187" t="s">
        <v>13824</v>
      </c>
      <c r="BT187" t="s">
        <v>13808</v>
      </c>
      <c r="BU187" t="s">
        <v>14528</v>
      </c>
      <c r="BY187" t="s">
        <v>17070</v>
      </c>
      <c r="BZ187" t="s">
        <v>13808</v>
      </c>
      <c r="CA187" t="s">
        <v>17071</v>
      </c>
      <c r="CE187" t="s">
        <v>13828</v>
      </c>
      <c r="CF187" t="s">
        <v>13808</v>
      </c>
      <c r="CK187" t="s">
        <v>14581</v>
      </c>
      <c r="CL187" t="s">
        <v>13808</v>
      </c>
      <c r="CQ187" t="s">
        <v>13766</v>
      </c>
      <c r="CR187" t="s">
        <v>13809</v>
      </c>
      <c r="CT187" t="s">
        <v>14293</v>
      </c>
      <c r="CU187" t="s">
        <v>17072</v>
      </c>
      <c r="CV187" t="s">
        <v>13808</v>
      </c>
      <c r="DA187" t="s">
        <v>17073</v>
      </c>
      <c r="DB187" t="s">
        <v>13808</v>
      </c>
      <c r="DM187" t="s">
        <v>17074</v>
      </c>
      <c r="DN187" t="s">
        <v>13808</v>
      </c>
      <c r="DO187" t="s">
        <v>17075</v>
      </c>
      <c r="DP187" t="s">
        <v>17076</v>
      </c>
      <c r="DQ187" t="s">
        <v>13808</v>
      </c>
      <c r="DR187" t="s">
        <v>13839</v>
      </c>
      <c r="DY187" t="s">
        <v>13869</v>
      </c>
      <c r="DZ187" t="s">
        <v>17077</v>
      </c>
      <c r="EA187" t="s">
        <v>14182</v>
      </c>
      <c r="EC187">
        <v>45203</v>
      </c>
      <c r="ED187" t="s">
        <v>14298</v>
      </c>
      <c r="EE187" t="s">
        <v>5769</v>
      </c>
    </row>
    <row r="188" spans="1:135">
      <c r="A188" t="s">
        <v>1329</v>
      </c>
      <c r="B188" t="s">
        <v>1246</v>
      </c>
      <c r="C188" t="s">
        <v>17078</v>
      </c>
      <c r="D188" s="24">
        <v>43644</v>
      </c>
      <c r="E188" s="24" t="s">
        <v>13553</v>
      </c>
      <c r="F188" s="24" t="s">
        <v>17079</v>
      </c>
      <c r="G188" s="24" t="s">
        <v>13808</v>
      </c>
      <c r="H188" s="24"/>
      <c r="I188" s="24" t="s">
        <v>13809</v>
      </c>
      <c r="J188" s="24"/>
      <c r="K188" s="24" t="s">
        <v>13808</v>
      </c>
      <c r="L188" s="24"/>
      <c r="M188" s="24" t="s">
        <v>17080</v>
      </c>
      <c r="N188" s="24" t="s">
        <v>13808</v>
      </c>
      <c r="O188" s="24"/>
      <c r="P188" s="24" t="s">
        <v>13808</v>
      </c>
      <c r="Q188" s="24"/>
      <c r="R188" s="24" t="s">
        <v>13808</v>
      </c>
      <c r="S188" s="24"/>
      <c r="T188" t="s">
        <v>17081</v>
      </c>
      <c r="U188" t="s">
        <v>13809</v>
      </c>
      <c r="W188" t="s">
        <v>13808</v>
      </c>
      <c r="X188" t="s">
        <v>17082</v>
      </c>
      <c r="Y188" t="s">
        <v>13809</v>
      </c>
      <c r="AA188" t="s">
        <v>13877</v>
      </c>
      <c r="AB188" t="s">
        <v>17083</v>
      </c>
      <c r="AC188" t="s">
        <v>13808</v>
      </c>
      <c r="AH188" t="s">
        <v>13909</v>
      </c>
      <c r="AI188" t="s">
        <v>13808</v>
      </c>
      <c r="AO188" t="s">
        <v>13809</v>
      </c>
      <c r="AT188" t="s">
        <v>17084</v>
      </c>
      <c r="AU188" t="s">
        <v>13808</v>
      </c>
      <c r="AZ188" t="s">
        <v>17085</v>
      </c>
      <c r="BA188" t="s">
        <v>13808</v>
      </c>
      <c r="BF188" t="s">
        <v>17086</v>
      </c>
      <c r="BG188" t="s">
        <v>13808</v>
      </c>
      <c r="BL188" t="s">
        <v>17087</v>
      </c>
      <c r="BM188" t="s">
        <v>13808</v>
      </c>
      <c r="BR188" t="s">
        <v>17088</v>
      </c>
      <c r="BS188" t="s">
        <v>13887</v>
      </c>
      <c r="BT188" t="s">
        <v>13808</v>
      </c>
      <c r="BU188" t="s">
        <v>14025</v>
      </c>
      <c r="BY188" t="s">
        <v>14265</v>
      </c>
      <c r="BZ188" t="s">
        <v>13808</v>
      </c>
      <c r="CA188" t="s">
        <v>14026</v>
      </c>
      <c r="CE188" t="s">
        <v>13887</v>
      </c>
      <c r="CF188" t="s">
        <v>13808</v>
      </c>
      <c r="CG188" t="s">
        <v>14173</v>
      </c>
      <c r="CK188" t="s">
        <v>17089</v>
      </c>
      <c r="CL188" t="s">
        <v>13808</v>
      </c>
      <c r="CR188" t="s">
        <v>13809</v>
      </c>
      <c r="CT188" t="s">
        <v>17090</v>
      </c>
      <c r="CU188" t="s">
        <v>17091</v>
      </c>
      <c r="CV188" t="s">
        <v>13808</v>
      </c>
      <c r="DA188" t="s">
        <v>17092</v>
      </c>
      <c r="DB188" t="s">
        <v>13808</v>
      </c>
      <c r="DH188" t="s">
        <v>13809</v>
      </c>
      <c r="DM188" t="s">
        <v>17093</v>
      </c>
      <c r="DN188" t="s">
        <v>13808</v>
      </c>
      <c r="DY188" t="s">
        <v>13920</v>
      </c>
      <c r="DZ188" t="s">
        <v>17094</v>
      </c>
      <c r="EA188" t="s">
        <v>17095</v>
      </c>
      <c r="EC188">
        <v>44138</v>
      </c>
      <c r="ED188" t="s">
        <v>13903</v>
      </c>
      <c r="EE188" t="s">
        <v>5771</v>
      </c>
    </row>
    <row r="189" spans="1:135">
      <c r="A189" t="s">
        <v>1114</v>
      </c>
      <c r="B189" t="s">
        <v>1043</v>
      </c>
      <c r="C189" t="s">
        <v>17096</v>
      </c>
      <c r="D189" s="24">
        <v>45008</v>
      </c>
      <c r="E189" s="24" t="s">
        <v>13571</v>
      </c>
      <c r="F189" s="24" t="s">
        <v>17097</v>
      </c>
      <c r="G189" s="24"/>
      <c r="H189" s="24"/>
      <c r="I189" s="24"/>
      <c r="J189" s="24"/>
      <c r="K189" s="24" t="s">
        <v>13809</v>
      </c>
      <c r="L189" s="24"/>
      <c r="M189" s="24" t="s">
        <v>17098</v>
      </c>
      <c r="N189" s="24" t="s">
        <v>13808</v>
      </c>
      <c r="O189" s="24"/>
      <c r="P189" s="24" t="s">
        <v>13808</v>
      </c>
      <c r="Q189" s="24"/>
      <c r="R189" s="24" t="s">
        <v>13808</v>
      </c>
      <c r="S189" s="24"/>
      <c r="T189" t="s">
        <v>13907</v>
      </c>
      <c r="U189" t="s">
        <v>13809</v>
      </c>
      <c r="W189" t="s">
        <v>13808</v>
      </c>
      <c r="X189" t="s">
        <v>17099</v>
      </c>
      <c r="Y189" t="s">
        <v>13809</v>
      </c>
      <c r="AA189" t="s">
        <v>17100</v>
      </c>
      <c r="AB189" t="s">
        <v>15348</v>
      </c>
      <c r="AC189" t="s">
        <v>13809</v>
      </c>
      <c r="AH189" t="s">
        <v>13851</v>
      </c>
      <c r="AI189" t="s">
        <v>13808</v>
      </c>
      <c r="AK189" t="s">
        <v>17101</v>
      </c>
      <c r="AL189" t="s">
        <v>13818</v>
      </c>
      <c r="AM189" t="s">
        <v>17102</v>
      </c>
      <c r="AN189" t="s">
        <v>17103</v>
      </c>
      <c r="AO189" t="s">
        <v>13808</v>
      </c>
      <c r="AT189" t="s">
        <v>17104</v>
      </c>
      <c r="AU189" t="s">
        <v>13808</v>
      </c>
      <c r="AZ189" t="s">
        <v>17105</v>
      </c>
      <c r="BA189" t="s">
        <v>13808</v>
      </c>
      <c r="BF189" t="s">
        <v>15956</v>
      </c>
      <c r="BG189" t="s">
        <v>13808</v>
      </c>
      <c r="BL189" t="s">
        <v>14526</v>
      </c>
      <c r="BM189" t="s">
        <v>13808</v>
      </c>
      <c r="BO189" t="s">
        <v>17106</v>
      </c>
      <c r="BP189" t="s">
        <v>13818</v>
      </c>
      <c r="BR189" t="s">
        <v>17107</v>
      </c>
      <c r="BS189" t="s">
        <v>17108</v>
      </c>
      <c r="BT189" t="s">
        <v>13809</v>
      </c>
      <c r="BY189" t="s">
        <v>13860</v>
      </c>
      <c r="BZ189" t="s">
        <v>13808</v>
      </c>
      <c r="CA189" t="s">
        <v>17109</v>
      </c>
      <c r="CE189" t="s">
        <v>13828</v>
      </c>
      <c r="CF189" t="s">
        <v>13808</v>
      </c>
      <c r="CK189" t="s">
        <v>13760</v>
      </c>
      <c r="CL189" t="s">
        <v>13809</v>
      </c>
      <c r="CQ189" t="s">
        <v>13766</v>
      </c>
      <c r="CR189" t="s">
        <v>13809</v>
      </c>
      <c r="CT189" t="s">
        <v>17110</v>
      </c>
      <c r="CU189" t="s">
        <v>17111</v>
      </c>
      <c r="CV189" t="s">
        <v>13808</v>
      </c>
      <c r="CX189" t="s">
        <v>17112</v>
      </c>
      <c r="CY189" t="s">
        <v>13818</v>
      </c>
      <c r="DA189" t="s">
        <v>17113</v>
      </c>
      <c r="DB189" t="s">
        <v>13808</v>
      </c>
      <c r="DD189" t="s">
        <v>17114</v>
      </c>
      <c r="DE189" t="s">
        <v>13818</v>
      </c>
      <c r="DG189" t="s">
        <v>17115</v>
      </c>
      <c r="DH189" t="s">
        <v>13808</v>
      </c>
      <c r="DJ189" t="s">
        <v>17116</v>
      </c>
      <c r="DK189" t="s">
        <v>13818</v>
      </c>
      <c r="DY189" t="s">
        <v>15364</v>
      </c>
      <c r="DZ189" t="s">
        <v>17117</v>
      </c>
      <c r="EA189" t="s">
        <v>14118</v>
      </c>
      <c r="EC189">
        <v>45013</v>
      </c>
      <c r="ED189" t="s">
        <v>13843</v>
      </c>
      <c r="EE189" t="s">
        <v>5514</v>
      </c>
    </row>
    <row r="190" spans="1:135">
      <c r="A190" t="s">
        <v>1552</v>
      </c>
      <c r="B190" t="s">
        <v>1442</v>
      </c>
      <c r="C190" t="s">
        <v>17118</v>
      </c>
      <c r="D190" s="24">
        <v>43711</v>
      </c>
      <c r="E190" s="24" t="s">
        <v>13555</v>
      </c>
      <c r="F190" s="24" t="s">
        <v>17119</v>
      </c>
      <c r="G190" s="24" t="s">
        <v>13808</v>
      </c>
      <c r="H190" s="24"/>
      <c r="I190" s="24" t="s">
        <v>13809</v>
      </c>
      <c r="J190" s="24"/>
      <c r="K190" s="24" t="s">
        <v>13809</v>
      </c>
      <c r="L190" s="24"/>
      <c r="M190" s="24" t="s">
        <v>14163</v>
      </c>
      <c r="N190" s="24" t="s">
        <v>13808</v>
      </c>
      <c r="O190" s="24"/>
      <c r="P190" s="24" t="s">
        <v>13808</v>
      </c>
      <c r="Q190" s="24"/>
      <c r="R190" s="24" t="s">
        <v>13808</v>
      </c>
      <c r="S190" s="24"/>
      <c r="T190" t="s">
        <v>14429</v>
      </c>
      <c r="U190" t="s">
        <v>13809</v>
      </c>
      <c r="W190" t="s">
        <v>13808</v>
      </c>
      <c r="X190" t="s">
        <v>17120</v>
      </c>
      <c r="Y190" t="s">
        <v>13809</v>
      </c>
      <c r="AA190" t="s">
        <v>13877</v>
      </c>
      <c r="AB190" t="s">
        <v>17121</v>
      </c>
      <c r="AC190" t="s">
        <v>13808</v>
      </c>
      <c r="AH190" t="s">
        <v>13909</v>
      </c>
      <c r="AI190" t="s">
        <v>13808</v>
      </c>
      <c r="AN190" t="s">
        <v>17122</v>
      </c>
      <c r="AO190" t="s">
        <v>13808</v>
      </c>
      <c r="AT190" t="s">
        <v>17123</v>
      </c>
      <c r="AU190" t="s">
        <v>13808</v>
      </c>
      <c r="AZ190" t="s">
        <v>17124</v>
      </c>
      <c r="BA190" t="s">
        <v>13808</v>
      </c>
      <c r="BF190" t="s">
        <v>17125</v>
      </c>
      <c r="BG190" t="s">
        <v>13808</v>
      </c>
      <c r="BL190" t="s">
        <v>17126</v>
      </c>
      <c r="BM190" t="s">
        <v>13808</v>
      </c>
      <c r="BR190" t="s">
        <v>17127</v>
      </c>
      <c r="BT190" t="s">
        <v>13809</v>
      </c>
      <c r="BY190" t="s">
        <v>13887</v>
      </c>
      <c r="BZ190" t="s">
        <v>13808</v>
      </c>
      <c r="CE190" t="s">
        <v>14265</v>
      </c>
      <c r="CF190" t="s">
        <v>13808</v>
      </c>
      <c r="CK190" t="s">
        <v>14265</v>
      </c>
      <c r="CL190" t="s">
        <v>13808</v>
      </c>
      <c r="CM190" t="s">
        <v>17128</v>
      </c>
      <c r="CR190" t="s">
        <v>13809</v>
      </c>
      <c r="CT190" t="s">
        <v>17129</v>
      </c>
      <c r="CU190" t="s">
        <v>17130</v>
      </c>
      <c r="CV190" t="s">
        <v>13808</v>
      </c>
      <c r="DA190" t="s">
        <v>17131</v>
      </c>
      <c r="DB190" t="s">
        <v>13808</v>
      </c>
      <c r="DH190" t="s">
        <v>13809</v>
      </c>
      <c r="DM190" t="s">
        <v>17132</v>
      </c>
      <c r="DN190" t="s">
        <v>13808</v>
      </c>
      <c r="DY190" t="s">
        <v>13920</v>
      </c>
      <c r="DZ190" t="s">
        <v>14696</v>
      </c>
      <c r="EA190" t="s">
        <v>13922</v>
      </c>
      <c r="EC190">
        <v>43958</v>
      </c>
      <c r="ED190" t="s">
        <v>14501</v>
      </c>
      <c r="EE190" t="s">
        <v>6052</v>
      </c>
    </row>
    <row r="191" spans="1:135">
      <c r="A191" t="s">
        <v>1773</v>
      </c>
      <c r="B191" t="s">
        <v>1683</v>
      </c>
      <c r="C191" t="s">
        <v>17133</v>
      </c>
      <c r="D191" s="24">
        <v>45029</v>
      </c>
      <c r="E191" s="24" t="s">
        <v>13553</v>
      </c>
      <c r="F191" s="24" t="s">
        <v>17134</v>
      </c>
      <c r="G191" s="24" t="s">
        <v>13808</v>
      </c>
      <c r="H191" s="24"/>
      <c r="I191" s="24" t="s">
        <v>13809</v>
      </c>
      <c r="J191" s="24"/>
      <c r="K191" s="24" t="s">
        <v>13809</v>
      </c>
      <c r="L191" s="24"/>
      <c r="M191" s="24" t="s">
        <v>13846</v>
      </c>
      <c r="N191" s="24" t="s">
        <v>13808</v>
      </c>
      <c r="O191" s="24"/>
      <c r="P191" s="24" t="s">
        <v>13808</v>
      </c>
      <c r="Q191" s="24"/>
      <c r="R191" s="24" t="s">
        <v>13808</v>
      </c>
      <c r="S191" s="24"/>
      <c r="T191" t="s">
        <v>13847</v>
      </c>
      <c r="U191" t="s">
        <v>13809</v>
      </c>
      <c r="W191" t="s">
        <v>13808</v>
      </c>
      <c r="X191" t="s">
        <v>17135</v>
      </c>
      <c r="Y191" t="s">
        <v>13808</v>
      </c>
      <c r="Z191" t="s">
        <v>17136</v>
      </c>
      <c r="AA191" t="s">
        <v>13849</v>
      </c>
      <c r="AB191" t="s">
        <v>14139</v>
      </c>
      <c r="AC191" t="s">
        <v>13808</v>
      </c>
      <c r="AH191" t="s">
        <v>13851</v>
      </c>
      <c r="AI191" t="s">
        <v>13808</v>
      </c>
      <c r="AN191" t="s">
        <v>13711</v>
      </c>
      <c r="AO191" t="s">
        <v>13809</v>
      </c>
      <c r="AT191" t="s">
        <v>17137</v>
      </c>
      <c r="AU191" t="s">
        <v>13808</v>
      </c>
      <c r="AZ191" t="s">
        <v>14638</v>
      </c>
      <c r="BA191" t="s">
        <v>13808</v>
      </c>
      <c r="BF191" t="s">
        <v>17138</v>
      </c>
      <c r="BG191" t="s">
        <v>13808</v>
      </c>
      <c r="BL191" t="s">
        <v>17139</v>
      </c>
      <c r="BM191" t="s">
        <v>13808</v>
      </c>
      <c r="BR191" t="s">
        <v>17140</v>
      </c>
      <c r="BS191" t="s">
        <v>17108</v>
      </c>
      <c r="BT191" t="s">
        <v>13809</v>
      </c>
      <c r="BY191" t="s">
        <v>13860</v>
      </c>
      <c r="BZ191" t="s">
        <v>13808</v>
      </c>
      <c r="CA191" t="s">
        <v>13861</v>
      </c>
      <c r="CE191" t="s">
        <v>13828</v>
      </c>
      <c r="CF191" t="s">
        <v>13808</v>
      </c>
      <c r="CG191" t="s">
        <v>14291</v>
      </c>
      <c r="CK191" t="s">
        <v>13760</v>
      </c>
      <c r="CL191" t="s">
        <v>13809</v>
      </c>
      <c r="CQ191" t="s">
        <v>16814</v>
      </c>
      <c r="CR191" t="s">
        <v>13808</v>
      </c>
      <c r="CS191" t="s">
        <v>17141</v>
      </c>
      <c r="CT191" t="s">
        <v>14293</v>
      </c>
      <c r="CU191" t="s">
        <v>17142</v>
      </c>
      <c r="CV191" t="s">
        <v>13808</v>
      </c>
      <c r="CW191" t="s">
        <v>17143</v>
      </c>
      <c r="DA191" t="s">
        <v>17144</v>
      </c>
      <c r="DB191" t="s">
        <v>13808</v>
      </c>
      <c r="DC191" t="s">
        <v>17143</v>
      </c>
      <c r="DM191" t="s">
        <v>17145</v>
      </c>
      <c r="DN191" t="s">
        <v>13808</v>
      </c>
      <c r="DO191" t="s">
        <v>17146</v>
      </c>
      <c r="DY191" t="s">
        <v>13869</v>
      </c>
      <c r="DZ191" t="s">
        <v>17147</v>
      </c>
      <c r="EA191" t="s">
        <v>14182</v>
      </c>
      <c r="EC191">
        <v>45030</v>
      </c>
      <c r="ED191" t="s">
        <v>14667</v>
      </c>
      <c r="EE191" t="s">
        <v>6295</v>
      </c>
    </row>
    <row r="192" spans="1:135">
      <c r="A192" t="s">
        <v>1556</v>
      </c>
      <c r="B192" t="s">
        <v>1442</v>
      </c>
      <c r="C192" t="s">
        <v>17148</v>
      </c>
      <c r="D192" s="24">
        <v>43087</v>
      </c>
      <c r="E192" s="24" t="s">
        <v>13565</v>
      </c>
      <c r="F192" s="24" t="s">
        <v>17149</v>
      </c>
      <c r="G192" s="24" t="s">
        <v>13808</v>
      </c>
      <c r="H192" s="24"/>
      <c r="I192" s="24" t="s">
        <v>13809</v>
      </c>
      <c r="J192" s="24"/>
      <c r="K192" s="24" t="s">
        <v>13808</v>
      </c>
      <c r="L192" s="24" t="s">
        <v>17150</v>
      </c>
      <c r="M192" s="24" t="s">
        <v>14304</v>
      </c>
      <c r="N192" s="24" t="s">
        <v>13808</v>
      </c>
      <c r="O192" s="24"/>
      <c r="P192" s="24" t="s">
        <v>13808</v>
      </c>
      <c r="Q192" s="24"/>
      <c r="R192" s="24" t="s">
        <v>13808</v>
      </c>
      <c r="S192" s="24"/>
      <c r="T192" t="s">
        <v>14969</v>
      </c>
      <c r="U192" t="s">
        <v>13808</v>
      </c>
      <c r="W192" t="s">
        <v>13808</v>
      </c>
      <c r="X192" t="s">
        <v>17151</v>
      </c>
      <c r="Y192" t="s">
        <v>13809</v>
      </c>
      <c r="AA192" t="s">
        <v>15186</v>
      </c>
      <c r="AB192" t="s">
        <v>17152</v>
      </c>
      <c r="AC192" t="s">
        <v>13808</v>
      </c>
      <c r="AH192" t="s">
        <v>13909</v>
      </c>
      <c r="AI192" t="s">
        <v>13808</v>
      </c>
      <c r="AN192" t="s">
        <v>17153</v>
      </c>
      <c r="AO192" t="s">
        <v>13808</v>
      </c>
      <c r="AT192" t="s">
        <v>14705</v>
      </c>
      <c r="AU192" t="s">
        <v>13808</v>
      </c>
      <c r="AZ192" t="s">
        <v>14433</v>
      </c>
      <c r="BA192" t="s">
        <v>13808</v>
      </c>
      <c r="BF192" t="s">
        <v>17154</v>
      </c>
      <c r="BG192" t="s">
        <v>13808</v>
      </c>
      <c r="BL192" t="s">
        <v>17155</v>
      </c>
      <c r="BM192" t="s">
        <v>13808</v>
      </c>
      <c r="BR192" t="s">
        <v>17156</v>
      </c>
      <c r="BS192" t="s">
        <v>13887</v>
      </c>
      <c r="BT192" t="s">
        <v>13808</v>
      </c>
      <c r="BU192" t="s">
        <v>14515</v>
      </c>
      <c r="BY192" t="s">
        <v>14265</v>
      </c>
      <c r="BZ192" t="s">
        <v>13808</v>
      </c>
      <c r="CA192" t="s">
        <v>13937</v>
      </c>
      <c r="CE192" t="s">
        <v>14693</v>
      </c>
      <c r="CF192" t="s">
        <v>13808</v>
      </c>
      <c r="CL192" t="s">
        <v>13809</v>
      </c>
      <c r="CR192" t="s">
        <v>13809</v>
      </c>
      <c r="CT192" t="s">
        <v>17157</v>
      </c>
      <c r="CU192" t="s">
        <v>16503</v>
      </c>
      <c r="CV192" t="s">
        <v>13808</v>
      </c>
      <c r="CX192" t="s">
        <v>13885</v>
      </c>
      <c r="CY192" t="s">
        <v>13818</v>
      </c>
      <c r="DA192" t="s">
        <v>16503</v>
      </c>
      <c r="DB192" t="s">
        <v>13808</v>
      </c>
      <c r="DD192" t="s">
        <v>13885</v>
      </c>
      <c r="DE192" t="s">
        <v>13818</v>
      </c>
      <c r="DG192" t="s">
        <v>16503</v>
      </c>
      <c r="DH192" t="s">
        <v>13808</v>
      </c>
      <c r="DI192" t="s">
        <v>14199</v>
      </c>
      <c r="DY192" t="s">
        <v>14606</v>
      </c>
      <c r="DZ192" t="s">
        <v>17158</v>
      </c>
      <c r="EA192" t="s">
        <v>15744</v>
      </c>
      <c r="EC192">
        <v>44138</v>
      </c>
      <c r="ED192" t="s">
        <v>13903</v>
      </c>
      <c r="EE192" t="s">
        <v>6056</v>
      </c>
    </row>
    <row r="193" spans="1:135">
      <c r="A193" t="s">
        <v>1231</v>
      </c>
      <c r="B193" t="s">
        <v>1155</v>
      </c>
      <c r="C193" t="s">
        <v>17159</v>
      </c>
      <c r="D193" s="24">
        <v>43041</v>
      </c>
      <c r="E193" s="24" t="s">
        <v>13558</v>
      </c>
      <c r="F193" s="24" t="s">
        <v>17160</v>
      </c>
      <c r="G193" s="24" t="s">
        <v>13808</v>
      </c>
      <c r="H193" s="24"/>
      <c r="I193" s="24" t="s">
        <v>13809</v>
      </c>
      <c r="J193" s="24"/>
      <c r="K193" s="24" t="s">
        <v>13808</v>
      </c>
      <c r="L193" s="24"/>
      <c r="M193" s="24" t="s">
        <v>17161</v>
      </c>
      <c r="N193" s="24" t="s">
        <v>13808</v>
      </c>
      <c r="O193" s="24"/>
      <c r="P193" s="24" t="s">
        <v>13818</v>
      </c>
      <c r="Q193" s="24"/>
      <c r="R193" s="24" t="s">
        <v>13818</v>
      </c>
      <c r="S193" s="24" t="s">
        <v>17162</v>
      </c>
      <c r="T193" t="s">
        <v>15051</v>
      </c>
      <c r="U193" t="s">
        <v>13809</v>
      </c>
      <c r="W193" t="s">
        <v>13808</v>
      </c>
      <c r="X193" t="s">
        <v>17163</v>
      </c>
      <c r="Y193" t="s">
        <v>13809</v>
      </c>
      <c r="AA193" t="s">
        <v>17164</v>
      </c>
      <c r="AB193" t="s">
        <v>17165</v>
      </c>
      <c r="AC193" t="s">
        <v>13808</v>
      </c>
      <c r="AH193" t="s">
        <v>13909</v>
      </c>
      <c r="AI193" t="s">
        <v>13808</v>
      </c>
      <c r="AN193" t="s">
        <v>17166</v>
      </c>
      <c r="AO193" t="s">
        <v>13808</v>
      </c>
      <c r="AT193" t="s">
        <v>14418</v>
      </c>
      <c r="AU193" t="s">
        <v>13808</v>
      </c>
      <c r="AZ193" t="s">
        <v>14730</v>
      </c>
      <c r="BA193" t="s">
        <v>13808</v>
      </c>
      <c r="BF193" t="s">
        <v>17167</v>
      </c>
      <c r="BG193" t="s">
        <v>13808</v>
      </c>
      <c r="BL193" t="s">
        <v>17168</v>
      </c>
      <c r="BM193" t="s">
        <v>13808</v>
      </c>
      <c r="BR193" t="s">
        <v>17169</v>
      </c>
      <c r="BS193" t="s">
        <v>13887</v>
      </c>
      <c r="BT193" t="s">
        <v>13808</v>
      </c>
      <c r="BU193" t="s">
        <v>15304</v>
      </c>
      <c r="BY193" t="s">
        <v>14265</v>
      </c>
      <c r="BZ193" t="s">
        <v>13818</v>
      </c>
      <c r="CA193" t="s">
        <v>17170</v>
      </c>
      <c r="CE193" t="s">
        <v>14197</v>
      </c>
      <c r="CF193" t="s">
        <v>13818</v>
      </c>
      <c r="CG193" t="s">
        <v>17171</v>
      </c>
      <c r="CL193" t="s">
        <v>13809</v>
      </c>
      <c r="CR193" t="s">
        <v>13809</v>
      </c>
      <c r="CT193" t="s">
        <v>17172</v>
      </c>
      <c r="CU193" t="s">
        <v>13909</v>
      </c>
      <c r="CV193" t="s">
        <v>13818</v>
      </c>
      <c r="DA193" t="s">
        <v>13909</v>
      </c>
      <c r="DB193" t="s">
        <v>13818</v>
      </c>
      <c r="DG193" t="s">
        <v>13887</v>
      </c>
      <c r="DH193" t="s">
        <v>13808</v>
      </c>
      <c r="DI193" t="s">
        <v>14198</v>
      </c>
      <c r="DJ193" t="s">
        <v>13909</v>
      </c>
      <c r="DK193" t="s">
        <v>13818</v>
      </c>
      <c r="DY193" t="s">
        <v>14606</v>
      </c>
      <c r="DZ193" t="s">
        <v>16025</v>
      </c>
      <c r="EA193" t="s">
        <v>14275</v>
      </c>
      <c r="EC193">
        <v>44138</v>
      </c>
      <c r="ED193" t="s">
        <v>13903</v>
      </c>
      <c r="EE193" t="s">
        <v>5663</v>
      </c>
    </row>
    <row r="194" spans="1:135">
      <c r="A194" t="s">
        <v>1125</v>
      </c>
      <c r="B194" t="s">
        <v>1043</v>
      </c>
      <c r="C194" t="s">
        <v>17173</v>
      </c>
      <c r="D194" s="24">
        <v>43676</v>
      </c>
      <c r="E194" s="24" t="s">
        <v>13553</v>
      </c>
      <c r="F194" s="24" t="s">
        <v>17174</v>
      </c>
      <c r="G194" s="24" t="s">
        <v>13808</v>
      </c>
      <c r="H194" s="24"/>
      <c r="I194" s="24" t="s">
        <v>13809</v>
      </c>
      <c r="J194" s="24"/>
      <c r="K194" s="24" t="s">
        <v>13809</v>
      </c>
      <c r="L194" s="24"/>
      <c r="M194" s="24" t="s">
        <v>14428</v>
      </c>
      <c r="N194" s="24" t="s">
        <v>13808</v>
      </c>
      <c r="O194" s="24"/>
      <c r="P194" s="24" t="s">
        <v>13809</v>
      </c>
      <c r="Q194" s="24"/>
      <c r="R194" s="24" t="s">
        <v>13808</v>
      </c>
      <c r="S194" s="24"/>
      <c r="T194" t="s">
        <v>17175</v>
      </c>
      <c r="U194" t="s">
        <v>13809</v>
      </c>
      <c r="W194" t="s">
        <v>13808</v>
      </c>
      <c r="X194" t="s">
        <v>17176</v>
      </c>
      <c r="Y194" t="s">
        <v>13809</v>
      </c>
      <c r="AA194" t="s">
        <v>13877</v>
      </c>
      <c r="AB194" t="s">
        <v>14706</v>
      </c>
      <c r="AC194" t="s">
        <v>13808</v>
      </c>
      <c r="AH194" t="s">
        <v>13909</v>
      </c>
      <c r="AI194" t="s">
        <v>13808</v>
      </c>
      <c r="AO194" t="s">
        <v>13809</v>
      </c>
      <c r="AT194" t="s">
        <v>17084</v>
      </c>
      <c r="AU194" t="s">
        <v>13808</v>
      </c>
      <c r="AZ194" t="s">
        <v>17177</v>
      </c>
      <c r="BA194" t="s">
        <v>13808</v>
      </c>
      <c r="BF194" t="s">
        <v>17178</v>
      </c>
      <c r="BG194" t="s">
        <v>13808</v>
      </c>
      <c r="BM194" t="s">
        <v>13809</v>
      </c>
      <c r="BR194" t="s">
        <v>17179</v>
      </c>
      <c r="BT194" t="s">
        <v>13809</v>
      </c>
      <c r="BY194" t="s">
        <v>13887</v>
      </c>
      <c r="BZ194" t="s">
        <v>13808</v>
      </c>
      <c r="CA194" t="s">
        <v>13888</v>
      </c>
      <c r="CE194" t="s">
        <v>13885</v>
      </c>
      <c r="CF194" t="s">
        <v>13808</v>
      </c>
      <c r="CG194" t="s">
        <v>17180</v>
      </c>
      <c r="CK194" t="s">
        <v>13887</v>
      </c>
      <c r="CL194" t="s">
        <v>13808</v>
      </c>
      <c r="CR194" t="s">
        <v>13809</v>
      </c>
      <c r="CT194" t="s">
        <v>17181</v>
      </c>
      <c r="CU194" t="s">
        <v>16724</v>
      </c>
      <c r="CV194" t="s">
        <v>13897</v>
      </c>
      <c r="CX194" t="s">
        <v>13958</v>
      </c>
      <c r="CY194" t="s">
        <v>14262</v>
      </c>
      <c r="CZ194" t="s">
        <v>17182</v>
      </c>
      <c r="DA194" t="s">
        <v>17183</v>
      </c>
      <c r="DB194" t="s">
        <v>13897</v>
      </c>
      <c r="DH194" t="s">
        <v>13809</v>
      </c>
      <c r="DM194" t="s">
        <v>17184</v>
      </c>
      <c r="DN194" t="s">
        <v>13808</v>
      </c>
      <c r="DO194" t="s">
        <v>17185</v>
      </c>
      <c r="DP194" t="s">
        <v>17186</v>
      </c>
      <c r="DR194" t="s">
        <v>13808</v>
      </c>
      <c r="DY194" t="s">
        <v>13920</v>
      </c>
      <c r="DZ194" t="s">
        <v>14696</v>
      </c>
      <c r="EA194" t="s">
        <v>14500</v>
      </c>
      <c r="ED194" t="s">
        <v>14501</v>
      </c>
      <c r="EE194" t="s">
        <v>5522</v>
      </c>
    </row>
    <row r="195" spans="1:135">
      <c r="A195" t="s">
        <v>1781</v>
      </c>
      <c r="B195" t="s">
        <v>1683</v>
      </c>
      <c r="C195" t="s">
        <v>17187</v>
      </c>
      <c r="D195" s="24">
        <v>43479</v>
      </c>
      <c r="E195" s="24" t="s">
        <v>13564</v>
      </c>
      <c r="F195" s="24" t="s">
        <v>17188</v>
      </c>
      <c r="G195" s="24" t="s">
        <v>13808</v>
      </c>
      <c r="H195" s="24"/>
      <c r="I195" s="24" t="s">
        <v>13809</v>
      </c>
      <c r="J195" s="24"/>
      <c r="K195" s="24" t="s">
        <v>13808</v>
      </c>
      <c r="L195" s="24"/>
      <c r="M195" s="24" t="s">
        <v>15805</v>
      </c>
      <c r="N195" s="24" t="s">
        <v>13808</v>
      </c>
      <c r="O195" s="24"/>
      <c r="P195" s="24" t="s">
        <v>13808</v>
      </c>
      <c r="Q195" s="24"/>
      <c r="R195" s="24" t="s">
        <v>13808</v>
      </c>
      <c r="S195" s="24"/>
      <c r="T195" t="s">
        <v>17189</v>
      </c>
      <c r="U195" t="s">
        <v>13809</v>
      </c>
      <c r="W195" t="s">
        <v>13808</v>
      </c>
      <c r="X195" t="s">
        <v>17190</v>
      </c>
      <c r="Y195" t="s">
        <v>13809</v>
      </c>
      <c r="AA195" t="s">
        <v>16563</v>
      </c>
      <c r="AB195" t="s">
        <v>14597</v>
      </c>
      <c r="AC195" t="s">
        <v>13808</v>
      </c>
      <c r="AH195" t="s">
        <v>13909</v>
      </c>
      <c r="AI195" t="s">
        <v>13808</v>
      </c>
      <c r="AN195" t="s">
        <v>17191</v>
      </c>
      <c r="AO195" t="s">
        <v>13808</v>
      </c>
      <c r="AT195" t="s">
        <v>17192</v>
      </c>
      <c r="AU195" t="s">
        <v>13808</v>
      </c>
      <c r="AZ195" t="s">
        <v>15822</v>
      </c>
      <c r="BA195" t="s">
        <v>13808</v>
      </c>
      <c r="BF195" t="s">
        <v>17124</v>
      </c>
      <c r="BG195" t="s">
        <v>13808</v>
      </c>
      <c r="BL195" t="s">
        <v>17193</v>
      </c>
      <c r="BM195" t="s">
        <v>13808</v>
      </c>
      <c r="BR195" t="s">
        <v>17194</v>
      </c>
      <c r="BS195" t="s">
        <v>13887</v>
      </c>
      <c r="BT195" t="s">
        <v>13808</v>
      </c>
      <c r="BU195" t="s">
        <v>16499</v>
      </c>
      <c r="BY195" t="s">
        <v>14265</v>
      </c>
      <c r="BZ195" t="s">
        <v>13808</v>
      </c>
      <c r="CA195" t="s">
        <v>13937</v>
      </c>
      <c r="CE195" t="s">
        <v>14197</v>
      </c>
      <c r="CF195" t="s">
        <v>13808</v>
      </c>
      <c r="CK195" t="s">
        <v>13887</v>
      </c>
      <c r="CL195" t="s">
        <v>13808</v>
      </c>
      <c r="CM195" t="s">
        <v>17195</v>
      </c>
      <c r="CR195" t="s">
        <v>13809</v>
      </c>
      <c r="CT195" t="s">
        <v>17196</v>
      </c>
      <c r="CU195" t="s">
        <v>13909</v>
      </c>
      <c r="CV195" t="s">
        <v>13818</v>
      </c>
      <c r="DA195" t="s">
        <v>13909</v>
      </c>
      <c r="DB195" t="s">
        <v>13818</v>
      </c>
      <c r="DG195" t="s">
        <v>13885</v>
      </c>
      <c r="DH195" t="s">
        <v>13808</v>
      </c>
      <c r="DI195" t="s">
        <v>16221</v>
      </c>
      <c r="DJ195" t="s">
        <v>13885</v>
      </c>
      <c r="DK195" t="s">
        <v>13808</v>
      </c>
      <c r="DL195" t="s">
        <v>17197</v>
      </c>
      <c r="DM195" t="s">
        <v>14197</v>
      </c>
      <c r="DN195" t="s">
        <v>13808</v>
      </c>
      <c r="DY195" t="s">
        <v>15296</v>
      </c>
      <c r="DZ195" t="s">
        <v>17198</v>
      </c>
      <c r="EA195" t="s">
        <v>15744</v>
      </c>
      <c r="EC195">
        <v>44139</v>
      </c>
      <c r="ED195" t="s">
        <v>13903</v>
      </c>
      <c r="EE195" t="s">
        <v>6301</v>
      </c>
    </row>
    <row r="196" spans="1:135">
      <c r="A196" t="s">
        <v>2018</v>
      </c>
      <c r="B196" t="s">
        <v>1920</v>
      </c>
      <c r="C196" t="s">
        <v>17199</v>
      </c>
      <c r="D196" s="24">
        <v>44012</v>
      </c>
      <c r="E196" s="24" t="s">
        <v>13558</v>
      </c>
      <c r="F196" s="24" t="s">
        <v>17200</v>
      </c>
      <c r="G196" s="24" t="s">
        <v>13808</v>
      </c>
      <c r="H196" s="24"/>
      <c r="I196" s="24" t="s">
        <v>13809</v>
      </c>
      <c r="J196" s="24"/>
      <c r="K196" s="24" t="s">
        <v>13818</v>
      </c>
      <c r="L196" s="24" t="s">
        <v>17201</v>
      </c>
      <c r="M196" s="24" t="s">
        <v>15120</v>
      </c>
      <c r="N196" s="24" t="s">
        <v>13808</v>
      </c>
      <c r="O196" s="24"/>
      <c r="P196" s="24" t="s">
        <v>13818</v>
      </c>
      <c r="Q196" s="24" t="s">
        <v>15815</v>
      </c>
      <c r="R196" s="24" t="s">
        <v>13818</v>
      </c>
      <c r="S196" s="24" t="s">
        <v>17202</v>
      </c>
      <c r="T196" t="s">
        <v>17203</v>
      </c>
      <c r="U196" t="s">
        <v>13809</v>
      </c>
      <c r="W196" t="s">
        <v>13808</v>
      </c>
      <c r="X196" t="s">
        <v>17204</v>
      </c>
      <c r="Y196" t="s">
        <v>13818</v>
      </c>
      <c r="Z196" t="s">
        <v>17201</v>
      </c>
      <c r="AA196" t="s">
        <v>17205</v>
      </c>
      <c r="AB196" t="s">
        <v>14018</v>
      </c>
      <c r="AC196" t="s">
        <v>13808</v>
      </c>
      <c r="AH196" t="s">
        <v>13909</v>
      </c>
      <c r="AI196" t="s">
        <v>13808</v>
      </c>
      <c r="AK196" t="s">
        <v>17206</v>
      </c>
      <c r="AL196" t="s">
        <v>13818</v>
      </c>
      <c r="AM196" t="s">
        <v>17207</v>
      </c>
      <c r="AN196" t="s">
        <v>17208</v>
      </c>
      <c r="AO196" t="s">
        <v>13808</v>
      </c>
      <c r="AQ196" t="s">
        <v>17209</v>
      </c>
      <c r="AR196" t="s">
        <v>13818</v>
      </c>
      <c r="AS196" t="s">
        <v>17210</v>
      </c>
      <c r="AT196" t="s">
        <v>16019</v>
      </c>
      <c r="AU196" t="s">
        <v>13808</v>
      </c>
      <c r="AZ196" t="s">
        <v>17211</v>
      </c>
      <c r="BA196" t="s">
        <v>13808</v>
      </c>
      <c r="BC196" t="s">
        <v>17212</v>
      </c>
      <c r="BD196" t="s">
        <v>13818</v>
      </c>
      <c r="BE196" t="s">
        <v>17210</v>
      </c>
      <c r="BF196" t="s">
        <v>17213</v>
      </c>
      <c r="BG196" t="s">
        <v>13818</v>
      </c>
      <c r="BH196" t="s">
        <v>17214</v>
      </c>
      <c r="BL196" t="s">
        <v>17215</v>
      </c>
      <c r="BM196" t="s">
        <v>13808</v>
      </c>
      <c r="BR196" t="s">
        <v>17216</v>
      </c>
      <c r="BS196" t="s">
        <v>13885</v>
      </c>
      <c r="BT196" t="s">
        <v>13818</v>
      </c>
      <c r="BU196" t="s">
        <v>17217</v>
      </c>
      <c r="BY196" t="s">
        <v>13887</v>
      </c>
      <c r="BZ196" t="s">
        <v>13808</v>
      </c>
      <c r="CA196" t="s">
        <v>17218</v>
      </c>
      <c r="CE196" t="s">
        <v>13885</v>
      </c>
      <c r="CF196" t="s">
        <v>13818</v>
      </c>
      <c r="CG196" t="s">
        <v>17219</v>
      </c>
      <c r="CL196" t="s">
        <v>13809</v>
      </c>
      <c r="CR196" t="s">
        <v>13809</v>
      </c>
      <c r="CT196" t="s">
        <v>17220</v>
      </c>
      <c r="CU196" t="s">
        <v>13909</v>
      </c>
      <c r="CV196" t="s">
        <v>13818</v>
      </c>
      <c r="DA196" t="s">
        <v>13909</v>
      </c>
      <c r="DB196" t="s">
        <v>13818</v>
      </c>
      <c r="DG196" t="s">
        <v>13909</v>
      </c>
      <c r="DH196" t="s">
        <v>13818</v>
      </c>
      <c r="DY196" t="s">
        <v>17221</v>
      </c>
      <c r="DZ196" t="s">
        <v>14341</v>
      </c>
      <c r="EA196" t="s">
        <v>17222</v>
      </c>
      <c r="ED196" t="s">
        <v>17223</v>
      </c>
      <c r="EE196" t="s">
        <v>6611</v>
      </c>
    </row>
    <row r="197" spans="1:135">
      <c r="A197" t="s">
        <v>1563</v>
      </c>
      <c r="B197" t="s">
        <v>1442</v>
      </c>
      <c r="C197" t="s">
        <v>17224</v>
      </c>
      <c r="D197" s="24">
        <v>43087</v>
      </c>
      <c r="E197" s="24" t="s">
        <v>13555</v>
      </c>
      <c r="F197" s="24" t="s">
        <v>17225</v>
      </c>
      <c r="G197" s="24" t="s">
        <v>13808</v>
      </c>
      <c r="H197" s="24"/>
      <c r="I197" s="24" t="s">
        <v>13809</v>
      </c>
      <c r="J197" s="24"/>
      <c r="K197" s="24" t="s">
        <v>13808</v>
      </c>
      <c r="L197" s="24"/>
      <c r="M197" s="24" t="s">
        <v>14304</v>
      </c>
      <c r="N197" s="24" t="s">
        <v>13808</v>
      </c>
      <c r="O197" s="24"/>
      <c r="P197" s="24" t="s">
        <v>13808</v>
      </c>
      <c r="Q197" s="24"/>
      <c r="R197" s="24" t="s">
        <v>13808</v>
      </c>
      <c r="S197" s="24"/>
      <c r="T197" t="s">
        <v>16948</v>
      </c>
      <c r="U197" t="s">
        <v>13808</v>
      </c>
      <c r="W197" t="s">
        <v>13808</v>
      </c>
      <c r="X197" t="s">
        <v>17226</v>
      </c>
      <c r="Y197" t="s">
        <v>13808</v>
      </c>
      <c r="AA197" t="s">
        <v>14188</v>
      </c>
      <c r="AB197" t="s">
        <v>16724</v>
      </c>
      <c r="AC197" t="s">
        <v>13808</v>
      </c>
      <c r="AH197" t="s">
        <v>13909</v>
      </c>
      <c r="AI197" t="s">
        <v>13808</v>
      </c>
      <c r="AN197" t="s">
        <v>17227</v>
      </c>
      <c r="AO197" t="s">
        <v>13808</v>
      </c>
      <c r="AT197" t="s">
        <v>17228</v>
      </c>
      <c r="AU197" t="s">
        <v>13808</v>
      </c>
      <c r="AZ197" t="s">
        <v>17229</v>
      </c>
      <c r="BA197" t="s">
        <v>13808</v>
      </c>
      <c r="BF197" t="s">
        <v>17230</v>
      </c>
      <c r="BG197" t="s">
        <v>13808</v>
      </c>
      <c r="BL197" t="s">
        <v>17231</v>
      </c>
      <c r="BM197" t="s">
        <v>13808</v>
      </c>
      <c r="BR197" t="s">
        <v>17232</v>
      </c>
      <c r="BT197" t="s">
        <v>13809</v>
      </c>
      <c r="BY197" t="s">
        <v>14265</v>
      </c>
      <c r="BZ197" t="s">
        <v>13808</v>
      </c>
      <c r="CA197" t="s">
        <v>13861</v>
      </c>
      <c r="CE197" t="s">
        <v>14265</v>
      </c>
      <c r="CF197" t="s">
        <v>13808</v>
      </c>
      <c r="CG197" t="s">
        <v>13985</v>
      </c>
      <c r="CL197" t="s">
        <v>13809</v>
      </c>
      <c r="CR197" t="s">
        <v>13809</v>
      </c>
      <c r="CT197" t="s">
        <v>17233</v>
      </c>
      <c r="CU197" t="s">
        <v>13909</v>
      </c>
      <c r="CV197" t="s">
        <v>13808</v>
      </c>
      <c r="DA197" t="s">
        <v>13909</v>
      </c>
      <c r="DB197" t="s">
        <v>13808</v>
      </c>
      <c r="DG197" t="s">
        <v>13909</v>
      </c>
      <c r="DH197" t="s">
        <v>13808</v>
      </c>
      <c r="DZ197" t="s">
        <v>17234</v>
      </c>
      <c r="EA197" t="s">
        <v>15509</v>
      </c>
      <c r="EC197">
        <v>43480</v>
      </c>
      <c r="ED197" t="s">
        <v>13903</v>
      </c>
      <c r="EE197" t="s">
        <v>6060</v>
      </c>
    </row>
    <row r="198" spans="1:135">
      <c r="A198" t="s">
        <v>1235</v>
      </c>
      <c r="B198" t="s">
        <v>1155</v>
      </c>
      <c r="C198" t="s">
        <v>17235</v>
      </c>
      <c r="D198" s="24">
        <v>44722</v>
      </c>
      <c r="E198" s="24" t="s">
        <v>13564</v>
      </c>
      <c r="F198" s="24" t="s">
        <v>17236</v>
      </c>
      <c r="G198" s="24" t="s">
        <v>13808</v>
      </c>
      <c r="H198" s="24"/>
      <c r="I198" s="24" t="s">
        <v>13809</v>
      </c>
      <c r="J198" s="24"/>
      <c r="K198" s="24" t="s">
        <v>13808</v>
      </c>
      <c r="L198" s="24"/>
      <c r="M198" s="24" t="s">
        <v>14304</v>
      </c>
      <c r="N198" s="24" t="s">
        <v>13808</v>
      </c>
      <c r="O198" s="24"/>
      <c r="P198" s="24" t="s">
        <v>13808</v>
      </c>
      <c r="Q198" s="24"/>
      <c r="R198" s="24" t="s">
        <v>13808</v>
      </c>
      <c r="S198" s="24"/>
      <c r="T198" t="s">
        <v>15051</v>
      </c>
      <c r="U198" t="s">
        <v>13809</v>
      </c>
      <c r="W198" t="s">
        <v>13808</v>
      </c>
      <c r="X198" t="s">
        <v>17237</v>
      </c>
      <c r="Y198" t="s">
        <v>13808</v>
      </c>
      <c r="Z198" t="s">
        <v>17238</v>
      </c>
      <c r="AA198" t="s">
        <v>17239</v>
      </c>
      <c r="AB198" t="s">
        <v>17240</v>
      </c>
      <c r="AC198" t="s">
        <v>13808</v>
      </c>
      <c r="AH198" t="s">
        <v>17241</v>
      </c>
      <c r="AI198" t="s">
        <v>13818</v>
      </c>
      <c r="AJ198" t="s">
        <v>17242</v>
      </c>
      <c r="AK198" t="s">
        <v>14650</v>
      </c>
      <c r="AL198" t="s">
        <v>13808</v>
      </c>
      <c r="AN198" t="s">
        <v>17243</v>
      </c>
      <c r="AO198" t="s">
        <v>13808</v>
      </c>
      <c r="AT198" t="s">
        <v>17244</v>
      </c>
      <c r="AU198" t="s">
        <v>13808</v>
      </c>
      <c r="AZ198" t="s">
        <v>17245</v>
      </c>
      <c r="BA198" t="s">
        <v>13808</v>
      </c>
      <c r="BF198" t="s">
        <v>17246</v>
      </c>
      <c r="BG198" t="s">
        <v>13808</v>
      </c>
      <c r="BL198" t="s">
        <v>17247</v>
      </c>
      <c r="BM198" t="s">
        <v>13808</v>
      </c>
      <c r="BR198" t="s">
        <v>17248</v>
      </c>
      <c r="BS198" t="s">
        <v>13824</v>
      </c>
      <c r="BT198" t="s">
        <v>13808</v>
      </c>
      <c r="BU198" t="s">
        <v>14291</v>
      </c>
      <c r="BY198" t="s">
        <v>17249</v>
      </c>
      <c r="BZ198" t="s">
        <v>13808</v>
      </c>
      <c r="CA198" t="s">
        <v>13937</v>
      </c>
      <c r="CE198" t="s">
        <v>17250</v>
      </c>
      <c r="CF198" t="s">
        <v>13808</v>
      </c>
      <c r="CK198" t="s">
        <v>13760</v>
      </c>
      <c r="CL198" t="s">
        <v>13809</v>
      </c>
      <c r="CQ198" t="s">
        <v>13766</v>
      </c>
      <c r="CR198" t="s">
        <v>13809</v>
      </c>
      <c r="CT198" t="s">
        <v>17251</v>
      </c>
      <c r="DY198" t="s">
        <v>13840</v>
      </c>
      <c r="DZ198" t="s">
        <v>14923</v>
      </c>
      <c r="EA198" t="s">
        <v>13842</v>
      </c>
      <c r="EC198">
        <v>45013</v>
      </c>
      <c r="ED198" t="s">
        <v>13843</v>
      </c>
      <c r="EE198" t="s">
        <v>5667</v>
      </c>
    </row>
    <row r="199" spans="1:135">
      <c r="A199" t="s">
        <v>1334</v>
      </c>
      <c r="B199" t="s">
        <v>1246</v>
      </c>
      <c r="C199" t="s">
        <v>17252</v>
      </c>
      <c r="D199" s="24">
        <v>44582</v>
      </c>
      <c r="E199" s="24" t="s">
        <v>13564</v>
      </c>
      <c r="F199" s="24" t="s">
        <v>17253</v>
      </c>
      <c r="G199" s="24" t="s">
        <v>13808</v>
      </c>
      <c r="H199" s="24"/>
      <c r="I199" s="24" t="s">
        <v>13809</v>
      </c>
      <c r="J199" s="24"/>
      <c r="K199" s="24" t="s">
        <v>13809</v>
      </c>
      <c r="L199" s="24"/>
      <c r="M199" s="24" t="s">
        <v>14136</v>
      </c>
      <c r="N199" s="24" t="s">
        <v>13808</v>
      </c>
      <c r="O199" s="24"/>
      <c r="P199" s="24" t="s">
        <v>13808</v>
      </c>
      <c r="Q199" s="24"/>
      <c r="R199" s="24" t="s">
        <v>13808</v>
      </c>
      <c r="S199" s="24"/>
      <c r="T199" t="s">
        <v>13907</v>
      </c>
      <c r="U199" t="s">
        <v>13809</v>
      </c>
      <c r="W199" t="s">
        <v>13808</v>
      </c>
      <c r="X199" t="s">
        <v>17254</v>
      </c>
      <c r="Y199" t="s">
        <v>13809</v>
      </c>
      <c r="AA199" t="s">
        <v>13928</v>
      </c>
      <c r="AB199" t="s">
        <v>17255</v>
      </c>
      <c r="AC199" t="s">
        <v>13808</v>
      </c>
      <c r="AH199" t="s">
        <v>13851</v>
      </c>
      <c r="AI199" t="s">
        <v>13808</v>
      </c>
      <c r="AN199" t="s">
        <v>17256</v>
      </c>
      <c r="AO199" t="s">
        <v>13808</v>
      </c>
      <c r="AT199" t="s">
        <v>17257</v>
      </c>
      <c r="AU199" t="s">
        <v>13808</v>
      </c>
      <c r="AZ199" t="s">
        <v>17258</v>
      </c>
      <c r="BA199" t="s">
        <v>13808</v>
      </c>
      <c r="BF199" t="s">
        <v>17259</v>
      </c>
      <c r="BG199" t="s">
        <v>13809</v>
      </c>
      <c r="BL199" t="s">
        <v>17260</v>
      </c>
      <c r="BM199" t="s">
        <v>13808</v>
      </c>
      <c r="BR199" t="s">
        <v>17261</v>
      </c>
      <c r="BS199" t="s">
        <v>13824</v>
      </c>
      <c r="BT199" t="s">
        <v>13808</v>
      </c>
      <c r="BU199" t="s">
        <v>14291</v>
      </c>
      <c r="BY199" t="s">
        <v>13748</v>
      </c>
      <c r="BZ199" t="s">
        <v>13809</v>
      </c>
      <c r="CE199" t="s">
        <v>14215</v>
      </c>
      <c r="CF199" t="s">
        <v>13808</v>
      </c>
      <c r="CK199" t="s">
        <v>13760</v>
      </c>
      <c r="CL199" t="s">
        <v>13809</v>
      </c>
      <c r="CQ199" t="s">
        <v>13766</v>
      </c>
      <c r="CR199" t="s">
        <v>13809</v>
      </c>
      <c r="CT199" t="s">
        <v>17262</v>
      </c>
      <c r="CU199" t="s">
        <v>17263</v>
      </c>
      <c r="CV199" t="s">
        <v>13808</v>
      </c>
      <c r="CX199" t="s">
        <v>17264</v>
      </c>
      <c r="CY199" t="s">
        <v>13818</v>
      </c>
      <c r="DA199" t="s">
        <v>17265</v>
      </c>
      <c r="DB199" t="s">
        <v>13808</v>
      </c>
      <c r="DD199" t="s">
        <v>17264</v>
      </c>
      <c r="DE199" t="s">
        <v>13818</v>
      </c>
      <c r="DG199" t="s">
        <v>17266</v>
      </c>
      <c r="DH199" t="s">
        <v>13808</v>
      </c>
      <c r="DI199" t="s">
        <v>17267</v>
      </c>
      <c r="DJ199" t="s">
        <v>17268</v>
      </c>
      <c r="DK199" t="s">
        <v>13818</v>
      </c>
      <c r="DM199" t="s">
        <v>17269</v>
      </c>
      <c r="DN199" t="s">
        <v>13808</v>
      </c>
      <c r="DO199" t="s">
        <v>17270</v>
      </c>
      <c r="DP199" t="s">
        <v>17271</v>
      </c>
      <c r="DQ199" t="s">
        <v>13818</v>
      </c>
      <c r="DY199" t="s">
        <v>13840</v>
      </c>
      <c r="DZ199" t="s">
        <v>17272</v>
      </c>
      <c r="EA199" t="s">
        <v>13996</v>
      </c>
      <c r="EC199">
        <v>44623</v>
      </c>
      <c r="ED199" t="s">
        <v>13843</v>
      </c>
      <c r="EE199" t="s">
        <v>5788</v>
      </c>
    </row>
    <row r="200" spans="1:135">
      <c r="A200" t="s">
        <v>1339</v>
      </c>
      <c r="B200" t="s">
        <v>1246</v>
      </c>
      <c r="C200" t="s">
        <v>17273</v>
      </c>
      <c r="D200" s="24">
        <v>44585</v>
      </c>
      <c r="E200" s="24" t="s">
        <v>13559</v>
      </c>
      <c r="F200" s="24" t="s">
        <v>17274</v>
      </c>
      <c r="G200" s="24" t="s">
        <v>13808</v>
      </c>
      <c r="H200" s="24"/>
      <c r="I200" s="24" t="s">
        <v>13809</v>
      </c>
      <c r="J200" s="24"/>
      <c r="K200" s="24" t="s">
        <v>13808</v>
      </c>
      <c r="L200" s="24"/>
      <c r="M200" s="24" t="s">
        <v>14136</v>
      </c>
      <c r="N200" s="24" t="s">
        <v>13808</v>
      </c>
      <c r="O200" s="24"/>
      <c r="P200" s="24" t="s">
        <v>13808</v>
      </c>
      <c r="Q200" s="24"/>
      <c r="R200" s="24" t="s">
        <v>13808</v>
      </c>
      <c r="S200" s="24"/>
      <c r="T200" t="s">
        <v>13907</v>
      </c>
      <c r="U200" t="s">
        <v>13808</v>
      </c>
      <c r="V200" t="s">
        <v>17275</v>
      </c>
      <c r="W200" t="s">
        <v>13808</v>
      </c>
      <c r="X200" t="s">
        <v>17276</v>
      </c>
      <c r="Y200" t="s">
        <v>13808</v>
      </c>
      <c r="Z200" t="s">
        <v>17277</v>
      </c>
      <c r="AA200" t="s">
        <v>14594</v>
      </c>
      <c r="AB200" t="s">
        <v>13699</v>
      </c>
      <c r="AC200" t="s">
        <v>13809</v>
      </c>
      <c r="AH200" t="s">
        <v>13851</v>
      </c>
      <c r="AI200" t="s">
        <v>13808</v>
      </c>
      <c r="AN200" t="s">
        <v>17278</v>
      </c>
      <c r="AO200" t="s">
        <v>13808</v>
      </c>
      <c r="AT200" t="s">
        <v>17279</v>
      </c>
      <c r="AU200" t="s">
        <v>13808</v>
      </c>
      <c r="AZ200" t="s">
        <v>13723</v>
      </c>
      <c r="BA200" t="s">
        <v>13809</v>
      </c>
      <c r="BB200" t="s">
        <v>17280</v>
      </c>
      <c r="BF200" t="s">
        <v>17281</v>
      </c>
      <c r="BG200" t="s">
        <v>13808</v>
      </c>
      <c r="BL200" t="s">
        <v>13735</v>
      </c>
      <c r="BM200" t="s">
        <v>13809</v>
      </c>
      <c r="BR200" t="s">
        <v>17282</v>
      </c>
      <c r="BS200" t="s">
        <v>13742</v>
      </c>
      <c r="BT200" t="s">
        <v>13809</v>
      </c>
      <c r="BU200" t="s">
        <v>17283</v>
      </c>
      <c r="BY200" t="s">
        <v>17284</v>
      </c>
      <c r="BZ200" t="s">
        <v>13808</v>
      </c>
      <c r="CA200" t="s">
        <v>13937</v>
      </c>
      <c r="CE200" t="s">
        <v>17285</v>
      </c>
      <c r="CF200" t="s">
        <v>13808</v>
      </c>
      <c r="CK200" t="s">
        <v>14581</v>
      </c>
      <c r="CL200" t="s">
        <v>13808</v>
      </c>
      <c r="CQ200" t="s">
        <v>13766</v>
      </c>
      <c r="CR200" t="s">
        <v>13809</v>
      </c>
      <c r="CT200" t="s">
        <v>17286</v>
      </c>
      <c r="CU200" t="s">
        <v>17287</v>
      </c>
      <c r="CV200" t="s">
        <v>13808</v>
      </c>
      <c r="CX200" t="s">
        <v>17288</v>
      </c>
      <c r="CY200" t="s">
        <v>13818</v>
      </c>
      <c r="DA200" t="s">
        <v>17289</v>
      </c>
      <c r="DB200" t="s">
        <v>13808</v>
      </c>
      <c r="DD200" t="s">
        <v>17288</v>
      </c>
      <c r="DE200" t="s">
        <v>13818</v>
      </c>
      <c r="DG200" t="s">
        <v>17290</v>
      </c>
      <c r="DH200" t="s">
        <v>13808</v>
      </c>
      <c r="DJ200" t="s">
        <v>17291</v>
      </c>
      <c r="DK200" t="s">
        <v>13818</v>
      </c>
      <c r="DM200" t="s">
        <v>17292</v>
      </c>
      <c r="DN200" t="s">
        <v>13818</v>
      </c>
      <c r="DO200" t="s">
        <v>17293</v>
      </c>
      <c r="DY200" t="s">
        <v>13840</v>
      </c>
      <c r="DZ200" t="s">
        <v>17294</v>
      </c>
      <c r="EA200" t="s">
        <v>13842</v>
      </c>
      <c r="EC200">
        <v>44586</v>
      </c>
      <c r="ED200" t="s">
        <v>13843</v>
      </c>
      <c r="EE200" t="s">
        <v>5792</v>
      </c>
    </row>
    <row r="201" spans="1:135">
      <c r="A201" t="s">
        <v>1785</v>
      </c>
      <c r="B201" t="s">
        <v>1683</v>
      </c>
      <c r="C201" t="s">
        <v>17295</v>
      </c>
      <c r="D201" s="24">
        <v>43075</v>
      </c>
      <c r="E201" s="24" t="s">
        <v>13555</v>
      </c>
      <c r="F201" s="24" t="s">
        <v>17296</v>
      </c>
      <c r="G201" s="24" t="s">
        <v>13808</v>
      </c>
      <c r="H201" s="24"/>
      <c r="I201" s="24" t="s">
        <v>13809</v>
      </c>
      <c r="J201" s="24"/>
      <c r="K201" s="24" t="s">
        <v>13808</v>
      </c>
      <c r="L201" s="24"/>
      <c r="M201" s="24" t="s">
        <v>14304</v>
      </c>
      <c r="N201" s="24" t="s">
        <v>13808</v>
      </c>
      <c r="O201" s="24"/>
      <c r="P201" s="24" t="s">
        <v>13808</v>
      </c>
      <c r="Q201" s="24"/>
      <c r="R201" s="24" t="s">
        <v>13808</v>
      </c>
      <c r="S201" s="24"/>
      <c r="T201" t="s">
        <v>16948</v>
      </c>
      <c r="U201" t="s">
        <v>13809</v>
      </c>
      <c r="W201" t="s">
        <v>13808</v>
      </c>
      <c r="X201" t="s">
        <v>17297</v>
      </c>
      <c r="Y201" t="s">
        <v>13809</v>
      </c>
      <c r="AA201" t="s">
        <v>14971</v>
      </c>
      <c r="AB201" t="s">
        <v>16326</v>
      </c>
      <c r="AC201" t="s">
        <v>13808</v>
      </c>
      <c r="AH201" t="s">
        <v>13909</v>
      </c>
      <c r="AI201" t="s">
        <v>13808</v>
      </c>
      <c r="AN201" t="s">
        <v>17298</v>
      </c>
      <c r="AO201" t="s">
        <v>13808</v>
      </c>
      <c r="AT201" t="s">
        <v>17299</v>
      </c>
      <c r="AU201" t="s">
        <v>13808</v>
      </c>
      <c r="AZ201" t="s">
        <v>15898</v>
      </c>
      <c r="BA201" t="s">
        <v>13808</v>
      </c>
      <c r="BF201" t="s">
        <v>14416</v>
      </c>
      <c r="BG201" t="s">
        <v>13808</v>
      </c>
      <c r="BL201" t="s">
        <v>17300</v>
      </c>
      <c r="BM201" t="s">
        <v>13808</v>
      </c>
      <c r="BR201" t="s">
        <v>17301</v>
      </c>
      <c r="BS201" t="s">
        <v>13887</v>
      </c>
      <c r="BT201" t="s">
        <v>13808</v>
      </c>
      <c r="BU201" t="s">
        <v>14291</v>
      </c>
      <c r="BY201" t="s">
        <v>13887</v>
      </c>
      <c r="BZ201" t="s">
        <v>13808</v>
      </c>
      <c r="CA201" t="s">
        <v>13937</v>
      </c>
      <c r="CE201" t="s">
        <v>14693</v>
      </c>
      <c r="CF201" t="s">
        <v>13808</v>
      </c>
      <c r="CL201" t="s">
        <v>13809</v>
      </c>
      <c r="CR201" t="s">
        <v>13809</v>
      </c>
      <c r="CT201" t="s">
        <v>17302</v>
      </c>
      <c r="CU201" t="s">
        <v>13909</v>
      </c>
      <c r="CV201" t="s">
        <v>13808</v>
      </c>
      <c r="DA201" t="s">
        <v>13909</v>
      </c>
      <c r="DB201" t="s">
        <v>13808</v>
      </c>
      <c r="DH201" t="s">
        <v>13809</v>
      </c>
      <c r="DM201" t="s">
        <v>17303</v>
      </c>
      <c r="DN201" t="s">
        <v>13808</v>
      </c>
      <c r="DZ201" t="s">
        <v>16025</v>
      </c>
      <c r="EA201" t="s">
        <v>15509</v>
      </c>
      <c r="EC201">
        <v>43480</v>
      </c>
      <c r="ED201" t="s">
        <v>13903</v>
      </c>
      <c r="EE201" t="s">
        <v>6305</v>
      </c>
    </row>
    <row r="202" spans="1:135">
      <c r="A202" t="s">
        <v>1732</v>
      </c>
      <c r="B202" t="s">
        <v>1246</v>
      </c>
      <c r="C202" t="s">
        <v>17304</v>
      </c>
      <c r="D202" s="24">
        <v>44615</v>
      </c>
      <c r="E202" s="24" t="s">
        <v>13553</v>
      </c>
      <c r="F202" s="24" t="s">
        <v>17305</v>
      </c>
      <c r="G202" s="24" t="s">
        <v>13808</v>
      </c>
      <c r="H202" s="24"/>
      <c r="I202" s="24" t="s">
        <v>13809</v>
      </c>
      <c r="J202" s="24"/>
      <c r="K202" s="24" t="s">
        <v>13809</v>
      </c>
      <c r="L202" s="24"/>
      <c r="M202" s="24" t="s">
        <v>13846</v>
      </c>
      <c r="N202" s="24" t="s">
        <v>13808</v>
      </c>
      <c r="O202" s="24"/>
      <c r="P202" s="24" t="s">
        <v>13808</v>
      </c>
      <c r="Q202" s="24"/>
      <c r="R202" s="24" t="s">
        <v>13808</v>
      </c>
      <c r="S202" s="24"/>
      <c r="T202" t="s">
        <v>17306</v>
      </c>
      <c r="U202" t="s">
        <v>13809</v>
      </c>
      <c r="W202" t="s">
        <v>13809</v>
      </c>
      <c r="Y202" t="s">
        <v>13808</v>
      </c>
      <c r="Z202" t="s">
        <v>17307</v>
      </c>
      <c r="AA202" t="s">
        <v>13849</v>
      </c>
      <c r="AB202" t="s">
        <v>13699</v>
      </c>
      <c r="AC202" t="s">
        <v>13809</v>
      </c>
      <c r="AH202" t="s">
        <v>14073</v>
      </c>
      <c r="AI202" t="s">
        <v>13808</v>
      </c>
      <c r="AN202" t="s">
        <v>13711</v>
      </c>
      <c r="AO202" t="s">
        <v>13809</v>
      </c>
      <c r="AT202" t="s">
        <v>13717</v>
      </c>
      <c r="AU202" t="s">
        <v>13809</v>
      </c>
      <c r="AZ202" t="s">
        <v>17308</v>
      </c>
      <c r="BA202" t="s">
        <v>13808</v>
      </c>
      <c r="BF202" t="s">
        <v>17309</v>
      </c>
      <c r="BG202" t="s">
        <v>13808</v>
      </c>
      <c r="BL202" t="s">
        <v>13735</v>
      </c>
      <c r="BM202" t="s">
        <v>13809</v>
      </c>
      <c r="BR202" t="s">
        <v>17310</v>
      </c>
      <c r="BS202" t="s">
        <v>13742</v>
      </c>
      <c r="BT202" t="s">
        <v>13809</v>
      </c>
      <c r="BY202" t="s">
        <v>13748</v>
      </c>
      <c r="BZ202" t="s">
        <v>13809</v>
      </c>
      <c r="CE202" t="s">
        <v>13754</v>
      </c>
      <c r="CF202" t="s">
        <v>13809</v>
      </c>
      <c r="CK202" t="s">
        <v>14581</v>
      </c>
      <c r="CL202" t="s">
        <v>13808</v>
      </c>
      <c r="CM202" t="s">
        <v>17311</v>
      </c>
      <c r="CQ202" t="s">
        <v>13766</v>
      </c>
      <c r="CR202" t="s">
        <v>13809</v>
      </c>
      <c r="CT202" t="s">
        <v>14082</v>
      </c>
      <c r="DM202" t="s">
        <v>17312</v>
      </c>
      <c r="DN202" t="s">
        <v>13808</v>
      </c>
      <c r="DP202" t="s">
        <v>17313</v>
      </c>
      <c r="DQ202" t="s">
        <v>13808</v>
      </c>
      <c r="DY202" t="s">
        <v>14606</v>
      </c>
      <c r="DZ202" t="s">
        <v>13841</v>
      </c>
      <c r="EA202" t="s">
        <v>14182</v>
      </c>
      <c r="EC202">
        <v>44617</v>
      </c>
      <c r="ED202" t="s">
        <v>13843</v>
      </c>
      <c r="EE202" t="s">
        <v>13582</v>
      </c>
    </row>
    <row r="203" spans="1:135">
      <c r="A203" t="s">
        <v>1331</v>
      </c>
      <c r="B203" t="s">
        <v>1683</v>
      </c>
      <c r="C203" t="s">
        <v>17314</v>
      </c>
      <c r="D203" s="24">
        <v>44414</v>
      </c>
      <c r="E203" s="24" t="s">
        <v>13553</v>
      </c>
      <c r="F203" s="24" t="s">
        <v>17315</v>
      </c>
      <c r="G203" s="24" t="s">
        <v>13808</v>
      </c>
      <c r="H203" s="24"/>
      <c r="I203" s="24" t="s">
        <v>13809</v>
      </c>
      <c r="J203" s="24"/>
      <c r="K203" s="24" t="s">
        <v>13809</v>
      </c>
      <c r="L203" s="24"/>
      <c r="M203" s="24" t="s">
        <v>17316</v>
      </c>
      <c r="N203" s="24" t="s">
        <v>13808</v>
      </c>
      <c r="O203" s="24"/>
      <c r="P203" s="24" t="s">
        <v>13808</v>
      </c>
      <c r="Q203" s="24"/>
      <c r="R203" s="24" t="s">
        <v>13808</v>
      </c>
      <c r="S203" s="24"/>
      <c r="T203" t="s">
        <v>14429</v>
      </c>
      <c r="U203" t="s">
        <v>13808</v>
      </c>
      <c r="V203" t="s">
        <v>17317</v>
      </c>
      <c r="W203" t="s">
        <v>13808</v>
      </c>
      <c r="X203" t="s">
        <v>17318</v>
      </c>
      <c r="Y203" t="s">
        <v>13809</v>
      </c>
      <c r="AA203" t="s">
        <v>13849</v>
      </c>
      <c r="AC203" t="s">
        <v>13809</v>
      </c>
      <c r="AH203" t="s">
        <v>13909</v>
      </c>
      <c r="AI203" t="s">
        <v>13808</v>
      </c>
      <c r="AO203" t="s">
        <v>13809</v>
      </c>
      <c r="AT203" t="s">
        <v>16346</v>
      </c>
      <c r="AU203" t="s">
        <v>13808</v>
      </c>
      <c r="AZ203" t="s">
        <v>14730</v>
      </c>
      <c r="BA203" t="s">
        <v>13808</v>
      </c>
      <c r="BF203" t="s">
        <v>16048</v>
      </c>
      <c r="BG203" t="s">
        <v>13808</v>
      </c>
      <c r="BL203" t="s">
        <v>14732</v>
      </c>
      <c r="BM203" t="s">
        <v>13808</v>
      </c>
      <c r="BR203" t="s">
        <v>17319</v>
      </c>
      <c r="BS203" t="s">
        <v>13887</v>
      </c>
      <c r="BT203" t="s">
        <v>13808</v>
      </c>
      <c r="BU203" t="s">
        <v>14291</v>
      </c>
      <c r="BY203" t="s">
        <v>13887</v>
      </c>
      <c r="BZ203" t="s">
        <v>13808</v>
      </c>
      <c r="CA203" t="s">
        <v>17320</v>
      </c>
      <c r="CE203" t="s">
        <v>17321</v>
      </c>
      <c r="CF203" t="s">
        <v>13863</v>
      </c>
      <c r="CK203" t="s">
        <v>13887</v>
      </c>
      <c r="CL203" t="s">
        <v>13808</v>
      </c>
      <c r="CM203" t="s">
        <v>17322</v>
      </c>
      <c r="CR203" t="s">
        <v>13809</v>
      </c>
      <c r="CT203" t="s">
        <v>17323</v>
      </c>
      <c r="CU203" t="s">
        <v>17324</v>
      </c>
      <c r="CV203" t="s">
        <v>13808</v>
      </c>
      <c r="DA203" t="s">
        <v>17325</v>
      </c>
      <c r="DB203" t="s">
        <v>13808</v>
      </c>
      <c r="DG203" t="s">
        <v>17326</v>
      </c>
      <c r="DH203" t="s">
        <v>13808</v>
      </c>
      <c r="DM203" t="s">
        <v>17327</v>
      </c>
      <c r="DN203" t="s">
        <v>13808</v>
      </c>
      <c r="DO203" t="s">
        <v>13839</v>
      </c>
      <c r="DP203" t="s">
        <v>17328</v>
      </c>
      <c r="DQ203" t="s">
        <v>13808</v>
      </c>
      <c r="DY203" t="s">
        <v>13840</v>
      </c>
      <c r="DZ203" t="s">
        <v>17329</v>
      </c>
      <c r="EA203" t="s">
        <v>16557</v>
      </c>
      <c r="EC203">
        <v>44424</v>
      </c>
      <c r="ED203" t="s">
        <v>17330</v>
      </c>
      <c r="EE203" t="s">
        <v>6307</v>
      </c>
    </row>
    <row r="204" spans="1:135">
      <c r="A204" t="s">
        <v>1342</v>
      </c>
      <c r="B204" t="s">
        <v>1246</v>
      </c>
      <c r="C204" t="s">
        <v>17331</v>
      </c>
      <c r="D204" s="24">
        <v>44855</v>
      </c>
      <c r="E204" s="24" t="s">
        <v>13553</v>
      </c>
      <c r="F204" s="24" t="s">
        <v>17332</v>
      </c>
      <c r="G204" s="24" t="s">
        <v>13808</v>
      </c>
      <c r="H204" s="24"/>
      <c r="I204" s="24" t="s">
        <v>13809</v>
      </c>
      <c r="J204" s="24"/>
      <c r="K204" s="24" t="s">
        <v>13809</v>
      </c>
      <c r="L204" s="24"/>
      <c r="M204" s="24" t="s">
        <v>13846</v>
      </c>
      <c r="N204" s="24" t="s">
        <v>13808</v>
      </c>
      <c r="O204" s="24"/>
      <c r="P204" s="24" t="s">
        <v>13808</v>
      </c>
      <c r="Q204" s="24"/>
      <c r="R204" s="24" t="s">
        <v>13808</v>
      </c>
      <c r="S204" s="24"/>
      <c r="T204" t="s">
        <v>17333</v>
      </c>
      <c r="U204" t="s">
        <v>13809</v>
      </c>
      <c r="W204" t="s">
        <v>13808</v>
      </c>
      <c r="X204" t="s">
        <v>17334</v>
      </c>
      <c r="Y204" t="s">
        <v>13809</v>
      </c>
      <c r="AA204" t="s">
        <v>14971</v>
      </c>
      <c r="AB204" t="s">
        <v>17335</v>
      </c>
      <c r="AC204" t="s">
        <v>13808</v>
      </c>
      <c r="AH204" t="s">
        <v>13851</v>
      </c>
      <c r="AI204" t="s">
        <v>13808</v>
      </c>
      <c r="AN204" t="s">
        <v>13711</v>
      </c>
      <c r="AO204" t="s">
        <v>13809</v>
      </c>
      <c r="AT204" t="s">
        <v>17336</v>
      </c>
      <c r="AU204" t="s">
        <v>13808</v>
      </c>
      <c r="AZ204" t="s">
        <v>15092</v>
      </c>
      <c r="BA204" t="s">
        <v>13808</v>
      </c>
      <c r="BF204" t="s">
        <v>17337</v>
      </c>
      <c r="BG204" t="s">
        <v>13808</v>
      </c>
      <c r="BL204" t="s">
        <v>13735</v>
      </c>
      <c r="BM204" t="s">
        <v>13809</v>
      </c>
      <c r="BR204" t="s">
        <v>17338</v>
      </c>
      <c r="BS204" t="s">
        <v>14957</v>
      </c>
      <c r="BT204" t="s">
        <v>13808</v>
      </c>
      <c r="BU204" t="s">
        <v>14291</v>
      </c>
      <c r="BY204" t="s">
        <v>17339</v>
      </c>
      <c r="BZ204" t="s">
        <v>13808</v>
      </c>
      <c r="CA204" t="s">
        <v>17320</v>
      </c>
      <c r="CE204" t="s">
        <v>14215</v>
      </c>
      <c r="CF204" t="s">
        <v>13808</v>
      </c>
      <c r="CG204" t="s">
        <v>13863</v>
      </c>
      <c r="CK204" t="s">
        <v>17340</v>
      </c>
      <c r="CL204" t="s">
        <v>13808</v>
      </c>
      <c r="CM204" t="s">
        <v>17341</v>
      </c>
      <c r="CQ204" t="s">
        <v>13766</v>
      </c>
      <c r="CR204" t="s">
        <v>13809</v>
      </c>
      <c r="CT204" t="s">
        <v>14293</v>
      </c>
      <c r="CU204" t="s">
        <v>17342</v>
      </c>
      <c r="CV204" t="s">
        <v>13808</v>
      </c>
      <c r="DA204" t="s">
        <v>17343</v>
      </c>
      <c r="DB204" t="s">
        <v>13808</v>
      </c>
      <c r="DM204" t="s">
        <v>17344</v>
      </c>
      <c r="DN204" t="s">
        <v>13808</v>
      </c>
      <c r="DO204" t="s">
        <v>17345</v>
      </c>
      <c r="DP204" t="s">
        <v>17346</v>
      </c>
      <c r="DQ204" t="s">
        <v>13808</v>
      </c>
      <c r="DR204" t="s">
        <v>13839</v>
      </c>
      <c r="DY204" t="s">
        <v>13869</v>
      </c>
      <c r="DZ204" t="s">
        <v>17347</v>
      </c>
      <c r="EA204" t="s">
        <v>14182</v>
      </c>
      <c r="EC204">
        <v>45033</v>
      </c>
      <c r="ED204" t="s">
        <v>13843</v>
      </c>
      <c r="EE204" t="s">
        <v>5795</v>
      </c>
    </row>
    <row r="205" spans="1:135">
      <c r="A205" t="s">
        <v>1347</v>
      </c>
      <c r="B205" t="s">
        <v>1246</v>
      </c>
      <c r="C205" t="s">
        <v>17348</v>
      </c>
      <c r="D205" s="24">
        <v>43672</v>
      </c>
      <c r="E205" s="24" t="s">
        <v>13560</v>
      </c>
      <c r="F205" s="24" t="s">
        <v>17349</v>
      </c>
      <c r="G205" s="24" t="s">
        <v>13808</v>
      </c>
      <c r="H205" s="24"/>
      <c r="I205" s="24" t="s">
        <v>13809</v>
      </c>
      <c r="J205" s="24"/>
      <c r="K205" s="24" t="s">
        <v>13809</v>
      </c>
      <c r="L205" s="24"/>
      <c r="M205" s="24" t="s">
        <v>14163</v>
      </c>
      <c r="N205" s="24" t="s">
        <v>13808</v>
      </c>
      <c r="O205" s="24"/>
      <c r="P205" s="24" t="s">
        <v>13808</v>
      </c>
      <c r="Q205" s="24"/>
      <c r="R205" s="24" t="s">
        <v>13808</v>
      </c>
      <c r="S205" s="24"/>
      <c r="T205" t="s">
        <v>15806</v>
      </c>
      <c r="U205" t="s">
        <v>13808</v>
      </c>
      <c r="W205" t="s">
        <v>13809</v>
      </c>
      <c r="Y205" t="s">
        <v>13809</v>
      </c>
      <c r="AA205" t="s">
        <v>17350</v>
      </c>
      <c r="AC205" t="s">
        <v>13809</v>
      </c>
      <c r="AH205" t="s">
        <v>13887</v>
      </c>
      <c r="AI205" t="s">
        <v>13808</v>
      </c>
      <c r="AK205" t="s">
        <v>17351</v>
      </c>
      <c r="AL205" t="s">
        <v>13818</v>
      </c>
      <c r="AM205" t="s">
        <v>17352</v>
      </c>
      <c r="AO205" t="s">
        <v>13809</v>
      </c>
      <c r="AU205" t="s">
        <v>13809</v>
      </c>
      <c r="AZ205" t="s">
        <v>15008</v>
      </c>
      <c r="BA205" t="s">
        <v>13818</v>
      </c>
      <c r="BB205" t="s">
        <v>17353</v>
      </c>
      <c r="BG205" t="s">
        <v>13809</v>
      </c>
      <c r="BM205" t="s">
        <v>13809</v>
      </c>
      <c r="BR205" t="s">
        <v>17354</v>
      </c>
      <c r="BT205" t="s">
        <v>13809</v>
      </c>
      <c r="BZ205" t="s">
        <v>13809</v>
      </c>
      <c r="CF205" t="s">
        <v>13809</v>
      </c>
      <c r="CK205" t="s">
        <v>13887</v>
      </c>
      <c r="CL205" t="s">
        <v>13808</v>
      </c>
      <c r="CM205" t="s">
        <v>17355</v>
      </c>
      <c r="CR205" t="s">
        <v>13809</v>
      </c>
      <c r="CT205" t="s">
        <v>17356</v>
      </c>
      <c r="CU205" t="s">
        <v>14022</v>
      </c>
      <c r="CV205" t="s">
        <v>13808</v>
      </c>
      <c r="CX205" t="s">
        <v>17357</v>
      </c>
      <c r="CY205" t="s">
        <v>13818</v>
      </c>
      <c r="CZ205" t="s">
        <v>15808</v>
      </c>
      <c r="DA205" t="s">
        <v>14730</v>
      </c>
      <c r="DB205" t="s">
        <v>13808</v>
      </c>
      <c r="DD205" t="s">
        <v>17358</v>
      </c>
      <c r="DE205" t="s">
        <v>13818</v>
      </c>
      <c r="DF205" t="s">
        <v>15808</v>
      </c>
      <c r="DH205" t="s">
        <v>13809</v>
      </c>
      <c r="DM205" t="s">
        <v>13882</v>
      </c>
      <c r="DN205" t="s">
        <v>13808</v>
      </c>
      <c r="DP205" t="s">
        <v>17359</v>
      </c>
      <c r="DQ205" t="s">
        <v>13818</v>
      </c>
      <c r="DR205" t="s">
        <v>17360</v>
      </c>
      <c r="DY205" t="s">
        <v>13920</v>
      </c>
      <c r="DZ205" t="s">
        <v>17361</v>
      </c>
      <c r="EA205" t="s">
        <v>17362</v>
      </c>
      <c r="EC205">
        <v>43789</v>
      </c>
      <c r="ED205" t="s">
        <v>14501</v>
      </c>
      <c r="EE205" t="s">
        <v>5799</v>
      </c>
    </row>
    <row r="206" spans="1:135">
      <c r="A206" t="s">
        <v>1459</v>
      </c>
      <c r="B206" t="s">
        <v>2026</v>
      </c>
      <c r="C206" t="s">
        <v>17363</v>
      </c>
      <c r="D206" s="24">
        <v>43896</v>
      </c>
      <c r="E206" s="24" t="s">
        <v>13553</v>
      </c>
      <c r="F206" s="24" t="s">
        <v>17364</v>
      </c>
      <c r="G206" s="24" t="s">
        <v>13808</v>
      </c>
      <c r="H206" s="24"/>
      <c r="I206" s="24" t="s">
        <v>13809</v>
      </c>
      <c r="J206" s="24"/>
      <c r="K206" s="24" t="s">
        <v>13809</v>
      </c>
      <c r="L206" s="24"/>
      <c r="M206" s="24" t="s">
        <v>17365</v>
      </c>
      <c r="N206" s="24" t="s">
        <v>13808</v>
      </c>
      <c r="O206" s="24"/>
      <c r="P206" s="24" t="s">
        <v>13808</v>
      </c>
      <c r="Q206" s="24"/>
      <c r="R206" s="24" t="s">
        <v>13808</v>
      </c>
      <c r="S206" s="24"/>
      <c r="T206" t="s">
        <v>13847</v>
      </c>
      <c r="U206" t="s">
        <v>13809</v>
      </c>
      <c r="W206" t="s">
        <v>13808</v>
      </c>
      <c r="X206" t="s">
        <v>17366</v>
      </c>
      <c r="Y206" t="s">
        <v>13809</v>
      </c>
      <c r="AA206" t="s">
        <v>13849</v>
      </c>
      <c r="AB206" t="s">
        <v>13699</v>
      </c>
      <c r="AC206" t="s">
        <v>13809</v>
      </c>
      <c r="AH206" t="s">
        <v>13851</v>
      </c>
      <c r="AI206" t="s">
        <v>13808</v>
      </c>
      <c r="AN206" t="s">
        <v>13711</v>
      </c>
      <c r="AO206" t="s">
        <v>13809</v>
      </c>
      <c r="AT206" t="s">
        <v>17367</v>
      </c>
      <c r="AU206" t="s">
        <v>13808</v>
      </c>
      <c r="AZ206" t="s">
        <v>15092</v>
      </c>
      <c r="BA206" t="s">
        <v>13808</v>
      </c>
      <c r="BF206" t="s">
        <v>17058</v>
      </c>
      <c r="BG206" t="s">
        <v>13809</v>
      </c>
      <c r="BL206" t="s">
        <v>17368</v>
      </c>
      <c r="BM206" t="s">
        <v>13808</v>
      </c>
      <c r="BR206" t="s">
        <v>17369</v>
      </c>
      <c r="BY206" t="s">
        <v>13748</v>
      </c>
      <c r="BZ206" t="s">
        <v>13809</v>
      </c>
      <c r="CE206" t="s">
        <v>13754</v>
      </c>
      <c r="CF206" t="s">
        <v>17370</v>
      </c>
      <c r="CK206" t="s">
        <v>13760</v>
      </c>
      <c r="CL206" t="s">
        <v>13809</v>
      </c>
      <c r="CQ206" t="s">
        <v>13766</v>
      </c>
      <c r="CR206" t="s">
        <v>13809</v>
      </c>
      <c r="CT206" t="s">
        <v>14293</v>
      </c>
      <c r="CU206" t="s">
        <v>17371</v>
      </c>
      <c r="CV206" t="s">
        <v>13808</v>
      </c>
      <c r="DA206" t="s">
        <v>17372</v>
      </c>
      <c r="DB206" t="s">
        <v>13808</v>
      </c>
      <c r="DH206" t="s">
        <v>13808</v>
      </c>
      <c r="DM206" t="s">
        <v>17373</v>
      </c>
      <c r="DN206" t="s">
        <v>13808</v>
      </c>
      <c r="DY206" t="s">
        <v>14606</v>
      </c>
      <c r="DZ206" t="s">
        <v>17374</v>
      </c>
      <c r="EA206" t="s">
        <v>13871</v>
      </c>
      <c r="EC206">
        <v>44623</v>
      </c>
      <c r="ED206" t="s">
        <v>13843</v>
      </c>
      <c r="EE206" t="s">
        <v>6735</v>
      </c>
    </row>
    <row r="207" spans="1:135">
      <c r="A207" t="s">
        <v>1503</v>
      </c>
      <c r="B207" t="s">
        <v>1920</v>
      </c>
      <c r="C207" t="s">
        <v>17375</v>
      </c>
      <c r="D207" s="24">
        <v>43711</v>
      </c>
      <c r="E207" s="24" t="s">
        <v>13553</v>
      </c>
      <c r="F207" s="24" t="s">
        <v>17376</v>
      </c>
      <c r="G207" s="24" t="s">
        <v>13808</v>
      </c>
      <c r="H207" s="24"/>
      <c r="I207" s="24" t="s">
        <v>13809</v>
      </c>
      <c r="J207" s="24"/>
      <c r="K207" s="24" t="s">
        <v>13809</v>
      </c>
      <c r="L207" s="24"/>
      <c r="M207" s="24" t="s">
        <v>14304</v>
      </c>
      <c r="N207" s="24" t="s">
        <v>13808</v>
      </c>
      <c r="O207" s="24"/>
      <c r="P207" s="24" t="s">
        <v>13808</v>
      </c>
      <c r="Q207" s="24"/>
      <c r="R207" s="24" t="s">
        <v>13808</v>
      </c>
      <c r="S207" s="24"/>
      <c r="T207" t="s">
        <v>13847</v>
      </c>
      <c r="U207" t="s">
        <v>13809</v>
      </c>
      <c r="W207" t="s">
        <v>13808</v>
      </c>
      <c r="X207" t="s">
        <v>17377</v>
      </c>
      <c r="Y207" t="s">
        <v>13809</v>
      </c>
      <c r="AA207" t="s">
        <v>13849</v>
      </c>
      <c r="AB207" t="s">
        <v>13699</v>
      </c>
      <c r="AC207" t="s">
        <v>13809</v>
      </c>
      <c r="AH207" t="s">
        <v>13851</v>
      </c>
      <c r="AI207" t="s">
        <v>13808</v>
      </c>
      <c r="AN207" t="s">
        <v>13711</v>
      </c>
      <c r="AO207" t="s">
        <v>13809</v>
      </c>
      <c r="AT207" t="s">
        <v>17378</v>
      </c>
      <c r="AU207" t="s">
        <v>13808</v>
      </c>
      <c r="AZ207" t="s">
        <v>17379</v>
      </c>
      <c r="BA207" t="s">
        <v>13808</v>
      </c>
      <c r="BF207" t="s">
        <v>17380</v>
      </c>
      <c r="BG207" t="s">
        <v>13808</v>
      </c>
      <c r="BL207" t="s">
        <v>13735</v>
      </c>
      <c r="BM207" t="s">
        <v>13809</v>
      </c>
      <c r="BR207" t="s">
        <v>17381</v>
      </c>
      <c r="BS207" t="s">
        <v>13824</v>
      </c>
      <c r="BT207" t="s">
        <v>13808</v>
      </c>
      <c r="BU207" t="s">
        <v>17382</v>
      </c>
      <c r="BY207" t="s">
        <v>14148</v>
      </c>
      <c r="BZ207" t="s">
        <v>13808</v>
      </c>
      <c r="CA207" t="s">
        <v>17383</v>
      </c>
      <c r="CE207" t="s">
        <v>13828</v>
      </c>
      <c r="CF207" t="s">
        <v>13808</v>
      </c>
      <c r="CK207" t="s">
        <v>13760</v>
      </c>
      <c r="CL207" t="s">
        <v>13809</v>
      </c>
      <c r="CQ207" t="s">
        <v>13766</v>
      </c>
      <c r="CR207" t="s">
        <v>13809</v>
      </c>
      <c r="CT207" t="s">
        <v>17384</v>
      </c>
      <c r="CU207" t="s">
        <v>17385</v>
      </c>
      <c r="CV207" t="s">
        <v>13808</v>
      </c>
      <c r="DA207" t="s">
        <v>17386</v>
      </c>
      <c r="DB207" t="s">
        <v>13808</v>
      </c>
      <c r="DG207" t="s">
        <v>17387</v>
      </c>
      <c r="DH207" t="s">
        <v>13808</v>
      </c>
      <c r="DI207" t="s">
        <v>13966</v>
      </c>
      <c r="DJ207" t="s">
        <v>17388</v>
      </c>
      <c r="DK207" t="s">
        <v>13818</v>
      </c>
      <c r="DL207" t="s">
        <v>17389</v>
      </c>
      <c r="DM207" t="s">
        <v>17390</v>
      </c>
      <c r="DN207" t="s">
        <v>13808</v>
      </c>
      <c r="DO207" t="s">
        <v>17391</v>
      </c>
      <c r="DY207" t="s">
        <v>13840</v>
      </c>
      <c r="DZ207" t="s">
        <v>17392</v>
      </c>
      <c r="EA207" t="s">
        <v>14182</v>
      </c>
      <c r="EC207">
        <v>44627</v>
      </c>
      <c r="ED207" t="s">
        <v>13843</v>
      </c>
      <c r="EE207" t="s">
        <v>6622</v>
      </c>
    </row>
    <row r="208" spans="1:135">
      <c r="A208" t="s">
        <v>10672</v>
      </c>
      <c r="B208" t="s">
        <v>2026</v>
      </c>
      <c r="C208" t="s">
        <v>17393</v>
      </c>
      <c r="D208" s="24">
        <v>43243</v>
      </c>
      <c r="E208" s="24" t="s">
        <v>13561</v>
      </c>
      <c r="F208" s="24" t="s">
        <v>17394</v>
      </c>
      <c r="G208" s="24" t="s">
        <v>13818</v>
      </c>
      <c r="H208" s="24"/>
      <c r="I208" s="24" t="s">
        <v>13809</v>
      </c>
      <c r="J208" s="24"/>
      <c r="K208" s="24" t="s">
        <v>13809</v>
      </c>
      <c r="L208" s="24"/>
      <c r="M208" s="24" t="s">
        <v>17395</v>
      </c>
      <c r="N208" s="24" t="s">
        <v>13808</v>
      </c>
      <c r="O208" s="24"/>
      <c r="P208" s="24" t="s">
        <v>13808</v>
      </c>
      <c r="Q208" s="24"/>
      <c r="R208" s="24" t="s">
        <v>13808</v>
      </c>
      <c r="S208" s="24"/>
      <c r="T208" t="s">
        <v>17396</v>
      </c>
      <c r="U208" t="s">
        <v>13809</v>
      </c>
      <c r="W208" t="s">
        <v>13808</v>
      </c>
      <c r="Y208" t="s">
        <v>13809</v>
      </c>
      <c r="AA208" t="s">
        <v>17397</v>
      </c>
      <c r="AB208" t="s">
        <v>14433</v>
      </c>
      <c r="AC208" t="s">
        <v>13818</v>
      </c>
      <c r="AH208" t="s">
        <v>13909</v>
      </c>
      <c r="AI208" t="s">
        <v>13818</v>
      </c>
      <c r="AO208" t="s">
        <v>13809</v>
      </c>
      <c r="AT208" t="s">
        <v>14265</v>
      </c>
      <c r="AU208" t="s">
        <v>13818</v>
      </c>
      <c r="AZ208" t="s">
        <v>14490</v>
      </c>
      <c r="BA208" t="s">
        <v>13818</v>
      </c>
      <c r="BF208" t="s">
        <v>15824</v>
      </c>
      <c r="BG208" t="s">
        <v>13818</v>
      </c>
      <c r="BL208" t="s">
        <v>17398</v>
      </c>
      <c r="BM208" t="s">
        <v>13818</v>
      </c>
      <c r="BR208" t="s">
        <v>17399</v>
      </c>
      <c r="BS208" t="s">
        <v>13887</v>
      </c>
      <c r="BT208" t="s">
        <v>13818</v>
      </c>
      <c r="BU208" t="s">
        <v>14147</v>
      </c>
      <c r="BY208" t="s">
        <v>14265</v>
      </c>
      <c r="BZ208" t="s">
        <v>13818</v>
      </c>
      <c r="CA208" t="s">
        <v>13937</v>
      </c>
      <c r="CE208" t="s">
        <v>13887</v>
      </c>
      <c r="CF208" t="s">
        <v>13818</v>
      </c>
      <c r="CL208" t="s">
        <v>13809</v>
      </c>
      <c r="CR208" t="s">
        <v>13809</v>
      </c>
      <c r="CT208" t="s">
        <v>17400</v>
      </c>
      <c r="CU208" t="s">
        <v>13909</v>
      </c>
      <c r="CV208" t="s">
        <v>13808</v>
      </c>
      <c r="CW208" t="s">
        <v>17401</v>
      </c>
      <c r="DA208" t="s">
        <v>13909</v>
      </c>
      <c r="DB208" t="s">
        <v>13808</v>
      </c>
      <c r="DC208" t="s">
        <v>17401</v>
      </c>
      <c r="DG208" t="s">
        <v>13909</v>
      </c>
      <c r="DH208" t="s">
        <v>13818</v>
      </c>
      <c r="DZ208" t="s">
        <v>15812</v>
      </c>
      <c r="EA208" t="s">
        <v>14201</v>
      </c>
      <c r="EC208">
        <v>43480</v>
      </c>
      <c r="ED208" t="s">
        <v>13903</v>
      </c>
      <c r="EE208" t="s">
        <v>13583</v>
      </c>
    </row>
    <row r="209" spans="1:135">
      <c r="A209" t="s">
        <v>1903</v>
      </c>
      <c r="B209" t="s">
        <v>1808</v>
      </c>
      <c r="C209" t="s">
        <v>17402</v>
      </c>
      <c r="D209" s="24">
        <v>44517</v>
      </c>
      <c r="E209" s="24" t="s">
        <v>13553</v>
      </c>
      <c r="F209" s="24" t="s">
        <v>17403</v>
      </c>
      <c r="G209" s="24" t="s">
        <v>14699</v>
      </c>
      <c r="H209" s="24"/>
      <c r="I209" s="24" t="s">
        <v>13809</v>
      </c>
      <c r="J209" s="24"/>
      <c r="K209" s="24" t="s">
        <v>13809</v>
      </c>
      <c r="L209" s="24"/>
      <c r="M209" s="24" t="s">
        <v>13846</v>
      </c>
      <c r="N209" s="24" t="s">
        <v>13808</v>
      </c>
      <c r="O209" s="24"/>
      <c r="P209" s="24" t="s">
        <v>13808</v>
      </c>
      <c r="Q209" s="24"/>
      <c r="R209" s="24" t="s">
        <v>13808</v>
      </c>
      <c r="S209" s="24"/>
      <c r="T209" t="s">
        <v>14429</v>
      </c>
      <c r="U209" t="s">
        <v>13809</v>
      </c>
      <c r="W209" t="s">
        <v>13808</v>
      </c>
      <c r="X209" t="s">
        <v>17404</v>
      </c>
      <c r="Y209" t="s">
        <v>13809</v>
      </c>
      <c r="AA209" t="s">
        <v>13849</v>
      </c>
      <c r="AB209" t="s">
        <v>14006</v>
      </c>
      <c r="AC209" t="s">
        <v>13808</v>
      </c>
      <c r="AH209" t="s">
        <v>13909</v>
      </c>
      <c r="AI209" t="s">
        <v>13808</v>
      </c>
      <c r="AO209" t="s">
        <v>13809</v>
      </c>
      <c r="AT209" t="s">
        <v>17405</v>
      </c>
      <c r="AU209" t="s">
        <v>13808</v>
      </c>
      <c r="AZ209" t="s">
        <v>14730</v>
      </c>
      <c r="BA209" t="s">
        <v>13808</v>
      </c>
      <c r="BF209" t="s">
        <v>13894</v>
      </c>
      <c r="BG209" t="s">
        <v>13808</v>
      </c>
      <c r="BL209" t="s">
        <v>17406</v>
      </c>
      <c r="BM209" t="s">
        <v>13808</v>
      </c>
      <c r="BR209" t="s">
        <v>17407</v>
      </c>
      <c r="BS209" t="s">
        <v>13887</v>
      </c>
      <c r="BT209" t="s">
        <v>13808</v>
      </c>
      <c r="BU209" t="s">
        <v>17408</v>
      </c>
      <c r="BY209" t="s">
        <v>14265</v>
      </c>
      <c r="BZ209" t="s">
        <v>13808</v>
      </c>
      <c r="CA209" t="s">
        <v>17409</v>
      </c>
      <c r="CE209" t="s">
        <v>14197</v>
      </c>
      <c r="CF209" t="s">
        <v>13808</v>
      </c>
      <c r="CL209" t="s">
        <v>13809</v>
      </c>
      <c r="CR209" t="s">
        <v>13809</v>
      </c>
      <c r="CT209" t="s">
        <v>14938</v>
      </c>
      <c r="CU209" t="s">
        <v>17410</v>
      </c>
      <c r="CV209" t="s">
        <v>13808</v>
      </c>
      <c r="DA209" t="s">
        <v>17411</v>
      </c>
      <c r="DB209" t="s">
        <v>13808</v>
      </c>
      <c r="DG209" t="s">
        <v>17412</v>
      </c>
      <c r="DH209" t="s">
        <v>13808</v>
      </c>
      <c r="DM209" t="s">
        <v>13894</v>
      </c>
      <c r="DN209" t="s">
        <v>13808</v>
      </c>
      <c r="DP209" t="s">
        <v>17413</v>
      </c>
      <c r="DQ209" t="s">
        <v>13808</v>
      </c>
      <c r="DR209" t="s">
        <v>13839</v>
      </c>
      <c r="DY209" t="s">
        <v>13869</v>
      </c>
      <c r="DZ209" t="s">
        <v>17414</v>
      </c>
      <c r="EA209" t="s">
        <v>14182</v>
      </c>
      <c r="ED209" t="s">
        <v>14722</v>
      </c>
      <c r="EE209" t="s">
        <v>6459</v>
      </c>
    </row>
    <row r="210" spans="1:135">
      <c r="A210" t="s">
        <v>5531</v>
      </c>
      <c r="B210" t="s">
        <v>1043</v>
      </c>
      <c r="C210" t="s">
        <v>17415</v>
      </c>
      <c r="D210" s="24">
        <v>45177</v>
      </c>
      <c r="E210" s="24" t="s">
        <v>13553</v>
      </c>
      <c r="F210" s="24" t="s">
        <v>17416</v>
      </c>
      <c r="G210" s="24" t="s">
        <v>13808</v>
      </c>
      <c r="H210" s="24"/>
      <c r="I210" s="24" t="s">
        <v>13809</v>
      </c>
      <c r="J210" s="24"/>
      <c r="K210" s="24" t="s">
        <v>13809</v>
      </c>
      <c r="L210" s="24"/>
      <c r="M210" s="24" t="s">
        <v>17417</v>
      </c>
      <c r="N210" s="24" t="s">
        <v>13808</v>
      </c>
      <c r="O210" s="24"/>
      <c r="P210" s="24" t="s">
        <v>13809</v>
      </c>
      <c r="Q210" s="24"/>
      <c r="R210" s="24" t="s">
        <v>13808</v>
      </c>
      <c r="S210" s="24"/>
      <c r="T210" t="s">
        <v>13847</v>
      </c>
      <c r="U210" t="s">
        <v>13809</v>
      </c>
      <c r="W210" t="s">
        <v>13808</v>
      </c>
      <c r="X210" t="s">
        <v>17418</v>
      </c>
      <c r="Y210" t="s">
        <v>13809</v>
      </c>
      <c r="AA210" t="s">
        <v>13849</v>
      </c>
      <c r="AB210" t="s">
        <v>17419</v>
      </c>
      <c r="AC210" t="s">
        <v>13808</v>
      </c>
      <c r="AH210" t="s">
        <v>17420</v>
      </c>
      <c r="AI210" t="s">
        <v>13808</v>
      </c>
      <c r="AN210" t="s">
        <v>13711</v>
      </c>
      <c r="AO210" t="s">
        <v>13809</v>
      </c>
      <c r="AT210" t="s">
        <v>14390</v>
      </c>
      <c r="AU210" t="s">
        <v>13808</v>
      </c>
      <c r="AZ210" t="s">
        <v>17421</v>
      </c>
      <c r="BA210" t="s">
        <v>13808</v>
      </c>
      <c r="BF210" t="s">
        <v>17422</v>
      </c>
      <c r="BG210" t="s">
        <v>13808</v>
      </c>
      <c r="BL210" t="s">
        <v>13735</v>
      </c>
      <c r="BM210" t="s">
        <v>13809</v>
      </c>
      <c r="BR210" t="s">
        <v>17423</v>
      </c>
      <c r="BS210" t="s">
        <v>17108</v>
      </c>
      <c r="BT210" t="s">
        <v>13809</v>
      </c>
      <c r="BY210" t="s">
        <v>17284</v>
      </c>
      <c r="BZ210" t="s">
        <v>13808</v>
      </c>
      <c r="CA210" t="s">
        <v>13937</v>
      </c>
      <c r="CE210" t="s">
        <v>15249</v>
      </c>
      <c r="CF210" t="s">
        <v>13809</v>
      </c>
      <c r="CK210" t="s">
        <v>17424</v>
      </c>
      <c r="CL210" t="s">
        <v>13808</v>
      </c>
      <c r="CM210" t="s">
        <v>14291</v>
      </c>
      <c r="CQ210" t="s">
        <v>13766</v>
      </c>
      <c r="CR210" t="s">
        <v>13809</v>
      </c>
      <c r="CT210" t="s">
        <v>17425</v>
      </c>
      <c r="CU210" t="s">
        <v>17426</v>
      </c>
      <c r="CV210" t="s">
        <v>13808</v>
      </c>
      <c r="CW210" t="s">
        <v>17427</v>
      </c>
      <c r="DA210" t="s">
        <v>17428</v>
      </c>
      <c r="DB210" t="s">
        <v>13808</v>
      </c>
      <c r="DC210" t="s">
        <v>17429</v>
      </c>
      <c r="DM210" t="s">
        <v>17430</v>
      </c>
      <c r="DN210" t="s">
        <v>13808</v>
      </c>
      <c r="DY210" t="s">
        <v>14606</v>
      </c>
      <c r="DZ210" t="s">
        <v>17431</v>
      </c>
      <c r="EA210" t="s">
        <v>14182</v>
      </c>
      <c r="EC210">
        <v>45177</v>
      </c>
      <c r="ED210" t="s">
        <v>13843</v>
      </c>
      <c r="EE210" t="s">
        <v>5536</v>
      </c>
    </row>
    <row r="211" spans="1:135">
      <c r="A211" t="s">
        <v>1568</v>
      </c>
      <c r="B211" t="s">
        <v>1246</v>
      </c>
      <c r="C211" t="s">
        <v>17432</v>
      </c>
      <c r="D211" s="24">
        <v>43887</v>
      </c>
      <c r="E211" s="24" t="s">
        <v>13555</v>
      </c>
      <c r="F211" s="24" t="s">
        <v>17433</v>
      </c>
      <c r="G211" s="24" t="s">
        <v>13808</v>
      </c>
      <c r="H211" s="24"/>
      <c r="I211" s="24" t="s">
        <v>13809</v>
      </c>
      <c r="J211" s="24"/>
      <c r="K211" s="24" t="s">
        <v>13809</v>
      </c>
      <c r="L211" s="24"/>
      <c r="M211" s="24" t="s">
        <v>14725</v>
      </c>
      <c r="N211" s="24" t="s">
        <v>13808</v>
      </c>
      <c r="O211" s="24"/>
      <c r="P211" s="24" t="s">
        <v>13808</v>
      </c>
      <c r="Q211" s="24"/>
      <c r="R211" s="24" t="s">
        <v>13808</v>
      </c>
      <c r="S211" s="24"/>
      <c r="T211" t="s">
        <v>17434</v>
      </c>
      <c r="U211" t="s">
        <v>13809</v>
      </c>
      <c r="W211" t="s">
        <v>13809</v>
      </c>
      <c r="Y211" t="s">
        <v>13809</v>
      </c>
      <c r="AA211" t="s">
        <v>13849</v>
      </c>
      <c r="AC211" t="s">
        <v>13809</v>
      </c>
      <c r="AH211" t="s">
        <v>17435</v>
      </c>
      <c r="AI211" t="s">
        <v>13808</v>
      </c>
      <c r="AO211" t="s">
        <v>13809</v>
      </c>
      <c r="AU211" t="s">
        <v>13809</v>
      </c>
      <c r="AZ211" t="s">
        <v>15883</v>
      </c>
      <c r="BA211" t="s">
        <v>13808</v>
      </c>
      <c r="BF211" t="s">
        <v>14046</v>
      </c>
      <c r="BG211" t="s">
        <v>13808</v>
      </c>
      <c r="BM211" t="s">
        <v>13809</v>
      </c>
      <c r="BR211" t="s">
        <v>17436</v>
      </c>
      <c r="BT211" t="s">
        <v>13809</v>
      </c>
      <c r="BZ211" t="s">
        <v>13809</v>
      </c>
      <c r="CF211" t="s">
        <v>13809</v>
      </c>
      <c r="CK211" t="s">
        <v>17437</v>
      </c>
      <c r="CL211" t="s">
        <v>13808</v>
      </c>
      <c r="CR211" t="s">
        <v>13809</v>
      </c>
      <c r="CT211" t="s">
        <v>17438</v>
      </c>
      <c r="DG211" t="s">
        <v>13894</v>
      </c>
      <c r="DH211" t="s">
        <v>13808</v>
      </c>
      <c r="DI211" t="s">
        <v>13788</v>
      </c>
      <c r="DM211" t="s">
        <v>17439</v>
      </c>
      <c r="DN211" t="s">
        <v>13808</v>
      </c>
      <c r="DO211" t="s">
        <v>13839</v>
      </c>
      <c r="DP211" t="s">
        <v>17440</v>
      </c>
      <c r="DQ211" t="s">
        <v>13808</v>
      </c>
      <c r="DY211" t="s">
        <v>14606</v>
      </c>
      <c r="DZ211" t="s">
        <v>15812</v>
      </c>
      <c r="EA211" t="s">
        <v>17441</v>
      </c>
      <c r="ED211" t="s">
        <v>14276</v>
      </c>
      <c r="EE211" t="s">
        <v>5807</v>
      </c>
    </row>
    <row r="212" spans="1:135">
      <c r="A212" t="s">
        <v>10692</v>
      </c>
      <c r="B212" t="s">
        <v>1808</v>
      </c>
      <c r="C212" t="s">
        <v>17442</v>
      </c>
      <c r="D212" s="24">
        <v>44575</v>
      </c>
      <c r="E212" s="24" t="s">
        <v>13555</v>
      </c>
      <c r="F212" s="24" t="s">
        <v>17443</v>
      </c>
      <c r="G212" s="24" t="s">
        <v>13808</v>
      </c>
      <c r="H212" s="24"/>
      <c r="I212" s="24" t="s">
        <v>13809</v>
      </c>
      <c r="J212" s="24"/>
      <c r="K212" s="24" t="s">
        <v>13808</v>
      </c>
      <c r="L212" s="24" t="s">
        <v>17444</v>
      </c>
      <c r="M212" s="24" t="s">
        <v>17445</v>
      </c>
      <c r="N212" s="24" t="s">
        <v>13808</v>
      </c>
      <c r="O212" s="24"/>
      <c r="P212" s="24" t="s">
        <v>13808</v>
      </c>
      <c r="Q212" s="24"/>
      <c r="R212" s="24" t="s">
        <v>13808</v>
      </c>
      <c r="S212" s="24"/>
      <c r="T212" t="s">
        <v>13907</v>
      </c>
      <c r="U212" t="s">
        <v>13809</v>
      </c>
      <c r="W212" t="s">
        <v>13808</v>
      </c>
      <c r="X212" t="s">
        <v>17446</v>
      </c>
      <c r="Y212" t="s">
        <v>13809</v>
      </c>
      <c r="AA212" t="s">
        <v>13849</v>
      </c>
      <c r="AB212" t="s">
        <v>13699</v>
      </c>
      <c r="AC212" t="s">
        <v>13809</v>
      </c>
      <c r="AH212" t="s">
        <v>13851</v>
      </c>
      <c r="AI212" t="s">
        <v>13808</v>
      </c>
      <c r="AN212" t="s">
        <v>13711</v>
      </c>
      <c r="AO212" t="s">
        <v>13809</v>
      </c>
      <c r="AT212" t="s">
        <v>13717</v>
      </c>
      <c r="AU212" t="s">
        <v>13809</v>
      </c>
      <c r="AZ212" t="s">
        <v>17447</v>
      </c>
      <c r="BA212" t="s">
        <v>13808</v>
      </c>
      <c r="BF212" t="s">
        <v>17448</v>
      </c>
      <c r="BG212" t="s">
        <v>13808</v>
      </c>
      <c r="BL212" t="s">
        <v>13735</v>
      </c>
      <c r="BM212" t="s">
        <v>13809</v>
      </c>
      <c r="BR212" t="s">
        <v>17449</v>
      </c>
      <c r="BS212" t="s">
        <v>13742</v>
      </c>
      <c r="BT212" t="s">
        <v>13809</v>
      </c>
      <c r="BY212" t="s">
        <v>13748</v>
      </c>
      <c r="BZ212" t="s">
        <v>13809</v>
      </c>
      <c r="CE212" t="s">
        <v>13754</v>
      </c>
      <c r="CF212" t="s">
        <v>13809</v>
      </c>
      <c r="CK212" t="s">
        <v>17450</v>
      </c>
      <c r="CL212" t="s">
        <v>13808</v>
      </c>
      <c r="CM212" t="s">
        <v>17451</v>
      </c>
      <c r="CT212" t="s">
        <v>17452</v>
      </c>
      <c r="DM212" t="s">
        <v>17453</v>
      </c>
      <c r="DN212" t="s">
        <v>13808</v>
      </c>
      <c r="DO212" t="s">
        <v>17454</v>
      </c>
      <c r="DY212" t="s">
        <v>13840</v>
      </c>
      <c r="DZ212" t="s">
        <v>17455</v>
      </c>
      <c r="EA212" t="s">
        <v>17456</v>
      </c>
      <c r="EC212">
        <v>44581</v>
      </c>
      <c r="ED212" t="s">
        <v>13843</v>
      </c>
      <c r="EE212" t="s">
        <v>13584</v>
      </c>
    </row>
    <row r="213" spans="1:135">
      <c r="A213" t="s">
        <v>1630</v>
      </c>
      <c r="B213" t="s">
        <v>1246</v>
      </c>
      <c r="C213" t="s">
        <v>17457</v>
      </c>
      <c r="D213" s="24">
        <v>43700</v>
      </c>
      <c r="E213" s="24" t="s">
        <v>13561</v>
      </c>
      <c r="F213" s="24" t="s">
        <v>17458</v>
      </c>
      <c r="G213" s="24" t="s">
        <v>13818</v>
      </c>
      <c r="H213" s="24"/>
      <c r="I213" s="24" t="s">
        <v>13809</v>
      </c>
      <c r="J213" s="24"/>
      <c r="K213" s="24" t="s">
        <v>13809</v>
      </c>
      <c r="L213" s="24"/>
      <c r="M213" s="24" t="s">
        <v>17459</v>
      </c>
      <c r="N213" s="24" t="s">
        <v>13818</v>
      </c>
      <c r="O213" s="24"/>
      <c r="P213" s="24" t="s">
        <v>13808</v>
      </c>
      <c r="Q213" s="24"/>
      <c r="R213" s="24" t="s">
        <v>13818</v>
      </c>
      <c r="S213" s="24" t="s">
        <v>16911</v>
      </c>
      <c r="T213" t="s">
        <v>15222</v>
      </c>
      <c r="U213" t="s">
        <v>13809</v>
      </c>
      <c r="W213" t="s">
        <v>13809</v>
      </c>
      <c r="Y213" t="s">
        <v>13809</v>
      </c>
      <c r="AA213" t="s">
        <v>17460</v>
      </c>
      <c r="AB213" t="s">
        <v>17461</v>
      </c>
      <c r="AC213" t="s">
        <v>13818</v>
      </c>
      <c r="AD213" t="s">
        <v>14309</v>
      </c>
      <c r="AH213" t="s">
        <v>13851</v>
      </c>
      <c r="AI213" t="s">
        <v>13818</v>
      </c>
      <c r="AJ213" t="s">
        <v>14309</v>
      </c>
      <c r="AN213" t="s">
        <v>13711</v>
      </c>
      <c r="AO213" t="s">
        <v>13809</v>
      </c>
      <c r="AT213" t="s">
        <v>17462</v>
      </c>
      <c r="AU213" t="s">
        <v>13818</v>
      </c>
      <c r="AV213" t="s">
        <v>14309</v>
      </c>
      <c r="AZ213" t="s">
        <v>17463</v>
      </c>
      <c r="BA213" t="s">
        <v>13818</v>
      </c>
      <c r="BB213" t="s">
        <v>14309</v>
      </c>
      <c r="BF213" t="s">
        <v>17464</v>
      </c>
      <c r="BG213" t="s">
        <v>13818</v>
      </c>
      <c r="BH213" t="s">
        <v>14309</v>
      </c>
      <c r="BL213" t="s">
        <v>13735</v>
      </c>
      <c r="BM213" t="s">
        <v>13809</v>
      </c>
      <c r="BR213" t="s">
        <v>17465</v>
      </c>
      <c r="BS213" t="s">
        <v>13742</v>
      </c>
      <c r="BT213" t="s">
        <v>13809</v>
      </c>
      <c r="BY213" t="s">
        <v>15336</v>
      </c>
      <c r="BZ213" t="s">
        <v>13818</v>
      </c>
      <c r="CA213" t="s">
        <v>16646</v>
      </c>
      <c r="CE213" t="s">
        <v>13754</v>
      </c>
      <c r="CF213" t="s">
        <v>13809</v>
      </c>
      <c r="CK213" t="s">
        <v>15044</v>
      </c>
      <c r="CL213" t="s">
        <v>13818</v>
      </c>
      <c r="CM213" t="s">
        <v>17466</v>
      </c>
      <c r="CQ213" t="s">
        <v>13766</v>
      </c>
      <c r="CR213" t="s">
        <v>13809</v>
      </c>
      <c r="CT213" t="s">
        <v>17467</v>
      </c>
      <c r="CU213" t="s">
        <v>17468</v>
      </c>
      <c r="CV213" t="s">
        <v>13808</v>
      </c>
      <c r="CW213" t="s">
        <v>14309</v>
      </c>
      <c r="DA213" t="s">
        <v>17469</v>
      </c>
      <c r="DB213" t="s">
        <v>13808</v>
      </c>
      <c r="DC213" t="s">
        <v>14309</v>
      </c>
      <c r="DG213" t="s">
        <v>17470</v>
      </c>
      <c r="DH213" t="s">
        <v>13808</v>
      </c>
      <c r="DI213" t="s">
        <v>14309</v>
      </c>
      <c r="DJ213" t="s">
        <v>17471</v>
      </c>
      <c r="DK213" t="s">
        <v>13818</v>
      </c>
      <c r="DL213" t="s">
        <v>17472</v>
      </c>
      <c r="DM213" t="s">
        <v>17473</v>
      </c>
      <c r="DN213" t="s">
        <v>13808</v>
      </c>
      <c r="DO213" t="s">
        <v>14309</v>
      </c>
      <c r="DY213" t="s">
        <v>13840</v>
      </c>
      <c r="DZ213" t="s">
        <v>13841</v>
      </c>
      <c r="EA213" t="s">
        <v>14666</v>
      </c>
      <c r="EC213">
        <v>45028</v>
      </c>
      <c r="ED213" t="s">
        <v>13843</v>
      </c>
      <c r="EE213" t="s">
        <v>13585</v>
      </c>
    </row>
    <row r="214" spans="1:135">
      <c r="A214" t="s">
        <v>1763</v>
      </c>
      <c r="B214" t="s">
        <v>1246</v>
      </c>
      <c r="C214" t="s">
        <v>17474</v>
      </c>
      <c r="D214" s="24">
        <v>45021</v>
      </c>
      <c r="E214" s="24" t="s">
        <v>13561</v>
      </c>
      <c r="F214" s="24" t="s">
        <v>17475</v>
      </c>
      <c r="G214" s="24" t="s">
        <v>13818</v>
      </c>
      <c r="H214" s="24" t="s">
        <v>17476</v>
      </c>
      <c r="I214" s="24" t="s">
        <v>13809</v>
      </c>
      <c r="J214" s="24"/>
      <c r="K214" s="24" t="s">
        <v>13818</v>
      </c>
      <c r="L214" s="24" t="s">
        <v>17477</v>
      </c>
      <c r="M214" s="24" t="s">
        <v>17478</v>
      </c>
      <c r="N214" s="24" t="s">
        <v>13818</v>
      </c>
      <c r="O214" s="24" t="s">
        <v>13819</v>
      </c>
      <c r="P214" s="24" t="s">
        <v>13818</v>
      </c>
      <c r="Q214" s="24" t="s">
        <v>13819</v>
      </c>
      <c r="R214" s="24" t="s">
        <v>13818</v>
      </c>
      <c r="S214" s="24" t="s">
        <v>13819</v>
      </c>
      <c r="T214" t="s">
        <v>14137</v>
      </c>
      <c r="U214" t="s">
        <v>13809</v>
      </c>
      <c r="W214" t="s">
        <v>13809</v>
      </c>
      <c r="Y214" t="s">
        <v>13809</v>
      </c>
      <c r="AA214" t="s">
        <v>14386</v>
      </c>
      <c r="AB214" t="s">
        <v>17479</v>
      </c>
      <c r="AC214" t="s">
        <v>13818</v>
      </c>
      <c r="AD214" t="s">
        <v>13819</v>
      </c>
      <c r="AH214" t="s">
        <v>13705</v>
      </c>
      <c r="AI214" t="s">
        <v>13818</v>
      </c>
      <c r="AJ214" t="s">
        <v>13819</v>
      </c>
      <c r="AN214" t="s">
        <v>13711</v>
      </c>
      <c r="AO214" t="s">
        <v>13809</v>
      </c>
      <c r="AP214" t="s">
        <v>13819</v>
      </c>
      <c r="AT214" t="s">
        <v>17480</v>
      </c>
      <c r="AU214" t="s">
        <v>13818</v>
      </c>
      <c r="AV214" t="s">
        <v>13819</v>
      </c>
      <c r="AZ214" t="s">
        <v>17481</v>
      </c>
      <c r="BA214" t="s">
        <v>13818</v>
      </c>
      <c r="BB214" t="s">
        <v>13819</v>
      </c>
      <c r="BF214" t="s">
        <v>17482</v>
      </c>
      <c r="BG214" t="s">
        <v>13818</v>
      </c>
      <c r="BH214" t="s">
        <v>13819</v>
      </c>
      <c r="BL214" t="s">
        <v>17483</v>
      </c>
      <c r="BM214" t="s">
        <v>13818</v>
      </c>
      <c r="BN214" t="s">
        <v>13819</v>
      </c>
      <c r="BR214" t="s">
        <v>17484</v>
      </c>
      <c r="BS214" t="s">
        <v>13742</v>
      </c>
      <c r="BT214" t="s">
        <v>13809</v>
      </c>
      <c r="BY214" t="s">
        <v>13748</v>
      </c>
      <c r="BZ214" t="s">
        <v>13809</v>
      </c>
      <c r="CA214" t="s">
        <v>17485</v>
      </c>
      <c r="CE214" t="s">
        <v>13754</v>
      </c>
      <c r="CF214" t="s">
        <v>13809</v>
      </c>
      <c r="CK214" t="s">
        <v>17486</v>
      </c>
      <c r="CL214" t="s">
        <v>13818</v>
      </c>
      <c r="CM214" t="s">
        <v>17487</v>
      </c>
      <c r="CQ214" t="s">
        <v>13766</v>
      </c>
      <c r="CR214" t="s">
        <v>13809</v>
      </c>
      <c r="CT214" t="s">
        <v>14781</v>
      </c>
      <c r="CU214" t="s">
        <v>15268</v>
      </c>
      <c r="CV214" t="s">
        <v>13818</v>
      </c>
      <c r="DA214" t="s">
        <v>15063</v>
      </c>
      <c r="DB214" t="s">
        <v>13818</v>
      </c>
      <c r="DG214" t="s">
        <v>14240</v>
      </c>
      <c r="DH214" t="s">
        <v>13818</v>
      </c>
      <c r="DM214" t="s">
        <v>17488</v>
      </c>
      <c r="DN214" t="s">
        <v>13809</v>
      </c>
      <c r="DP214" t="s">
        <v>17489</v>
      </c>
      <c r="DQ214" t="s">
        <v>13818</v>
      </c>
      <c r="DR214" t="s">
        <v>13819</v>
      </c>
      <c r="DY214" t="s">
        <v>13840</v>
      </c>
      <c r="DZ214" t="s">
        <v>13841</v>
      </c>
      <c r="EA214" t="s">
        <v>14118</v>
      </c>
      <c r="EC214">
        <v>45021</v>
      </c>
      <c r="ED214" t="s">
        <v>13843</v>
      </c>
      <c r="EE214" t="s">
        <v>17490</v>
      </c>
    </row>
    <row r="215" spans="1:135">
      <c r="A215" t="s">
        <v>10517</v>
      </c>
      <c r="B215" t="s">
        <v>1808</v>
      </c>
      <c r="C215" t="s">
        <v>17491</v>
      </c>
      <c r="D215" s="24">
        <v>43711</v>
      </c>
      <c r="E215" s="24" t="s">
        <v>13561</v>
      </c>
      <c r="F215" s="24" t="s">
        <v>17492</v>
      </c>
      <c r="G215" s="24" t="s">
        <v>13818</v>
      </c>
      <c r="H215" s="24" t="s">
        <v>17493</v>
      </c>
      <c r="I215" s="24" t="s">
        <v>13809</v>
      </c>
      <c r="J215" s="24"/>
      <c r="K215" s="24" t="s">
        <v>13809</v>
      </c>
      <c r="L215" s="24"/>
      <c r="M215" s="24" t="s">
        <v>17494</v>
      </c>
      <c r="N215" s="24" t="s">
        <v>13818</v>
      </c>
      <c r="O215" s="24"/>
      <c r="P215" s="24" t="s">
        <v>13818</v>
      </c>
      <c r="Q215" s="24"/>
      <c r="R215" s="24" t="s">
        <v>13818</v>
      </c>
      <c r="S215" s="24"/>
      <c r="T215" t="s">
        <v>17495</v>
      </c>
      <c r="U215" t="s">
        <v>13809</v>
      </c>
      <c r="W215" t="s">
        <v>13809</v>
      </c>
      <c r="Y215" t="s">
        <v>13809</v>
      </c>
      <c r="AA215" t="s">
        <v>17496</v>
      </c>
      <c r="AB215" t="s">
        <v>14816</v>
      </c>
      <c r="AC215" t="s">
        <v>13818</v>
      </c>
      <c r="AD215" t="s">
        <v>14415</v>
      </c>
      <c r="AH215" t="s">
        <v>13909</v>
      </c>
      <c r="AI215" t="s">
        <v>13818</v>
      </c>
      <c r="AJ215" t="s">
        <v>14415</v>
      </c>
      <c r="AO215" t="s">
        <v>13809</v>
      </c>
      <c r="AT215" t="s">
        <v>14006</v>
      </c>
      <c r="AU215" t="s">
        <v>13818</v>
      </c>
      <c r="AV215" t="s">
        <v>14415</v>
      </c>
      <c r="AZ215" t="s">
        <v>14818</v>
      </c>
      <c r="BA215" t="s">
        <v>13818</v>
      </c>
      <c r="BB215" t="s">
        <v>14415</v>
      </c>
      <c r="BF215" t="s">
        <v>17497</v>
      </c>
      <c r="BG215" t="s">
        <v>13818</v>
      </c>
      <c r="BH215" t="s">
        <v>14415</v>
      </c>
      <c r="BL215" t="s">
        <v>14367</v>
      </c>
      <c r="BM215" t="s">
        <v>13818</v>
      </c>
      <c r="BN215" t="s">
        <v>14415</v>
      </c>
      <c r="BR215" t="s">
        <v>17498</v>
      </c>
      <c r="BT215" t="s">
        <v>13809</v>
      </c>
      <c r="BZ215" t="s">
        <v>13809</v>
      </c>
      <c r="CF215" t="s">
        <v>13809</v>
      </c>
      <c r="CK215" t="s">
        <v>14265</v>
      </c>
      <c r="CL215" t="s">
        <v>13818</v>
      </c>
      <c r="CM215" t="s">
        <v>17499</v>
      </c>
      <c r="CR215" t="s">
        <v>13809</v>
      </c>
      <c r="CT215" t="s">
        <v>17500</v>
      </c>
      <c r="CU215" t="s">
        <v>17501</v>
      </c>
      <c r="CV215" t="s">
        <v>13818</v>
      </c>
      <c r="CW215" t="s">
        <v>14415</v>
      </c>
      <c r="DA215" t="s">
        <v>17502</v>
      </c>
      <c r="DB215" t="s">
        <v>13818</v>
      </c>
      <c r="DC215" t="s">
        <v>14415</v>
      </c>
      <c r="DH215" t="s">
        <v>13809</v>
      </c>
      <c r="DM215" t="s">
        <v>17503</v>
      </c>
      <c r="DN215" t="s">
        <v>13818</v>
      </c>
      <c r="DO215" t="s">
        <v>14415</v>
      </c>
      <c r="DP215" t="s">
        <v>17504</v>
      </c>
      <c r="DQ215" t="s">
        <v>13818</v>
      </c>
      <c r="DR215" t="s">
        <v>17505</v>
      </c>
      <c r="DY215" t="s">
        <v>13900</v>
      </c>
      <c r="DZ215" t="s">
        <v>14696</v>
      </c>
      <c r="EA215" t="s">
        <v>17506</v>
      </c>
      <c r="EC215">
        <v>43789</v>
      </c>
      <c r="ED215" t="s">
        <v>14501</v>
      </c>
      <c r="EE215" t="s">
        <v>13586</v>
      </c>
    </row>
    <row r="216" spans="1:135">
      <c r="A216" t="s">
        <v>10710</v>
      </c>
      <c r="B216" t="s">
        <v>2026</v>
      </c>
      <c r="C216" t="s">
        <v>17507</v>
      </c>
      <c r="D216" s="24">
        <v>44041</v>
      </c>
      <c r="E216" s="24" t="s">
        <v>13561</v>
      </c>
      <c r="F216" s="24" t="s">
        <v>17508</v>
      </c>
      <c r="G216" s="24" t="s">
        <v>13818</v>
      </c>
      <c r="H216" s="24" t="s">
        <v>17509</v>
      </c>
      <c r="I216" s="24" t="s">
        <v>13809</v>
      </c>
      <c r="J216" s="24"/>
      <c r="K216" s="24" t="s">
        <v>13809</v>
      </c>
      <c r="L216" s="24"/>
      <c r="M216" s="24" t="s">
        <v>14304</v>
      </c>
      <c r="N216" s="24" t="s">
        <v>13808</v>
      </c>
      <c r="O216" s="24"/>
      <c r="P216" s="24" t="s">
        <v>13808</v>
      </c>
      <c r="Q216" s="24"/>
      <c r="R216" s="24" t="s">
        <v>13808</v>
      </c>
      <c r="S216" s="24"/>
      <c r="T216" t="s">
        <v>17510</v>
      </c>
      <c r="U216" t="s">
        <v>13809</v>
      </c>
      <c r="W216" t="s">
        <v>13808</v>
      </c>
      <c r="X216" t="s">
        <v>17511</v>
      </c>
      <c r="Y216" t="s">
        <v>13809</v>
      </c>
      <c r="AA216" t="s">
        <v>17512</v>
      </c>
      <c r="AB216" t="s">
        <v>13699</v>
      </c>
      <c r="AC216" t="s">
        <v>13809</v>
      </c>
      <c r="AH216" t="s">
        <v>13851</v>
      </c>
      <c r="AI216" t="s">
        <v>13818</v>
      </c>
      <c r="AJ216" t="s">
        <v>14309</v>
      </c>
      <c r="AN216" t="s">
        <v>13711</v>
      </c>
      <c r="AO216" t="s">
        <v>13809</v>
      </c>
      <c r="AT216" t="s">
        <v>14575</v>
      </c>
      <c r="AU216" t="s">
        <v>13818</v>
      </c>
      <c r="AV216" t="s">
        <v>14309</v>
      </c>
      <c r="AZ216" t="s">
        <v>16745</v>
      </c>
      <c r="BA216" t="s">
        <v>13818</v>
      </c>
      <c r="BB216" t="s">
        <v>14309</v>
      </c>
      <c r="BF216" t="s">
        <v>17513</v>
      </c>
      <c r="BG216" t="s">
        <v>13818</v>
      </c>
      <c r="BH216" t="s">
        <v>14309</v>
      </c>
      <c r="BL216" t="s">
        <v>13735</v>
      </c>
      <c r="BM216" t="s">
        <v>13809</v>
      </c>
      <c r="BR216" t="s">
        <v>17514</v>
      </c>
      <c r="BS216" t="s">
        <v>13742</v>
      </c>
      <c r="BT216" t="s">
        <v>13809</v>
      </c>
      <c r="BY216" t="s">
        <v>13826</v>
      </c>
      <c r="BZ216" t="s">
        <v>13818</v>
      </c>
      <c r="CA216" t="s">
        <v>14309</v>
      </c>
      <c r="CE216" t="s">
        <v>13754</v>
      </c>
      <c r="CF216" t="s">
        <v>13809</v>
      </c>
      <c r="CK216" t="s">
        <v>13760</v>
      </c>
      <c r="CL216" t="s">
        <v>13809</v>
      </c>
      <c r="CQ216" t="s">
        <v>13766</v>
      </c>
      <c r="CR216" t="s">
        <v>13809</v>
      </c>
      <c r="CT216" t="s">
        <v>13830</v>
      </c>
      <c r="CU216" t="s">
        <v>15268</v>
      </c>
      <c r="CV216" t="s">
        <v>13818</v>
      </c>
      <c r="CW216" t="s">
        <v>14309</v>
      </c>
      <c r="DA216" t="s">
        <v>15063</v>
      </c>
      <c r="DB216" t="s">
        <v>13818</v>
      </c>
      <c r="DC216" t="s">
        <v>14309</v>
      </c>
      <c r="DG216" t="s">
        <v>14240</v>
      </c>
      <c r="DH216" t="s">
        <v>13818</v>
      </c>
      <c r="DI216" t="s">
        <v>14309</v>
      </c>
      <c r="DY216" t="s">
        <v>15364</v>
      </c>
      <c r="DZ216" t="s">
        <v>13841</v>
      </c>
      <c r="EA216" t="s">
        <v>13842</v>
      </c>
      <c r="EC216">
        <v>44686</v>
      </c>
      <c r="ED216" t="s">
        <v>13843</v>
      </c>
      <c r="EE216" t="s">
        <v>13587</v>
      </c>
    </row>
    <row r="217" spans="1:135">
      <c r="A217" t="s">
        <v>6896</v>
      </c>
      <c r="B217" t="s">
        <v>2174</v>
      </c>
      <c r="C217" t="s">
        <v>17515</v>
      </c>
      <c r="D217" s="24">
        <v>43707</v>
      </c>
      <c r="E217" s="24" t="s">
        <v>13553</v>
      </c>
      <c r="F217" s="24" t="s">
        <v>17516</v>
      </c>
      <c r="G217" s="24" t="s">
        <v>13808</v>
      </c>
      <c r="H217" s="24"/>
      <c r="I217" s="24" t="s">
        <v>13809</v>
      </c>
      <c r="J217" s="24"/>
      <c r="K217" s="24" t="s">
        <v>13809</v>
      </c>
      <c r="L217" s="24"/>
      <c r="M217" s="24" t="s">
        <v>17517</v>
      </c>
      <c r="N217" s="24" t="s">
        <v>13808</v>
      </c>
      <c r="O217" s="24"/>
      <c r="P217" s="24" t="s">
        <v>13808</v>
      </c>
      <c r="Q217" s="24"/>
      <c r="R217" s="24" t="s">
        <v>13808</v>
      </c>
      <c r="S217" s="24"/>
      <c r="T217" t="s">
        <v>13875</v>
      </c>
      <c r="U217" t="s">
        <v>13809</v>
      </c>
      <c r="W217" t="s">
        <v>13808</v>
      </c>
      <c r="X217" t="s">
        <v>17518</v>
      </c>
      <c r="Y217" t="s">
        <v>13809</v>
      </c>
      <c r="AA217" t="s">
        <v>13877</v>
      </c>
      <c r="AB217" t="s">
        <v>13809</v>
      </c>
      <c r="AD217" t="s">
        <v>17519</v>
      </c>
      <c r="AH217" t="s">
        <v>13909</v>
      </c>
      <c r="AI217" t="s">
        <v>13808</v>
      </c>
      <c r="AN217" t="s">
        <v>13809</v>
      </c>
      <c r="AP217" t="s">
        <v>17519</v>
      </c>
      <c r="AT217" t="s">
        <v>13809</v>
      </c>
      <c r="AV217" t="s">
        <v>17519</v>
      </c>
      <c r="AZ217" t="s">
        <v>13809</v>
      </c>
      <c r="BB217" t="s">
        <v>17519</v>
      </c>
      <c r="BF217" t="s">
        <v>13809</v>
      </c>
      <c r="BH217" t="s">
        <v>17519</v>
      </c>
      <c r="BL217" t="s">
        <v>13809</v>
      </c>
      <c r="BN217" t="s">
        <v>17519</v>
      </c>
      <c r="BR217" t="s">
        <v>17520</v>
      </c>
      <c r="BS217" t="s">
        <v>13809</v>
      </c>
      <c r="BY217" t="s">
        <v>13887</v>
      </c>
      <c r="BZ217" t="s">
        <v>13808</v>
      </c>
      <c r="CE217" t="s">
        <v>13887</v>
      </c>
      <c r="CF217" t="s">
        <v>13808</v>
      </c>
      <c r="CK217" t="s">
        <v>13809</v>
      </c>
      <c r="CR217" t="s">
        <v>13809</v>
      </c>
      <c r="CT217" t="s">
        <v>17521</v>
      </c>
      <c r="CU217" t="s">
        <v>17522</v>
      </c>
      <c r="CV217" t="s">
        <v>13808</v>
      </c>
      <c r="DA217" t="s">
        <v>17523</v>
      </c>
      <c r="DB217" t="s">
        <v>13808</v>
      </c>
      <c r="DG217" t="s">
        <v>13809</v>
      </c>
      <c r="DM217" t="s">
        <v>14265</v>
      </c>
      <c r="DN217" t="s">
        <v>13808</v>
      </c>
      <c r="DY217" t="s">
        <v>15828</v>
      </c>
      <c r="DZ217" t="s">
        <v>14274</v>
      </c>
      <c r="EA217" t="s">
        <v>17524</v>
      </c>
      <c r="ED217" t="s">
        <v>13903</v>
      </c>
      <c r="EE217" t="s">
        <v>6898</v>
      </c>
    </row>
    <row r="218" spans="1:135">
      <c r="A218" t="s">
        <v>1432</v>
      </c>
      <c r="B218" t="s">
        <v>1375</v>
      </c>
      <c r="C218" t="s">
        <v>17525</v>
      </c>
      <c r="D218" s="24">
        <v>44624</v>
      </c>
      <c r="E218" s="24" t="s">
        <v>13555</v>
      </c>
      <c r="F218" s="24" t="s">
        <v>17526</v>
      </c>
      <c r="G218" s="24" t="s">
        <v>13808</v>
      </c>
      <c r="H218" s="24"/>
      <c r="I218" s="24" t="s">
        <v>13809</v>
      </c>
      <c r="J218" s="24"/>
      <c r="K218" s="24" t="s">
        <v>13809</v>
      </c>
      <c r="L218" s="24"/>
      <c r="M218" s="24" t="s">
        <v>13846</v>
      </c>
      <c r="N218" s="24" t="s">
        <v>13808</v>
      </c>
      <c r="O218" s="24"/>
      <c r="P218" s="24" t="s">
        <v>13808</v>
      </c>
      <c r="Q218" s="24"/>
      <c r="R218" s="24" t="s">
        <v>13808</v>
      </c>
      <c r="S218" s="24"/>
      <c r="T218" t="s">
        <v>13907</v>
      </c>
      <c r="U218" t="s">
        <v>13809</v>
      </c>
      <c r="W218" t="s">
        <v>13808</v>
      </c>
      <c r="X218" t="s">
        <v>17527</v>
      </c>
      <c r="Y218" t="s">
        <v>13808</v>
      </c>
      <c r="Z218" t="s">
        <v>17528</v>
      </c>
      <c r="AA218" t="s">
        <v>13849</v>
      </c>
      <c r="AB218" t="s">
        <v>17529</v>
      </c>
      <c r="AC218" t="s">
        <v>13808</v>
      </c>
      <c r="AH218" t="s">
        <v>13851</v>
      </c>
      <c r="AI218" t="s">
        <v>13808</v>
      </c>
      <c r="AN218" t="s">
        <v>13711</v>
      </c>
      <c r="AO218" t="s">
        <v>13809</v>
      </c>
      <c r="AT218" t="s">
        <v>15983</v>
      </c>
      <c r="AU218" t="s">
        <v>13808</v>
      </c>
      <c r="AZ218" t="s">
        <v>17530</v>
      </c>
      <c r="BA218" t="s">
        <v>13808</v>
      </c>
      <c r="BF218" t="s">
        <v>17531</v>
      </c>
      <c r="BG218" t="s">
        <v>13808</v>
      </c>
      <c r="BL218" t="s">
        <v>17532</v>
      </c>
      <c r="BM218" t="s">
        <v>13808</v>
      </c>
      <c r="BR218" t="s">
        <v>17533</v>
      </c>
      <c r="BS218" t="s">
        <v>14290</v>
      </c>
      <c r="BT218" t="s">
        <v>13808</v>
      </c>
      <c r="BU218" t="s">
        <v>17534</v>
      </c>
      <c r="BY218" t="s">
        <v>13860</v>
      </c>
      <c r="BZ218" t="s">
        <v>13808</v>
      </c>
      <c r="CA218" t="s">
        <v>13937</v>
      </c>
      <c r="CE218" t="s">
        <v>13862</v>
      </c>
      <c r="CF218" t="s">
        <v>13808</v>
      </c>
      <c r="CK218" t="s">
        <v>13760</v>
      </c>
      <c r="CL218" t="s">
        <v>13809</v>
      </c>
      <c r="CQ218" t="s">
        <v>13766</v>
      </c>
      <c r="CR218" t="s">
        <v>13809</v>
      </c>
      <c r="CT218" t="s">
        <v>17452</v>
      </c>
      <c r="CU218" t="s">
        <v>17535</v>
      </c>
      <c r="CV218" t="s">
        <v>13818</v>
      </c>
      <c r="DM218" t="s">
        <v>17536</v>
      </c>
      <c r="DN218" t="s">
        <v>13808</v>
      </c>
      <c r="DP218" t="s">
        <v>17537</v>
      </c>
      <c r="DQ218" t="s">
        <v>13818</v>
      </c>
      <c r="DR218" t="s">
        <v>13839</v>
      </c>
      <c r="DY218" t="s">
        <v>13869</v>
      </c>
      <c r="DZ218" t="s">
        <v>13841</v>
      </c>
      <c r="EA218" t="s">
        <v>14182</v>
      </c>
      <c r="EC218">
        <v>44630</v>
      </c>
      <c r="ED218" t="s">
        <v>14298</v>
      </c>
      <c r="EE218" t="s">
        <v>5897</v>
      </c>
    </row>
    <row r="219" spans="1:135">
      <c r="A219" t="s">
        <v>1129</v>
      </c>
      <c r="B219" t="s">
        <v>1043</v>
      </c>
      <c r="C219" t="s">
        <v>17538</v>
      </c>
      <c r="D219" s="24">
        <v>43746</v>
      </c>
      <c r="E219" s="24" t="s">
        <v>13555</v>
      </c>
      <c r="F219" s="24" t="s">
        <v>17539</v>
      </c>
      <c r="G219" s="24" t="s">
        <v>13808</v>
      </c>
      <c r="H219" s="24"/>
      <c r="I219" s="24" t="s">
        <v>13809</v>
      </c>
      <c r="J219" s="24"/>
      <c r="K219" s="24" t="s">
        <v>13809</v>
      </c>
      <c r="L219" s="24"/>
      <c r="M219" s="24" t="s">
        <v>14121</v>
      </c>
      <c r="N219" s="24" t="s">
        <v>13808</v>
      </c>
      <c r="O219" s="24"/>
      <c r="P219" s="24" t="s">
        <v>13808</v>
      </c>
      <c r="Q219" s="24"/>
      <c r="R219" s="24" t="s">
        <v>13808</v>
      </c>
      <c r="S219" s="24"/>
      <c r="T219" t="s">
        <v>14034</v>
      </c>
      <c r="U219" t="s">
        <v>13809</v>
      </c>
      <c r="W219" t="s">
        <v>13808</v>
      </c>
      <c r="X219" t="s">
        <v>17518</v>
      </c>
      <c r="Y219" t="s">
        <v>13809</v>
      </c>
      <c r="AA219" t="s">
        <v>13877</v>
      </c>
      <c r="AB219" t="s">
        <v>17540</v>
      </c>
      <c r="AC219" t="s">
        <v>13808</v>
      </c>
      <c r="AH219" t="s">
        <v>13909</v>
      </c>
      <c r="AI219" t="s">
        <v>13808</v>
      </c>
      <c r="AO219" t="s">
        <v>13809</v>
      </c>
      <c r="AT219" t="s">
        <v>16326</v>
      </c>
      <c r="AU219" t="s">
        <v>13808</v>
      </c>
      <c r="AZ219" t="s">
        <v>15883</v>
      </c>
      <c r="BA219" t="s">
        <v>13808</v>
      </c>
      <c r="BF219" t="s">
        <v>13878</v>
      </c>
      <c r="BG219" t="s">
        <v>13808</v>
      </c>
      <c r="BL219" t="s">
        <v>17541</v>
      </c>
      <c r="BM219" t="s">
        <v>13808</v>
      </c>
      <c r="BR219" t="s">
        <v>17542</v>
      </c>
      <c r="BT219" t="s">
        <v>13809</v>
      </c>
      <c r="BY219" t="s">
        <v>14265</v>
      </c>
      <c r="BZ219" t="s">
        <v>13808</v>
      </c>
      <c r="CA219" t="s">
        <v>13888</v>
      </c>
      <c r="CE219" t="s">
        <v>13887</v>
      </c>
      <c r="CF219" t="s">
        <v>13808</v>
      </c>
      <c r="CL219" t="s">
        <v>13809</v>
      </c>
      <c r="CR219" t="s">
        <v>13809</v>
      </c>
      <c r="CT219" t="s">
        <v>14027</v>
      </c>
      <c r="CU219" t="s">
        <v>17543</v>
      </c>
      <c r="CV219" t="s">
        <v>13808</v>
      </c>
      <c r="DA219" t="s">
        <v>17544</v>
      </c>
      <c r="DB219" t="s">
        <v>13808</v>
      </c>
      <c r="DH219" t="s">
        <v>13809</v>
      </c>
      <c r="DM219" t="s">
        <v>17545</v>
      </c>
      <c r="DN219" t="s">
        <v>13808</v>
      </c>
      <c r="DP219" t="s">
        <v>17546</v>
      </c>
      <c r="DQ219" t="s">
        <v>13818</v>
      </c>
      <c r="DY219" t="s">
        <v>17547</v>
      </c>
      <c r="DZ219" t="s">
        <v>13922</v>
      </c>
      <c r="EA219" t="s">
        <v>14696</v>
      </c>
      <c r="EC219">
        <v>43788</v>
      </c>
      <c r="ED219" t="s">
        <v>13903</v>
      </c>
      <c r="EE219" t="s">
        <v>5540</v>
      </c>
    </row>
    <row r="220" spans="1:135">
      <c r="A220" t="s">
        <v>1796</v>
      </c>
      <c r="B220" t="s">
        <v>1683</v>
      </c>
      <c r="C220" t="s">
        <v>17548</v>
      </c>
      <c r="D220" s="24">
        <v>43761</v>
      </c>
      <c r="E220" s="24" t="s">
        <v>13553</v>
      </c>
      <c r="F220" s="24" t="s">
        <v>17549</v>
      </c>
      <c r="G220" s="24" t="s">
        <v>13808</v>
      </c>
      <c r="H220" s="24"/>
      <c r="I220" s="24" t="s">
        <v>13809</v>
      </c>
      <c r="J220" s="24"/>
      <c r="K220" s="24" t="s">
        <v>13809</v>
      </c>
      <c r="L220" s="24"/>
      <c r="M220" s="24" t="s">
        <v>13846</v>
      </c>
      <c r="N220" s="24" t="s">
        <v>13808</v>
      </c>
      <c r="O220" s="24"/>
      <c r="P220" s="24" t="s">
        <v>13808</v>
      </c>
      <c r="Q220" s="24"/>
      <c r="R220" s="24" t="s">
        <v>13808</v>
      </c>
      <c r="S220" s="24"/>
      <c r="T220" t="s">
        <v>13847</v>
      </c>
      <c r="U220" t="s">
        <v>13809</v>
      </c>
      <c r="W220" t="s">
        <v>13808</v>
      </c>
      <c r="X220" t="s">
        <v>17550</v>
      </c>
      <c r="Y220" t="s">
        <v>13809</v>
      </c>
      <c r="AA220" t="s">
        <v>13849</v>
      </c>
      <c r="AB220" t="s">
        <v>17551</v>
      </c>
      <c r="AC220" t="s">
        <v>13808</v>
      </c>
      <c r="AH220" t="s">
        <v>13851</v>
      </c>
      <c r="AI220" t="s">
        <v>13808</v>
      </c>
      <c r="AN220" t="s">
        <v>13711</v>
      </c>
      <c r="AO220" t="s">
        <v>13809</v>
      </c>
      <c r="AT220" t="s">
        <v>15287</v>
      </c>
      <c r="AU220" t="s">
        <v>13808</v>
      </c>
      <c r="AZ220" t="s">
        <v>17552</v>
      </c>
      <c r="BA220" t="s">
        <v>13808</v>
      </c>
      <c r="BF220" t="s">
        <v>17553</v>
      </c>
      <c r="BG220" t="s">
        <v>13808</v>
      </c>
      <c r="BL220" t="s">
        <v>17554</v>
      </c>
      <c r="BM220" t="s">
        <v>13808</v>
      </c>
      <c r="BR220" t="s">
        <v>17555</v>
      </c>
      <c r="BS220" t="s">
        <v>14213</v>
      </c>
      <c r="BT220" t="s">
        <v>13808</v>
      </c>
      <c r="BU220" t="s">
        <v>17556</v>
      </c>
      <c r="BY220" t="s">
        <v>13826</v>
      </c>
      <c r="BZ220" t="s">
        <v>13808</v>
      </c>
      <c r="CA220" t="s">
        <v>17557</v>
      </c>
      <c r="CE220" t="s">
        <v>13938</v>
      </c>
      <c r="CF220" t="s">
        <v>13808</v>
      </c>
      <c r="CG220" t="s">
        <v>13863</v>
      </c>
      <c r="CK220" t="s">
        <v>13760</v>
      </c>
      <c r="CL220" t="s">
        <v>13809</v>
      </c>
      <c r="CQ220" t="s">
        <v>13766</v>
      </c>
      <c r="CR220" t="s">
        <v>13809</v>
      </c>
      <c r="CT220" t="s">
        <v>17558</v>
      </c>
      <c r="CU220" t="s">
        <v>17559</v>
      </c>
      <c r="CV220" t="s">
        <v>13808</v>
      </c>
      <c r="DA220" t="s">
        <v>17560</v>
      </c>
      <c r="DB220" t="s">
        <v>13808</v>
      </c>
      <c r="DM220" t="s">
        <v>17561</v>
      </c>
      <c r="DN220" t="s">
        <v>13808</v>
      </c>
      <c r="DP220" t="s">
        <v>17562</v>
      </c>
      <c r="DQ220" t="s">
        <v>13808</v>
      </c>
      <c r="DR220" t="s">
        <v>13839</v>
      </c>
      <c r="DY220" t="s">
        <v>13840</v>
      </c>
      <c r="DZ220" t="s">
        <v>17563</v>
      </c>
      <c r="EA220" t="s">
        <v>14182</v>
      </c>
      <c r="EC220">
        <v>45000</v>
      </c>
      <c r="ED220" t="s">
        <v>17062</v>
      </c>
      <c r="EE220" t="s">
        <v>6311</v>
      </c>
    </row>
    <row r="221" spans="1:135">
      <c r="A221" t="s">
        <v>1352</v>
      </c>
      <c r="B221" t="s">
        <v>1246</v>
      </c>
      <c r="C221" t="s">
        <v>17564</v>
      </c>
      <c r="D221" s="24">
        <v>44582</v>
      </c>
      <c r="E221" s="24" t="s">
        <v>13560</v>
      </c>
      <c r="F221" s="24" t="s">
        <v>17565</v>
      </c>
      <c r="G221" s="24" t="s">
        <v>13808</v>
      </c>
      <c r="H221" s="24"/>
      <c r="I221" s="24" t="s">
        <v>13809</v>
      </c>
      <c r="J221" s="24"/>
      <c r="K221" s="24" t="s">
        <v>13808</v>
      </c>
      <c r="L221" s="24" t="s">
        <v>17566</v>
      </c>
      <c r="M221" s="24" t="s">
        <v>14136</v>
      </c>
      <c r="N221" s="24" t="s">
        <v>13808</v>
      </c>
      <c r="O221" s="24"/>
      <c r="P221" s="24" t="s">
        <v>13808</v>
      </c>
      <c r="Q221" s="24"/>
      <c r="R221" s="24" t="s">
        <v>13808</v>
      </c>
      <c r="S221" s="24"/>
      <c r="T221" t="s">
        <v>14071</v>
      </c>
      <c r="U221" t="s">
        <v>13809</v>
      </c>
      <c r="W221" t="s">
        <v>13809</v>
      </c>
      <c r="Y221" t="s">
        <v>13809</v>
      </c>
      <c r="AA221" t="s">
        <v>15089</v>
      </c>
      <c r="AB221" t="s">
        <v>17567</v>
      </c>
      <c r="AC221" t="s">
        <v>13818</v>
      </c>
      <c r="AD221" t="s">
        <v>13819</v>
      </c>
      <c r="AH221" t="s">
        <v>14073</v>
      </c>
      <c r="AI221" t="s">
        <v>13808</v>
      </c>
      <c r="AN221" t="s">
        <v>17568</v>
      </c>
      <c r="AO221" t="s">
        <v>13818</v>
      </c>
      <c r="AP221" t="s">
        <v>13819</v>
      </c>
      <c r="AT221" t="s">
        <v>17569</v>
      </c>
      <c r="AU221" t="s">
        <v>13818</v>
      </c>
      <c r="AV221" t="s">
        <v>13819</v>
      </c>
      <c r="AZ221" t="s">
        <v>17570</v>
      </c>
      <c r="BA221" t="s">
        <v>13818</v>
      </c>
      <c r="BB221" t="s">
        <v>13819</v>
      </c>
      <c r="BF221" t="s">
        <v>17571</v>
      </c>
      <c r="BG221" t="s">
        <v>13818</v>
      </c>
      <c r="BH221" t="s">
        <v>13819</v>
      </c>
      <c r="BL221" t="s">
        <v>17572</v>
      </c>
      <c r="BM221" t="s">
        <v>13818</v>
      </c>
      <c r="BN221" t="s">
        <v>13819</v>
      </c>
      <c r="BR221" t="s">
        <v>17573</v>
      </c>
      <c r="BS221" t="s">
        <v>14290</v>
      </c>
      <c r="BT221" t="s">
        <v>13818</v>
      </c>
      <c r="BU221" t="s">
        <v>17574</v>
      </c>
      <c r="BY221" t="s">
        <v>13860</v>
      </c>
      <c r="BZ221" t="s">
        <v>13808</v>
      </c>
      <c r="CA221" t="s">
        <v>13861</v>
      </c>
      <c r="CE221" t="s">
        <v>13938</v>
      </c>
      <c r="CF221" t="s">
        <v>13818</v>
      </c>
      <c r="CG221" t="s">
        <v>17575</v>
      </c>
      <c r="CK221" t="s">
        <v>13760</v>
      </c>
      <c r="CL221" t="s">
        <v>13809</v>
      </c>
      <c r="CQ221" t="s">
        <v>13766</v>
      </c>
      <c r="CR221" t="s">
        <v>13809</v>
      </c>
      <c r="CT221" t="s">
        <v>14422</v>
      </c>
      <c r="CU221" t="s">
        <v>17576</v>
      </c>
      <c r="CV221" t="s">
        <v>13808</v>
      </c>
      <c r="CX221" t="s">
        <v>17577</v>
      </c>
      <c r="CY221" t="s">
        <v>13818</v>
      </c>
      <c r="DA221" t="s">
        <v>17578</v>
      </c>
      <c r="DB221" t="s">
        <v>13808</v>
      </c>
      <c r="DD221" t="s">
        <v>17577</v>
      </c>
      <c r="DE221" t="s">
        <v>13818</v>
      </c>
      <c r="DG221" t="s">
        <v>17579</v>
      </c>
      <c r="DH221" t="s">
        <v>13808</v>
      </c>
      <c r="DY221" t="s">
        <v>17580</v>
      </c>
      <c r="DZ221" t="s">
        <v>13841</v>
      </c>
      <c r="EA221" t="s">
        <v>14091</v>
      </c>
      <c r="EC221">
        <v>44586</v>
      </c>
      <c r="ED221" t="s">
        <v>13843</v>
      </c>
      <c r="EE221" t="s">
        <v>5811</v>
      </c>
    </row>
    <row r="222" spans="1:135">
      <c r="A222" t="s">
        <v>1134</v>
      </c>
      <c r="B222" t="s">
        <v>1043</v>
      </c>
      <c r="C222" t="s">
        <v>17581</v>
      </c>
      <c r="D222" s="24">
        <v>44973</v>
      </c>
      <c r="E222" s="24" t="s">
        <v>13555</v>
      </c>
      <c r="F222" s="24" t="s">
        <v>17582</v>
      </c>
      <c r="G222" s="24" t="s">
        <v>13808</v>
      </c>
      <c r="H222" s="24"/>
      <c r="I222" s="24" t="s">
        <v>13809</v>
      </c>
      <c r="J222" s="24"/>
      <c r="K222" s="24" t="s">
        <v>13808</v>
      </c>
      <c r="L222" s="24"/>
      <c r="M222" s="24" t="s">
        <v>14136</v>
      </c>
      <c r="N222" s="24" t="s">
        <v>13808</v>
      </c>
      <c r="O222" s="24"/>
      <c r="P222" s="24" t="s">
        <v>13808</v>
      </c>
      <c r="Q222" s="24"/>
      <c r="R222" s="24" t="s">
        <v>13808</v>
      </c>
      <c r="S222" s="24"/>
      <c r="T222" t="s">
        <v>17583</v>
      </c>
      <c r="U222" t="s">
        <v>13809</v>
      </c>
      <c r="W222" t="s">
        <v>13808</v>
      </c>
      <c r="X222" t="s">
        <v>17584</v>
      </c>
      <c r="Y222" t="s">
        <v>13809</v>
      </c>
      <c r="AA222" t="s">
        <v>14971</v>
      </c>
      <c r="AB222" t="s">
        <v>17585</v>
      </c>
      <c r="AC222" t="s">
        <v>13808</v>
      </c>
      <c r="AH222" t="s">
        <v>13851</v>
      </c>
      <c r="AI222" t="s">
        <v>13808</v>
      </c>
      <c r="AN222" t="s">
        <v>17586</v>
      </c>
      <c r="AO222" t="s">
        <v>13808</v>
      </c>
      <c r="AT222" t="s">
        <v>17587</v>
      </c>
      <c r="AU222" t="s">
        <v>13808</v>
      </c>
      <c r="AZ222" t="s">
        <v>17588</v>
      </c>
      <c r="BA222" t="s">
        <v>13808</v>
      </c>
      <c r="BF222" t="s">
        <v>17589</v>
      </c>
      <c r="BG222" t="s">
        <v>13808</v>
      </c>
      <c r="BL222" t="s">
        <v>17590</v>
      </c>
      <c r="BM222" t="s">
        <v>13808</v>
      </c>
      <c r="BR222" t="s">
        <v>17591</v>
      </c>
      <c r="BS222" t="s">
        <v>17108</v>
      </c>
      <c r="BT222" t="s">
        <v>13809</v>
      </c>
      <c r="BY222" t="s">
        <v>17592</v>
      </c>
      <c r="BZ222" t="s">
        <v>13808</v>
      </c>
      <c r="CA222" t="s">
        <v>13861</v>
      </c>
      <c r="CE222" t="s">
        <v>15249</v>
      </c>
      <c r="CF222" t="s">
        <v>13809</v>
      </c>
      <c r="CK222" t="s">
        <v>17593</v>
      </c>
      <c r="CL222" t="s">
        <v>13808</v>
      </c>
      <c r="CM222" t="s">
        <v>13863</v>
      </c>
      <c r="CQ222" t="s">
        <v>13766</v>
      </c>
      <c r="CR222" t="s">
        <v>13809</v>
      </c>
      <c r="CT222" t="s">
        <v>17594</v>
      </c>
      <c r="CU222" t="s">
        <v>17595</v>
      </c>
      <c r="CV222" t="s">
        <v>13808</v>
      </c>
      <c r="CX222" t="s">
        <v>17596</v>
      </c>
      <c r="CY222" t="s">
        <v>13818</v>
      </c>
      <c r="DA222" t="s">
        <v>17597</v>
      </c>
      <c r="DB222" t="s">
        <v>13808</v>
      </c>
      <c r="DD222" t="s">
        <v>17598</v>
      </c>
      <c r="DE222" t="s">
        <v>13818</v>
      </c>
      <c r="DG222" t="s">
        <v>17599</v>
      </c>
      <c r="DH222" t="s">
        <v>13808</v>
      </c>
      <c r="DY222" t="s">
        <v>14606</v>
      </c>
      <c r="DZ222" t="s">
        <v>13841</v>
      </c>
      <c r="EA222" t="s">
        <v>13996</v>
      </c>
      <c r="EC222">
        <v>45022</v>
      </c>
      <c r="ED222" t="s">
        <v>13843</v>
      </c>
      <c r="EE222" t="s">
        <v>5544</v>
      </c>
    </row>
    <row r="223" spans="1:135">
      <c r="A223" t="s">
        <v>1911</v>
      </c>
      <c r="B223" t="s">
        <v>1808</v>
      </c>
      <c r="C223" t="s">
        <v>17600</v>
      </c>
      <c r="D223" s="24">
        <v>43711</v>
      </c>
      <c r="E223" s="24" t="s">
        <v>13553</v>
      </c>
      <c r="F223" s="24" t="s">
        <v>17601</v>
      </c>
      <c r="G223" s="24" t="s">
        <v>13808</v>
      </c>
      <c r="H223" s="24"/>
      <c r="I223" s="24" t="s">
        <v>13809</v>
      </c>
      <c r="J223" s="24"/>
      <c r="K223" s="24" t="s">
        <v>13809</v>
      </c>
      <c r="L223" s="24"/>
      <c r="M223" s="24" t="s">
        <v>17602</v>
      </c>
      <c r="N223" s="24" t="s">
        <v>13808</v>
      </c>
      <c r="O223" s="24"/>
      <c r="P223" s="24" t="s">
        <v>13808</v>
      </c>
      <c r="Q223" s="24"/>
      <c r="R223" s="24" t="s">
        <v>13808</v>
      </c>
      <c r="S223" s="24"/>
      <c r="T223" t="s">
        <v>14016</v>
      </c>
      <c r="U223" t="s">
        <v>13809</v>
      </c>
      <c r="W223" t="s">
        <v>13808</v>
      </c>
      <c r="X223" t="s">
        <v>17603</v>
      </c>
      <c r="Y223" t="s">
        <v>13809</v>
      </c>
      <c r="AA223" t="s">
        <v>13877</v>
      </c>
      <c r="AB223" t="s">
        <v>17604</v>
      </c>
      <c r="AC223" t="s">
        <v>13808</v>
      </c>
      <c r="AH223" t="s">
        <v>13909</v>
      </c>
      <c r="AI223" t="s">
        <v>13808</v>
      </c>
      <c r="AO223" t="s">
        <v>13809</v>
      </c>
      <c r="AT223" t="s">
        <v>15837</v>
      </c>
      <c r="AU223" t="s">
        <v>13808</v>
      </c>
      <c r="AZ223" t="s">
        <v>17605</v>
      </c>
      <c r="BA223" t="s">
        <v>13808</v>
      </c>
      <c r="BF223" t="s">
        <v>17606</v>
      </c>
      <c r="BG223" t="s">
        <v>13808</v>
      </c>
      <c r="BL223" t="s">
        <v>17607</v>
      </c>
      <c r="BM223" t="s">
        <v>13808</v>
      </c>
      <c r="BR223" t="s">
        <v>17608</v>
      </c>
      <c r="BS223" t="s">
        <v>13885</v>
      </c>
      <c r="BT223" t="s">
        <v>13808</v>
      </c>
      <c r="BU223" t="s">
        <v>17609</v>
      </c>
      <c r="BY223" t="s">
        <v>14265</v>
      </c>
      <c r="BZ223" t="s">
        <v>13808</v>
      </c>
      <c r="CA223" t="s">
        <v>13888</v>
      </c>
      <c r="CE223" t="s">
        <v>14265</v>
      </c>
      <c r="CF223" t="s">
        <v>13808</v>
      </c>
      <c r="CL223" t="s">
        <v>13809</v>
      </c>
      <c r="CR223" t="s">
        <v>13809</v>
      </c>
      <c r="CT223" t="s">
        <v>17610</v>
      </c>
      <c r="CU223" t="s">
        <v>17611</v>
      </c>
      <c r="CV223" t="s">
        <v>13808</v>
      </c>
      <c r="DA223" t="s">
        <v>17612</v>
      </c>
      <c r="DB223" t="s">
        <v>13808</v>
      </c>
      <c r="DH223" t="s">
        <v>13809</v>
      </c>
      <c r="DM223" t="s">
        <v>17613</v>
      </c>
      <c r="DN223" t="s">
        <v>13808</v>
      </c>
      <c r="DO223" t="s">
        <v>14947</v>
      </c>
      <c r="DP223" t="s">
        <v>17614</v>
      </c>
      <c r="DQ223" t="s">
        <v>13808</v>
      </c>
      <c r="DY223" t="s">
        <v>13900</v>
      </c>
      <c r="DZ223" t="s">
        <v>14696</v>
      </c>
      <c r="EA223" t="s">
        <v>13922</v>
      </c>
      <c r="ED223" t="s">
        <v>14501</v>
      </c>
      <c r="EE223" t="s">
        <v>6465</v>
      </c>
    </row>
    <row r="224" spans="1:135">
      <c r="A224" t="s">
        <v>1801</v>
      </c>
      <c r="B224" t="s">
        <v>1683</v>
      </c>
      <c r="C224" t="s">
        <v>17615</v>
      </c>
      <c r="D224" s="24">
        <v>43442</v>
      </c>
      <c r="E224" s="24" t="s">
        <v>13553</v>
      </c>
      <c r="F224" s="24" t="s">
        <v>17616</v>
      </c>
      <c r="G224" s="24" t="s">
        <v>13808</v>
      </c>
      <c r="H224" s="24"/>
      <c r="I224" s="24" t="s">
        <v>13809</v>
      </c>
      <c r="J224" s="24"/>
      <c r="K224" s="24" t="s">
        <v>13809</v>
      </c>
      <c r="L224" s="24"/>
      <c r="M224" s="24" t="s">
        <v>13846</v>
      </c>
      <c r="N224" s="24" t="s">
        <v>13808</v>
      </c>
      <c r="O224" s="24"/>
      <c r="P224" s="24" t="s">
        <v>13808</v>
      </c>
      <c r="Q224" s="24"/>
      <c r="R224" s="24" t="s">
        <v>13808</v>
      </c>
      <c r="S224" s="24"/>
      <c r="T224" t="s">
        <v>17617</v>
      </c>
      <c r="U224" t="s">
        <v>13809</v>
      </c>
      <c r="W224" t="s">
        <v>13808</v>
      </c>
      <c r="X224" t="s">
        <v>17618</v>
      </c>
      <c r="Y224" t="s">
        <v>13809</v>
      </c>
      <c r="AA224" t="s">
        <v>14188</v>
      </c>
      <c r="AB224" t="s">
        <v>14544</v>
      </c>
      <c r="AC224" t="s">
        <v>13808</v>
      </c>
      <c r="AH224" t="s">
        <v>13909</v>
      </c>
      <c r="AI224" t="s">
        <v>13808</v>
      </c>
      <c r="AO224" t="s">
        <v>13809</v>
      </c>
      <c r="AT224" t="s">
        <v>14490</v>
      </c>
      <c r="AU224" t="s">
        <v>13808</v>
      </c>
      <c r="AZ224" t="s">
        <v>17619</v>
      </c>
      <c r="BA224" t="s">
        <v>13808</v>
      </c>
      <c r="BF224" t="s">
        <v>15276</v>
      </c>
      <c r="BG224" t="s">
        <v>13808</v>
      </c>
      <c r="BM224" t="s">
        <v>13809</v>
      </c>
      <c r="BR224" t="s">
        <v>17620</v>
      </c>
      <c r="BT224" t="s">
        <v>13809</v>
      </c>
      <c r="BY224" t="s">
        <v>14265</v>
      </c>
      <c r="BZ224" t="s">
        <v>13808</v>
      </c>
      <c r="CA224" t="s">
        <v>13861</v>
      </c>
      <c r="CE224" t="s">
        <v>14197</v>
      </c>
      <c r="CF224" t="s">
        <v>13808</v>
      </c>
      <c r="CK224" t="s">
        <v>14197</v>
      </c>
      <c r="CL224" t="s">
        <v>13808</v>
      </c>
      <c r="CR224" t="s">
        <v>13809</v>
      </c>
      <c r="CT224" t="s">
        <v>17621</v>
      </c>
      <c r="CU224" t="s">
        <v>13909</v>
      </c>
      <c r="CV224" t="s">
        <v>13808</v>
      </c>
      <c r="DA224" t="s">
        <v>13909</v>
      </c>
      <c r="DB224" t="s">
        <v>13808</v>
      </c>
      <c r="DG224" t="s">
        <v>13909</v>
      </c>
      <c r="DH224" t="s">
        <v>13808</v>
      </c>
      <c r="DM224" t="s">
        <v>13909</v>
      </c>
      <c r="DN224" t="s">
        <v>13808</v>
      </c>
      <c r="DY224" t="s">
        <v>13900</v>
      </c>
      <c r="DZ224" t="s">
        <v>15254</v>
      </c>
      <c r="EA224" t="s">
        <v>15744</v>
      </c>
      <c r="EC224">
        <v>44154</v>
      </c>
      <c r="ED224" t="s">
        <v>13903</v>
      </c>
      <c r="EE224" t="s">
        <v>6316</v>
      </c>
    </row>
    <row r="225" spans="1:135">
      <c r="A225" t="s">
        <v>1571</v>
      </c>
      <c r="B225" t="s">
        <v>10870</v>
      </c>
      <c r="C225" t="s">
        <v>13903</v>
      </c>
      <c r="D225" s="24">
        <v>45063</v>
      </c>
      <c r="E225" s="24" t="s">
        <v>13555</v>
      </c>
      <c r="F225" s="24" t="s">
        <v>17622</v>
      </c>
      <c r="G225" s="24" t="s">
        <v>13808</v>
      </c>
      <c r="H225" s="24"/>
      <c r="I225" s="24" t="s">
        <v>13809</v>
      </c>
      <c r="J225" s="24"/>
      <c r="K225" s="24" t="s">
        <v>13809</v>
      </c>
      <c r="L225" s="24"/>
      <c r="M225" s="24" t="s">
        <v>16273</v>
      </c>
      <c r="N225" s="24" t="s">
        <v>13808</v>
      </c>
      <c r="O225" s="24"/>
      <c r="P225" s="24" t="s">
        <v>13808</v>
      </c>
      <c r="Q225" s="24"/>
      <c r="R225" s="24" t="s">
        <v>13808</v>
      </c>
      <c r="S225" s="24"/>
      <c r="T225" t="s">
        <v>17623</v>
      </c>
      <c r="U225" t="s">
        <v>13809</v>
      </c>
      <c r="W225" t="s">
        <v>13808</v>
      </c>
      <c r="X225" t="s">
        <v>17624</v>
      </c>
      <c r="Y225" t="s">
        <v>13808</v>
      </c>
      <c r="Z225" t="s">
        <v>17625</v>
      </c>
      <c r="AA225" t="s">
        <v>14971</v>
      </c>
      <c r="AB225" t="s">
        <v>15348</v>
      </c>
      <c r="AC225" t="s">
        <v>13809</v>
      </c>
      <c r="AH225" t="s">
        <v>13851</v>
      </c>
      <c r="AI225" t="s">
        <v>13808</v>
      </c>
      <c r="AN225" t="s">
        <v>17626</v>
      </c>
      <c r="AO225" t="s">
        <v>13808</v>
      </c>
      <c r="AT225" t="s">
        <v>13717</v>
      </c>
      <c r="AU225" t="s">
        <v>13809</v>
      </c>
      <c r="AZ225" t="s">
        <v>17627</v>
      </c>
      <c r="BA225" t="s">
        <v>13808</v>
      </c>
      <c r="BF225" t="s">
        <v>15869</v>
      </c>
      <c r="BG225" t="s">
        <v>13808</v>
      </c>
      <c r="BL225" t="s">
        <v>17628</v>
      </c>
      <c r="BM225" t="s">
        <v>13808</v>
      </c>
      <c r="BR225" t="s">
        <v>17629</v>
      </c>
      <c r="BS225" t="s">
        <v>13742</v>
      </c>
      <c r="BT225" t="s">
        <v>13809</v>
      </c>
      <c r="BY225" t="s">
        <v>16927</v>
      </c>
      <c r="BZ225" t="s">
        <v>13808</v>
      </c>
      <c r="CA225" t="s">
        <v>13861</v>
      </c>
      <c r="CE225" t="s">
        <v>13754</v>
      </c>
      <c r="CF225" t="s">
        <v>13809</v>
      </c>
      <c r="CK225" t="s">
        <v>14581</v>
      </c>
      <c r="CL225" t="s">
        <v>13808</v>
      </c>
      <c r="CM225" t="s">
        <v>17630</v>
      </c>
      <c r="CQ225" t="s">
        <v>13766</v>
      </c>
      <c r="CR225" t="s">
        <v>13809</v>
      </c>
      <c r="CT225" t="s">
        <v>17631</v>
      </c>
      <c r="DG225" t="s">
        <v>17632</v>
      </c>
      <c r="DH225" t="s">
        <v>13808</v>
      </c>
      <c r="DY225" t="s">
        <v>14606</v>
      </c>
      <c r="DZ225" t="s">
        <v>17633</v>
      </c>
      <c r="EA225" t="s">
        <v>15065</v>
      </c>
      <c r="EC225">
        <v>45084</v>
      </c>
      <c r="ED225" t="s">
        <v>14298</v>
      </c>
      <c r="EE225" t="s">
        <v>13588</v>
      </c>
    </row>
    <row r="226" spans="1:135">
      <c r="A226" t="s">
        <v>1360</v>
      </c>
      <c r="B226" t="s">
        <v>1246</v>
      </c>
      <c r="C226" t="s">
        <v>17634</v>
      </c>
      <c r="D226" s="24">
        <v>43075</v>
      </c>
      <c r="E226" s="24" t="s">
        <v>13555</v>
      </c>
      <c r="F226" s="24" t="s">
        <v>17635</v>
      </c>
      <c r="G226" s="24" t="s">
        <v>13808</v>
      </c>
      <c r="H226" s="24"/>
      <c r="I226" s="24" t="s">
        <v>13809</v>
      </c>
      <c r="J226" s="24"/>
      <c r="K226" s="24" t="s">
        <v>13808</v>
      </c>
      <c r="L226" s="24"/>
      <c r="M226" s="24" t="s">
        <v>14304</v>
      </c>
      <c r="N226" s="24" t="s">
        <v>13808</v>
      </c>
      <c r="O226" s="24"/>
      <c r="P226" s="24" t="s">
        <v>13808</v>
      </c>
      <c r="Q226" s="24"/>
      <c r="R226" s="24" t="s">
        <v>13808</v>
      </c>
      <c r="S226" s="24"/>
      <c r="T226" t="s">
        <v>16853</v>
      </c>
      <c r="U226" t="s">
        <v>13809</v>
      </c>
      <c r="W226" t="s">
        <v>13808</v>
      </c>
      <c r="X226" t="s">
        <v>17636</v>
      </c>
      <c r="Y226" t="s">
        <v>13809</v>
      </c>
      <c r="AA226" t="s">
        <v>14971</v>
      </c>
      <c r="AC226" t="s">
        <v>13809</v>
      </c>
      <c r="AH226" t="s">
        <v>13909</v>
      </c>
      <c r="AI226" t="s">
        <v>13808</v>
      </c>
      <c r="AO226" t="s">
        <v>13809</v>
      </c>
      <c r="AU226" t="s">
        <v>13809</v>
      </c>
      <c r="AZ226" t="s">
        <v>14596</v>
      </c>
      <c r="BA226" t="s">
        <v>13808</v>
      </c>
      <c r="BG226" t="s">
        <v>13809</v>
      </c>
      <c r="BM226" t="s">
        <v>13809</v>
      </c>
      <c r="BR226" t="s">
        <v>17637</v>
      </c>
      <c r="BT226" t="s">
        <v>13809</v>
      </c>
      <c r="BY226" t="s">
        <v>13887</v>
      </c>
      <c r="BZ226" t="s">
        <v>13808</v>
      </c>
      <c r="CA226" t="s">
        <v>17638</v>
      </c>
      <c r="CE226" t="s">
        <v>14693</v>
      </c>
      <c r="CF226" t="s">
        <v>13808</v>
      </c>
      <c r="CL226" t="s">
        <v>13809</v>
      </c>
      <c r="CR226" t="s">
        <v>13809</v>
      </c>
      <c r="CT226" t="s">
        <v>17639</v>
      </c>
      <c r="CU226" t="s">
        <v>13909</v>
      </c>
      <c r="CV226" t="s">
        <v>13808</v>
      </c>
      <c r="DA226" t="s">
        <v>13909</v>
      </c>
      <c r="DB226" t="s">
        <v>13808</v>
      </c>
      <c r="DH226" t="s">
        <v>13809</v>
      </c>
      <c r="DM226" t="s">
        <v>17640</v>
      </c>
      <c r="DN226" t="s">
        <v>13808</v>
      </c>
      <c r="DZ226" t="s">
        <v>17641</v>
      </c>
      <c r="EA226" t="s">
        <v>15509</v>
      </c>
      <c r="EC226">
        <v>44484</v>
      </c>
      <c r="ED226" t="s">
        <v>13903</v>
      </c>
      <c r="EE226" t="s">
        <v>5817</v>
      </c>
    </row>
    <row r="227" spans="1:135">
      <c r="A227" t="s">
        <v>10756</v>
      </c>
      <c r="B227" t="s">
        <v>1246</v>
      </c>
      <c r="C227" t="s">
        <v>17642</v>
      </c>
      <c r="D227" s="24">
        <v>45021</v>
      </c>
      <c r="E227" s="24" t="s">
        <v>13561</v>
      </c>
      <c r="F227" s="24" t="s">
        <v>17643</v>
      </c>
      <c r="G227" s="24" t="s">
        <v>13818</v>
      </c>
      <c r="H227" s="24" t="s">
        <v>17644</v>
      </c>
      <c r="I227" s="24" t="s">
        <v>13809</v>
      </c>
      <c r="J227" s="24"/>
      <c r="K227" s="24" t="s">
        <v>13818</v>
      </c>
      <c r="L227" s="24" t="s">
        <v>17477</v>
      </c>
      <c r="M227" s="24" t="s">
        <v>17478</v>
      </c>
      <c r="N227" s="24" t="s">
        <v>13818</v>
      </c>
      <c r="O227" s="24" t="s">
        <v>13819</v>
      </c>
      <c r="P227" s="24" t="s">
        <v>13818</v>
      </c>
      <c r="Q227" s="24" t="s">
        <v>13819</v>
      </c>
      <c r="R227" s="24" t="s">
        <v>13818</v>
      </c>
      <c r="S227" s="24" t="s">
        <v>13819</v>
      </c>
      <c r="T227" t="s">
        <v>14137</v>
      </c>
      <c r="U227" t="s">
        <v>13809</v>
      </c>
      <c r="W227" t="s">
        <v>13809</v>
      </c>
      <c r="Y227" t="s">
        <v>13809</v>
      </c>
      <c r="AA227" t="s">
        <v>14386</v>
      </c>
      <c r="AB227" t="s">
        <v>17479</v>
      </c>
      <c r="AC227" t="s">
        <v>13818</v>
      </c>
      <c r="AD227" t="s">
        <v>13819</v>
      </c>
      <c r="AH227" t="s">
        <v>13705</v>
      </c>
      <c r="AI227" t="s">
        <v>13818</v>
      </c>
      <c r="AJ227" t="s">
        <v>13819</v>
      </c>
      <c r="AN227" t="s">
        <v>13711</v>
      </c>
      <c r="AO227" t="s">
        <v>13809</v>
      </c>
      <c r="AP227" t="s">
        <v>13819</v>
      </c>
      <c r="AT227" t="s">
        <v>17480</v>
      </c>
      <c r="AU227" t="s">
        <v>13818</v>
      </c>
      <c r="AV227" t="s">
        <v>13819</v>
      </c>
      <c r="AZ227" t="s">
        <v>17481</v>
      </c>
      <c r="BA227" t="s">
        <v>13818</v>
      </c>
      <c r="BB227" t="s">
        <v>13819</v>
      </c>
      <c r="BF227" t="s">
        <v>17482</v>
      </c>
      <c r="BG227" t="s">
        <v>13818</v>
      </c>
      <c r="BH227" t="s">
        <v>13819</v>
      </c>
      <c r="BL227" t="s">
        <v>17483</v>
      </c>
      <c r="BM227" t="s">
        <v>13818</v>
      </c>
      <c r="BN227" t="s">
        <v>13819</v>
      </c>
      <c r="BR227" t="s">
        <v>17645</v>
      </c>
      <c r="BS227" t="s">
        <v>13824</v>
      </c>
      <c r="BT227" t="s">
        <v>13809</v>
      </c>
      <c r="BY227" t="s">
        <v>15097</v>
      </c>
      <c r="BZ227" t="s">
        <v>13818</v>
      </c>
      <c r="CA227" t="s">
        <v>14780</v>
      </c>
      <c r="CE227" t="s">
        <v>13754</v>
      </c>
      <c r="CF227" t="s">
        <v>13809</v>
      </c>
      <c r="CK227" t="s">
        <v>13760</v>
      </c>
      <c r="CL227" t="s">
        <v>13809</v>
      </c>
      <c r="CM227" t="s">
        <v>17646</v>
      </c>
      <c r="CQ227" t="s">
        <v>13766</v>
      </c>
      <c r="CR227" t="s">
        <v>13809</v>
      </c>
      <c r="CT227" t="s">
        <v>14781</v>
      </c>
      <c r="CU227" t="s">
        <v>17647</v>
      </c>
      <c r="CV227" t="s">
        <v>13818</v>
      </c>
      <c r="DA227" t="s">
        <v>17648</v>
      </c>
      <c r="DB227" t="s">
        <v>13818</v>
      </c>
      <c r="DG227" t="s">
        <v>17649</v>
      </c>
      <c r="DH227" t="s">
        <v>13818</v>
      </c>
      <c r="DM227" t="s">
        <v>17650</v>
      </c>
      <c r="DN227" t="s">
        <v>13818</v>
      </c>
      <c r="DY227" t="s">
        <v>13840</v>
      </c>
      <c r="DZ227" t="s">
        <v>13841</v>
      </c>
      <c r="EA227" t="s">
        <v>14118</v>
      </c>
      <c r="EC227">
        <v>45021</v>
      </c>
      <c r="ED227" t="s">
        <v>13843</v>
      </c>
      <c r="EE227" t="s">
        <v>17651</v>
      </c>
    </row>
    <row r="228" spans="1:135">
      <c r="A228" t="s">
        <v>6194</v>
      </c>
      <c r="B228" t="s">
        <v>1589</v>
      </c>
      <c r="C228" t="s">
        <v>15586</v>
      </c>
      <c r="D228" s="24">
        <v>43277</v>
      </c>
      <c r="E228" s="24" t="s">
        <v>13555</v>
      </c>
      <c r="F228" s="24" t="s">
        <v>17652</v>
      </c>
      <c r="G228" s="24" t="s">
        <v>13808</v>
      </c>
      <c r="H228" s="24"/>
      <c r="I228" s="24" t="s">
        <v>13809</v>
      </c>
      <c r="J228" s="24"/>
      <c r="K228" s="24" t="s">
        <v>13808</v>
      </c>
      <c r="L228" s="24" t="s">
        <v>17653</v>
      </c>
      <c r="M228" s="24" t="s">
        <v>14304</v>
      </c>
      <c r="N228" s="24" t="s">
        <v>13808</v>
      </c>
      <c r="O228" s="24"/>
      <c r="P228" s="24" t="s">
        <v>13808</v>
      </c>
      <c r="Q228" s="24"/>
      <c r="R228" s="24" t="s">
        <v>13808</v>
      </c>
      <c r="S228" s="24"/>
      <c r="T228" t="s">
        <v>17654</v>
      </c>
      <c r="U228" t="s">
        <v>13809</v>
      </c>
      <c r="W228" t="s">
        <v>13808</v>
      </c>
      <c r="X228" t="s">
        <v>17655</v>
      </c>
      <c r="Y228" t="s">
        <v>13809</v>
      </c>
      <c r="AA228" t="s">
        <v>13849</v>
      </c>
      <c r="AB228" t="s">
        <v>13699</v>
      </c>
      <c r="AC228" t="s">
        <v>13809</v>
      </c>
      <c r="AN228" t="s">
        <v>13711</v>
      </c>
      <c r="AO228" t="s">
        <v>13809</v>
      </c>
      <c r="AT228" t="s">
        <v>13717</v>
      </c>
      <c r="AU228" t="s">
        <v>13809</v>
      </c>
      <c r="AZ228" t="s">
        <v>13723</v>
      </c>
      <c r="BA228" t="s">
        <v>13809</v>
      </c>
      <c r="BF228" t="s">
        <v>17058</v>
      </c>
      <c r="BG228" t="s">
        <v>13809</v>
      </c>
      <c r="BL228" t="s">
        <v>13735</v>
      </c>
      <c r="BM228" t="s">
        <v>13809</v>
      </c>
      <c r="BR228" t="s">
        <v>17656</v>
      </c>
      <c r="BY228" t="s">
        <v>13860</v>
      </c>
      <c r="BZ228" t="s">
        <v>13808</v>
      </c>
      <c r="CA228" t="s">
        <v>13937</v>
      </c>
      <c r="CE228" t="s">
        <v>13754</v>
      </c>
      <c r="CF228" t="s">
        <v>13809</v>
      </c>
      <c r="CK228" t="s">
        <v>13760</v>
      </c>
      <c r="CL228" t="s">
        <v>13809</v>
      </c>
      <c r="CQ228" t="s">
        <v>13766</v>
      </c>
      <c r="CR228" t="s">
        <v>13809</v>
      </c>
      <c r="CT228" t="s">
        <v>17657</v>
      </c>
      <c r="CU228" t="s">
        <v>17658</v>
      </c>
      <c r="CV228" t="s">
        <v>13808</v>
      </c>
      <c r="DA228" t="s">
        <v>17659</v>
      </c>
      <c r="DB228" t="s">
        <v>13808</v>
      </c>
      <c r="DG228" t="s">
        <v>17660</v>
      </c>
      <c r="DH228" t="s">
        <v>13808</v>
      </c>
      <c r="DM228" t="s">
        <v>17661</v>
      </c>
      <c r="DN228" t="s">
        <v>13808</v>
      </c>
      <c r="DO228" t="s">
        <v>13839</v>
      </c>
      <c r="DY228" t="s">
        <v>13840</v>
      </c>
      <c r="DZ228" t="s">
        <v>17662</v>
      </c>
      <c r="EA228" t="s">
        <v>13842</v>
      </c>
      <c r="EC228">
        <v>45043</v>
      </c>
      <c r="ED228" t="s">
        <v>13843</v>
      </c>
      <c r="EE228" t="s">
        <v>6195</v>
      </c>
    </row>
    <row r="229" spans="1:135">
      <c r="A229" t="s">
        <v>1806</v>
      </c>
      <c r="B229" t="s">
        <v>1683</v>
      </c>
      <c r="C229" t="s">
        <v>17663</v>
      </c>
      <c r="D229" s="24">
        <v>44540</v>
      </c>
      <c r="E229" s="24" t="s">
        <v>13558</v>
      </c>
      <c r="F229" s="24" t="s">
        <v>17664</v>
      </c>
      <c r="G229" s="24" t="s">
        <v>13808</v>
      </c>
      <c r="H229" s="24"/>
      <c r="I229" s="24" t="s">
        <v>13809</v>
      </c>
      <c r="J229" s="24"/>
      <c r="K229" s="24" t="s">
        <v>13809</v>
      </c>
      <c r="L229" s="24"/>
      <c r="M229" s="24" t="s">
        <v>15106</v>
      </c>
      <c r="N229" s="24"/>
      <c r="O229" s="24"/>
      <c r="P229" s="24"/>
      <c r="Q229" s="24"/>
      <c r="R229" s="24"/>
      <c r="S229" s="24"/>
      <c r="T229" t="s">
        <v>15300</v>
      </c>
      <c r="U229" t="s">
        <v>13809</v>
      </c>
      <c r="W229" t="s">
        <v>13808</v>
      </c>
      <c r="X229" t="s">
        <v>17665</v>
      </c>
      <c r="Y229" t="s">
        <v>13809</v>
      </c>
      <c r="AA229" t="s">
        <v>14594</v>
      </c>
      <c r="AB229" t="s">
        <v>17666</v>
      </c>
      <c r="AC229" t="s">
        <v>13808</v>
      </c>
      <c r="AH229" t="s">
        <v>13817</v>
      </c>
      <c r="AI229" t="s">
        <v>13808</v>
      </c>
      <c r="AN229" t="s">
        <v>17667</v>
      </c>
      <c r="AO229" t="s">
        <v>13808</v>
      </c>
      <c r="AT229" t="s">
        <v>17668</v>
      </c>
      <c r="AU229" t="s">
        <v>13808</v>
      </c>
      <c r="AZ229" t="s">
        <v>17669</v>
      </c>
      <c r="BA229" t="s">
        <v>13808</v>
      </c>
      <c r="BF229" t="s">
        <v>16452</v>
      </c>
      <c r="BG229" t="s">
        <v>13808</v>
      </c>
      <c r="BL229" t="s">
        <v>13735</v>
      </c>
      <c r="BM229" t="s">
        <v>13809</v>
      </c>
      <c r="BR229" t="s">
        <v>17670</v>
      </c>
      <c r="BS229" t="s">
        <v>13824</v>
      </c>
      <c r="BT229" t="s">
        <v>13809</v>
      </c>
      <c r="BY229" t="s">
        <v>13860</v>
      </c>
      <c r="BZ229" t="s">
        <v>13808</v>
      </c>
      <c r="CA229" t="s">
        <v>13937</v>
      </c>
      <c r="CE229" t="s">
        <v>13828</v>
      </c>
      <c r="CF229" t="s">
        <v>13818</v>
      </c>
      <c r="CG229" t="s">
        <v>17671</v>
      </c>
      <c r="CK229" t="s">
        <v>13760</v>
      </c>
      <c r="CL229" t="s">
        <v>13809</v>
      </c>
      <c r="CQ229" t="s">
        <v>13766</v>
      </c>
      <c r="CR229" t="s">
        <v>13809</v>
      </c>
      <c r="CT229" t="s">
        <v>17672</v>
      </c>
      <c r="CU229" t="s">
        <v>17673</v>
      </c>
      <c r="CV229" t="s">
        <v>13818</v>
      </c>
      <c r="DA229" t="s">
        <v>17674</v>
      </c>
      <c r="DB229" t="s">
        <v>13818</v>
      </c>
      <c r="DG229" t="s">
        <v>17675</v>
      </c>
      <c r="DH229" t="s">
        <v>13818</v>
      </c>
      <c r="DM229" t="s">
        <v>17676</v>
      </c>
      <c r="DN229" t="s">
        <v>13818</v>
      </c>
      <c r="DY229" t="s">
        <v>14606</v>
      </c>
      <c r="DZ229" t="s">
        <v>13841</v>
      </c>
      <c r="EA229" t="s">
        <v>14182</v>
      </c>
      <c r="EC229">
        <v>44588</v>
      </c>
      <c r="ED229" t="s">
        <v>14298</v>
      </c>
      <c r="EE229" t="s">
        <v>6318</v>
      </c>
    </row>
    <row r="230" spans="1:135">
      <c r="A230" t="s">
        <v>6899</v>
      </c>
      <c r="B230" t="s">
        <v>10870</v>
      </c>
      <c r="C230" t="s">
        <v>13903</v>
      </c>
      <c r="D230" s="24">
        <v>43628</v>
      </c>
      <c r="E230" s="24" t="s">
        <v>13558</v>
      </c>
      <c r="F230" s="24" t="s">
        <v>17677</v>
      </c>
      <c r="G230" s="24" t="s">
        <v>13808</v>
      </c>
      <c r="H230" s="24"/>
      <c r="I230" s="24" t="s">
        <v>13809</v>
      </c>
      <c r="J230" s="24"/>
      <c r="K230" s="24" t="s">
        <v>13808</v>
      </c>
      <c r="L230" s="24"/>
      <c r="M230" s="24" t="s">
        <v>17678</v>
      </c>
      <c r="N230" s="24" t="s">
        <v>13808</v>
      </c>
      <c r="O230" s="24"/>
      <c r="P230" s="24" t="s">
        <v>13818</v>
      </c>
      <c r="Q230" s="24" t="s">
        <v>14885</v>
      </c>
      <c r="R230" s="24" t="s">
        <v>13808</v>
      </c>
      <c r="S230" s="24"/>
      <c r="T230" t="s">
        <v>15300</v>
      </c>
      <c r="U230" t="s">
        <v>13809</v>
      </c>
      <c r="W230" t="s">
        <v>13808</v>
      </c>
      <c r="Y230" t="s">
        <v>13809</v>
      </c>
      <c r="AA230" t="s">
        <v>17679</v>
      </c>
      <c r="AB230" t="s">
        <v>17680</v>
      </c>
      <c r="AC230" t="s">
        <v>13808</v>
      </c>
      <c r="AH230" t="s">
        <v>13851</v>
      </c>
      <c r="AI230" t="s">
        <v>13808</v>
      </c>
      <c r="AK230" t="s">
        <v>17681</v>
      </c>
      <c r="AL230" t="s">
        <v>13818</v>
      </c>
      <c r="AM230" t="s">
        <v>17682</v>
      </c>
      <c r="AN230" t="s">
        <v>17683</v>
      </c>
      <c r="AO230" t="s">
        <v>13808</v>
      </c>
      <c r="AT230" t="s">
        <v>17684</v>
      </c>
      <c r="AU230" t="s">
        <v>13808</v>
      </c>
      <c r="AZ230" t="s">
        <v>14794</v>
      </c>
      <c r="BA230" t="s">
        <v>13808</v>
      </c>
      <c r="BF230" t="s">
        <v>17685</v>
      </c>
      <c r="BG230" t="s">
        <v>13808</v>
      </c>
      <c r="BL230" t="s">
        <v>17686</v>
      </c>
      <c r="BM230" t="s">
        <v>13808</v>
      </c>
      <c r="BR230" t="s">
        <v>17687</v>
      </c>
      <c r="BS230" t="s">
        <v>13742</v>
      </c>
      <c r="BT230" t="s">
        <v>13809</v>
      </c>
      <c r="BY230" t="s">
        <v>13860</v>
      </c>
      <c r="BZ230" t="s">
        <v>13808</v>
      </c>
      <c r="CA230" t="s">
        <v>13861</v>
      </c>
      <c r="CE230" t="s">
        <v>13828</v>
      </c>
      <c r="CF230" t="s">
        <v>13808</v>
      </c>
      <c r="CG230" t="s">
        <v>17688</v>
      </c>
      <c r="CK230" t="s">
        <v>17689</v>
      </c>
      <c r="CL230" t="s">
        <v>13808</v>
      </c>
      <c r="CQ230" t="s">
        <v>13766</v>
      </c>
      <c r="CR230" t="s">
        <v>13809</v>
      </c>
      <c r="CT230" t="s">
        <v>13830</v>
      </c>
      <c r="CU230" t="s">
        <v>15268</v>
      </c>
      <c r="CV230" t="s">
        <v>13818</v>
      </c>
      <c r="DA230" t="s">
        <v>15063</v>
      </c>
      <c r="DB230" t="s">
        <v>13818</v>
      </c>
      <c r="DG230" t="s">
        <v>14240</v>
      </c>
      <c r="DH230" t="s">
        <v>13818</v>
      </c>
      <c r="DY230" t="s">
        <v>13869</v>
      </c>
      <c r="DZ230" t="s">
        <v>13841</v>
      </c>
      <c r="EA230" t="s">
        <v>13842</v>
      </c>
      <c r="EC230">
        <v>44684</v>
      </c>
      <c r="ED230" t="s">
        <v>17062</v>
      </c>
      <c r="EE230" t="s">
        <v>6903</v>
      </c>
    </row>
    <row r="231" spans="1:135">
      <c r="A231" t="s">
        <v>5818</v>
      </c>
      <c r="B231" t="s">
        <v>1246</v>
      </c>
      <c r="C231" t="s">
        <v>17690</v>
      </c>
      <c r="D231" s="24">
        <v>44582</v>
      </c>
      <c r="E231" s="24" t="s">
        <v>13555</v>
      </c>
      <c r="F231" s="24" t="s">
        <v>17691</v>
      </c>
      <c r="G231" s="24" t="s">
        <v>13808</v>
      </c>
      <c r="H231" s="24"/>
      <c r="I231" s="24" t="s">
        <v>13809</v>
      </c>
      <c r="J231" s="24"/>
      <c r="K231" s="24" t="s">
        <v>13808</v>
      </c>
      <c r="L231" s="24" t="s">
        <v>17692</v>
      </c>
      <c r="M231" s="24" t="s">
        <v>14136</v>
      </c>
      <c r="N231" s="24" t="s">
        <v>13808</v>
      </c>
      <c r="O231" s="24"/>
      <c r="P231" s="24" t="s">
        <v>13808</v>
      </c>
      <c r="Q231" s="24"/>
      <c r="R231" s="24" t="s">
        <v>13808</v>
      </c>
      <c r="S231" s="24"/>
      <c r="T231" t="s">
        <v>17693</v>
      </c>
      <c r="U231" t="s">
        <v>13809</v>
      </c>
      <c r="W231" t="s">
        <v>13808</v>
      </c>
      <c r="X231" t="s">
        <v>17694</v>
      </c>
      <c r="Y231" t="s">
        <v>13809</v>
      </c>
      <c r="AA231" t="s">
        <v>13849</v>
      </c>
      <c r="AB231" t="s">
        <v>13699</v>
      </c>
      <c r="AC231" t="s">
        <v>13809</v>
      </c>
      <c r="AH231" t="s">
        <v>13851</v>
      </c>
      <c r="AI231" t="s">
        <v>13808</v>
      </c>
      <c r="AN231" t="s">
        <v>17695</v>
      </c>
      <c r="AO231" t="s">
        <v>13808</v>
      </c>
      <c r="AT231" t="s">
        <v>13717</v>
      </c>
      <c r="AU231" t="s">
        <v>13809</v>
      </c>
      <c r="AZ231" t="s">
        <v>14794</v>
      </c>
      <c r="BA231" t="s">
        <v>13808</v>
      </c>
      <c r="BF231" t="s">
        <v>14955</v>
      </c>
      <c r="BG231" t="s">
        <v>13808</v>
      </c>
      <c r="BL231" t="s">
        <v>17696</v>
      </c>
      <c r="BM231" t="s">
        <v>13808</v>
      </c>
      <c r="BR231" t="s">
        <v>17697</v>
      </c>
      <c r="BS231" t="s">
        <v>13742</v>
      </c>
      <c r="BT231" t="s">
        <v>13809</v>
      </c>
      <c r="BY231" t="s">
        <v>13826</v>
      </c>
      <c r="BZ231" t="s">
        <v>13808</v>
      </c>
      <c r="CA231" t="s">
        <v>17698</v>
      </c>
      <c r="CE231" t="s">
        <v>13754</v>
      </c>
      <c r="CF231" t="s">
        <v>13809</v>
      </c>
      <c r="CK231" t="s">
        <v>13760</v>
      </c>
      <c r="CL231" t="s">
        <v>13809</v>
      </c>
      <c r="CQ231" t="s">
        <v>13766</v>
      </c>
      <c r="CR231" t="s">
        <v>13809</v>
      </c>
      <c r="CT231" t="s">
        <v>16008</v>
      </c>
      <c r="CU231" t="s">
        <v>17699</v>
      </c>
      <c r="CV231" t="s">
        <v>13808</v>
      </c>
      <c r="DA231" t="s">
        <v>17700</v>
      </c>
      <c r="DB231" t="s">
        <v>13808</v>
      </c>
      <c r="DG231" t="s">
        <v>17701</v>
      </c>
      <c r="DH231" t="s">
        <v>13808</v>
      </c>
      <c r="DI231" t="s">
        <v>17702</v>
      </c>
      <c r="DJ231" t="s">
        <v>17703</v>
      </c>
      <c r="DK231" t="s">
        <v>13808</v>
      </c>
      <c r="DL231" t="s">
        <v>17702</v>
      </c>
      <c r="DM231" t="s">
        <v>17704</v>
      </c>
      <c r="DN231" t="s">
        <v>13808</v>
      </c>
      <c r="DO231" t="s">
        <v>17705</v>
      </c>
      <c r="DP231" t="s">
        <v>17706</v>
      </c>
      <c r="DQ231" t="s">
        <v>13808</v>
      </c>
      <c r="DR231" t="s">
        <v>17707</v>
      </c>
      <c r="DY231" t="s">
        <v>14606</v>
      </c>
      <c r="DZ231" t="s">
        <v>13841</v>
      </c>
      <c r="EA231" t="s">
        <v>14118</v>
      </c>
      <c r="EC231">
        <v>44586</v>
      </c>
      <c r="ED231" t="s">
        <v>13843</v>
      </c>
      <c r="EE231" t="s">
        <v>5820</v>
      </c>
    </row>
    <row r="232" spans="1:135">
      <c r="A232" t="s">
        <v>5821</v>
      </c>
      <c r="B232" t="s">
        <v>1246</v>
      </c>
      <c r="C232" t="s">
        <v>13806</v>
      </c>
      <c r="D232" s="24">
        <v>44652</v>
      </c>
      <c r="E232" s="24" t="s">
        <v>13558</v>
      </c>
      <c r="F232" s="24" t="s">
        <v>17708</v>
      </c>
      <c r="G232" s="24" t="s">
        <v>13808</v>
      </c>
      <c r="H232" s="24"/>
      <c r="I232" s="24" t="s">
        <v>13809</v>
      </c>
      <c r="J232" s="24"/>
      <c r="K232" s="24" t="s">
        <v>13808</v>
      </c>
      <c r="L232" s="24"/>
      <c r="M232" s="24" t="s">
        <v>14136</v>
      </c>
      <c r="N232" s="24" t="s">
        <v>13808</v>
      </c>
      <c r="O232" s="24"/>
      <c r="P232" s="24" t="s">
        <v>13808</v>
      </c>
      <c r="Q232" s="24"/>
      <c r="R232" s="24" t="s">
        <v>13808</v>
      </c>
      <c r="S232" s="24"/>
      <c r="T232" t="s">
        <v>17709</v>
      </c>
      <c r="U232" t="s">
        <v>13809</v>
      </c>
      <c r="W232" t="s">
        <v>13809</v>
      </c>
      <c r="Y232" t="s">
        <v>13809</v>
      </c>
      <c r="AA232" t="s">
        <v>14594</v>
      </c>
      <c r="AB232" t="s">
        <v>13699</v>
      </c>
      <c r="AC232" t="s">
        <v>13809</v>
      </c>
      <c r="AD232" t="s">
        <v>17710</v>
      </c>
      <c r="AH232" t="s">
        <v>14073</v>
      </c>
      <c r="AI232" t="s">
        <v>13808</v>
      </c>
      <c r="AN232" t="s">
        <v>13711</v>
      </c>
      <c r="AO232" t="s">
        <v>13809</v>
      </c>
      <c r="AT232" t="s">
        <v>13717</v>
      </c>
      <c r="AU232" t="s">
        <v>13809</v>
      </c>
      <c r="AV232" t="s">
        <v>17710</v>
      </c>
      <c r="AZ232" t="s">
        <v>13723</v>
      </c>
      <c r="BA232" t="s">
        <v>13809</v>
      </c>
      <c r="BB232" t="s">
        <v>17710</v>
      </c>
      <c r="BF232" t="s">
        <v>17058</v>
      </c>
      <c r="BG232" t="s">
        <v>13809</v>
      </c>
      <c r="BH232" t="s">
        <v>17710</v>
      </c>
      <c r="BL232" t="s">
        <v>13735</v>
      </c>
      <c r="BM232" t="s">
        <v>13809</v>
      </c>
      <c r="BR232" t="s">
        <v>17711</v>
      </c>
      <c r="BS232" t="s">
        <v>13742</v>
      </c>
      <c r="BT232" t="s">
        <v>13809</v>
      </c>
      <c r="BU232" t="s">
        <v>17712</v>
      </c>
      <c r="BY232" t="s">
        <v>13748</v>
      </c>
      <c r="BZ232" t="s">
        <v>13809</v>
      </c>
      <c r="CA232" t="s">
        <v>17712</v>
      </c>
      <c r="CE232" t="s">
        <v>13754</v>
      </c>
      <c r="CF232" t="s">
        <v>13809</v>
      </c>
      <c r="CG232" t="s">
        <v>17712</v>
      </c>
      <c r="CK232" t="s">
        <v>17713</v>
      </c>
      <c r="CL232" t="s">
        <v>13808</v>
      </c>
      <c r="CQ232" t="s">
        <v>13766</v>
      </c>
      <c r="CR232" t="s">
        <v>13809</v>
      </c>
      <c r="CT232" t="s">
        <v>14781</v>
      </c>
      <c r="CU232" t="s">
        <v>17714</v>
      </c>
      <c r="CV232" t="s">
        <v>13818</v>
      </c>
      <c r="CW232" t="s">
        <v>17715</v>
      </c>
      <c r="DA232" t="s">
        <v>17716</v>
      </c>
      <c r="DB232" t="s">
        <v>13818</v>
      </c>
      <c r="DC232" t="s">
        <v>17715</v>
      </c>
      <c r="DG232" t="s">
        <v>17717</v>
      </c>
      <c r="DH232" t="s">
        <v>13818</v>
      </c>
      <c r="DI232" t="s">
        <v>17715</v>
      </c>
      <c r="DJ232" t="s">
        <v>17718</v>
      </c>
      <c r="DK232" t="s">
        <v>13818</v>
      </c>
      <c r="DL232" t="s">
        <v>17715</v>
      </c>
      <c r="DY232" t="s">
        <v>13840</v>
      </c>
      <c r="DZ232" t="s">
        <v>13841</v>
      </c>
      <c r="EA232" t="s">
        <v>13842</v>
      </c>
      <c r="EC232">
        <v>44658</v>
      </c>
      <c r="ED232" t="s">
        <v>13843</v>
      </c>
      <c r="EE232" t="s">
        <v>5826</v>
      </c>
    </row>
    <row r="233" spans="1:135">
      <c r="A233" t="s">
        <v>13589</v>
      </c>
      <c r="B233" t="s">
        <v>10870</v>
      </c>
      <c r="C233" t="s">
        <v>13903</v>
      </c>
      <c r="D233" s="24">
        <v>43082</v>
      </c>
      <c r="E233" s="24" t="s">
        <v>13553</v>
      </c>
      <c r="F233" s="24" t="s">
        <v>17719</v>
      </c>
      <c r="G233" s="24" t="s">
        <v>13808</v>
      </c>
      <c r="H233" s="24"/>
      <c r="I233" s="24" t="s">
        <v>13809</v>
      </c>
      <c r="J233" s="24"/>
      <c r="K233" s="24" t="s">
        <v>13808</v>
      </c>
      <c r="L233" s="24"/>
      <c r="M233" s="24" t="s">
        <v>14304</v>
      </c>
      <c r="N233" s="24" t="s">
        <v>13808</v>
      </c>
      <c r="O233" s="24"/>
      <c r="P233" s="24" t="s">
        <v>13808</v>
      </c>
      <c r="Q233" s="24"/>
      <c r="R233" s="24" t="s">
        <v>13808</v>
      </c>
      <c r="S233" s="24"/>
      <c r="T233" t="s">
        <v>17720</v>
      </c>
      <c r="U233" t="s">
        <v>13809</v>
      </c>
      <c r="W233" t="s">
        <v>13809</v>
      </c>
      <c r="Y233" t="s">
        <v>13808</v>
      </c>
      <c r="AA233" t="s">
        <v>14971</v>
      </c>
      <c r="AB233" t="s">
        <v>14597</v>
      </c>
      <c r="AC233" t="s">
        <v>13808</v>
      </c>
      <c r="AH233" t="s">
        <v>17721</v>
      </c>
      <c r="AI233" t="s">
        <v>13808</v>
      </c>
      <c r="AJ233" t="s">
        <v>17722</v>
      </c>
      <c r="AN233" t="s">
        <v>14008</v>
      </c>
      <c r="AO233" t="s">
        <v>13808</v>
      </c>
      <c r="AT233" t="s">
        <v>14007</v>
      </c>
      <c r="AU233" t="s">
        <v>13808</v>
      </c>
      <c r="AZ233" t="s">
        <v>17723</v>
      </c>
      <c r="BA233" t="s">
        <v>13808</v>
      </c>
      <c r="BF233" t="s">
        <v>14177</v>
      </c>
      <c r="BG233" t="s">
        <v>13808</v>
      </c>
      <c r="BM233" t="s">
        <v>13809</v>
      </c>
      <c r="BR233" t="s">
        <v>17724</v>
      </c>
      <c r="BT233" t="s">
        <v>13809</v>
      </c>
      <c r="BY233" t="s">
        <v>13887</v>
      </c>
      <c r="BZ233" t="s">
        <v>13808</v>
      </c>
      <c r="CA233" t="s">
        <v>13937</v>
      </c>
      <c r="CE233" t="s">
        <v>13887</v>
      </c>
      <c r="CF233" t="s">
        <v>13808</v>
      </c>
      <c r="CK233" t="s">
        <v>13887</v>
      </c>
      <c r="CL233" t="s">
        <v>13808</v>
      </c>
      <c r="CR233" t="s">
        <v>13809</v>
      </c>
      <c r="CT233" t="s">
        <v>17725</v>
      </c>
      <c r="CU233" t="s">
        <v>17726</v>
      </c>
      <c r="CV233" t="s">
        <v>13808</v>
      </c>
      <c r="DA233" t="s">
        <v>15280</v>
      </c>
      <c r="DB233" t="s">
        <v>13808</v>
      </c>
      <c r="DG233" t="s">
        <v>13887</v>
      </c>
      <c r="DH233" t="s">
        <v>13808</v>
      </c>
      <c r="DZ233" t="s">
        <v>16025</v>
      </c>
      <c r="EA233" t="s">
        <v>15509</v>
      </c>
      <c r="EC233">
        <v>43480</v>
      </c>
      <c r="ED233" t="s">
        <v>13903</v>
      </c>
      <c r="EE233" t="s">
        <v>13590</v>
      </c>
    </row>
    <row r="234" spans="1:135">
      <c r="A234" t="s">
        <v>1348</v>
      </c>
      <c r="B234" t="s">
        <v>1246</v>
      </c>
      <c r="C234" t="s">
        <v>16230</v>
      </c>
      <c r="D234" s="24">
        <v>44673</v>
      </c>
      <c r="E234" s="24" t="s">
        <v>13555</v>
      </c>
      <c r="F234" s="24" t="s">
        <v>17727</v>
      </c>
      <c r="G234" s="24" t="s">
        <v>13808</v>
      </c>
      <c r="H234" s="24"/>
      <c r="I234" s="24" t="s">
        <v>13809</v>
      </c>
      <c r="J234" s="24"/>
      <c r="K234" s="24" t="s">
        <v>13808</v>
      </c>
      <c r="L234" s="24" t="s">
        <v>17728</v>
      </c>
      <c r="M234" s="24" t="s">
        <v>14136</v>
      </c>
      <c r="N234" s="24" t="s">
        <v>13808</v>
      </c>
      <c r="O234" s="24"/>
      <c r="P234" s="24" t="s">
        <v>13808</v>
      </c>
      <c r="Q234" s="24"/>
      <c r="R234" s="24" t="s">
        <v>13808</v>
      </c>
      <c r="S234" s="24"/>
      <c r="T234" t="s">
        <v>17729</v>
      </c>
      <c r="U234" t="s">
        <v>13809</v>
      </c>
      <c r="W234" t="s">
        <v>13809</v>
      </c>
      <c r="Y234" t="s">
        <v>13809</v>
      </c>
      <c r="AA234" t="s">
        <v>13849</v>
      </c>
      <c r="AB234" t="s">
        <v>13699</v>
      </c>
      <c r="AC234" t="s">
        <v>13809</v>
      </c>
      <c r="AH234" t="s">
        <v>14073</v>
      </c>
      <c r="AI234" t="s">
        <v>13808</v>
      </c>
      <c r="AN234" t="s">
        <v>13711</v>
      </c>
      <c r="AO234" t="s">
        <v>13809</v>
      </c>
      <c r="AT234" t="s">
        <v>13717</v>
      </c>
      <c r="AU234" t="s">
        <v>13809</v>
      </c>
      <c r="AZ234" t="s">
        <v>17730</v>
      </c>
      <c r="BA234" t="s">
        <v>13808</v>
      </c>
      <c r="BB234" t="s">
        <v>17731</v>
      </c>
      <c r="BF234" t="s">
        <v>14870</v>
      </c>
      <c r="BG234" t="s">
        <v>13808</v>
      </c>
      <c r="BH234" t="s">
        <v>17731</v>
      </c>
      <c r="BL234" t="s">
        <v>13735</v>
      </c>
      <c r="BM234" t="s">
        <v>13809</v>
      </c>
      <c r="BR234" t="s">
        <v>17732</v>
      </c>
      <c r="BY234" t="s">
        <v>13860</v>
      </c>
      <c r="BZ234" t="s">
        <v>13808</v>
      </c>
      <c r="CA234" t="s">
        <v>17733</v>
      </c>
      <c r="CE234" t="s">
        <v>13828</v>
      </c>
      <c r="CF234" t="s">
        <v>13808</v>
      </c>
      <c r="CG234" t="s">
        <v>13863</v>
      </c>
      <c r="CK234" t="s">
        <v>13760</v>
      </c>
      <c r="CL234" t="s">
        <v>13809</v>
      </c>
      <c r="CQ234" t="s">
        <v>13766</v>
      </c>
      <c r="CR234" t="s">
        <v>13809</v>
      </c>
      <c r="CT234" t="s">
        <v>14082</v>
      </c>
      <c r="CU234" t="s">
        <v>17734</v>
      </c>
      <c r="CV234" t="s">
        <v>13818</v>
      </c>
      <c r="DA234" t="s">
        <v>17735</v>
      </c>
      <c r="DB234" t="s">
        <v>13818</v>
      </c>
      <c r="DH234" t="s">
        <v>13818</v>
      </c>
      <c r="DM234" t="s">
        <v>17736</v>
      </c>
      <c r="DN234" t="s">
        <v>13808</v>
      </c>
      <c r="DO234" t="s">
        <v>17737</v>
      </c>
      <c r="DY234" t="s">
        <v>13840</v>
      </c>
      <c r="DZ234" t="s">
        <v>14406</v>
      </c>
      <c r="EA234" t="s">
        <v>13842</v>
      </c>
      <c r="EC234">
        <v>44676</v>
      </c>
      <c r="ED234" t="s">
        <v>13843</v>
      </c>
      <c r="EE234" t="s">
        <v>5827</v>
      </c>
    </row>
    <row r="235" spans="1:135">
      <c r="A235" t="s">
        <v>10839</v>
      </c>
      <c r="B235" t="s">
        <v>1043</v>
      </c>
      <c r="C235" t="s">
        <v>17738</v>
      </c>
      <c r="D235" s="24">
        <v>44631</v>
      </c>
      <c r="E235" s="24" t="s">
        <v>13561</v>
      </c>
      <c r="F235" s="24" t="s">
        <v>17739</v>
      </c>
      <c r="G235" s="24" t="s">
        <v>13818</v>
      </c>
      <c r="H235" s="24" t="s">
        <v>17740</v>
      </c>
      <c r="I235" s="24" t="s">
        <v>13809</v>
      </c>
      <c r="J235" s="24"/>
      <c r="K235" s="24" t="s">
        <v>13809</v>
      </c>
      <c r="L235" s="24"/>
      <c r="M235" s="24" t="s">
        <v>17741</v>
      </c>
      <c r="N235" s="24" t="s">
        <v>13818</v>
      </c>
      <c r="O235" s="24" t="s">
        <v>13819</v>
      </c>
      <c r="P235" s="24" t="s">
        <v>13818</v>
      </c>
      <c r="Q235" s="24" t="s">
        <v>17742</v>
      </c>
      <c r="R235" s="24" t="s">
        <v>13818</v>
      </c>
      <c r="S235" s="24" t="s">
        <v>17743</v>
      </c>
      <c r="T235" t="s">
        <v>14385</v>
      </c>
      <c r="U235" t="s">
        <v>13809</v>
      </c>
      <c r="W235" t="s">
        <v>13809</v>
      </c>
      <c r="Y235" t="s">
        <v>13809</v>
      </c>
      <c r="AA235" t="s">
        <v>14386</v>
      </c>
      <c r="AB235" t="s">
        <v>13699</v>
      </c>
      <c r="AC235" t="s">
        <v>13809</v>
      </c>
      <c r="AH235" t="s">
        <v>13851</v>
      </c>
      <c r="AI235" t="s">
        <v>13818</v>
      </c>
      <c r="AJ235" t="s">
        <v>13819</v>
      </c>
      <c r="AN235" t="s">
        <v>13711</v>
      </c>
      <c r="AO235" t="s">
        <v>13809</v>
      </c>
      <c r="AT235" t="s">
        <v>13717</v>
      </c>
      <c r="AU235" t="s">
        <v>13809</v>
      </c>
      <c r="AZ235" t="s">
        <v>17744</v>
      </c>
      <c r="BA235" t="s">
        <v>13818</v>
      </c>
      <c r="BB235" t="s">
        <v>13819</v>
      </c>
      <c r="BF235" t="s">
        <v>17745</v>
      </c>
      <c r="BG235" t="s">
        <v>13818</v>
      </c>
      <c r="BH235" t="s">
        <v>13819</v>
      </c>
      <c r="BL235" t="s">
        <v>13735</v>
      </c>
      <c r="BM235" t="s">
        <v>13809</v>
      </c>
      <c r="BR235" t="s">
        <v>17746</v>
      </c>
      <c r="BS235" t="s">
        <v>13824</v>
      </c>
      <c r="BT235" t="s">
        <v>13818</v>
      </c>
      <c r="BU235" t="s">
        <v>17747</v>
      </c>
      <c r="BY235" t="s">
        <v>13826</v>
      </c>
      <c r="BZ235" t="s">
        <v>13818</v>
      </c>
      <c r="CA235" t="s">
        <v>14780</v>
      </c>
      <c r="CE235" t="s">
        <v>13938</v>
      </c>
      <c r="CF235" t="s">
        <v>13818</v>
      </c>
      <c r="CG235" t="s">
        <v>17575</v>
      </c>
      <c r="CK235" t="s">
        <v>13760</v>
      </c>
      <c r="CL235" t="s">
        <v>13809</v>
      </c>
      <c r="CQ235" t="s">
        <v>13766</v>
      </c>
      <c r="CR235" t="s">
        <v>13809</v>
      </c>
      <c r="CT235" t="s">
        <v>14781</v>
      </c>
      <c r="CU235" t="s">
        <v>17748</v>
      </c>
      <c r="CV235" t="s">
        <v>13818</v>
      </c>
      <c r="DA235" t="s">
        <v>17749</v>
      </c>
      <c r="DB235" t="s">
        <v>13818</v>
      </c>
      <c r="DC235" t="s">
        <v>17750</v>
      </c>
      <c r="DG235" t="s">
        <v>17751</v>
      </c>
      <c r="DH235" t="s">
        <v>13818</v>
      </c>
      <c r="DM235" t="s">
        <v>17752</v>
      </c>
      <c r="DN235" t="s">
        <v>13818</v>
      </c>
      <c r="DO235" t="s">
        <v>17753</v>
      </c>
      <c r="DY235" t="s">
        <v>14606</v>
      </c>
      <c r="DZ235" t="s">
        <v>17754</v>
      </c>
      <c r="EA235" t="s">
        <v>17755</v>
      </c>
      <c r="EC235">
        <v>44635</v>
      </c>
      <c r="ED235" t="s">
        <v>13843</v>
      </c>
      <c r="EE235" t="s">
        <v>13591</v>
      </c>
    </row>
    <row r="236" spans="1:135">
      <c r="A236" t="s">
        <v>1576</v>
      </c>
      <c r="B236" t="s">
        <v>1442</v>
      </c>
      <c r="C236" t="s">
        <v>17756</v>
      </c>
      <c r="D236" s="24">
        <v>43083</v>
      </c>
      <c r="E236" s="24" t="s">
        <v>13555</v>
      </c>
      <c r="F236" s="24" t="s">
        <v>17757</v>
      </c>
      <c r="G236" s="24" t="s">
        <v>13808</v>
      </c>
      <c r="H236" s="24"/>
      <c r="I236" s="24" t="s">
        <v>13809</v>
      </c>
      <c r="J236" s="24"/>
      <c r="K236" s="24" t="s">
        <v>13808</v>
      </c>
      <c r="L236" s="24"/>
      <c r="M236" s="24" t="s">
        <v>17758</v>
      </c>
      <c r="N236" s="24" t="s">
        <v>13808</v>
      </c>
      <c r="O236" s="24"/>
      <c r="P236" s="24" t="s">
        <v>13808</v>
      </c>
      <c r="Q236" s="24"/>
      <c r="R236" s="24" t="s">
        <v>13808</v>
      </c>
      <c r="S236" s="24"/>
      <c r="T236" t="s">
        <v>16853</v>
      </c>
      <c r="U236" t="s">
        <v>13809</v>
      </c>
      <c r="W236" t="s">
        <v>13808</v>
      </c>
      <c r="X236" t="s">
        <v>17759</v>
      </c>
      <c r="Y236" t="s">
        <v>13808</v>
      </c>
      <c r="AA236" t="s">
        <v>14971</v>
      </c>
      <c r="AB236" t="s">
        <v>17760</v>
      </c>
      <c r="AC236" t="s">
        <v>13808</v>
      </c>
      <c r="AH236" t="s">
        <v>13909</v>
      </c>
      <c r="AI236" t="s">
        <v>13808</v>
      </c>
      <c r="AN236" t="s">
        <v>17761</v>
      </c>
      <c r="AO236" t="s">
        <v>13808</v>
      </c>
      <c r="AT236" t="s">
        <v>14370</v>
      </c>
      <c r="AU236" t="s">
        <v>13808</v>
      </c>
      <c r="AZ236" t="s">
        <v>14416</v>
      </c>
      <c r="BA236" t="s">
        <v>13808</v>
      </c>
      <c r="BG236" t="s">
        <v>13809</v>
      </c>
      <c r="BL236" t="s">
        <v>13910</v>
      </c>
      <c r="BM236" t="s">
        <v>13808</v>
      </c>
      <c r="BR236" t="s">
        <v>17762</v>
      </c>
      <c r="BT236" t="s">
        <v>13809</v>
      </c>
      <c r="BY236" t="s">
        <v>14265</v>
      </c>
      <c r="BZ236" t="s">
        <v>13808</v>
      </c>
      <c r="CA236" t="s">
        <v>13937</v>
      </c>
      <c r="CF236" t="s">
        <v>13809</v>
      </c>
      <c r="CL236" t="s">
        <v>13809</v>
      </c>
      <c r="CR236" t="s">
        <v>13809</v>
      </c>
      <c r="CT236" t="s">
        <v>17763</v>
      </c>
      <c r="CU236" t="s">
        <v>15934</v>
      </c>
      <c r="CV236" t="s">
        <v>13808</v>
      </c>
      <c r="DA236" t="s">
        <v>15934</v>
      </c>
      <c r="DB236" t="s">
        <v>13808</v>
      </c>
      <c r="DH236" t="s">
        <v>13809</v>
      </c>
      <c r="DM236" t="s">
        <v>15934</v>
      </c>
      <c r="DN236" t="s">
        <v>13808</v>
      </c>
      <c r="DZ236" t="s">
        <v>16025</v>
      </c>
      <c r="EA236" t="s">
        <v>15475</v>
      </c>
      <c r="EC236">
        <v>43480</v>
      </c>
      <c r="ED236" t="s">
        <v>13903</v>
      </c>
      <c r="EE236" t="s">
        <v>6069</v>
      </c>
    </row>
    <row r="237" spans="1:135">
      <c r="A237" t="s">
        <v>5828</v>
      </c>
      <c r="B237" t="s">
        <v>1246</v>
      </c>
      <c r="C237" t="s">
        <v>17764</v>
      </c>
      <c r="D237" s="24">
        <v>43887</v>
      </c>
      <c r="E237" s="24" t="s">
        <v>13553</v>
      </c>
      <c r="F237" s="24" t="s">
        <v>17765</v>
      </c>
      <c r="G237" s="24" t="s">
        <v>13808</v>
      </c>
      <c r="H237" s="24"/>
      <c r="I237" s="24" t="s">
        <v>13809</v>
      </c>
      <c r="J237" s="24"/>
      <c r="K237" s="24" t="s">
        <v>13808</v>
      </c>
      <c r="L237" s="24"/>
      <c r="M237" s="24" t="s">
        <v>14428</v>
      </c>
      <c r="N237" s="24" t="s">
        <v>13808</v>
      </c>
      <c r="O237" s="24"/>
      <c r="P237" s="24" t="s">
        <v>13808</v>
      </c>
      <c r="Q237" s="24"/>
      <c r="R237" s="24" t="s">
        <v>13808</v>
      </c>
      <c r="S237" s="24"/>
      <c r="T237" t="s">
        <v>13875</v>
      </c>
      <c r="U237" t="s">
        <v>13809</v>
      </c>
      <c r="W237" t="s">
        <v>13808</v>
      </c>
      <c r="X237" t="s">
        <v>17766</v>
      </c>
      <c r="Y237" t="s">
        <v>13809</v>
      </c>
      <c r="AA237" t="s">
        <v>13877</v>
      </c>
      <c r="AB237" t="s">
        <v>17767</v>
      </c>
      <c r="AC237" t="s">
        <v>13808</v>
      </c>
      <c r="AH237" t="s">
        <v>13909</v>
      </c>
      <c r="AI237" t="s">
        <v>13808</v>
      </c>
      <c r="AN237" t="s">
        <v>15833</v>
      </c>
      <c r="AO237" t="s">
        <v>13808</v>
      </c>
      <c r="AU237" t="s">
        <v>13809</v>
      </c>
      <c r="AZ237" t="s">
        <v>14189</v>
      </c>
      <c r="BA237" t="s">
        <v>13808</v>
      </c>
      <c r="BF237" t="s">
        <v>14046</v>
      </c>
      <c r="BG237" t="s">
        <v>13808</v>
      </c>
      <c r="BM237" t="s">
        <v>13809</v>
      </c>
      <c r="BR237" t="s">
        <v>17768</v>
      </c>
      <c r="BT237" t="s">
        <v>13809</v>
      </c>
      <c r="BY237" t="s">
        <v>14265</v>
      </c>
      <c r="BZ237" t="s">
        <v>13808</v>
      </c>
      <c r="CA237" t="s">
        <v>13888</v>
      </c>
      <c r="CE237" t="s">
        <v>14265</v>
      </c>
      <c r="CF237" t="s">
        <v>13808</v>
      </c>
      <c r="CK237" t="s">
        <v>13887</v>
      </c>
      <c r="CL237" t="s">
        <v>13808</v>
      </c>
      <c r="CR237" t="s">
        <v>13809</v>
      </c>
      <c r="CT237" t="s">
        <v>17769</v>
      </c>
      <c r="CU237" t="s">
        <v>17770</v>
      </c>
      <c r="CV237" t="s">
        <v>13808</v>
      </c>
      <c r="DA237" t="s">
        <v>17770</v>
      </c>
      <c r="DB237" t="s">
        <v>13808</v>
      </c>
      <c r="DD237" t="s">
        <v>17771</v>
      </c>
      <c r="DE237" t="s">
        <v>13818</v>
      </c>
      <c r="DG237" t="s">
        <v>17772</v>
      </c>
      <c r="DH237" t="s">
        <v>13808</v>
      </c>
      <c r="DY237" t="s">
        <v>14606</v>
      </c>
      <c r="DZ237" t="s">
        <v>14696</v>
      </c>
      <c r="EA237" t="s">
        <v>17441</v>
      </c>
      <c r="ED237" t="s">
        <v>14276</v>
      </c>
      <c r="EE237" t="s">
        <v>5830</v>
      </c>
    </row>
    <row r="238" spans="1:135">
      <c r="A238" t="s">
        <v>1584</v>
      </c>
      <c r="B238" t="s">
        <v>1442</v>
      </c>
      <c r="C238" t="s">
        <v>17773</v>
      </c>
      <c r="D238" s="24">
        <v>43089</v>
      </c>
      <c r="E238" s="24" t="s">
        <v>13555</v>
      </c>
      <c r="F238" s="24" t="s">
        <v>17774</v>
      </c>
      <c r="G238" s="24" t="s">
        <v>13808</v>
      </c>
      <c r="H238" s="24"/>
      <c r="I238" s="24" t="s">
        <v>13809</v>
      </c>
      <c r="J238" s="24"/>
      <c r="K238" s="24" t="s">
        <v>13808</v>
      </c>
      <c r="L238" s="24"/>
      <c r="M238" s="24" t="s">
        <v>17775</v>
      </c>
      <c r="N238" s="24" t="s">
        <v>13808</v>
      </c>
      <c r="O238" s="24"/>
      <c r="P238" s="24" t="s">
        <v>13808</v>
      </c>
      <c r="Q238" s="24"/>
      <c r="R238" s="24" t="s">
        <v>13808</v>
      </c>
      <c r="S238" s="24"/>
      <c r="T238" t="s">
        <v>16853</v>
      </c>
      <c r="U238" t="s">
        <v>13809</v>
      </c>
      <c r="W238" t="s">
        <v>13808</v>
      </c>
      <c r="X238" t="s">
        <v>17226</v>
      </c>
      <c r="Y238" t="s">
        <v>13808</v>
      </c>
      <c r="AA238" t="s">
        <v>14971</v>
      </c>
      <c r="AB238" t="s">
        <v>17776</v>
      </c>
      <c r="AC238" t="s">
        <v>13808</v>
      </c>
      <c r="AH238" t="s">
        <v>17777</v>
      </c>
      <c r="AI238" t="s">
        <v>13808</v>
      </c>
      <c r="AN238" t="s">
        <v>17778</v>
      </c>
      <c r="AO238" t="s">
        <v>13808</v>
      </c>
      <c r="AT238" t="s">
        <v>17779</v>
      </c>
      <c r="AU238" t="s">
        <v>13808</v>
      </c>
      <c r="AZ238" t="s">
        <v>17780</v>
      </c>
      <c r="BA238" t="s">
        <v>13808</v>
      </c>
      <c r="BF238" t="s">
        <v>17781</v>
      </c>
      <c r="BG238" t="s">
        <v>13808</v>
      </c>
      <c r="BL238" t="s">
        <v>17782</v>
      </c>
      <c r="BM238" t="s">
        <v>13808</v>
      </c>
      <c r="BR238" t="s">
        <v>17783</v>
      </c>
      <c r="BT238" t="s">
        <v>13809</v>
      </c>
      <c r="BY238" t="s">
        <v>13887</v>
      </c>
      <c r="BZ238" t="s">
        <v>13808</v>
      </c>
      <c r="CA238" t="s">
        <v>14026</v>
      </c>
      <c r="CE238" t="s">
        <v>13885</v>
      </c>
      <c r="CF238" t="s">
        <v>13808</v>
      </c>
      <c r="CG238" t="s">
        <v>14173</v>
      </c>
      <c r="CK238" t="s">
        <v>13885</v>
      </c>
      <c r="CL238" t="s">
        <v>13808</v>
      </c>
      <c r="CM238" t="s">
        <v>14173</v>
      </c>
      <c r="CR238" t="s">
        <v>13809</v>
      </c>
      <c r="CT238" t="s">
        <v>17784</v>
      </c>
      <c r="CU238" t="s">
        <v>13909</v>
      </c>
      <c r="CV238" t="s">
        <v>13808</v>
      </c>
      <c r="DA238" t="s">
        <v>13909</v>
      </c>
      <c r="DB238" t="s">
        <v>13808</v>
      </c>
      <c r="DH238" t="s">
        <v>13809</v>
      </c>
      <c r="DM238" t="s">
        <v>13909</v>
      </c>
      <c r="DN238" t="s">
        <v>13808</v>
      </c>
      <c r="DZ238" t="s">
        <v>17785</v>
      </c>
      <c r="EA238" t="s">
        <v>15509</v>
      </c>
      <c r="EC238">
        <v>44484</v>
      </c>
      <c r="ED238" t="s">
        <v>13903</v>
      </c>
      <c r="EE238" t="s">
        <v>6073</v>
      </c>
    </row>
    <row r="239" spans="1:135">
      <c r="A239" t="s">
        <v>2227</v>
      </c>
      <c r="B239" t="s">
        <v>2174</v>
      </c>
      <c r="C239" t="s">
        <v>17786</v>
      </c>
      <c r="D239" s="24">
        <v>43066</v>
      </c>
      <c r="E239" s="24" t="s">
        <v>13557</v>
      </c>
      <c r="F239" s="24" t="s">
        <v>17787</v>
      </c>
      <c r="G239" s="24" t="s">
        <v>13808</v>
      </c>
      <c r="H239" s="24"/>
      <c r="I239" s="24" t="s">
        <v>13809</v>
      </c>
      <c r="J239" s="24"/>
      <c r="K239" s="24" t="s">
        <v>13808</v>
      </c>
      <c r="L239" s="24"/>
      <c r="M239" s="24" t="s">
        <v>16273</v>
      </c>
      <c r="N239" s="24" t="s">
        <v>13808</v>
      </c>
      <c r="O239" s="24"/>
      <c r="P239" s="24" t="s">
        <v>13808</v>
      </c>
      <c r="Q239" s="24"/>
      <c r="R239" s="24" t="s">
        <v>13808</v>
      </c>
      <c r="S239" s="24"/>
      <c r="T239" t="s">
        <v>17788</v>
      </c>
      <c r="U239" t="s">
        <v>13809</v>
      </c>
      <c r="W239" t="s">
        <v>13808</v>
      </c>
      <c r="Y239" t="s">
        <v>13808</v>
      </c>
      <c r="AA239" t="s">
        <v>13928</v>
      </c>
      <c r="AB239" t="s">
        <v>17789</v>
      </c>
      <c r="AC239" t="s">
        <v>13808</v>
      </c>
      <c r="AH239" t="s">
        <v>13851</v>
      </c>
      <c r="AI239" t="s">
        <v>13808</v>
      </c>
      <c r="AN239" t="s">
        <v>17790</v>
      </c>
      <c r="AO239" t="s">
        <v>13808</v>
      </c>
      <c r="AT239" t="s">
        <v>17791</v>
      </c>
      <c r="AU239" t="s">
        <v>13808</v>
      </c>
      <c r="AZ239" t="s">
        <v>17792</v>
      </c>
      <c r="BA239" t="s">
        <v>13808</v>
      </c>
      <c r="BF239" t="s">
        <v>15752</v>
      </c>
      <c r="BG239" t="s">
        <v>13808</v>
      </c>
      <c r="BL239" t="s">
        <v>17793</v>
      </c>
      <c r="BM239" t="s">
        <v>13808</v>
      </c>
      <c r="BR239" t="s">
        <v>17794</v>
      </c>
      <c r="BS239" t="s">
        <v>13742</v>
      </c>
      <c r="BT239" t="s">
        <v>13809</v>
      </c>
      <c r="BY239" t="s">
        <v>13860</v>
      </c>
      <c r="BZ239" t="s">
        <v>13808</v>
      </c>
      <c r="CA239" t="s">
        <v>13937</v>
      </c>
      <c r="CE239" t="s">
        <v>14215</v>
      </c>
      <c r="CF239" t="s">
        <v>13808</v>
      </c>
      <c r="CK239" t="s">
        <v>17795</v>
      </c>
      <c r="CL239" t="s">
        <v>13808</v>
      </c>
      <c r="CQ239" t="s">
        <v>13766</v>
      </c>
      <c r="CR239" t="s">
        <v>13809</v>
      </c>
      <c r="CT239" t="s">
        <v>17796</v>
      </c>
      <c r="CU239" t="s">
        <v>17797</v>
      </c>
      <c r="CV239" t="s">
        <v>13808</v>
      </c>
      <c r="DA239" t="s">
        <v>17798</v>
      </c>
      <c r="DB239" t="s">
        <v>13808</v>
      </c>
      <c r="DH239" t="s">
        <v>13808</v>
      </c>
      <c r="DZ239" t="s">
        <v>17799</v>
      </c>
      <c r="EA239" t="s">
        <v>15065</v>
      </c>
      <c r="EC239">
        <v>44627</v>
      </c>
      <c r="ED239" t="s">
        <v>13843</v>
      </c>
      <c r="EE239" t="s">
        <v>6907</v>
      </c>
    </row>
    <row r="240" spans="1:135">
      <c r="A240" t="s">
        <v>1145</v>
      </c>
      <c r="B240" t="s">
        <v>1043</v>
      </c>
      <c r="C240" t="s">
        <v>17800</v>
      </c>
      <c r="D240" s="24">
        <v>43049</v>
      </c>
      <c r="E240" s="24" t="s">
        <v>13553</v>
      </c>
      <c r="F240" s="24" t="s">
        <v>17801</v>
      </c>
      <c r="G240" s="24" t="s">
        <v>13808</v>
      </c>
      <c r="H240" s="24"/>
      <c r="I240" s="24" t="s">
        <v>13809</v>
      </c>
      <c r="J240" s="24"/>
      <c r="K240" s="24" t="s">
        <v>13808</v>
      </c>
      <c r="L240" s="24"/>
      <c r="M240" s="24" t="s">
        <v>15163</v>
      </c>
      <c r="N240" s="24" t="s">
        <v>13808</v>
      </c>
      <c r="O240" s="24"/>
      <c r="P240" s="24" t="s">
        <v>13808</v>
      </c>
      <c r="Q240" s="24"/>
      <c r="R240" s="24" t="s">
        <v>13808</v>
      </c>
      <c r="S240" s="24"/>
      <c r="T240" t="s">
        <v>16948</v>
      </c>
      <c r="U240" t="s">
        <v>13809</v>
      </c>
      <c r="W240" t="s">
        <v>13808</v>
      </c>
      <c r="X240" t="s">
        <v>17802</v>
      </c>
      <c r="Y240" t="s">
        <v>13808</v>
      </c>
      <c r="AA240" t="s">
        <v>14971</v>
      </c>
      <c r="AB240" t="s">
        <v>17803</v>
      </c>
      <c r="AC240" t="s">
        <v>13808</v>
      </c>
      <c r="AH240" t="s">
        <v>13909</v>
      </c>
      <c r="AI240" t="s">
        <v>13808</v>
      </c>
      <c r="AN240" t="s">
        <v>17804</v>
      </c>
      <c r="AO240" t="s">
        <v>13808</v>
      </c>
      <c r="AT240" t="s">
        <v>16528</v>
      </c>
      <c r="AU240" t="s">
        <v>13808</v>
      </c>
      <c r="AZ240" t="s">
        <v>14189</v>
      </c>
      <c r="BA240" t="s">
        <v>13808</v>
      </c>
      <c r="BF240" t="s">
        <v>17805</v>
      </c>
      <c r="BG240" t="s">
        <v>13808</v>
      </c>
      <c r="BL240" t="s">
        <v>17806</v>
      </c>
      <c r="BM240" t="s">
        <v>13808</v>
      </c>
      <c r="BR240" t="s">
        <v>17807</v>
      </c>
      <c r="BT240" t="s">
        <v>13809</v>
      </c>
      <c r="BY240" t="s">
        <v>13887</v>
      </c>
      <c r="BZ240" t="s">
        <v>13808</v>
      </c>
      <c r="CA240" t="s">
        <v>13937</v>
      </c>
      <c r="CE240" t="s">
        <v>13887</v>
      </c>
      <c r="CF240" t="s">
        <v>13808</v>
      </c>
      <c r="CL240" t="s">
        <v>13809</v>
      </c>
      <c r="CR240" t="s">
        <v>13809</v>
      </c>
      <c r="CT240" t="s">
        <v>17808</v>
      </c>
      <c r="CU240" t="s">
        <v>13909</v>
      </c>
      <c r="CV240" t="s">
        <v>13808</v>
      </c>
      <c r="DA240" t="s">
        <v>13909</v>
      </c>
      <c r="DB240" t="s">
        <v>13808</v>
      </c>
      <c r="DH240" t="s">
        <v>13809</v>
      </c>
      <c r="DM240" t="s">
        <v>13909</v>
      </c>
      <c r="DN240" t="s">
        <v>13808</v>
      </c>
      <c r="DZ240" t="s">
        <v>17809</v>
      </c>
      <c r="EA240" t="s">
        <v>15475</v>
      </c>
      <c r="EC240">
        <v>43480</v>
      </c>
      <c r="ED240" t="s">
        <v>13903</v>
      </c>
      <c r="EE240" t="s">
        <v>5552</v>
      </c>
    </row>
    <row r="241" spans="1:135">
      <c r="A241" t="s">
        <v>1365</v>
      </c>
      <c r="B241" t="s">
        <v>1246</v>
      </c>
      <c r="C241" t="s">
        <v>17810</v>
      </c>
      <c r="D241" s="24">
        <v>43069</v>
      </c>
      <c r="E241" s="24" t="s">
        <v>13555</v>
      </c>
      <c r="F241" s="24" t="s">
        <v>17811</v>
      </c>
      <c r="G241" s="24" t="s">
        <v>13808</v>
      </c>
      <c r="H241" s="24"/>
      <c r="I241" s="24" t="s">
        <v>13809</v>
      </c>
      <c r="J241" s="24"/>
      <c r="K241" s="24" t="s">
        <v>13809</v>
      </c>
      <c r="L241" s="24"/>
      <c r="M241" s="24" t="s">
        <v>15163</v>
      </c>
      <c r="N241" s="24" t="s">
        <v>13808</v>
      </c>
      <c r="O241" s="24"/>
      <c r="P241" s="24" t="s">
        <v>13808</v>
      </c>
      <c r="Q241" s="24"/>
      <c r="R241" s="24" t="s">
        <v>13808</v>
      </c>
      <c r="S241" s="24"/>
      <c r="T241" t="s">
        <v>16853</v>
      </c>
      <c r="U241" t="s">
        <v>13809</v>
      </c>
      <c r="W241" t="s">
        <v>13808</v>
      </c>
      <c r="Y241" t="s">
        <v>13808</v>
      </c>
      <c r="AA241" t="s">
        <v>14971</v>
      </c>
      <c r="AB241" t="s">
        <v>17812</v>
      </c>
      <c r="AC241" t="s">
        <v>13808</v>
      </c>
      <c r="AH241" t="s">
        <v>13909</v>
      </c>
      <c r="AI241" t="s">
        <v>13808</v>
      </c>
      <c r="AN241" t="s">
        <v>17813</v>
      </c>
      <c r="AO241" t="s">
        <v>13808</v>
      </c>
      <c r="AT241" t="s">
        <v>17814</v>
      </c>
      <c r="AU241" t="s">
        <v>13808</v>
      </c>
      <c r="AZ241" t="s">
        <v>17815</v>
      </c>
      <c r="BA241" t="s">
        <v>13808</v>
      </c>
      <c r="BF241" t="s">
        <v>13958</v>
      </c>
      <c r="BG241" t="s">
        <v>13808</v>
      </c>
      <c r="BL241" t="s">
        <v>17816</v>
      </c>
      <c r="BM241" t="s">
        <v>13808</v>
      </c>
      <c r="BR241" t="s">
        <v>17817</v>
      </c>
      <c r="BT241" t="s">
        <v>13809</v>
      </c>
      <c r="BY241" t="s">
        <v>14693</v>
      </c>
      <c r="BZ241" t="s">
        <v>13808</v>
      </c>
      <c r="CA241" t="s">
        <v>13937</v>
      </c>
      <c r="CF241" t="s">
        <v>13809</v>
      </c>
      <c r="CK241" t="s">
        <v>15138</v>
      </c>
      <c r="CL241" t="s">
        <v>13808</v>
      </c>
      <c r="CR241" t="s">
        <v>13809</v>
      </c>
      <c r="CT241" t="s">
        <v>17818</v>
      </c>
      <c r="CU241" t="s">
        <v>17303</v>
      </c>
      <c r="CV241" t="s">
        <v>13808</v>
      </c>
      <c r="DA241" t="s">
        <v>17303</v>
      </c>
      <c r="DB241" t="s">
        <v>13808</v>
      </c>
      <c r="DH241" t="s">
        <v>13809</v>
      </c>
      <c r="DM241" t="s">
        <v>17303</v>
      </c>
      <c r="DN241" t="s">
        <v>13808</v>
      </c>
      <c r="DZ241" t="s">
        <v>17785</v>
      </c>
      <c r="EA241" t="s">
        <v>16850</v>
      </c>
      <c r="EC241">
        <v>43480</v>
      </c>
      <c r="ED241" t="s">
        <v>13903</v>
      </c>
      <c r="EE241" t="s">
        <v>5834</v>
      </c>
    </row>
    <row r="242" spans="1:135">
      <c r="A242" t="s">
        <v>1908</v>
      </c>
      <c r="B242" t="s">
        <v>10870</v>
      </c>
      <c r="C242" t="s">
        <v>13903</v>
      </c>
      <c r="D242" s="24">
        <v>44658</v>
      </c>
      <c r="E242" s="24" t="s">
        <v>13555</v>
      </c>
      <c r="F242" s="24" t="s">
        <v>17819</v>
      </c>
      <c r="G242" s="24" t="s">
        <v>13808</v>
      </c>
      <c r="H242" s="24"/>
      <c r="I242" s="24" t="s">
        <v>13809</v>
      </c>
      <c r="J242" s="24"/>
      <c r="K242" s="24" t="s">
        <v>13808</v>
      </c>
      <c r="L242" s="24" t="s">
        <v>17820</v>
      </c>
      <c r="M242" s="24" t="s">
        <v>14136</v>
      </c>
      <c r="N242" s="24" t="s">
        <v>13808</v>
      </c>
      <c r="O242" s="24"/>
      <c r="P242" s="24" t="s">
        <v>13808</v>
      </c>
      <c r="Q242" s="24"/>
      <c r="R242" s="24" t="s">
        <v>13808</v>
      </c>
      <c r="S242" s="24"/>
      <c r="T242" t="s">
        <v>17821</v>
      </c>
      <c r="U242" t="s">
        <v>13809</v>
      </c>
      <c r="W242" t="s">
        <v>13809</v>
      </c>
      <c r="Y242" t="s">
        <v>13809</v>
      </c>
      <c r="AA242" t="s">
        <v>13849</v>
      </c>
      <c r="AB242" t="s">
        <v>13699</v>
      </c>
      <c r="AC242" t="s">
        <v>13809</v>
      </c>
      <c r="AD242" t="s">
        <v>17822</v>
      </c>
      <c r="AH242" t="s">
        <v>14073</v>
      </c>
      <c r="AI242" t="s">
        <v>13808</v>
      </c>
      <c r="AN242" t="s">
        <v>13711</v>
      </c>
      <c r="AO242" t="s">
        <v>13809</v>
      </c>
      <c r="AP242" t="s">
        <v>17822</v>
      </c>
      <c r="AT242" t="s">
        <v>13717</v>
      </c>
      <c r="AU242" t="s">
        <v>13809</v>
      </c>
      <c r="AV242" t="s">
        <v>17822</v>
      </c>
      <c r="AZ242" t="s">
        <v>13723</v>
      </c>
      <c r="BA242" t="s">
        <v>13809</v>
      </c>
      <c r="BB242" t="s">
        <v>17822</v>
      </c>
      <c r="BF242" t="s">
        <v>17823</v>
      </c>
      <c r="BG242" t="s">
        <v>13808</v>
      </c>
      <c r="BL242" t="s">
        <v>13735</v>
      </c>
      <c r="BM242" t="s">
        <v>13809</v>
      </c>
      <c r="BN242" t="s">
        <v>17822</v>
      </c>
      <c r="BR242" t="s">
        <v>17824</v>
      </c>
      <c r="BY242" t="s">
        <v>13748</v>
      </c>
      <c r="BZ242" t="s">
        <v>13809</v>
      </c>
      <c r="CA242" t="s">
        <v>17822</v>
      </c>
      <c r="CE242" t="s">
        <v>13754</v>
      </c>
      <c r="CF242" t="s">
        <v>13809</v>
      </c>
      <c r="CG242" t="s">
        <v>17822</v>
      </c>
      <c r="CK242" t="s">
        <v>13760</v>
      </c>
      <c r="CL242" t="s">
        <v>13809</v>
      </c>
      <c r="CQ242" t="s">
        <v>13766</v>
      </c>
      <c r="CR242" t="s">
        <v>13809</v>
      </c>
      <c r="CT242" t="s">
        <v>17825</v>
      </c>
      <c r="DM242" t="s">
        <v>17826</v>
      </c>
      <c r="DN242" t="s">
        <v>13808</v>
      </c>
      <c r="DY242" t="s">
        <v>13840</v>
      </c>
      <c r="DZ242" t="s">
        <v>13841</v>
      </c>
      <c r="EA242" t="s">
        <v>13842</v>
      </c>
      <c r="EC242">
        <v>44659</v>
      </c>
      <c r="ED242" t="s">
        <v>13843</v>
      </c>
      <c r="EE242" t="s">
        <v>13592</v>
      </c>
    </row>
    <row r="243" spans="1:135">
      <c r="A243" t="s">
        <v>10855</v>
      </c>
      <c r="B243" t="s">
        <v>1808</v>
      </c>
      <c r="C243" t="s">
        <v>17827</v>
      </c>
      <c r="D243" s="24">
        <v>44665</v>
      </c>
      <c r="E243" s="24" t="s">
        <v>13561</v>
      </c>
      <c r="F243" s="24" t="s">
        <v>17828</v>
      </c>
      <c r="G243" s="24" t="s">
        <v>13818</v>
      </c>
      <c r="H243" s="24"/>
      <c r="I243" s="24" t="s">
        <v>13809</v>
      </c>
      <c r="J243" s="24"/>
      <c r="K243" s="24" t="s">
        <v>13809</v>
      </c>
      <c r="L243" s="24"/>
      <c r="M243" s="24" t="s">
        <v>17829</v>
      </c>
      <c r="N243" s="24" t="s">
        <v>13818</v>
      </c>
      <c r="O243" s="24"/>
      <c r="P243" s="24" t="s">
        <v>13818</v>
      </c>
      <c r="Q243" s="24"/>
      <c r="R243" s="24" t="s">
        <v>13818</v>
      </c>
      <c r="S243" s="24"/>
      <c r="T243" t="s">
        <v>17830</v>
      </c>
      <c r="U243" t="s">
        <v>13809</v>
      </c>
      <c r="W243" t="s">
        <v>13809</v>
      </c>
      <c r="Y243" t="s">
        <v>13809</v>
      </c>
      <c r="AA243" t="s">
        <v>14386</v>
      </c>
      <c r="AB243" t="s">
        <v>17831</v>
      </c>
      <c r="AC243" t="s">
        <v>13818</v>
      </c>
      <c r="AD243" t="s">
        <v>13819</v>
      </c>
      <c r="AH243" t="s">
        <v>14098</v>
      </c>
      <c r="AI243" t="s">
        <v>13818</v>
      </c>
      <c r="AJ243" t="s">
        <v>13819</v>
      </c>
      <c r="AN243" t="s">
        <v>13711</v>
      </c>
      <c r="AO243" t="s">
        <v>13809</v>
      </c>
      <c r="AT243" t="s">
        <v>13717</v>
      </c>
      <c r="AU243" t="s">
        <v>13809</v>
      </c>
      <c r="AZ243" t="s">
        <v>15868</v>
      </c>
      <c r="BA243" t="s">
        <v>13818</v>
      </c>
      <c r="BB243" t="s">
        <v>13819</v>
      </c>
      <c r="BF243" t="s">
        <v>17832</v>
      </c>
      <c r="BG243" t="s">
        <v>13818</v>
      </c>
      <c r="BH243" t="s">
        <v>13819</v>
      </c>
      <c r="BL243" t="s">
        <v>13735</v>
      </c>
      <c r="BM243" t="s">
        <v>13818</v>
      </c>
      <c r="BN243" t="s">
        <v>13819</v>
      </c>
      <c r="BR243" t="s">
        <v>17833</v>
      </c>
      <c r="BS243" t="s">
        <v>13742</v>
      </c>
      <c r="BT243" t="s">
        <v>13809</v>
      </c>
      <c r="BY243" t="s">
        <v>13748</v>
      </c>
      <c r="BZ243" t="s">
        <v>13809</v>
      </c>
      <c r="CE243" t="s">
        <v>13754</v>
      </c>
      <c r="CF243" t="s">
        <v>13809</v>
      </c>
      <c r="CK243" t="s">
        <v>14581</v>
      </c>
      <c r="CL243" t="s">
        <v>13818</v>
      </c>
      <c r="CM243" t="s">
        <v>13819</v>
      </c>
      <c r="CQ243" t="s">
        <v>13766</v>
      </c>
      <c r="CR243" t="s">
        <v>13809</v>
      </c>
      <c r="CT243" t="s">
        <v>14781</v>
      </c>
      <c r="CU243" t="s">
        <v>17834</v>
      </c>
      <c r="CV243" t="s">
        <v>13818</v>
      </c>
      <c r="DA243" t="s">
        <v>17835</v>
      </c>
      <c r="DB243" t="s">
        <v>13818</v>
      </c>
      <c r="DG243" t="s">
        <v>17836</v>
      </c>
      <c r="DH243" t="s">
        <v>13818</v>
      </c>
      <c r="DY243" t="s">
        <v>14606</v>
      </c>
      <c r="DZ243" t="s">
        <v>14406</v>
      </c>
      <c r="EA243" t="s">
        <v>13842</v>
      </c>
      <c r="EC243">
        <v>44669</v>
      </c>
      <c r="ED243" t="s">
        <v>13843</v>
      </c>
      <c r="EE243" t="s">
        <v>13593</v>
      </c>
    </row>
    <row r="244" spans="1:135">
      <c r="A244" t="s">
        <v>1916</v>
      </c>
      <c r="B244" t="s">
        <v>1808</v>
      </c>
      <c r="C244" t="s">
        <v>17837</v>
      </c>
      <c r="D244" s="24">
        <v>43672</v>
      </c>
      <c r="E244" s="24" t="s">
        <v>13553</v>
      </c>
      <c r="F244" s="24" t="s">
        <v>17838</v>
      </c>
      <c r="G244" s="24" t="s">
        <v>13808</v>
      </c>
      <c r="H244" s="24"/>
      <c r="I244" s="24" t="s">
        <v>13809</v>
      </c>
      <c r="J244" s="24"/>
      <c r="K244" s="24" t="s">
        <v>13809</v>
      </c>
      <c r="L244" s="24"/>
      <c r="M244" s="24" t="s">
        <v>17839</v>
      </c>
      <c r="N244" s="24" t="s">
        <v>13808</v>
      </c>
      <c r="O244" s="24"/>
      <c r="P244" s="24" t="s">
        <v>13808</v>
      </c>
      <c r="Q244" s="24"/>
      <c r="R244" s="24" t="s">
        <v>13808</v>
      </c>
      <c r="S244" s="24"/>
      <c r="T244" t="s">
        <v>14016</v>
      </c>
      <c r="U244" t="s">
        <v>13809</v>
      </c>
      <c r="W244" t="s">
        <v>13808</v>
      </c>
      <c r="X244" t="s">
        <v>17840</v>
      </c>
      <c r="Y244" t="s">
        <v>13809</v>
      </c>
      <c r="AA244" t="s">
        <v>13877</v>
      </c>
      <c r="AC244" t="s">
        <v>13809</v>
      </c>
      <c r="AH244" t="s">
        <v>13909</v>
      </c>
      <c r="AI244" t="s">
        <v>13808</v>
      </c>
      <c r="AO244" t="s">
        <v>13809</v>
      </c>
      <c r="AT244" t="s">
        <v>14816</v>
      </c>
      <c r="AU244" t="s">
        <v>13808</v>
      </c>
      <c r="AZ244" t="s">
        <v>14189</v>
      </c>
      <c r="BA244" t="s">
        <v>13808</v>
      </c>
      <c r="BF244" t="s">
        <v>14006</v>
      </c>
      <c r="BG244" t="s">
        <v>13808</v>
      </c>
      <c r="BM244" t="s">
        <v>13809</v>
      </c>
      <c r="BR244" t="s">
        <v>17841</v>
      </c>
      <c r="BT244" t="s">
        <v>13809</v>
      </c>
      <c r="BY244" t="s">
        <v>16201</v>
      </c>
      <c r="BZ244" t="s">
        <v>13808</v>
      </c>
      <c r="CA244" t="s">
        <v>13888</v>
      </c>
      <c r="CF244" t="s">
        <v>13809</v>
      </c>
      <c r="CK244" t="s">
        <v>13887</v>
      </c>
      <c r="CL244" t="s">
        <v>13808</v>
      </c>
      <c r="CM244" t="s">
        <v>14600</v>
      </c>
      <c r="CR244" t="s">
        <v>13809</v>
      </c>
      <c r="CT244" t="s">
        <v>17842</v>
      </c>
      <c r="CU244" t="s">
        <v>17843</v>
      </c>
      <c r="CV244" t="s">
        <v>13897</v>
      </c>
      <c r="DA244" t="s">
        <v>17844</v>
      </c>
      <c r="DB244" t="s">
        <v>13897</v>
      </c>
      <c r="DH244" t="s">
        <v>13809</v>
      </c>
      <c r="DM244" t="s">
        <v>17845</v>
      </c>
      <c r="DN244" t="s">
        <v>13808</v>
      </c>
      <c r="DO244" t="s">
        <v>17846</v>
      </c>
      <c r="DP244" t="s">
        <v>17847</v>
      </c>
      <c r="DR244" t="s">
        <v>13808</v>
      </c>
      <c r="DY244" t="s">
        <v>13900</v>
      </c>
      <c r="DZ244" t="s">
        <v>17848</v>
      </c>
      <c r="EA244" t="s">
        <v>17849</v>
      </c>
      <c r="ED244" t="s">
        <v>14501</v>
      </c>
      <c r="EE244" t="s">
        <v>6469</v>
      </c>
    </row>
    <row r="245" spans="1:135">
      <c r="A245" t="s">
        <v>1437</v>
      </c>
      <c r="B245" t="s">
        <v>1375</v>
      </c>
      <c r="C245" t="s">
        <v>17850</v>
      </c>
      <c r="D245" s="24">
        <v>43082</v>
      </c>
      <c r="E245" s="24" t="s">
        <v>13555</v>
      </c>
      <c r="F245" s="24" t="s">
        <v>17851</v>
      </c>
      <c r="G245" s="24" t="s">
        <v>13808</v>
      </c>
      <c r="H245" s="24"/>
      <c r="I245" s="24" t="s">
        <v>13809</v>
      </c>
      <c r="J245" s="24"/>
      <c r="K245" s="24" t="s">
        <v>13809</v>
      </c>
      <c r="L245" s="24"/>
      <c r="M245" s="24" t="s">
        <v>13846</v>
      </c>
      <c r="N245" s="24" t="s">
        <v>13808</v>
      </c>
      <c r="O245" s="24"/>
      <c r="P245" s="24" t="s">
        <v>13809</v>
      </c>
      <c r="Q245" s="24"/>
      <c r="R245" s="24" t="s">
        <v>13808</v>
      </c>
      <c r="S245" s="24"/>
      <c r="T245" t="s">
        <v>16853</v>
      </c>
      <c r="U245" t="s">
        <v>13809</v>
      </c>
      <c r="W245" t="s">
        <v>13808</v>
      </c>
      <c r="X245" t="s">
        <v>17852</v>
      </c>
      <c r="Y245" t="s">
        <v>13808</v>
      </c>
      <c r="AA245" t="s">
        <v>14971</v>
      </c>
      <c r="AB245" t="s">
        <v>15276</v>
      </c>
      <c r="AC245" t="s">
        <v>13808</v>
      </c>
      <c r="AH245" t="s">
        <v>13909</v>
      </c>
      <c r="AI245" t="s">
        <v>13808</v>
      </c>
      <c r="AN245" t="s">
        <v>17853</v>
      </c>
      <c r="AO245" t="s">
        <v>13808</v>
      </c>
      <c r="AT245" t="s">
        <v>14597</v>
      </c>
      <c r="AU245" t="s">
        <v>13808</v>
      </c>
      <c r="AZ245" t="s">
        <v>14490</v>
      </c>
      <c r="BA245" t="s">
        <v>13808</v>
      </c>
      <c r="BF245" t="s">
        <v>16346</v>
      </c>
      <c r="BG245" t="s">
        <v>13808</v>
      </c>
      <c r="BL245" t="s">
        <v>17854</v>
      </c>
      <c r="BM245" t="s">
        <v>13808</v>
      </c>
      <c r="BR245" t="s">
        <v>17855</v>
      </c>
      <c r="BT245" t="s">
        <v>13809</v>
      </c>
      <c r="BY245" t="s">
        <v>13887</v>
      </c>
      <c r="BZ245" t="s">
        <v>13808</v>
      </c>
      <c r="CA245" t="s">
        <v>13937</v>
      </c>
      <c r="CE245" t="s">
        <v>14197</v>
      </c>
      <c r="CF245" t="s">
        <v>13808</v>
      </c>
      <c r="CL245" t="s">
        <v>13809</v>
      </c>
      <c r="CR245" t="s">
        <v>13809</v>
      </c>
      <c r="CT245" t="s">
        <v>17856</v>
      </c>
      <c r="CU245" t="s">
        <v>13909</v>
      </c>
      <c r="CV245" t="s">
        <v>13808</v>
      </c>
      <c r="DA245" t="s">
        <v>13909</v>
      </c>
      <c r="DB245" t="s">
        <v>13808</v>
      </c>
      <c r="DH245" t="s">
        <v>13809</v>
      </c>
      <c r="DM245" t="s">
        <v>13909</v>
      </c>
      <c r="DN245" t="s">
        <v>13808</v>
      </c>
      <c r="DZ245" t="s">
        <v>16025</v>
      </c>
      <c r="EA245" t="s">
        <v>15509</v>
      </c>
      <c r="EC245">
        <v>43480</v>
      </c>
      <c r="ED245" t="s">
        <v>13903</v>
      </c>
      <c r="EE245" t="s">
        <v>5901</v>
      </c>
    </row>
    <row r="246" spans="1:135">
      <c r="A246" t="s">
        <v>1370</v>
      </c>
      <c r="B246" t="s">
        <v>1246</v>
      </c>
      <c r="C246" t="s">
        <v>17857</v>
      </c>
      <c r="D246" s="24">
        <v>44153</v>
      </c>
      <c r="E246" s="24" t="s">
        <v>13553</v>
      </c>
      <c r="F246" s="24" t="s">
        <v>17858</v>
      </c>
      <c r="G246" s="24" t="s">
        <v>13808</v>
      </c>
      <c r="H246" s="24"/>
      <c r="I246" s="24" t="s">
        <v>13809</v>
      </c>
      <c r="J246" s="24"/>
      <c r="K246" s="24" t="s">
        <v>13809</v>
      </c>
      <c r="L246" s="24"/>
      <c r="M246" s="24" t="s">
        <v>17316</v>
      </c>
      <c r="N246" s="24" t="s">
        <v>13808</v>
      </c>
      <c r="O246" s="24"/>
      <c r="P246" s="24" t="s">
        <v>13808</v>
      </c>
      <c r="Q246" s="24"/>
      <c r="R246" s="24" t="s">
        <v>13808</v>
      </c>
      <c r="S246" s="24"/>
      <c r="T246" t="s">
        <v>13907</v>
      </c>
      <c r="U246" t="s">
        <v>13809</v>
      </c>
      <c r="W246" t="s">
        <v>13808</v>
      </c>
      <c r="X246" t="s">
        <v>17859</v>
      </c>
      <c r="Y246" t="s">
        <v>13809</v>
      </c>
      <c r="AA246" t="s">
        <v>13849</v>
      </c>
      <c r="AB246" t="s">
        <v>14812</v>
      </c>
      <c r="AC246" t="s">
        <v>13808</v>
      </c>
      <c r="AH246" t="s">
        <v>13909</v>
      </c>
      <c r="AI246" t="s">
        <v>13808</v>
      </c>
      <c r="AO246" t="s">
        <v>13809</v>
      </c>
      <c r="AU246" t="s">
        <v>13809</v>
      </c>
      <c r="AZ246" t="s">
        <v>13894</v>
      </c>
      <c r="BA246" t="s">
        <v>13808</v>
      </c>
      <c r="BF246" t="s">
        <v>13892</v>
      </c>
      <c r="BG246" t="s">
        <v>13808</v>
      </c>
      <c r="BL246" t="s">
        <v>14687</v>
      </c>
      <c r="BM246" t="s">
        <v>13808</v>
      </c>
      <c r="BR246" t="s">
        <v>17860</v>
      </c>
      <c r="BT246" t="s">
        <v>13809</v>
      </c>
      <c r="BY246" t="s">
        <v>13887</v>
      </c>
      <c r="BZ246" t="s">
        <v>13808</v>
      </c>
      <c r="CA246" t="s">
        <v>13937</v>
      </c>
      <c r="CE246" t="s">
        <v>13887</v>
      </c>
      <c r="CF246" t="s">
        <v>13808</v>
      </c>
      <c r="CG246" t="s">
        <v>14233</v>
      </c>
      <c r="CL246" t="s">
        <v>13809</v>
      </c>
      <c r="CR246" t="s">
        <v>13809</v>
      </c>
      <c r="CT246" t="s">
        <v>16771</v>
      </c>
      <c r="CU246" t="s">
        <v>13909</v>
      </c>
      <c r="CV246" t="s">
        <v>13808</v>
      </c>
      <c r="DA246" t="s">
        <v>13909</v>
      </c>
      <c r="DB246" t="s">
        <v>13808</v>
      </c>
      <c r="DG246" t="s">
        <v>13909</v>
      </c>
      <c r="DH246" t="s">
        <v>13808</v>
      </c>
      <c r="DY246" t="s">
        <v>14243</v>
      </c>
      <c r="DZ246" t="s">
        <v>13841</v>
      </c>
      <c r="EA246" t="s">
        <v>14500</v>
      </c>
      <c r="EC246">
        <v>44265</v>
      </c>
      <c r="ED246" t="s">
        <v>16129</v>
      </c>
      <c r="EE246" t="s">
        <v>5838</v>
      </c>
    </row>
    <row r="247" spans="1:135">
      <c r="A247" t="s">
        <v>1150</v>
      </c>
      <c r="B247" t="s">
        <v>1043</v>
      </c>
      <c r="C247" t="s">
        <v>17861</v>
      </c>
      <c r="D247" s="24">
        <v>43083</v>
      </c>
      <c r="E247" s="24" t="s">
        <v>13553</v>
      </c>
      <c r="F247" s="24" t="s">
        <v>17862</v>
      </c>
      <c r="G247" s="24" t="s">
        <v>13808</v>
      </c>
      <c r="H247" s="24"/>
      <c r="I247" s="24" t="s">
        <v>13809</v>
      </c>
      <c r="J247" s="24"/>
      <c r="K247" s="24" t="s">
        <v>13808</v>
      </c>
      <c r="L247" s="24"/>
      <c r="M247" s="24" t="s">
        <v>15494</v>
      </c>
      <c r="N247" s="24" t="s">
        <v>13808</v>
      </c>
      <c r="O247" s="24"/>
      <c r="P247" s="24" t="s">
        <v>13809</v>
      </c>
      <c r="Q247" s="24"/>
      <c r="R247" s="24" t="s">
        <v>13808</v>
      </c>
      <c r="S247" s="24"/>
      <c r="T247" t="s">
        <v>16853</v>
      </c>
      <c r="U247" t="s">
        <v>13809</v>
      </c>
      <c r="W247" t="s">
        <v>13808</v>
      </c>
      <c r="X247" t="s">
        <v>17863</v>
      </c>
      <c r="Y247" t="s">
        <v>13808</v>
      </c>
      <c r="AA247" t="s">
        <v>14971</v>
      </c>
      <c r="AC247" t="s">
        <v>13809</v>
      </c>
      <c r="AH247" t="s">
        <v>13909</v>
      </c>
      <c r="AI247" t="s">
        <v>13808</v>
      </c>
      <c r="AO247" t="s">
        <v>13809</v>
      </c>
      <c r="AU247" t="s">
        <v>13809</v>
      </c>
      <c r="AZ247" t="s">
        <v>14046</v>
      </c>
      <c r="BA247" t="s">
        <v>13808</v>
      </c>
      <c r="BG247" t="s">
        <v>13809</v>
      </c>
      <c r="BL247" t="s">
        <v>14005</v>
      </c>
      <c r="BM247" t="s">
        <v>13808</v>
      </c>
      <c r="BR247" t="s">
        <v>17864</v>
      </c>
      <c r="BT247" t="s">
        <v>13809</v>
      </c>
      <c r="BY247" t="s">
        <v>14265</v>
      </c>
      <c r="BZ247" t="s">
        <v>13808</v>
      </c>
      <c r="CA247" t="s">
        <v>13937</v>
      </c>
      <c r="CF247" t="s">
        <v>13809</v>
      </c>
      <c r="CL247" t="s">
        <v>13809</v>
      </c>
      <c r="CR247" t="s">
        <v>13809</v>
      </c>
      <c r="CT247" t="s">
        <v>17865</v>
      </c>
      <c r="CU247" t="s">
        <v>13909</v>
      </c>
      <c r="CV247" t="s">
        <v>13808</v>
      </c>
      <c r="DA247" t="s">
        <v>13909</v>
      </c>
      <c r="DB247" t="s">
        <v>13808</v>
      </c>
      <c r="DH247" t="s">
        <v>13809</v>
      </c>
      <c r="DM247" t="s">
        <v>13909</v>
      </c>
      <c r="DN247" t="s">
        <v>13808</v>
      </c>
      <c r="DZ247" t="s">
        <v>16025</v>
      </c>
      <c r="EA247" t="s">
        <v>15475</v>
      </c>
      <c r="EC247">
        <v>43480</v>
      </c>
      <c r="ED247" t="s">
        <v>13903</v>
      </c>
      <c r="EE247" t="s">
        <v>5556</v>
      </c>
    </row>
    <row r="248" spans="1:135">
      <c r="A248" t="s">
        <v>2315</v>
      </c>
      <c r="B248" t="s">
        <v>2314</v>
      </c>
      <c r="C248" t="s">
        <v>17866</v>
      </c>
      <c r="D248" s="24">
        <v>44167</v>
      </c>
      <c r="E248" s="24" t="s">
        <v>13558</v>
      </c>
      <c r="F248" s="24" t="s">
        <v>17867</v>
      </c>
      <c r="G248" s="24" t="s">
        <v>13808</v>
      </c>
      <c r="H248" s="24"/>
      <c r="I248" s="24" t="s">
        <v>13809</v>
      </c>
      <c r="J248" s="24"/>
      <c r="K248" s="24" t="s">
        <v>13809</v>
      </c>
      <c r="L248" s="24"/>
      <c r="M248" s="24" t="s">
        <v>14304</v>
      </c>
      <c r="N248" s="24" t="s">
        <v>13808</v>
      </c>
      <c r="O248" s="24"/>
      <c r="P248" s="24" t="s">
        <v>13808</v>
      </c>
      <c r="Q248" s="24"/>
      <c r="R248" s="24" t="s">
        <v>13808</v>
      </c>
      <c r="S248" s="24"/>
      <c r="T248" t="s">
        <v>14071</v>
      </c>
      <c r="U248" t="s">
        <v>13809</v>
      </c>
      <c r="W248" t="s">
        <v>13809</v>
      </c>
      <c r="Y248" t="s">
        <v>13809</v>
      </c>
      <c r="AA248" t="s">
        <v>13814</v>
      </c>
      <c r="AB248" t="s">
        <v>17868</v>
      </c>
      <c r="AC248" t="s">
        <v>13818</v>
      </c>
      <c r="AD248" t="s">
        <v>14414</v>
      </c>
      <c r="AH248" t="s">
        <v>14265</v>
      </c>
      <c r="AI248" t="s">
        <v>13808</v>
      </c>
      <c r="AK248" t="s">
        <v>15280</v>
      </c>
      <c r="AL248" t="s">
        <v>13818</v>
      </c>
      <c r="AM248" t="s">
        <v>14415</v>
      </c>
      <c r="AN248" t="s">
        <v>14367</v>
      </c>
      <c r="AO248" t="s">
        <v>13818</v>
      </c>
      <c r="AP248" t="s">
        <v>14309</v>
      </c>
      <c r="AT248" t="s">
        <v>15276</v>
      </c>
      <c r="AU248" t="s">
        <v>13818</v>
      </c>
      <c r="AV248" t="s">
        <v>14309</v>
      </c>
      <c r="AZ248" t="s">
        <v>14260</v>
      </c>
      <c r="BA248" t="s">
        <v>13818</v>
      </c>
      <c r="BB248" t="s">
        <v>14309</v>
      </c>
      <c r="BF248" t="s">
        <v>17869</v>
      </c>
      <c r="BG248" t="s">
        <v>13808</v>
      </c>
      <c r="BM248" t="s">
        <v>13809</v>
      </c>
      <c r="BR248" t="s">
        <v>17870</v>
      </c>
      <c r="BS248" t="s">
        <v>14265</v>
      </c>
      <c r="BT248" t="s">
        <v>13808</v>
      </c>
      <c r="BU248" t="s">
        <v>14336</v>
      </c>
      <c r="BY248" t="s">
        <v>14265</v>
      </c>
      <c r="BZ248" t="s">
        <v>13808</v>
      </c>
      <c r="CA248" t="s">
        <v>13937</v>
      </c>
      <c r="CE248" t="s">
        <v>14265</v>
      </c>
      <c r="CF248" t="s">
        <v>13808</v>
      </c>
      <c r="CL248" t="s">
        <v>13809</v>
      </c>
      <c r="CR248" t="s">
        <v>13809</v>
      </c>
      <c r="CT248" t="s">
        <v>13830</v>
      </c>
      <c r="CU248" t="s">
        <v>13909</v>
      </c>
      <c r="CV248" t="s">
        <v>13818</v>
      </c>
      <c r="DA248" t="s">
        <v>13909</v>
      </c>
      <c r="DB248" t="s">
        <v>13818</v>
      </c>
      <c r="DG248" t="s">
        <v>13909</v>
      </c>
      <c r="DH248" t="s">
        <v>13818</v>
      </c>
      <c r="DY248" t="s">
        <v>13840</v>
      </c>
      <c r="DZ248" t="s">
        <v>13841</v>
      </c>
      <c r="EA248" t="s">
        <v>13842</v>
      </c>
      <c r="ED248" t="s">
        <v>14276</v>
      </c>
      <c r="EE248" t="s">
        <v>6997</v>
      </c>
    </row>
    <row r="249" spans="1:135">
      <c r="A249" t="s">
        <v>3014</v>
      </c>
      <c r="B249" t="s">
        <v>3013</v>
      </c>
      <c r="C249" t="s">
        <v>17871</v>
      </c>
      <c r="D249" s="24">
        <v>43599</v>
      </c>
      <c r="E249" s="24" t="s">
        <v>13553</v>
      </c>
      <c r="F249" s="24" t="s">
        <v>17872</v>
      </c>
      <c r="G249" s="24" t="s">
        <v>13808</v>
      </c>
      <c r="H249" s="24"/>
      <c r="I249" s="24" t="s">
        <v>13809</v>
      </c>
      <c r="J249" s="24"/>
      <c r="K249" s="24" t="s">
        <v>13808</v>
      </c>
      <c r="L249" s="24"/>
      <c r="M249" s="24" t="s">
        <v>17873</v>
      </c>
      <c r="N249" s="24" t="s">
        <v>13808</v>
      </c>
      <c r="O249" s="24"/>
      <c r="P249" s="24" t="s">
        <v>13808</v>
      </c>
      <c r="Q249" s="24"/>
      <c r="R249" s="24" t="s">
        <v>13808</v>
      </c>
      <c r="S249" s="24"/>
      <c r="T249" t="s">
        <v>17874</v>
      </c>
      <c r="U249" t="s">
        <v>13809</v>
      </c>
      <c r="W249" t="s">
        <v>13808</v>
      </c>
      <c r="X249" t="s">
        <v>15319</v>
      </c>
      <c r="Y249" t="s">
        <v>13808</v>
      </c>
      <c r="Z249" t="s">
        <v>17875</v>
      </c>
      <c r="AA249" t="s">
        <v>13877</v>
      </c>
      <c r="AC249" t="s">
        <v>13809</v>
      </c>
      <c r="AH249" t="s">
        <v>13909</v>
      </c>
      <c r="AI249" t="s">
        <v>13808</v>
      </c>
      <c r="AN249" t="s">
        <v>13880</v>
      </c>
      <c r="AO249" t="s">
        <v>13808</v>
      </c>
      <c r="AT249" t="s">
        <v>17876</v>
      </c>
      <c r="AU249" t="s">
        <v>13808</v>
      </c>
      <c r="AZ249" t="s">
        <v>17877</v>
      </c>
      <c r="BA249" t="s">
        <v>13808</v>
      </c>
      <c r="BF249" t="s">
        <v>13894</v>
      </c>
      <c r="BG249" t="s">
        <v>13808</v>
      </c>
      <c r="BM249" t="s">
        <v>13809</v>
      </c>
      <c r="BR249" t="s">
        <v>17878</v>
      </c>
      <c r="BS249" t="s">
        <v>13885</v>
      </c>
      <c r="BT249" t="s">
        <v>13808</v>
      </c>
      <c r="BU249" t="s">
        <v>14515</v>
      </c>
      <c r="BY249" t="s">
        <v>13887</v>
      </c>
      <c r="BZ249" t="s">
        <v>13808</v>
      </c>
      <c r="CA249" t="s">
        <v>17879</v>
      </c>
      <c r="CE249" t="s">
        <v>13887</v>
      </c>
      <c r="CF249" t="s">
        <v>13808</v>
      </c>
      <c r="CG249" t="s">
        <v>17880</v>
      </c>
      <c r="CL249" t="s">
        <v>13809</v>
      </c>
      <c r="CR249" t="s">
        <v>13809</v>
      </c>
      <c r="CT249" t="s">
        <v>17881</v>
      </c>
      <c r="CU249" t="s">
        <v>17882</v>
      </c>
      <c r="CV249" t="s">
        <v>13808</v>
      </c>
      <c r="CX249" t="s">
        <v>14544</v>
      </c>
      <c r="CY249" t="s">
        <v>13818</v>
      </c>
      <c r="CZ249" t="s">
        <v>17883</v>
      </c>
      <c r="DA249" t="s">
        <v>17884</v>
      </c>
      <c r="DB249" t="s">
        <v>13808</v>
      </c>
      <c r="DC249" t="s">
        <v>17885</v>
      </c>
      <c r="DD249" t="s">
        <v>14433</v>
      </c>
      <c r="DE249" t="s">
        <v>14262</v>
      </c>
      <c r="DF249" t="s">
        <v>17883</v>
      </c>
      <c r="DG249" t="s">
        <v>17886</v>
      </c>
      <c r="DH249" t="s">
        <v>13808</v>
      </c>
      <c r="DI249" t="s">
        <v>17887</v>
      </c>
      <c r="DJ249" t="s">
        <v>17888</v>
      </c>
      <c r="DK249" t="s">
        <v>13808</v>
      </c>
      <c r="DL249" t="s">
        <v>14947</v>
      </c>
      <c r="DM249" t="s">
        <v>17889</v>
      </c>
      <c r="DN249" t="s">
        <v>13808</v>
      </c>
      <c r="DO249" t="s">
        <v>16111</v>
      </c>
      <c r="DP249" t="s">
        <v>17890</v>
      </c>
      <c r="DQ249" t="s">
        <v>13818</v>
      </c>
      <c r="DR249" t="s">
        <v>17891</v>
      </c>
      <c r="DY249" t="s">
        <v>13900</v>
      </c>
      <c r="DZ249" t="s">
        <v>17892</v>
      </c>
      <c r="EA249" t="s">
        <v>17893</v>
      </c>
      <c r="EC249">
        <v>44054</v>
      </c>
      <c r="ED249" t="s">
        <v>14501</v>
      </c>
      <c r="EE249" t="s">
        <v>7723</v>
      </c>
    </row>
    <row r="250" spans="1:135">
      <c r="A250" t="s">
        <v>3018</v>
      </c>
      <c r="B250" t="s">
        <v>3013</v>
      </c>
      <c r="C250" t="s">
        <v>17894</v>
      </c>
      <c r="D250" s="24">
        <v>43655</v>
      </c>
      <c r="E250" s="24" t="s">
        <v>13553</v>
      </c>
      <c r="F250" s="24" t="s">
        <v>17895</v>
      </c>
      <c r="G250" s="24" t="s">
        <v>13808</v>
      </c>
      <c r="H250" s="24"/>
      <c r="I250" s="24" t="s">
        <v>13809</v>
      </c>
      <c r="J250" s="24"/>
      <c r="K250" s="24" t="s">
        <v>13808</v>
      </c>
      <c r="L250" s="24"/>
      <c r="M250" s="24" t="s">
        <v>17896</v>
      </c>
      <c r="N250" s="24" t="s">
        <v>13808</v>
      </c>
      <c r="O250" s="24"/>
      <c r="P250" s="24" t="s">
        <v>13808</v>
      </c>
      <c r="Q250" s="24"/>
      <c r="R250" s="24" t="s">
        <v>13808</v>
      </c>
      <c r="S250" s="24"/>
      <c r="T250" t="s">
        <v>17897</v>
      </c>
      <c r="U250" t="s">
        <v>13809</v>
      </c>
      <c r="W250" t="s">
        <v>13808</v>
      </c>
      <c r="X250" t="s">
        <v>17898</v>
      </c>
      <c r="Y250" t="s">
        <v>13808</v>
      </c>
      <c r="AA250" t="s">
        <v>17899</v>
      </c>
      <c r="AB250" t="s">
        <v>17041</v>
      </c>
      <c r="AC250" t="s">
        <v>13808</v>
      </c>
      <c r="AH250" t="s">
        <v>13909</v>
      </c>
      <c r="AI250" t="s">
        <v>13808</v>
      </c>
      <c r="AN250" t="s">
        <v>16047</v>
      </c>
      <c r="AO250" t="s">
        <v>13808</v>
      </c>
      <c r="AT250" t="s">
        <v>17900</v>
      </c>
      <c r="AU250" t="s">
        <v>13808</v>
      </c>
      <c r="AZ250" t="s">
        <v>14192</v>
      </c>
      <c r="BA250" t="s">
        <v>13808</v>
      </c>
      <c r="BF250" t="s">
        <v>14046</v>
      </c>
      <c r="BG250" t="s">
        <v>13808</v>
      </c>
      <c r="BM250" t="s">
        <v>13809</v>
      </c>
      <c r="BR250" t="s">
        <v>17901</v>
      </c>
      <c r="BS250" t="s">
        <v>13885</v>
      </c>
      <c r="BT250" t="s">
        <v>13808</v>
      </c>
      <c r="BU250" t="s">
        <v>17902</v>
      </c>
      <c r="BY250" t="s">
        <v>14265</v>
      </c>
      <c r="BZ250" t="s">
        <v>13808</v>
      </c>
      <c r="CA250" t="s">
        <v>17218</v>
      </c>
      <c r="CE250" t="s">
        <v>14265</v>
      </c>
      <c r="CF250" t="s">
        <v>13808</v>
      </c>
      <c r="CL250" t="s">
        <v>13809</v>
      </c>
      <c r="CR250" t="s">
        <v>13809</v>
      </c>
      <c r="CT250" t="s">
        <v>17903</v>
      </c>
      <c r="CU250" t="s">
        <v>17904</v>
      </c>
      <c r="CV250" t="s">
        <v>13808</v>
      </c>
      <c r="DA250" t="s">
        <v>17905</v>
      </c>
      <c r="DB250" t="s">
        <v>13808</v>
      </c>
      <c r="DG250" t="s">
        <v>14416</v>
      </c>
      <c r="DH250" t="s">
        <v>13808</v>
      </c>
      <c r="DM250" t="s">
        <v>17906</v>
      </c>
      <c r="DN250" t="s">
        <v>13808</v>
      </c>
      <c r="DO250" t="s">
        <v>17907</v>
      </c>
      <c r="DP250" t="s">
        <v>17908</v>
      </c>
      <c r="DQ250" t="s">
        <v>13808</v>
      </c>
      <c r="DZ250" t="s">
        <v>17909</v>
      </c>
      <c r="EA250" t="s">
        <v>17910</v>
      </c>
      <c r="ED250" t="s">
        <v>14501</v>
      </c>
      <c r="EE250" t="s">
        <v>7727</v>
      </c>
    </row>
    <row r="251" spans="1:135">
      <c r="A251" t="s">
        <v>2862</v>
      </c>
      <c r="B251" t="s">
        <v>2861</v>
      </c>
      <c r="C251" t="s">
        <v>17911</v>
      </c>
      <c r="D251" s="24">
        <v>43123</v>
      </c>
      <c r="E251" s="24" t="s">
        <v>13555</v>
      </c>
      <c r="F251" s="24" t="s">
        <v>17912</v>
      </c>
      <c r="G251" s="24" t="s">
        <v>13808</v>
      </c>
      <c r="H251" s="24"/>
      <c r="I251" s="24" t="s">
        <v>13809</v>
      </c>
      <c r="J251" s="24"/>
      <c r="K251" s="24" t="s">
        <v>13808</v>
      </c>
      <c r="L251" s="24"/>
      <c r="M251" s="24" t="s">
        <v>15494</v>
      </c>
      <c r="N251" s="24" t="s">
        <v>13808</v>
      </c>
      <c r="O251" s="24"/>
      <c r="P251" s="24" t="s">
        <v>13808</v>
      </c>
      <c r="Q251" s="24"/>
      <c r="R251" s="24" t="s">
        <v>13818</v>
      </c>
      <c r="S251" s="24"/>
      <c r="T251" t="s">
        <v>17913</v>
      </c>
      <c r="U251" t="s">
        <v>13808</v>
      </c>
      <c r="W251" t="s">
        <v>13808</v>
      </c>
      <c r="X251" t="s">
        <v>17914</v>
      </c>
      <c r="Y251" t="s">
        <v>13808</v>
      </c>
      <c r="AA251" t="s">
        <v>14971</v>
      </c>
      <c r="AB251" t="s">
        <v>17915</v>
      </c>
      <c r="AC251" t="s">
        <v>13808</v>
      </c>
      <c r="AH251" t="s">
        <v>13909</v>
      </c>
      <c r="AI251" t="s">
        <v>13808</v>
      </c>
      <c r="AO251" t="s">
        <v>13809</v>
      </c>
      <c r="AT251" t="s">
        <v>15212</v>
      </c>
      <c r="AU251" t="s">
        <v>13808</v>
      </c>
      <c r="AZ251" t="s">
        <v>17916</v>
      </c>
      <c r="BA251" t="s">
        <v>13808</v>
      </c>
      <c r="BF251" t="s">
        <v>13882</v>
      </c>
      <c r="BG251" t="s">
        <v>13808</v>
      </c>
      <c r="BL251" t="s">
        <v>13878</v>
      </c>
      <c r="BM251" t="s">
        <v>13808</v>
      </c>
      <c r="BR251" t="s">
        <v>17917</v>
      </c>
      <c r="BS251" t="s">
        <v>14265</v>
      </c>
      <c r="BT251" t="s">
        <v>13808</v>
      </c>
      <c r="BU251" t="s">
        <v>14836</v>
      </c>
      <c r="BY251" t="s">
        <v>13887</v>
      </c>
      <c r="BZ251" t="s">
        <v>13808</v>
      </c>
      <c r="CA251" t="s">
        <v>17918</v>
      </c>
      <c r="CE251" t="s">
        <v>13887</v>
      </c>
      <c r="CF251" t="s">
        <v>13808</v>
      </c>
      <c r="CL251" t="s">
        <v>13809</v>
      </c>
      <c r="CR251" t="s">
        <v>13809</v>
      </c>
      <c r="CT251" t="s">
        <v>17919</v>
      </c>
      <c r="CU251" t="s">
        <v>17920</v>
      </c>
      <c r="CV251" t="s">
        <v>13808</v>
      </c>
      <c r="CX251" t="s">
        <v>15197</v>
      </c>
      <c r="CY251" t="s">
        <v>13818</v>
      </c>
      <c r="DA251" t="s">
        <v>17921</v>
      </c>
      <c r="DB251" t="s">
        <v>13808</v>
      </c>
      <c r="DD251" t="s">
        <v>15197</v>
      </c>
      <c r="DE251" t="s">
        <v>13818</v>
      </c>
      <c r="DG251" t="s">
        <v>13909</v>
      </c>
      <c r="DH251" t="s">
        <v>13818</v>
      </c>
      <c r="DM251" t="s">
        <v>15197</v>
      </c>
      <c r="DN251" t="s">
        <v>13808</v>
      </c>
      <c r="DZ251" t="s">
        <v>17922</v>
      </c>
      <c r="EA251" t="s">
        <v>17923</v>
      </c>
      <c r="EB251" t="s">
        <v>17924</v>
      </c>
      <c r="EC251">
        <v>43480</v>
      </c>
      <c r="ED251" t="s">
        <v>13903</v>
      </c>
      <c r="EE251" t="s">
        <v>7495</v>
      </c>
    </row>
    <row r="252" spans="1:135">
      <c r="A252" t="s">
        <v>3022</v>
      </c>
      <c r="B252" t="s">
        <v>3013</v>
      </c>
      <c r="C252" t="s">
        <v>17925</v>
      </c>
      <c r="D252" s="24">
        <v>43599</v>
      </c>
      <c r="E252" s="24" t="s">
        <v>13553</v>
      </c>
      <c r="F252" s="24" t="s">
        <v>17926</v>
      </c>
      <c r="G252" s="24" t="s">
        <v>13808</v>
      </c>
      <c r="H252" s="24"/>
      <c r="I252" s="24" t="s">
        <v>13809</v>
      </c>
      <c r="J252" s="24"/>
      <c r="K252" s="24" t="s">
        <v>13808</v>
      </c>
      <c r="L252" s="24" t="s">
        <v>17927</v>
      </c>
      <c r="M252" s="24" t="s">
        <v>17928</v>
      </c>
      <c r="N252" s="24" t="s">
        <v>13818</v>
      </c>
      <c r="O252" s="24" t="s">
        <v>17929</v>
      </c>
      <c r="P252" s="24" t="s">
        <v>13808</v>
      </c>
      <c r="Q252" s="24"/>
      <c r="R252" s="24" t="s">
        <v>13808</v>
      </c>
      <c r="S252" s="24"/>
      <c r="T252" t="s">
        <v>14034</v>
      </c>
      <c r="U252" t="s">
        <v>13809</v>
      </c>
      <c r="W252" t="s">
        <v>13808</v>
      </c>
      <c r="X252" t="s">
        <v>17930</v>
      </c>
      <c r="Y252" t="s">
        <v>13808</v>
      </c>
      <c r="AA252" t="s">
        <v>13877</v>
      </c>
      <c r="AC252" t="s">
        <v>13809</v>
      </c>
      <c r="AH252" t="s">
        <v>13909</v>
      </c>
      <c r="AI252" t="s">
        <v>13808</v>
      </c>
      <c r="AO252" t="s">
        <v>13809</v>
      </c>
      <c r="AT252" t="s">
        <v>17931</v>
      </c>
      <c r="AU252" t="s">
        <v>13897</v>
      </c>
      <c r="AZ252" t="s">
        <v>14192</v>
      </c>
      <c r="BA252" t="s">
        <v>13897</v>
      </c>
      <c r="BF252" t="s">
        <v>16368</v>
      </c>
      <c r="BG252" t="s">
        <v>13808</v>
      </c>
      <c r="BM252" t="s">
        <v>13809</v>
      </c>
      <c r="BR252" t="s">
        <v>17932</v>
      </c>
      <c r="BS252" t="s">
        <v>13885</v>
      </c>
      <c r="BT252" t="s">
        <v>13808</v>
      </c>
      <c r="BU252" t="s">
        <v>14025</v>
      </c>
      <c r="BY252" t="s">
        <v>13887</v>
      </c>
      <c r="BZ252" t="s">
        <v>13808</v>
      </c>
      <c r="CA252" t="s">
        <v>13888</v>
      </c>
      <c r="CE252" t="s">
        <v>13887</v>
      </c>
      <c r="CF252" t="s">
        <v>13808</v>
      </c>
      <c r="CL252" t="s">
        <v>13809</v>
      </c>
      <c r="CR252" t="s">
        <v>13809</v>
      </c>
      <c r="CT252" t="s">
        <v>17933</v>
      </c>
      <c r="CU252" t="s">
        <v>17934</v>
      </c>
      <c r="CV252" t="s">
        <v>13808</v>
      </c>
      <c r="DA252" t="s">
        <v>17935</v>
      </c>
      <c r="DB252" t="s">
        <v>13808</v>
      </c>
      <c r="DD252" t="s">
        <v>17936</v>
      </c>
      <c r="DE252" t="s">
        <v>14262</v>
      </c>
      <c r="DF252" t="s">
        <v>17937</v>
      </c>
      <c r="DG252" t="s">
        <v>17938</v>
      </c>
      <c r="DH252" t="s">
        <v>13808</v>
      </c>
      <c r="DI252" t="s">
        <v>13893</v>
      </c>
      <c r="DJ252" t="s">
        <v>13894</v>
      </c>
      <c r="DK252" t="s">
        <v>13808</v>
      </c>
      <c r="DL252" t="s">
        <v>13895</v>
      </c>
      <c r="DM252" t="s">
        <v>17939</v>
      </c>
      <c r="DN252" t="s">
        <v>13808</v>
      </c>
      <c r="DY252" t="s">
        <v>13900</v>
      </c>
      <c r="DZ252" t="s">
        <v>17940</v>
      </c>
      <c r="EA252" t="s">
        <v>17941</v>
      </c>
      <c r="ED252" t="s">
        <v>14501</v>
      </c>
      <c r="EE252" t="s">
        <v>7731</v>
      </c>
    </row>
    <row r="253" spans="1:135">
      <c r="A253" t="s">
        <v>2694</v>
      </c>
      <c r="B253" t="s">
        <v>2693</v>
      </c>
      <c r="C253" t="s">
        <v>17942</v>
      </c>
      <c r="D253" s="24">
        <v>43398</v>
      </c>
      <c r="E253" s="24" t="s">
        <v>13558</v>
      </c>
      <c r="F253" s="24" t="s">
        <v>17943</v>
      </c>
      <c r="G253" s="24" t="s">
        <v>13808</v>
      </c>
      <c r="H253" s="24"/>
      <c r="I253" s="24" t="s">
        <v>13809</v>
      </c>
      <c r="J253" s="24"/>
      <c r="K253" s="24" t="s">
        <v>13809</v>
      </c>
      <c r="L253" s="24"/>
      <c r="M253" s="24" t="s">
        <v>17944</v>
      </c>
      <c r="N253" s="24" t="s">
        <v>13808</v>
      </c>
      <c r="O253" s="24" t="s">
        <v>17945</v>
      </c>
      <c r="P253" s="24" t="s">
        <v>13808</v>
      </c>
      <c r="Q253" s="24"/>
      <c r="R253" s="24" t="s">
        <v>13818</v>
      </c>
      <c r="S253" s="24"/>
      <c r="T253" t="s">
        <v>15806</v>
      </c>
      <c r="U253" t="s">
        <v>13808</v>
      </c>
      <c r="W253" t="s">
        <v>13809</v>
      </c>
      <c r="Y253" t="s">
        <v>13809</v>
      </c>
      <c r="AA253" t="s">
        <v>17946</v>
      </c>
      <c r="AB253" t="s">
        <v>17947</v>
      </c>
      <c r="AC253" t="s">
        <v>13808</v>
      </c>
      <c r="AE253" t="s">
        <v>17948</v>
      </c>
      <c r="AF253" t="s">
        <v>13818</v>
      </c>
      <c r="AH253" t="s">
        <v>13887</v>
      </c>
      <c r="AI253" t="s">
        <v>13808</v>
      </c>
      <c r="AK253" t="s">
        <v>14004</v>
      </c>
      <c r="AL253" t="s">
        <v>13818</v>
      </c>
      <c r="AN253" t="s">
        <v>17949</v>
      </c>
      <c r="AO253" t="s">
        <v>13818</v>
      </c>
      <c r="AT253" t="s">
        <v>14432</v>
      </c>
      <c r="AU253" t="s">
        <v>13818</v>
      </c>
      <c r="AZ253" t="s">
        <v>16078</v>
      </c>
      <c r="BA253" t="s">
        <v>13808</v>
      </c>
      <c r="BF253" t="s">
        <v>14039</v>
      </c>
      <c r="BG253" t="s">
        <v>13808</v>
      </c>
      <c r="BL253" t="s">
        <v>14685</v>
      </c>
      <c r="BM253" t="s">
        <v>13818</v>
      </c>
      <c r="BR253" t="s">
        <v>17950</v>
      </c>
      <c r="BS253" t="s">
        <v>13887</v>
      </c>
      <c r="BT253" t="s">
        <v>13808</v>
      </c>
      <c r="BU253" t="s">
        <v>17951</v>
      </c>
      <c r="BY253" t="s">
        <v>13887</v>
      </c>
      <c r="BZ253" t="s">
        <v>13808</v>
      </c>
      <c r="CA253" t="s">
        <v>17952</v>
      </c>
      <c r="CE253" t="s">
        <v>13885</v>
      </c>
      <c r="CF253" t="s">
        <v>13818</v>
      </c>
      <c r="CG253" t="s">
        <v>17953</v>
      </c>
      <c r="CL253" t="s">
        <v>13809</v>
      </c>
      <c r="CR253" t="s">
        <v>13809</v>
      </c>
      <c r="CT253" t="s">
        <v>16531</v>
      </c>
      <c r="CU253" t="s">
        <v>13909</v>
      </c>
      <c r="CV253" t="s">
        <v>13818</v>
      </c>
      <c r="DA253" t="s">
        <v>13887</v>
      </c>
      <c r="DB253" t="s">
        <v>13808</v>
      </c>
      <c r="DD253" t="s">
        <v>14004</v>
      </c>
      <c r="DE253" t="s">
        <v>13818</v>
      </c>
      <c r="DG253" t="s">
        <v>13909</v>
      </c>
      <c r="DH253" t="s">
        <v>13818</v>
      </c>
      <c r="DY253" t="s">
        <v>15296</v>
      </c>
      <c r="DZ253" t="s">
        <v>15943</v>
      </c>
      <c r="EA253" t="s">
        <v>17954</v>
      </c>
      <c r="EC253">
        <v>43480</v>
      </c>
      <c r="ED253" t="s">
        <v>13903</v>
      </c>
      <c r="EE253" t="s">
        <v>7361</v>
      </c>
    </row>
    <row r="254" spans="1:135">
      <c r="A254" t="s">
        <v>2927</v>
      </c>
      <c r="B254" t="s">
        <v>2926</v>
      </c>
      <c r="C254" t="s">
        <v>17955</v>
      </c>
      <c r="D254" s="24">
        <v>43047</v>
      </c>
      <c r="E254" s="24" t="s">
        <v>13557</v>
      </c>
      <c r="F254" s="24" t="s">
        <v>17956</v>
      </c>
      <c r="G254" s="24" t="s">
        <v>13808</v>
      </c>
      <c r="H254" s="24"/>
      <c r="I254" s="24" t="s">
        <v>13809</v>
      </c>
      <c r="J254" s="24"/>
      <c r="K254" s="24" t="s">
        <v>13808</v>
      </c>
      <c r="L254" s="24" t="s">
        <v>17957</v>
      </c>
      <c r="M254" s="24" t="s">
        <v>15021</v>
      </c>
      <c r="N254" s="24" t="s">
        <v>13808</v>
      </c>
      <c r="O254" s="24"/>
      <c r="P254" s="24" t="s">
        <v>13808</v>
      </c>
      <c r="Q254" s="24"/>
      <c r="R254" s="24" t="s">
        <v>13808</v>
      </c>
      <c r="S254" s="24"/>
      <c r="T254" t="s">
        <v>14034</v>
      </c>
      <c r="U254" t="s">
        <v>13809</v>
      </c>
      <c r="W254" t="s">
        <v>13808</v>
      </c>
      <c r="X254" t="s">
        <v>17958</v>
      </c>
      <c r="Y254" t="s">
        <v>13808</v>
      </c>
      <c r="AA254" t="s">
        <v>16563</v>
      </c>
      <c r="AB254" t="s">
        <v>17959</v>
      </c>
      <c r="AC254" t="s">
        <v>13808</v>
      </c>
      <c r="AH254" t="s">
        <v>13909</v>
      </c>
      <c r="AI254" t="s">
        <v>13808</v>
      </c>
      <c r="AN254" t="s">
        <v>17960</v>
      </c>
      <c r="AO254" t="s">
        <v>13808</v>
      </c>
      <c r="AT254" t="s">
        <v>17961</v>
      </c>
      <c r="AU254" t="s">
        <v>13808</v>
      </c>
      <c r="AZ254" t="s">
        <v>17962</v>
      </c>
      <c r="BA254" t="s">
        <v>13808</v>
      </c>
      <c r="BF254" t="s">
        <v>17963</v>
      </c>
      <c r="BG254" t="s">
        <v>13808</v>
      </c>
      <c r="BL254" t="s">
        <v>17964</v>
      </c>
      <c r="BM254" t="s">
        <v>13808</v>
      </c>
      <c r="BR254" t="s">
        <v>17965</v>
      </c>
      <c r="BS254" t="s">
        <v>13887</v>
      </c>
      <c r="BT254" t="s">
        <v>13808</v>
      </c>
      <c r="BU254" t="s">
        <v>17966</v>
      </c>
      <c r="BY254" t="s">
        <v>13887</v>
      </c>
      <c r="BZ254" t="s">
        <v>13808</v>
      </c>
      <c r="CA254" t="s">
        <v>13888</v>
      </c>
      <c r="CE254" t="s">
        <v>13887</v>
      </c>
      <c r="CF254" t="s">
        <v>13808</v>
      </c>
      <c r="CK254" t="s">
        <v>13887</v>
      </c>
      <c r="CL254" t="s">
        <v>13808</v>
      </c>
      <c r="CR254" t="s">
        <v>13809</v>
      </c>
      <c r="CT254" t="s">
        <v>17967</v>
      </c>
      <c r="CU254" t="s">
        <v>17968</v>
      </c>
      <c r="CV254" t="s">
        <v>13808</v>
      </c>
      <c r="CX254" t="s">
        <v>17969</v>
      </c>
      <c r="CY254" t="s">
        <v>13818</v>
      </c>
      <c r="CZ254" t="s">
        <v>17970</v>
      </c>
      <c r="DA254" t="s">
        <v>17971</v>
      </c>
      <c r="DB254" t="s">
        <v>13808</v>
      </c>
      <c r="DD254" t="s">
        <v>14706</v>
      </c>
      <c r="DE254" t="s">
        <v>13818</v>
      </c>
      <c r="DF254" t="s">
        <v>17972</v>
      </c>
      <c r="DG254" t="s">
        <v>17973</v>
      </c>
      <c r="DH254" t="s">
        <v>13808</v>
      </c>
      <c r="DJ254" t="s">
        <v>17974</v>
      </c>
      <c r="DK254" t="s">
        <v>13818</v>
      </c>
      <c r="DL254" t="s">
        <v>17972</v>
      </c>
      <c r="DM254" t="s">
        <v>15824</v>
      </c>
      <c r="DN254" t="s">
        <v>13818</v>
      </c>
      <c r="DZ254" t="s">
        <v>14274</v>
      </c>
      <c r="EA254" t="s">
        <v>14627</v>
      </c>
      <c r="EC254">
        <v>43726</v>
      </c>
      <c r="ED254" t="s">
        <v>13903</v>
      </c>
      <c r="EE254" t="s">
        <v>7606</v>
      </c>
    </row>
    <row r="255" spans="1:135">
      <c r="A255" t="s">
        <v>2234</v>
      </c>
      <c r="B255" t="s">
        <v>2232</v>
      </c>
      <c r="C255" t="s">
        <v>17975</v>
      </c>
      <c r="D255" s="24">
        <v>43606</v>
      </c>
      <c r="E255" s="24" t="s">
        <v>13560</v>
      </c>
      <c r="F255" s="24" t="s">
        <v>17976</v>
      </c>
      <c r="G255" s="24" t="s">
        <v>13808</v>
      </c>
      <c r="H255" s="24"/>
      <c r="I255" s="24" t="s">
        <v>13809</v>
      </c>
      <c r="J255" s="24"/>
      <c r="K255" s="24" t="s">
        <v>13808</v>
      </c>
      <c r="L255" s="24" t="s">
        <v>17977</v>
      </c>
      <c r="M255" s="24" t="s">
        <v>17978</v>
      </c>
      <c r="N255" s="24" t="s">
        <v>13808</v>
      </c>
      <c r="O255" s="24"/>
      <c r="P255" s="24" t="s">
        <v>13818</v>
      </c>
      <c r="Q255" s="24"/>
      <c r="R255" s="24" t="s">
        <v>13808</v>
      </c>
      <c r="S255" s="24"/>
      <c r="T255" t="s">
        <v>17979</v>
      </c>
      <c r="U255" t="s">
        <v>13809</v>
      </c>
      <c r="W255" t="s">
        <v>13809</v>
      </c>
      <c r="Y255" t="s">
        <v>13808</v>
      </c>
      <c r="AA255" t="s">
        <v>17980</v>
      </c>
      <c r="AC255" t="s">
        <v>13809</v>
      </c>
      <c r="AH255" t="s">
        <v>13887</v>
      </c>
      <c r="AI255" t="s">
        <v>13808</v>
      </c>
      <c r="AK255" t="s">
        <v>17303</v>
      </c>
      <c r="AL255" t="s">
        <v>13818</v>
      </c>
      <c r="AM255" t="s">
        <v>14415</v>
      </c>
      <c r="AO255" t="s">
        <v>13809</v>
      </c>
      <c r="AT255" t="s">
        <v>14704</v>
      </c>
      <c r="AU255" t="s">
        <v>13818</v>
      </c>
      <c r="AV255" t="s">
        <v>14415</v>
      </c>
      <c r="AZ255" t="s">
        <v>17981</v>
      </c>
      <c r="BA255" t="s">
        <v>13818</v>
      </c>
      <c r="BB255" t="s">
        <v>14415</v>
      </c>
      <c r="BF255" t="s">
        <v>17982</v>
      </c>
      <c r="BG255" t="s">
        <v>13808</v>
      </c>
      <c r="BH255" t="s">
        <v>14415</v>
      </c>
      <c r="BM255" t="s">
        <v>13809</v>
      </c>
      <c r="BR255" t="s">
        <v>17983</v>
      </c>
      <c r="BS255" t="s">
        <v>13887</v>
      </c>
      <c r="BT255" t="s">
        <v>13808</v>
      </c>
      <c r="BU255" t="s">
        <v>17984</v>
      </c>
      <c r="BY255" t="s">
        <v>13887</v>
      </c>
      <c r="BZ255" t="s">
        <v>13808</v>
      </c>
      <c r="CA255" t="s">
        <v>13888</v>
      </c>
      <c r="CE255" t="s">
        <v>14197</v>
      </c>
      <c r="CF255" t="s">
        <v>13818</v>
      </c>
      <c r="CG255" t="s">
        <v>14415</v>
      </c>
      <c r="CL255" t="s">
        <v>13809</v>
      </c>
      <c r="CR255" t="s">
        <v>13809</v>
      </c>
      <c r="CT255" t="s">
        <v>17985</v>
      </c>
      <c r="CU255" t="s">
        <v>17986</v>
      </c>
      <c r="CV255" t="s">
        <v>13808</v>
      </c>
      <c r="CX255" t="s">
        <v>17987</v>
      </c>
      <c r="CY255" t="s">
        <v>13818</v>
      </c>
      <c r="CZ255" t="s">
        <v>17988</v>
      </c>
      <c r="DA255" t="s">
        <v>17989</v>
      </c>
      <c r="DB255" t="s">
        <v>13808</v>
      </c>
      <c r="DD255" t="s">
        <v>17990</v>
      </c>
      <c r="DE255" t="s">
        <v>14262</v>
      </c>
      <c r="DF255" t="s">
        <v>17988</v>
      </c>
      <c r="DG255" t="s">
        <v>17991</v>
      </c>
      <c r="DH255" t="s">
        <v>14262</v>
      </c>
      <c r="DI255" t="s">
        <v>17992</v>
      </c>
      <c r="DM255" t="s">
        <v>17993</v>
      </c>
      <c r="DN255" t="s">
        <v>13818</v>
      </c>
      <c r="DO255" t="s">
        <v>17994</v>
      </c>
      <c r="DP255" t="s">
        <v>17995</v>
      </c>
      <c r="DQ255" t="s">
        <v>13818</v>
      </c>
      <c r="DR255" t="s">
        <v>17996</v>
      </c>
      <c r="DY255" t="s">
        <v>13900</v>
      </c>
      <c r="DZ255" t="s">
        <v>14696</v>
      </c>
      <c r="EA255" t="s">
        <v>13902</v>
      </c>
      <c r="ED255" t="s">
        <v>14501</v>
      </c>
      <c r="EE255" t="s">
        <v>6911</v>
      </c>
    </row>
    <row r="256" spans="1:135">
      <c r="A256" t="s">
        <v>10931</v>
      </c>
      <c r="B256" t="s">
        <v>2232</v>
      </c>
      <c r="C256" t="s">
        <v>17997</v>
      </c>
      <c r="D256" s="24">
        <v>44594</v>
      </c>
      <c r="E256" s="24" t="s">
        <v>13561</v>
      </c>
      <c r="F256" s="24" t="s">
        <v>17998</v>
      </c>
      <c r="G256" s="24" t="s">
        <v>13818</v>
      </c>
      <c r="H256" s="24" t="s">
        <v>17999</v>
      </c>
      <c r="I256" s="24" t="s">
        <v>13809</v>
      </c>
      <c r="J256" s="24"/>
      <c r="K256" s="24" t="s">
        <v>13809</v>
      </c>
      <c r="L256" s="24"/>
      <c r="M256" s="24" t="s">
        <v>15106</v>
      </c>
      <c r="N256" s="24" t="s">
        <v>13808</v>
      </c>
      <c r="O256" s="24"/>
      <c r="P256" s="24" t="s">
        <v>13808</v>
      </c>
      <c r="Q256" s="24"/>
      <c r="R256" s="24" t="s">
        <v>13808</v>
      </c>
      <c r="S256" s="24"/>
      <c r="T256" t="s">
        <v>14071</v>
      </c>
      <c r="U256" t="s">
        <v>13809</v>
      </c>
      <c r="W256" t="s">
        <v>13809</v>
      </c>
      <c r="Y256" t="s">
        <v>13809</v>
      </c>
      <c r="AA256" t="s">
        <v>17512</v>
      </c>
      <c r="AB256" t="s">
        <v>18000</v>
      </c>
      <c r="AC256" t="s">
        <v>13818</v>
      </c>
      <c r="AD256" t="s">
        <v>14309</v>
      </c>
      <c r="AH256" t="s">
        <v>13851</v>
      </c>
      <c r="AI256" t="s">
        <v>13818</v>
      </c>
      <c r="AJ256" t="s">
        <v>14309</v>
      </c>
      <c r="AN256" t="s">
        <v>18001</v>
      </c>
      <c r="AO256" t="s">
        <v>13818</v>
      </c>
      <c r="AP256" t="s">
        <v>14309</v>
      </c>
      <c r="AT256" t="s">
        <v>13717</v>
      </c>
      <c r="AU256" t="s">
        <v>13809</v>
      </c>
      <c r="AZ256" t="s">
        <v>18002</v>
      </c>
      <c r="BA256" t="s">
        <v>13818</v>
      </c>
      <c r="BB256" t="s">
        <v>14309</v>
      </c>
      <c r="BF256" t="s">
        <v>18003</v>
      </c>
      <c r="BG256" t="s">
        <v>13818</v>
      </c>
      <c r="BH256" t="s">
        <v>14309</v>
      </c>
      <c r="BL256" t="s">
        <v>18004</v>
      </c>
      <c r="BM256" t="s">
        <v>13818</v>
      </c>
      <c r="BN256" t="s">
        <v>14309</v>
      </c>
      <c r="BR256" t="s">
        <v>18005</v>
      </c>
      <c r="BS256" t="s">
        <v>13824</v>
      </c>
      <c r="BT256" t="s">
        <v>13818</v>
      </c>
      <c r="BU256" t="s">
        <v>14233</v>
      </c>
      <c r="BY256" t="s">
        <v>13860</v>
      </c>
      <c r="BZ256" t="s">
        <v>13818</v>
      </c>
      <c r="CA256" t="s">
        <v>16646</v>
      </c>
      <c r="CE256" t="s">
        <v>18006</v>
      </c>
      <c r="CF256" t="s">
        <v>13818</v>
      </c>
      <c r="CK256" t="s">
        <v>14581</v>
      </c>
      <c r="CL256" t="s">
        <v>13818</v>
      </c>
      <c r="CQ256" t="s">
        <v>13766</v>
      </c>
      <c r="CR256" t="s">
        <v>13809</v>
      </c>
      <c r="CT256" t="s">
        <v>13830</v>
      </c>
      <c r="CU256" t="s">
        <v>15268</v>
      </c>
      <c r="CV256" t="s">
        <v>13818</v>
      </c>
      <c r="DA256" t="s">
        <v>15063</v>
      </c>
      <c r="DB256" t="s">
        <v>13818</v>
      </c>
      <c r="DG256" t="s">
        <v>14240</v>
      </c>
      <c r="DH256" t="s">
        <v>13818</v>
      </c>
      <c r="DY256" t="s">
        <v>13840</v>
      </c>
      <c r="DZ256" t="s">
        <v>13841</v>
      </c>
      <c r="EA256" t="s">
        <v>13842</v>
      </c>
      <c r="EC256">
        <v>44602</v>
      </c>
      <c r="ED256" t="s">
        <v>14590</v>
      </c>
      <c r="EE256" t="s">
        <v>13594</v>
      </c>
    </row>
    <row r="257" spans="1:135">
      <c r="A257" t="s">
        <v>2241</v>
      </c>
      <c r="B257" t="s">
        <v>2232</v>
      </c>
      <c r="C257" t="s">
        <v>18007</v>
      </c>
      <c r="D257" s="24">
        <v>43606</v>
      </c>
      <c r="E257" s="24" t="s">
        <v>13560</v>
      </c>
      <c r="F257" s="24" t="s">
        <v>18008</v>
      </c>
      <c r="G257" s="24" t="s">
        <v>13808</v>
      </c>
      <c r="H257" s="24"/>
      <c r="I257" s="24" t="s">
        <v>13809</v>
      </c>
      <c r="J257" s="24"/>
      <c r="K257" s="24" t="s">
        <v>13808</v>
      </c>
      <c r="L257" s="24" t="s">
        <v>18009</v>
      </c>
      <c r="M257" s="24" t="s">
        <v>18010</v>
      </c>
      <c r="N257" s="24" t="s">
        <v>13808</v>
      </c>
      <c r="O257" s="24"/>
      <c r="P257" s="24" t="s">
        <v>13818</v>
      </c>
      <c r="Q257" s="24" t="s">
        <v>18011</v>
      </c>
      <c r="R257" s="24" t="s">
        <v>13808</v>
      </c>
      <c r="S257" s="24"/>
      <c r="T257" t="s">
        <v>14071</v>
      </c>
      <c r="U257" t="s">
        <v>13809</v>
      </c>
      <c r="W257" t="s">
        <v>13809</v>
      </c>
      <c r="Z257" t="s">
        <v>13809</v>
      </c>
      <c r="AA257" t="s">
        <v>18012</v>
      </c>
      <c r="AB257" t="s">
        <v>17041</v>
      </c>
      <c r="AC257" t="s">
        <v>13818</v>
      </c>
      <c r="AH257" t="s">
        <v>13887</v>
      </c>
      <c r="AI257" t="s">
        <v>13808</v>
      </c>
      <c r="AK257" t="s">
        <v>14004</v>
      </c>
      <c r="AL257" t="s">
        <v>13818</v>
      </c>
      <c r="AN257" t="s">
        <v>14370</v>
      </c>
      <c r="AO257" t="s">
        <v>13818</v>
      </c>
      <c r="AT257" t="s">
        <v>18013</v>
      </c>
      <c r="AU257" t="s">
        <v>13818</v>
      </c>
      <c r="AZ257" t="s">
        <v>18014</v>
      </c>
      <c r="BA257" t="s">
        <v>13818</v>
      </c>
      <c r="BF257" t="s">
        <v>14039</v>
      </c>
      <c r="BG257" t="s">
        <v>13808</v>
      </c>
      <c r="BM257" t="s">
        <v>13809</v>
      </c>
      <c r="BR257" t="s">
        <v>18015</v>
      </c>
      <c r="BS257" t="s">
        <v>13887</v>
      </c>
      <c r="BT257" t="s">
        <v>13808</v>
      </c>
      <c r="BU257" t="s">
        <v>17902</v>
      </c>
      <c r="BY257" t="s">
        <v>13887</v>
      </c>
      <c r="BZ257" t="s">
        <v>13808</v>
      </c>
      <c r="CA257" t="s">
        <v>17218</v>
      </c>
      <c r="CE257" t="s">
        <v>13887</v>
      </c>
      <c r="CF257" t="s">
        <v>13808</v>
      </c>
      <c r="CL257" t="s">
        <v>13809</v>
      </c>
      <c r="CR257" t="s">
        <v>13809</v>
      </c>
      <c r="CT257" t="s">
        <v>18016</v>
      </c>
      <c r="CU257" t="s">
        <v>14022</v>
      </c>
      <c r="CV257" t="s">
        <v>13808</v>
      </c>
      <c r="CX257" t="s">
        <v>14004</v>
      </c>
      <c r="CY257" t="s">
        <v>13818</v>
      </c>
      <c r="DA257" t="s">
        <v>14059</v>
      </c>
      <c r="DB257" t="s">
        <v>13808</v>
      </c>
      <c r="DD257" t="s">
        <v>14004</v>
      </c>
      <c r="DE257" t="s">
        <v>13818</v>
      </c>
      <c r="DG257" t="s">
        <v>13909</v>
      </c>
      <c r="DH257" t="s">
        <v>13818</v>
      </c>
      <c r="DM257" t="s">
        <v>18017</v>
      </c>
      <c r="DN257" t="s">
        <v>13818</v>
      </c>
      <c r="DO257" t="s">
        <v>18018</v>
      </c>
      <c r="DP257" t="s">
        <v>18019</v>
      </c>
      <c r="DQ257" t="s">
        <v>13818</v>
      </c>
      <c r="DR257" t="s">
        <v>18020</v>
      </c>
      <c r="DZ257" t="s">
        <v>18021</v>
      </c>
      <c r="EA257" t="s">
        <v>18022</v>
      </c>
      <c r="ED257" t="s">
        <v>14501</v>
      </c>
      <c r="EE257" t="s">
        <v>6916</v>
      </c>
    </row>
    <row r="258" spans="1:135">
      <c r="A258" t="s">
        <v>2245</v>
      </c>
      <c r="B258" t="s">
        <v>2232</v>
      </c>
      <c r="C258" t="s">
        <v>18023</v>
      </c>
      <c r="D258" s="24">
        <v>44622</v>
      </c>
      <c r="E258" s="24" t="s">
        <v>13555</v>
      </c>
      <c r="F258" s="24" t="s">
        <v>18024</v>
      </c>
      <c r="G258" s="24" t="s">
        <v>13808</v>
      </c>
      <c r="H258" s="24"/>
      <c r="I258" s="24" t="s">
        <v>13809</v>
      </c>
      <c r="J258" s="24"/>
      <c r="K258" s="24" t="s">
        <v>13808</v>
      </c>
      <c r="L258" s="24"/>
      <c r="M258" s="24" t="s">
        <v>18025</v>
      </c>
      <c r="N258" s="24" t="s">
        <v>13808</v>
      </c>
      <c r="O258" s="24"/>
      <c r="P258" s="24" t="s">
        <v>13808</v>
      </c>
      <c r="Q258" s="24" t="s">
        <v>18026</v>
      </c>
      <c r="R258" s="24" t="s">
        <v>13808</v>
      </c>
      <c r="S258" s="24"/>
      <c r="T258" t="s">
        <v>18027</v>
      </c>
      <c r="U258" t="s">
        <v>13809</v>
      </c>
      <c r="W258" t="s">
        <v>13808</v>
      </c>
      <c r="X258" t="s">
        <v>18028</v>
      </c>
      <c r="Y258" t="s">
        <v>13808</v>
      </c>
      <c r="AA258" t="s">
        <v>18029</v>
      </c>
      <c r="AB258" t="s">
        <v>18030</v>
      </c>
      <c r="AC258" t="s">
        <v>13808</v>
      </c>
      <c r="AH258" t="s">
        <v>18031</v>
      </c>
      <c r="AI258" t="s">
        <v>13808</v>
      </c>
      <c r="AN258" t="s">
        <v>18032</v>
      </c>
      <c r="AO258" t="s">
        <v>13808</v>
      </c>
      <c r="AT258" t="s">
        <v>18033</v>
      </c>
      <c r="AU258" t="s">
        <v>13808</v>
      </c>
      <c r="AZ258" t="s">
        <v>18034</v>
      </c>
      <c r="BA258" t="s">
        <v>13808</v>
      </c>
      <c r="BF258" t="s">
        <v>14577</v>
      </c>
      <c r="BG258" t="s">
        <v>13808</v>
      </c>
      <c r="BL258" t="s">
        <v>18035</v>
      </c>
      <c r="BM258" t="s">
        <v>13808</v>
      </c>
      <c r="BR258" t="s">
        <v>18036</v>
      </c>
      <c r="BS258" t="s">
        <v>13858</v>
      </c>
      <c r="BT258" t="s">
        <v>13808</v>
      </c>
      <c r="BU258" t="s">
        <v>18037</v>
      </c>
      <c r="BY258" t="s">
        <v>13860</v>
      </c>
      <c r="BZ258" t="s">
        <v>13808</v>
      </c>
      <c r="CA258" t="s">
        <v>18038</v>
      </c>
      <c r="CE258" t="s">
        <v>13828</v>
      </c>
      <c r="CF258" t="s">
        <v>13808</v>
      </c>
      <c r="CK258" t="s">
        <v>13760</v>
      </c>
      <c r="CL258" t="s">
        <v>13809</v>
      </c>
      <c r="CQ258" t="s">
        <v>13766</v>
      </c>
      <c r="CR258" t="s">
        <v>13809</v>
      </c>
      <c r="CT258" t="s">
        <v>18039</v>
      </c>
      <c r="CU258" t="s">
        <v>18040</v>
      </c>
      <c r="CV258" t="s">
        <v>13808</v>
      </c>
      <c r="CX258" t="s">
        <v>18041</v>
      </c>
      <c r="CY258" t="s">
        <v>13818</v>
      </c>
      <c r="DA258" t="s">
        <v>18042</v>
      </c>
      <c r="DB258" t="s">
        <v>13808</v>
      </c>
      <c r="DD258" t="s">
        <v>18041</v>
      </c>
      <c r="DE258" t="s">
        <v>13818</v>
      </c>
      <c r="DG258" t="s">
        <v>18043</v>
      </c>
      <c r="DH258" t="s">
        <v>13808</v>
      </c>
      <c r="DM258" t="s">
        <v>18044</v>
      </c>
      <c r="DN258" t="s">
        <v>13808</v>
      </c>
      <c r="DP258" t="s">
        <v>18045</v>
      </c>
      <c r="DQ258" t="s">
        <v>13818</v>
      </c>
      <c r="DY258" t="s">
        <v>13840</v>
      </c>
      <c r="DZ258" t="s">
        <v>18046</v>
      </c>
      <c r="EA258" t="s">
        <v>13842</v>
      </c>
      <c r="EC258">
        <v>44628</v>
      </c>
      <c r="ED258" t="s">
        <v>14590</v>
      </c>
      <c r="EE258" t="s">
        <v>6920</v>
      </c>
    </row>
    <row r="259" spans="1:135">
      <c r="A259" t="s">
        <v>2932</v>
      </c>
      <c r="B259" t="s">
        <v>2926</v>
      </c>
      <c r="C259" t="s">
        <v>18047</v>
      </c>
      <c r="D259" s="24">
        <v>42688</v>
      </c>
      <c r="E259" s="24" t="s">
        <v>13560</v>
      </c>
      <c r="F259" s="24" t="s">
        <v>18048</v>
      </c>
      <c r="G259" s="24" t="s">
        <v>13808</v>
      </c>
      <c r="H259" s="24"/>
      <c r="I259" s="24" t="s">
        <v>13808</v>
      </c>
      <c r="J259" s="24" t="s">
        <v>18049</v>
      </c>
      <c r="K259" s="24" t="s">
        <v>13809</v>
      </c>
      <c r="L259" s="24"/>
      <c r="M259" s="24" t="s">
        <v>14504</v>
      </c>
      <c r="N259" s="24" t="s">
        <v>13808</v>
      </c>
      <c r="O259" s="24"/>
      <c r="P259" s="24" t="s">
        <v>13808</v>
      </c>
      <c r="Q259" s="24"/>
      <c r="R259" s="24" t="s">
        <v>13808</v>
      </c>
      <c r="S259" s="24"/>
      <c r="T259" t="s">
        <v>14000</v>
      </c>
      <c r="U259" t="s">
        <v>13809</v>
      </c>
      <c r="W259" t="s">
        <v>13809</v>
      </c>
      <c r="Y259" t="s">
        <v>13809</v>
      </c>
      <c r="AA259" t="s">
        <v>18050</v>
      </c>
      <c r="AB259" t="s">
        <v>18051</v>
      </c>
      <c r="AC259" t="s">
        <v>13808</v>
      </c>
      <c r="AH259" t="s">
        <v>13887</v>
      </c>
      <c r="AI259" t="s">
        <v>13808</v>
      </c>
      <c r="AN259" t="s">
        <v>16078</v>
      </c>
      <c r="AO259" t="s">
        <v>13808</v>
      </c>
      <c r="AQ259" t="s">
        <v>18052</v>
      </c>
      <c r="AR259" t="s">
        <v>13818</v>
      </c>
      <c r="AT259" t="s">
        <v>18053</v>
      </c>
      <c r="AU259" t="s">
        <v>13818</v>
      </c>
      <c r="AV259" t="s">
        <v>14309</v>
      </c>
      <c r="AZ259" t="s">
        <v>18054</v>
      </c>
      <c r="BA259" t="s">
        <v>13808</v>
      </c>
      <c r="BC259" t="s">
        <v>16788</v>
      </c>
      <c r="BD259" t="s">
        <v>13818</v>
      </c>
      <c r="BE259" t="s">
        <v>14309</v>
      </c>
      <c r="BF259" t="s">
        <v>14192</v>
      </c>
      <c r="BG259" t="s">
        <v>13808</v>
      </c>
      <c r="BI259" t="s">
        <v>17868</v>
      </c>
      <c r="BJ259" t="s">
        <v>13818</v>
      </c>
      <c r="BK259" t="s">
        <v>14309</v>
      </c>
      <c r="BM259" t="s">
        <v>13809</v>
      </c>
      <c r="BR259" t="s">
        <v>18055</v>
      </c>
      <c r="BS259" t="s">
        <v>13887</v>
      </c>
      <c r="BT259" t="s">
        <v>13808</v>
      </c>
      <c r="BY259" t="s">
        <v>13887</v>
      </c>
      <c r="BZ259" t="s">
        <v>13808</v>
      </c>
      <c r="CA259" t="s">
        <v>16940</v>
      </c>
      <c r="CE259" t="s">
        <v>13887</v>
      </c>
      <c r="CF259" t="s">
        <v>13808</v>
      </c>
      <c r="CL259" t="s">
        <v>13809</v>
      </c>
      <c r="CR259" t="s">
        <v>13809</v>
      </c>
      <c r="CT259" t="s">
        <v>16540</v>
      </c>
      <c r="CU259" t="s">
        <v>14046</v>
      </c>
      <c r="CV259" t="s">
        <v>13808</v>
      </c>
      <c r="DA259" t="s">
        <v>13892</v>
      </c>
      <c r="DB259" t="s">
        <v>13808</v>
      </c>
      <c r="DG259" t="s">
        <v>14007</v>
      </c>
      <c r="DH259" t="s">
        <v>13818</v>
      </c>
      <c r="DY259" t="s">
        <v>15296</v>
      </c>
      <c r="DZ259" t="s">
        <v>18056</v>
      </c>
      <c r="EA259" t="s">
        <v>18057</v>
      </c>
      <c r="EC259">
        <v>43480</v>
      </c>
      <c r="ED259" t="s">
        <v>13903</v>
      </c>
      <c r="EE259" t="s">
        <v>7610</v>
      </c>
    </row>
    <row r="260" spans="1:135">
      <c r="A260" t="s">
        <v>2319</v>
      </c>
      <c r="B260" t="s">
        <v>2314</v>
      </c>
      <c r="C260" t="s">
        <v>18058</v>
      </c>
      <c r="D260" s="24">
        <v>42691</v>
      </c>
      <c r="E260" s="24" t="s">
        <v>13555</v>
      </c>
      <c r="F260" s="24" t="s">
        <v>18059</v>
      </c>
      <c r="G260" s="24" t="s">
        <v>13808</v>
      </c>
      <c r="H260" s="24"/>
      <c r="I260" s="24" t="s">
        <v>13809</v>
      </c>
      <c r="J260" s="24"/>
      <c r="K260" s="24" t="s">
        <v>13808</v>
      </c>
      <c r="L260" s="24"/>
      <c r="M260" s="24" t="s">
        <v>18060</v>
      </c>
      <c r="N260" s="24" t="s">
        <v>13808</v>
      </c>
      <c r="O260" s="24"/>
      <c r="P260" s="24" t="s">
        <v>13808</v>
      </c>
      <c r="Q260" s="24"/>
      <c r="R260" s="24" t="s">
        <v>13808</v>
      </c>
      <c r="S260" s="24"/>
      <c r="T260" t="s">
        <v>18061</v>
      </c>
      <c r="U260" t="s">
        <v>13808</v>
      </c>
      <c r="W260" t="s">
        <v>13808</v>
      </c>
      <c r="X260" t="s">
        <v>18062</v>
      </c>
      <c r="Y260" t="s">
        <v>13809</v>
      </c>
      <c r="AA260" t="s">
        <v>18063</v>
      </c>
      <c r="AB260" t="s">
        <v>18064</v>
      </c>
      <c r="AC260" t="s">
        <v>13808</v>
      </c>
      <c r="AH260" t="s">
        <v>13909</v>
      </c>
      <c r="AI260" t="s">
        <v>13808</v>
      </c>
      <c r="AO260" t="s">
        <v>13809</v>
      </c>
      <c r="AT260" t="s">
        <v>13910</v>
      </c>
      <c r="AU260" t="s">
        <v>13808</v>
      </c>
      <c r="AZ260" t="s">
        <v>18065</v>
      </c>
      <c r="BA260" t="s">
        <v>13808</v>
      </c>
      <c r="BF260" t="s">
        <v>18066</v>
      </c>
      <c r="BG260" t="s">
        <v>13808</v>
      </c>
      <c r="BM260" t="s">
        <v>13809</v>
      </c>
      <c r="BR260" t="s">
        <v>18067</v>
      </c>
      <c r="BS260" t="s">
        <v>13887</v>
      </c>
      <c r="BT260" t="s">
        <v>13808</v>
      </c>
      <c r="BY260" t="s">
        <v>14265</v>
      </c>
      <c r="BZ260" t="s">
        <v>13808</v>
      </c>
      <c r="CA260" t="s">
        <v>13937</v>
      </c>
      <c r="CE260" t="s">
        <v>13887</v>
      </c>
      <c r="CF260" t="s">
        <v>13808</v>
      </c>
      <c r="CL260" t="s">
        <v>13809</v>
      </c>
      <c r="CR260" t="s">
        <v>13809</v>
      </c>
      <c r="CT260" t="s">
        <v>18068</v>
      </c>
      <c r="CU260" t="s">
        <v>13909</v>
      </c>
      <c r="CV260" t="s">
        <v>13808</v>
      </c>
      <c r="DA260" t="s">
        <v>13909</v>
      </c>
      <c r="DB260" t="s">
        <v>13808</v>
      </c>
      <c r="DG260" t="s">
        <v>13909</v>
      </c>
      <c r="DH260" t="s">
        <v>13818</v>
      </c>
      <c r="DY260" t="s">
        <v>13840</v>
      </c>
      <c r="DZ260" t="s">
        <v>18069</v>
      </c>
      <c r="EA260" t="s">
        <v>14275</v>
      </c>
      <c r="EC260">
        <v>44484</v>
      </c>
      <c r="ED260" t="s">
        <v>13903</v>
      </c>
      <c r="EE260" t="s">
        <v>7011</v>
      </c>
    </row>
    <row r="261" spans="1:135">
      <c r="A261" t="s">
        <v>2253</v>
      </c>
      <c r="B261" t="s">
        <v>2232</v>
      </c>
      <c r="C261" t="s">
        <v>18070</v>
      </c>
      <c r="D261" s="24">
        <v>44054</v>
      </c>
      <c r="E261" s="24" t="s">
        <v>13558</v>
      </c>
      <c r="F261" s="24" t="s">
        <v>18071</v>
      </c>
      <c r="G261" s="24" t="s">
        <v>13808</v>
      </c>
      <c r="H261" s="24"/>
      <c r="I261" s="24" t="s">
        <v>13809</v>
      </c>
      <c r="J261" s="24"/>
      <c r="K261" s="24" t="s">
        <v>13809</v>
      </c>
      <c r="L261" s="24"/>
      <c r="M261" s="24" t="s">
        <v>18072</v>
      </c>
      <c r="N261" s="24" t="s">
        <v>13808</v>
      </c>
      <c r="O261" s="24"/>
      <c r="P261" s="24" t="s">
        <v>13808</v>
      </c>
      <c r="Q261" s="24"/>
      <c r="R261" s="24" t="s">
        <v>13808</v>
      </c>
      <c r="S261" s="24" t="s">
        <v>18073</v>
      </c>
      <c r="T261" t="s">
        <v>14450</v>
      </c>
      <c r="U261" t="s">
        <v>13809</v>
      </c>
      <c r="W261" t="s">
        <v>13809</v>
      </c>
      <c r="Y261" t="s">
        <v>13809</v>
      </c>
      <c r="AA261" t="s">
        <v>18074</v>
      </c>
      <c r="AB261" t="s">
        <v>16346</v>
      </c>
      <c r="AC261" t="s">
        <v>13818</v>
      </c>
      <c r="AH261" t="s">
        <v>13887</v>
      </c>
      <c r="AI261" t="s">
        <v>13808</v>
      </c>
      <c r="AK261" t="s">
        <v>14004</v>
      </c>
      <c r="AL261" t="s">
        <v>13818</v>
      </c>
      <c r="AN261" t="s">
        <v>13809</v>
      </c>
      <c r="AT261" t="s">
        <v>14432</v>
      </c>
      <c r="AU261" t="s">
        <v>13808</v>
      </c>
      <c r="AZ261" t="s">
        <v>15883</v>
      </c>
      <c r="BA261" t="s">
        <v>13808</v>
      </c>
      <c r="BF261" t="s">
        <v>18075</v>
      </c>
      <c r="BG261" t="s">
        <v>13808</v>
      </c>
      <c r="BL261" t="s">
        <v>15837</v>
      </c>
      <c r="BM261" t="s">
        <v>14262</v>
      </c>
      <c r="BR261" t="s">
        <v>16122</v>
      </c>
      <c r="BS261" t="s">
        <v>13887</v>
      </c>
      <c r="BT261" t="s">
        <v>13808</v>
      </c>
      <c r="BU261" t="s">
        <v>14233</v>
      </c>
      <c r="BY261" t="s">
        <v>13887</v>
      </c>
      <c r="BZ261" t="s">
        <v>13808</v>
      </c>
      <c r="CE261" t="s">
        <v>13887</v>
      </c>
      <c r="CF261" t="s">
        <v>13808</v>
      </c>
      <c r="CK261" t="s">
        <v>13809</v>
      </c>
      <c r="CR261" t="s">
        <v>13809</v>
      </c>
      <c r="CT261" t="s">
        <v>14459</v>
      </c>
      <c r="CU261" t="s">
        <v>18076</v>
      </c>
      <c r="CV261" t="s">
        <v>13818</v>
      </c>
      <c r="DA261" t="s">
        <v>18077</v>
      </c>
      <c r="DB261" t="s">
        <v>13818</v>
      </c>
      <c r="DG261" t="s">
        <v>18078</v>
      </c>
      <c r="DH261" t="s">
        <v>13818</v>
      </c>
      <c r="DM261" t="s">
        <v>18079</v>
      </c>
      <c r="DN261" t="s">
        <v>13818</v>
      </c>
      <c r="DO261" t="s">
        <v>14947</v>
      </c>
      <c r="DY261" t="s">
        <v>13840</v>
      </c>
      <c r="DZ261" t="s">
        <v>13970</v>
      </c>
      <c r="EA261" t="s">
        <v>13970</v>
      </c>
      <c r="ED261" t="s">
        <v>14276</v>
      </c>
      <c r="EE261" t="s">
        <v>6926</v>
      </c>
    </row>
    <row r="262" spans="1:135">
      <c r="A262" t="s">
        <v>2939</v>
      </c>
      <c r="B262" t="s">
        <v>2926</v>
      </c>
      <c r="C262" t="s">
        <v>18080</v>
      </c>
      <c r="D262" s="24">
        <v>44750</v>
      </c>
      <c r="E262" s="24" t="s">
        <v>13559</v>
      </c>
      <c r="F262" s="24" t="s">
        <v>18081</v>
      </c>
      <c r="G262" s="24" t="s">
        <v>13808</v>
      </c>
      <c r="H262" s="24"/>
      <c r="I262" s="24" t="s">
        <v>13809</v>
      </c>
      <c r="J262" s="24"/>
      <c r="K262" s="24" t="s">
        <v>13809</v>
      </c>
      <c r="L262" s="24"/>
      <c r="M262" s="24" t="s">
        <v>18082</v>
      </c>
      <c r="N262" s="24" t="s">
        <v>13808</v>
      </c>
      <c r="O262" s="24"/>
      <c r="P262" s="24" t="s">
        <v>13808</v>
      </c>
      <c r="Q262" s="24"/>
      <c r="R262" s="24" t="s">
        <v>13808</v>
      </c>
      <c r="S262" s="24"/>
      <c r="T262" t="s">
        <v>18083</v>
      </c>
      <c r="U262" t="s">
        <v>13809</v>
      </c>
      <c r="W262" t="s">
        <v>13808</v>
      </c>
      <c r="X262" t="s">
        <v>18084</v>
      </c>
      <c r="Y262" t="s">
        <v>13809</v>
      </c>
      <c r="AA262" t="s">
        <v>15259</v>
      </c>
      <c r="AB262" t="s">
        <v>13699</v>
      </c>
      <c r="AC262" t="s">
        <v>13809</v>
      </c>
      <c r="AH262" t="s">
        <v>13851</v>
      </c>
      <c r="AI262" t="s">
        <v>13808</v>
      </c>
      <c r="AN262" t="s">
        <v>18085</v>
      </c>
      <c r="AO262" t="s">
        <v>13808</v>
      </c>
      <c r="AT262" t="s">
        <v>18086</v>
      </c>
      <c r="AU262" t="s">
        <v>13808</v>
      </c>
      <c r="AZ262" t="s">
        <v>18087</v>
      </c>
      <c r="BA262" t="s">
        <v>13808</v>
      </c>
      <c r="BF262" t="s">
        <v>18088</v>
      </c>
      <c r="BG262" t="s">
        <v>13808</v>
      </c>
      <c r="BL262" t="s">
        <v>13735</v>
      </c>
      <c r="BM262" t="s">
        <v>13809</v>
      </c>
      <c r="BR262" t="s">
        <v>18089</v>
      </c>
      <c r="BY262" t="s">
        <v>17284</v>
      </c>
      <c r="BZ262" t="s">
        <v>15174</v>
      </c>
      <c r="CA262" t="s">
        <v>13937</v>
      </c>
      <c r="CE262" t="s">
        <v>13754</v>
      </c>
      <c r="CF262" t="s">
        <v>13809</v>
      </c>
      <c r="CK262" t="s">
        <v>13760</v>
      </c>
      <c r="CL262" t="s">
        <v>13809</v>
      </c>
      <c r="CQ262" t="s">
        <v>13766</v>
      </c>
      <c r="CR262" t="s">
        <v>13809</v>
      </c>
      <c r="CT262" t="s">
        <v>18090</v>
      </c>
      <c r="CU262" t="s">
        <v>18091</v>
      </c>
      <c r="CV262" t="s">
        <v>13808</v>
      </c>
      <c r="CW262" t="s">
        <v>18092</v>
      </c>
      <c r="CX262" t="s">
        <v>18093</v>
      </c>
      <c r="CY262" t="s">
        <v>13818</v>
      </c>
      <c r="DA262" t="s">
        <v>18094</v>
      </c>
      <c r="DB262" t="s">
        <v>13808</v>
      </c>
      <c r="DC262" t="s">
        <v>18092</v>
      </c>
      <c r="DD262" t="s">
        <v>18095</v>
      </c>
      <c r="DE262" t="s">
        <v>13818</v>
      </c>
      <c r="DG262" t="s">
        <v>14240</v>
      </c>
      <c r="DH262" t="s">
        <v>13818</v>
      </c>
      <c r="DY262" t="s">
        <v>13840</v>
      </c>
      <c r="DZ262" t="s">
        <v>14923</v>
      </c>
      <c r="EA262" t="s">
        <v>13842</v>
      </c>
      <c r="EC262">
        <v>44754</v>
      </c>
      <c r="ED262" t="s">
        <v>14298</v>
      </c>
      <c r="EE262" t="s">
        <v>7616</v>
      </c>
    </row>
    <row r="263" spans="1:135">
      <c r="A263" t="s">
        <v>10955</v>
      </c>
      <c r="B263" t="s">
        <v>2314</v>
      </c>
      <c r="C263" t="s">
        <v>18096</v>
      </c>
      <c r="D263" s="24">
        <v>45058</v>
      </c>
      <c r="E263" s="24" t="s">
        <v>13561</v>
      </c>
      <c r="F263" s="24" t="s">
        <v>18097</v>
      </c>
      <c r="G263" s="24" t="s">
        <v>13818</v>
      </c>
      <c r="H263" s="24" t="s">
        <v>16051</v>
      </c>
      <c r="I263" s="24" t="s">
        <v>13809</v>
      </c>
      <c r="J263" s="24"/>
      <c r="K263" s="24" t="s">
        <v>13809</v>
      </c>
      <c r="L263" s="24"/>
      <c r="M263" s="24" t="s">
        <v>18098</v>
      </c>
      <c r="N263" s="24" t="s">
        <v>13818</v>
      </c>
      <c r="O263" s="24"/>
      <c r="P263" s="24" t="s">
        <v>13818</v>
      </c>
      <c r="Q263" s="24"/>
      <c r="R263" s="24" t="s">
        <v>13818</v>
      </c>
      <c r="S263" s="24" t="s">
        <v>13819</v>
      </c>
      <c r="T263" t="s">
        <v>18099</v>
      </c>
      <c r="U263" t="s">
        <v>13809</v>
      </c>
      <c r="W263" t="s">
        <v>13809</v>
      </c>
      <c r="Y263" t="s">
        <v>13809</v>
      </c>
      <c r="AA263" t="s">
        <v>17460</v>
      </c>
      <c r="AB263" t="s">
        <v>18100</v>
      </c>
      <c r="AC263" t="s">
        <v>13818</v>
      </c>
      <c r="AD263" t="s">
        <v>13819</v>
      </c>
      <c r="AH263" t="s">
        <v>16902</v>
      </c>
      <c r="AI263" t="s">
        <v>13818</v>
      </c>
      <c r="AJ263" t="s">
        <v>13819</v>
      </c>
      <c r="AN263" t="s">
        <v>18101</v>
      </c>
      <c r="AO263" t="s">
        <v>13818</v>
      </c>
      <c r="AP263" t="s">
        <v>13819</v>
      </c>
      <c r="AT263" t="s">
        <v>13717</v>
      </c>
      <c r="AU263" t="s">
        <v>13809</v>
      </c>
      <c r="AZ263" t="s">
        <v>18102</v>
      </c>
      <c r="BA263" t="s">
        <v>13818</v>
      </c>
      <c r="BB263" t="s">
        <v>13819</v>
      </c>
      <c r="BF263" t="s">
        <v>18103</v>
      </c>
      <c r="BG263" t="s">
        <v>13818</v>
      </c>
      <c r="BH263" t="s">
        <v>13819</v>
      </c>
      <c r="BL263" t="s">
        <v>18104</v>
      </c>
      <c r="BM263" t="s">
        <v>13818</v>
      </c>
      <c r="BN263" t="s">
        <v>13819</v>
      </c>
      <c r="BR263" t="s">
        <v>18105</v>
      </c>
      <c r="BS263" t="s">
        <v>13824</v>
      </c>
      <c r="BT263" t="s">
        <v>13818</v>
      </c>
      <c r="BU263" t="s">
        <v>16420</v>
      </c>
      <c r="BY263" t="s">
        <v>13860</v>
      </c>
      <c r="BZ263" t="s">
        <v>13818</v>
      </c>
      <c r="CA263" t="s">
        <v>14780</v>
      </c>
      <c r="CE263" t="s">
        <v>18106</v>
      </c>
      <c r="CF263" t="s">
        <v>13818</v>
      </c>
      <c r="CG263" t="s">
        <v>13819</v>
      </c>
      <c r="CK263" t="s">
        <v>13760</v>
      </c>
      <c r="CL263" t="s">
        <v>13809</v>
      </c>
      <c r="CQ263" t="s">
        <v>13766</v>
      </c>
      <c r="CR263" t="s">
        <v>13809</v>
      </c>
      <c r="CT263" t="s">
        <v>18107</v>
      </c>
      <c r="CU263" t="s">
        <v>18108</v>
      </c>
      <c r="CV263" t="s">
        <v>13808</v>
      </c>
      <c r="CW263" t="s">
        <v>13819</v>
      </c>
      <c r="CX263" t="s">
        <v>18109</v>
      </c>
      <c r="CY263" t="s">
        <v>13818</v>
      </c>
      <c r="DA263" t="s">
        <v>18110</v>
      </c>
      <c r="DB263" t="s">
        <v>13808</v>
      </c>
      <c r="DC263" t="s">
        <v>13819</v>
      </c>
      <c r="DG263" t="s">
        <v>18111</v>
      </c>
      <c r="DH263" t="s">
        <v>13808</v>
      </c>
      <c r="DI263" t="s">
        <v>13819</v>
      </c>
      <c r="DJ263" t="s">
        <v>18112</v>
      </c>
      <c r="DK263" t="s">
        <v>13818</v>
      </c>
      <c r="DM263" t="s">
        <v>18113</v>
      </c>
      <c r="DN263" t="s">
        <v>13818</v>
      </c>
      <c r="DY263" t="s">
        <v>15364</v>
      </c>
      <c r="DZ263" t="s">
        <v>18114</v>
      </c>
      <c r="EA263" t="s">
        <v>18115</v>
      </c>
      <c r="EC263">
        <v>45064</v>
      </c>
      <c r="ED263" t="s">
        <v>13843</v>
      </c>
      <c r="EE263" t="s">
        <v>18116</v>
      </c>
    </row>
    <row r="264" spans="1:135">
      <c r="A264" t="s">
        <v>10964</v>
      </c>
      <c r="B264" t="s">
        <v>2314</v>
      </c>
      <c r="C264" t="s">
        <v>18117</v>
      </c>
      <c r="D264" s="24">
        <v>45134</v>
      </c>
      <c r="E264" s="24" t="s">
        <v>13561</v>
      </c>
      <c r="F264" s="24" t="s">
        <v>18118</v>
      </c>
      <c r="G264" s="24" t="s">
        <v>13818</v>
      </c>
      <c r="H264" s="24" t="s">
        <v>18119</v>
      </c>
      <c r="I264" s="24" t="s">
        <v>13809</v>
      </c>
      <c r="J264" s="24" t="s">
        <v>18120</v>
      </c>
      <c r="K264" s="24" t="s">
        <v>13809</v>
      </c>
      <c r="L264" s="24" t="s">
        <v>18121</v>
      </c>
      <c r="M264" s="24" t="s">
        <v>18122</v>
      </c>
      <c r="N264" s="24" t="s">
        <v>13818</v>
      </c>
      <c r="O264" s="24" t="s">
        <v>13819</v>
      </c>
      <c r="P264" s="24" t="s">
        <v>13818</v>
      </c>
      <c r="Q264" s="24" t="s">
        <v>13819</v>
      </c>
      <c r="R264" s="24" t="s">
        <v>13818</v>
      </c>
      <c r="S264" s="24" t="s">
        <v>13819</v>
      </c>
      <c r="T264" t="s">
        <v>18123</v>
      </c>
      <c r="U264" t="s">
        <v>13809</v>
      </c>
      <c r="W264" t="s">
        <v>13809</v>
      </c>
      <c r="Y264" t="s">
        <v>13809</v>
      </c>
      <c r="AA264" t="s">
        <v>17460</v>
      </c>
      <c r="AB264" t="s">
        <v>18124</v>
      </c>
      <c r="AC264" t="s">
        <v>13818</v>
      </c>
      <c r="AD264" t="s">
        <v>13819</v>
      </c>
      <c r="AH264" t="s">
        <v>14098</v>
      </c>
      <c r="AI264" t="s">
        <v>13818</v>
      </c>
      <c r="AJ264" t="s">
        <v>13819</v>
      </c>
      <c r="AN264" t="s">
        <v>18125</v>
      </c>
      <c r="AO264" t="s">
        <v>13809</v>
      </c>
      <c r="AT264" t="s">
        <v>14891</v>
      </c>
      <c r="AU264" t="s">
        <v>13818</v>
      </c>
      <c r="AV264" t="s">
        <v>13819</v>
      </c>
      <c r="AZ264" t="s">
        <v>15092</v>
      </c>
      <c r="BA264" t="s">
        <v>13818</v>
      </c>
      <c r="BB264" t="s">
        <v>13819</v>
      </c>
      <c r="BF264" t="s">
        <v>14910</v>
      </c>
      <c r="BG264" t="s">
        <v>13818</v>
      </c>
      <c r="BH264" t="s">
        <v>13819</v>
      </c>
      <c r="BL264" t="s">
        <v>13735</v>
      </c>
      <c r="BM264" t="s">
        <v>13809</v>
      </c>
      <c r="BR264" t="s">
        <v>18126</v>
      </c>
      <c r="BS264" t="s">
        <v>13824</v>
      </c>
      <c r="BT264" t="s">
        <v>13818</v>
      </c>
      <c r="BU264" t="s">
        <v>14105</v>
      </c>
      <c r="BY264" t="s">
        <v>13860</v>
      </c>
      <c r="BZ264" t="s">
        <v>13818</v>
      </c>
      <c r="CA264" t="s">
        <v>14107</v>
      </c>
      <c r="CE264" t="s">
        <v>14292</v>
      </c>
      <c r="CF264" t="s">
        <v>13818</v>
      </c>
      <c r="CG264" t="s">
        <v>17575</v>
      </c>
      <c r="CK264" t="s">
        <v>13760</v>
      </c>
      <c r="CL264" t="s">
        <v>13809</v>
      </c>
      <c r="CQ264" t="s">
        <v>13766</v>
      </c>
      <c r="CR264" t="s">
        <v>13809</v>
      </c>
      <c r="CT264" t="s">
        <v>14781</v>
      </c>
      <c r="CU264" t="s">
        <v>15268</v>
      </c>
      <c r="CV264" t="s">
        <v>13818</v>
      </c>
      <c r="DA264" t="s">
        <v>15063</v>
      </c>
      <c r="DB264" t="s">
        <v>13818</v>
      </c>
      <c r="DG264" t="s">
        <v>18127</v>
      </c>
      <c r="DH264" t="s">
        <v>13818</v>
      </c>
      <c r="DY264" t="s">
        <v>18128</v>
      </c>
      <c r="DZ264" t="s">
        <v>13841</v>
      </c>
      <c r="EA264" t="s">
        <v>14118</v>
      </c>
      <c r="EC264">
        <v>45138</v>
      </c>
      <c r="ED264" t="s">
        <v>13843</v>
      </c>
      <c r="EE264" t="s">
        <v>18129</v>
      </c>
    </row>
    <row r="265" spans="1:135">
      <c r="A265" t="s">
        <v>7617</v>
      </c>
      <c r="B265" t="s">
        <v>2926</v>
      </c>
      <c r="C265" t="s">
        <v>18130</v>
      </c>
      <c r="D265" s="24">
        <v>45070</v>
      </c>
      <c r="E265" s="24" t="s">
        <v>13559</v>
      </c>
      <c r="F265" s="24" t="s">
        <v>18131</v>
      </c>
      <c r="G265" s="24" t="s">
        <v>13808</v>
      </c>
      <c r="H265" s="24"/>
      <c r="I265" s="24" t="s">
        <v>13809</v>
      </c>
      <c r="J265" s="24"/>
      <c r="K265" s="24" t="s">
        <v>13809</v>
      </c>
      <c r="L265" s="24"/>
      <c r="M265" s="24" t="s">
        <v>14136</v>
      </c>
      <c r="N265" s="24" t="s">
        <v>13818</v>
      </c>
      <c r="O265" s="24" t="s">
        <v>18132</v>
      </c>
      <c r="P265" s="24" t="s">
        <v>13808</v>
      </c>
      <c r="Q265" s="24"/>
      <c r="R265" s="24" t="s">
        <v>13808</v>
      </c>
      <c r="S265" s="24"/>
      <c r="T265" t="s">
        <v>14071</v>
      </c>
      <c r="U265" t="s">
        <v>13809</v>
      </c>
      <c r="W265" t="s">
        <v>13809</v>
      </c>
      <c r="Y265" t="s">
        <v>13809</v>
      </c>
      <c r="AA265" t="s">
        <v>14072</v>
      </c>
      <c r="AB265" t="s">
        <v>18133</v>
      </c>
      <c r="AC265" t="s">
        <v>13808</v>
      </c>
      <c r="AH265" t="s">
        <v>14073</v>
      </c>
      <c r="AI265" t="s">
        <v>13808</v>
      </c>
      <c r="AK265" t="s">
        <v>18134</v>
      </c>
      <c r="AL265" t="s">
        <v>13818</v>
      </c>
      <c r="AN265" t="s">
        <v>18135</v>
      </c>
      <c r="AO265" t="s">
        <v>13818</v>
      </c>
      <c r="AT265" t="s">
        <v>18136</v>
      </c>
      <c r="AU265" t="s">
        <v>13818</v>
      </c>
      <c r="AZ265" t="s">
        <v>18137</v>
      </c>
      <c r="BA265" t="s">
        <v>13808</v>
      </c>
      <c r="BC265" t="s">
        <v>18138</v>
      </c>
      <c r="BD265" t="s">
        <v>13818</v>
      </c>
      <c r="BF265" t="s">
        <v>18139</v>
      </c>
      <c r="BG265" t="s">
        <v>13808</v>
      </c>
      <c r="BL265" t="s">
        <v>18140</v>
      </c>
      <c r="BM265" t="s">
        <v>13818</v>
      </c>
      <c r="BR265" t="s">
        <v>18141</v>
      </c>
      <c r="BS265" t="s">
        <v>13824</v>
      </c>
      <c r="BT265" t="s">
        <v>13808</v>
      </c>
      <c r="BU265" t="s">
        <v>14528</v>
      </c>
      <c r="BY265" t="s">
        <v>15336</v>
      </c>
      <c r="BZ265" t="s">
        <v>13818</v>
      </c>
      <c r="CA265" t="s">
        <v>14780</v>
      </c>
      <c r="CE265" t="s">
        <v>16910</v>
      </c>
      <c r="CF265" t="s">
        <v>13818</v>
      </c>
      <c r="CG265" t="s">
        <v>13819</v>
      </c>
      <c r="CK265" t="s">
        <v>13760</v>
      </c>
      <c r="CL265" t="s">
        <v>13809</v>
      </c>
      <c r="CQ265" t="s">
        <v>13766</v>
      </c>
      <c r="CR265" t="s">
        <v>13809</v>
      </c>
      <c r="CT265" t="s">
        <v>18142</v>
      </c>
      <c r="CU265" t="s">
        <v>18143</v>
      </c>
      <c r="CV265" t="s">
        <v>13818</v>
      </c>
      <c r="CX265" t="s">
        <v>18144</v>
      </c>
      <c r="CY265" t="s">
        <v>13818</v>
      </c>
      <c r="DA265" t="s">
        <v>18145</v>
      </c>
      <c r="DB265" t="s">
        <v>13808</v>
      </c>
      <c r="DG265" t="s">
        <v>18146</v>
      </c>
      <c r="DH265" t="s">
        <v>13808</v>
      </c>
      <c r="DJ265" t="s">
        <v>18147</v>
      </c>
      <c r="DK265" t="s">
        <v>13818</v>
      </c>
      <c r="DM265" t="s">
        <v>18148</v>
      </c>
      <c r="DN265" t="s">
        <v>13818</v>
      </c>
      <c r="DY265" t="s">
        <v>13840</v>
      </c>
      <c r="DZ265" t="s">
        <v>13841</v>
      </c>
      <c r="EA265" t="s">
        <v>14118</v>
      </c>
      <c r="EC265">
        <v>45084</v>
      </c>
      <c r="ED265" t="s">
        <v>13843</v>
      </c>
      <c r="EE265" t="s">
        <v>7622</v>
      </c>
    </row>
    <row r="266" spans="1:135">
      <c r="A266" t="s">
        <v>2701</v>
      </c>
      <c r="B266" t="s">
        <v>2693</v>
      </c>
      <c r="C266" t="s">
        <v>18149</v>
      </c>
      <c r="D266" s="24">
        <v>45203</v>
      </c>
      <c r="E266" s="24" t="s">
        <v>13557</v>
      </c>
      <c r="F266" s="24" t="s">
        <v>18150</v>
      </c>
      <c r="G266" s="24" t="s">
        <v>13808</v>
      </c>
      <c r="H266" s="24"/>
      <c r="I266" s="24" t="s">
        <v>13809</v>
      </c>
      <c r="J266" s="24"/>
      <c r="K266" s="24" t="s">
        <v>13808</v>
      </c>
      <c r="L266" s="24"/>
      <c r="M266" s="24" t="s">
        <v>13846</v>
      </c>
      <c r="N266" s="24" t="s">
        <v>13808</v>
      </c>
      <c r="O266" s="24"/>
      <c r="P266" s="24" t="s">
        <v>13808</v>
      </c>
      <c r="Q266" s="24"/>
      <c r="R266" s="24" t="s">
        <v>13808</v>
      </c>
      <c r="S266" s="24"/>
      <c r="T266" t="s">
        <v>15346</v>
      </c>
      <c r="U266" t="s">
        <v>13808</v>
      </c>
      <c r="W266" t="s">
        <v>13808</v>
      </c>
      <c r="X266" t="s">
        <v>18151</v>
      </c>
      <c r="Y266" t="s">
        <v>13809</v>
      </c>
      <c r="AA266" t="s">
        <v>13928</v>
      </c>
      <c r="AB266" t="s">
        <v>18152</v>
      </c>
      <c r="AC266" t="s">
        <v>13808</v>
      </c>
      <c r="AH266" t="s">
        <v>13851</v>
      </c>
      <c r="AI266" t="s">
        <v>13808</v>
      </c>
      <c r="AN266" t="s">
        <v>18153</v>
      </c>
      <c r="AO266" t="s">
        <v>13808</v>
      </c>
      <c r="AT266" t="s">
        <v>18154</v>
      </c>
      <c r="AU266" t="s">
        <v>13808</v>
      </c>
      <c r="AZ266" t="s">
        <v>18155</v>
      </c>
      <c r="BA266" t="s">
        <v>13808</v>
      </c>
      <c r="BF266" t="s">
        <v>18156</v>
      </c>
      <c r="BG266" t="s">
        <v>13808</v>
      </c>
      <c r="BL266" t="s">
        <v>18157</v>
      </c>
      <c r="BM266" t="s">
        <v>13808</v>
      </c>
      <c r="BR266" t="s">
        <v>18158</v>
      </c>
      <c r="BS266" t="s">
        <v>13824</v>
      </c>
      <c r="BT266" t="s">
        <v>13808</v>
      </c>
      <c r="BU266" t="s">
        <v>14336</v>
      </c>
      <c r="BY266" t="s">
        <v>18159</v>
      </c>
      <c r="BZ266" t="s">
        <v>13808</v>
      </c>
      <c r="CA266" t="s">
        <v>13937</v>
      </c>
      <c r="CE266" t="s">
        <v>14292</v>
      </c>
      <c r="CF266" t="s">
        <v>13808</v>
      </c>
      <c r="CK266" t="s">
        <v>13760</v>
      </c>
      <c r="CL266" t="s">
        <v>13809</v>
      </c>
      <c r="CQ266" t="s">
        <v>13766</v>
      </c>
      <c r="CR266" t="s">
        <v>13809</v>
      </c>
      <c r="CT266" t="s">
        <v>18160</v>
      </c>
      <c r="CU266" t="s">
        <v>18161</v>
      </c>
      <c r="CV266" t="s">
        <v>13808</v>
      </c>
      <c r="DA266" t="s">
        <v>18162</v>
      </c>
      <c r="DB266" t="s">
        <v>13808</v>
      </c>
      <c r="DG266" t="s">
        <v>18163</v>
      </c>
      <c r="DH266" t="s">
        <v>13808</v>
      </c>
      <c r="DY266" t="s">
        <v>13869</v>
      </c>
      <c r="DZ266" t="s">
        <v>13841</v>
      </c>
      <c r="EA266" t="s">
        <v>13996</v>
      </c>
      <c r="EC266">
        <v>45211</v>
      </c>
      <c r="ED266" t="s">
        <v>14298</v>
      </c>
      <c r="EE266" t="s">
        <v>7367</v>
      </c>
    </row>
    <row r="267" spans="1:135">
      <c r="A267" t="s">
        <v>10981</v>
      </c>
      <c r="B267" t="s">
        <v>2861</v>
      </c>
      <c r="C267" t="s">
        <v>18164</v>
      </c>
      <c r="D267" s="24">
        <v>42702</v>
      </c>
      <c r="E267" s="24" t="s">
        <v>13550</v>
      </c>
      <c r="F267" s="24" t="s">
        <v>18165</v>
      </c>
      <c r="G267" s="24" t="s">
        <v>13808</v>
      </c>
      <c r="H267" s="24"/>
      <c r="I267" s="24" t="s">
        <v>13809</v>
      </c>
      <c r="J267" s="24"/>
      <c r="K267" s="24" t="s">
        <v>13809</v>
      </c>
      <c r="L267" s="24"/>
      <c r="M267" s="24" t="s">
        <v>14304</v>
      </c>
      <c r="N267" s="24" t="s">
        <v>13808</v>
      </c>
      <c r="O267" s="24"/>
      <c r="P267" s="24" t="s">
        <v>13808</v>
      </c>
      <c r="Q267" s="24"/>
      <c r="R267" s="24" t="s">
        <v>13818</v>
      </c>
      <c r="S267" s="24" t="s">
        <v>18166</v>
      </c>
      <c r="T267" t="s">
        <v>18167</v>
      </c>
      <c r="U267" t="s">
        <v>13809</v>
      </c>
      <c r="W267" t="s">
        <v>13809</v>
      </c>
      <c r="Y267" t="s">
        <v>13818</v>
      </c>
      <c r="Z267" t="s">
        <v>18168</v>
      </c>
      <c r="AA267" t="s">
        <v>18169</v>
      </c>
      <c r="AB267" t="s">
        <v>18170</v>
      </c>
      <c r="AC267" t="s">
        <v>13818</v>
      </c>
      <c r="AD267" t="s">
        <v>14414</v>
      </c>
      <c r="AH267" t="s">
        <v>13851</v>
      </c>
      <c r="AI267" t="s">
        <v>13818</v>
      </c>
      <c r="AJ267" t="s">
        <v>14414</v>
      </c>
      <c r="AN267" t="s">
        <v>18171</v>
      </c>
      <c r="AO267" t="s">
        <v>13818</v>
      </c>
      <c r="AP267" t="s">
        <v>14414</v>
      </c>
      <c r="AT267" t="s">
        <v>18172</v>
      </c>
      <c r="AU267" t="s">
        <v>13818</v>
      </c>
      <c r="AV267" t="s">
        <v>14414</v>
      </c>
      <c r="AZ267" t="s">
        <v>18173</v>
      </c>
      <c r="BA267" t="s">
        <v>13818</v>
      </c>
      <c r="BB267" t="s">
        <v>14414</v>
      </c>
      <c r="BF267" t="s">
        <v>18174</v>
      </c>
      <c r="BG267" t="s">
        <v>13818</v>
      </c>
      <c r="BH267" t="s">
        <v>14414</v>
      </c>
      <c r="BL267" t="s">
        <v>18175</v>
      </c>
      <c r="BM267" t="s">
        <v>13818</v>
      </c>
      <c r="BN267" t="s">
        <v>14414</v>
      </c>
      <c r="BR267" t="s">
        <v>18176</v>
      </c>
      <c r="BS267" t="s">
        <v>13824</v>
      </c>
      <c r="BT267" t="s">
        <v>13818</v>
      </c>
      <c r="BU267" t="s">
        <v>14214</v>
      </c>
      <c r="BY267" t="s">
        <v>18177</v>
      </c>
      <c r="BZ267" t="s">
        <v>13818</v>
      </c>
      <c r="CA267" t="s">
        <v>18178</v>
      </c>
      <c r="CE267" t="s">
        <v>14292</v>
      </c>
      <c r="CF267" t="s">
        <v>13818</v>
      </c>
      <c r="CG267" t="s">
        <v>18178</v>
      </c>
      <c r="CK267" t="s">
        <v>13760</v>
      </c>
      <c r="CL267" t="s">
        <v>13809</v>
      </c>
      <c r="CQ267" t="s">
        <v>16665</v>
      </c>
      <c r="CR267" t="s">
        <v>13818</v>
      </c>
      <c r="CS267" t="s">
        <v>18178</v>
      </c>
      <c r="CT267" t="s">
        <v>14781</v>
      </c>
      <c r="CU267" t="s">
        <v>14236</v>
      </c>
      <c r="CV267" t="s">
        <v>13818</v>
      </c>
      <c r="CW267" t="s">
        <v>18178</v>
      </c>
      <c r="DA267" t="s">
        <v>15252</v>
      </c>
      <c r="DB267" t="s">
        <v>13818</v>
      </c>
      <c r="DC267" t="s">
        <v>18178</v>
      </c>
      <c r="DG267" t="s">
        <v>15490</v>
      </c>
      <c r="DH267" t="s">
        <v>13818</v>
      </c>
      <c r="DI267" t="s">
        <v>18178</v>
      </c>
      <c r="DZ267" t="s">
        <v>18179</v>
      </c>
      <c r="EA267" t="s">
        <v>18180</v>
      </c>
      <c r="EC267">
        <v>44627</v>
      </c>
      <c r="ED267" t="s">
        <v>13843</v>
      </c>
      <c r="EE267" t="s">
        <v>13595</v>
      </c>
    </row>
    <row r="268" spans="1:135">
      <c r="A268" t="s">
        <v>2326</v>
      </c>
      <c r="B268" t="s">
        <v>2314</v>
      </c>
      <c r="C268" t="s">
        <v>18181</v>
      </c>
      <c r="D268" s="24">
        <v>43193</v>
      </c>
      <c r="E268" s="24" t="s">
        <v>13557</v>
      </c>
      <c r="F268" s="24" t="s">
        <v>18182</v>
      </c>
      <c r="G268" s="24" t="s">
        <v>13808</v>
      </c>
      <c r="H268" s="24"/>
      <c r="I268" s="24" t="s">
        <v>13809</v>
      </c>
      <c r="J268" s="24"/>
      <c r="K268" s="24" t="s">
        <v>13808</v>
      </c>
      <c r="L268" s="24" t="s">
        <v>18183</v>
      </c>
      <c r="M268" s="24" t="s">
        <v>18184</v>
      </c>
      <c r="N268" s="24" t="s">
        <v>13808</v>
      </c>
      <c r="O268" s="24"/>
      <c r="P268" s="24" t="s">
        <v>13808</v>
      </c>
      <c r="Q268" s="24"/>
      <c r="R268" s="24" t="s">
        <v>13897</v>
      </c>
      <c r="S268" s="24"/>
      <c r="T268" t="s">
        <v>18185</v>
      </c>
      <c r="U268" t="s">
        <v>13809</v>
      </c>
      <c r="W268" t="s">
        <v>13808</v>
      </c>
      <c r="X268" t="s">
        <v>18186</v>
      </c>
      <c r="Y268" t="s">
        <v>13808</v>
      </c>
      <c r="AA268" t="s">
        <v>18187</v>
      </c>
      <c r="AB268" t="s">
        <v>18188</v>
      </c>
      <c r="AC268" t="s">
        <v>13808</v>
      </c>
      <c r="AH268" t="s">
        <v>13909</v>
      </c>
      <c r="AI268" t="s">
        <v>13808</v>
      </c>
      <c r="AN268" t="s">
        <v>18189</v>
      </c>
      <c r="AO268" t="s">
        <v>13808</v>
      </c>
      <c r="AT268" t="s">
        <v>18190</v>
      </c>
      <c r="AU268" t="s">
        <v>13808</v>
      </c>
      <c r="AZ268" t="s">
        <v>18191</v>
      </c>
      <c r="BA268" t="s">
        <v>13808</v>
      </c>
      <c r="BF268" t="s">
        <v>18192</v>
      </c>
      <c r="BG268" t="s">
        <v>13808</v>
      </c>
      <c r="BL268" t="s">
        <v>18193</v>
      </c>
      <c r="BM268" t="s">
        <v>13808</v>
      </c>
      <c r="BR268" t="s">
        <v>18194</v>
      </c>
      <c r="BS268" t="s">
        <v>13887</v>
      </c>
      <c r="BT268" t="s">
        <v>13808</v>
      </c>
      <c r="BU268" t="s">
        <v>18195</v>
      </c>
      <c r="BY268" t="s">
        <v>14265</v>
      </c>
      <c r="BZ268" t="s">
        <v>13808</v>
      </c>
      <c r="CA268" t="s">
        <v>17218</v>
      </c>
      <c r="CE268" t="s">
        <v>15138</v>
      </c>
      <c r="CF268" t="s">
        <v>13808</v>
      </c>
      <c r="CL268" t="s">
        <v>13809</v>
      </c>
      <c r="CR268" t="s">
        <v>13809</v>
      </c>
      <c r="CT268" t="s">
        <v>18196</v>
      </c>
      <c r="CU268" t="s">
        <v>14059</v>
      </c>
      <c r="CV268" t="s">
        <v>13808</v>
      </c>
      <c r="CX268" t="s">
        <v>18197</v>
      </c>
      <c r="CY268" t="s">
        <v>13818</v>
      </c>
      <c r="DA268" t="s">
        <v>13894</v>
      </c>
      <c r="DB268" t="s">
        <v>13808</v>
      </c>
      <c r="DD268" t="s">
        <v>18198</v>
      </c>
      <c r="DE268" t="s">
        <v>13818</v>
      </c>
      <c r="DG268" t="s">
        <v>18199</v>
      </c>
      <c r="DH268" t="s">
        <v>13818</v>
      </c>
      <c r="DY268" t="s">
        <v>18200</v>
      </c>
      <c r="DZ268" t="s">
        <v>18201</v>
      </c>
      <c r="EA268" t="s">
        <v>18202</v>
      </c>
      <c r="ED268" t="s">
        <v>13903</v>
      </c>
      <c r="EE268" t="s">
        <v>7016</v>
      </c>
    </row>
    <row r="269" spans="1:135">
      <c r="A269" t="s">
        <v>3026</v>
      </c>
      <c r="B269" t="s">
        <v>3013</v>
      </c>
      <c r="C269" t="s">
        <v>18203</v>
      </c>
      <c r="D269" s="24">
        <v>43655</v>
      </c>
      <c r="E269" s="24" t="s">
        <v>13553</v>
      </c>
      <c r="F269" s="24" t="s">
        <v>18204</v>
      </c>
      <c r="G269" s="24" t="s">
        <v>13808</v>
      </c>
      <c r="H269" s="24"/>
      <c r="I269" s="24" t="s">
        <v>13809</v>
      </c>
      <c r="J269" s="24"/>
      <c r="K269" s="24" t="s">
        <v>13808</v>
      </c>
      <c r="L269" s="24"/>
      <c r="M269" s="24" t="s">
        <v>18205</v>
      </c>
      <c r="N269" s="24"/>
      <c r="O269" s="24"/>
      <c r="P269" s="24"/>
      <c r="Q269" s="24"/>
      <c r="R269" s="24"/>
      <c r="S269" s="24"/>
      <c r="T269" t="s">
        <v>16463</v>
      </c>
      <c r="U269" t="s">
        <v>13809</v>
      </c>
      <c r="W269" t="s">
        <v>13808</v>
      </c>
      <c r="X269" t="s">
        <v>18206</v>
      </c>
      <c r="Y269" t="s">
        <v>13808</v>
      </c>
      <c r="AA269" t="s">
        <v>18207</v>
      </c>
      <c r="AB269" t="s">
        <v>18208</v>
      </c>
      <c r="AC269" t="s">
        <v>13808</v>
      </c>
      <c r="AH269" t="s">
        <v>13851</v>
      </c>
      <c r="AI269" t="s">
        <v>13808</v>
      </c>
      <c r="AN269" t="s">
        <v>18209</v>
      </c>
      <c r="AO269" t="s">
        <v>13808</v>
      </c>
      <c r="AT269" t="s">
        <v>18210</v>
      </c>
      <c r="AU269" t="s">
        <v>13808</v>
      </c>
      <c r="AZ269" t="s">
        <v>18211</v>
      </c>
      <c r="BA269" t="s">
        <v>13808</v>
      </c>
      <c r="BF269" t="s">
        <v>18212</v>
      </c>
      <c r="BG269" t="s">
        <v>13808</v>
      </c>
      <c r="BL269" t="s">
        <v>13735</v>
      </c>
      <c r="BM269" t="s">
        <v>13809</v>
      </c>
      <c r="BR269" t="s">
        <v>18213</v>
      </c>
      <c r="BS269" t="s">
        <v>13824</v>
      </c>
      <c r="BT269" t="s">
        <v>13808</v>
      </c>
      <c r="BU269" t="s">
        <v>14336</v>
      </c>
      <c r="BY269" t="s">
        <v>18214</v>
      </c>
      <c r="BZ269" t="s">
        <v>13808</v>
      </c>
      <c r="CA269" t="s">
        <v>13937</v>
      </c>
      <c r="CE269" t="s">
        <v>14292</v>
      </c>
      <c r="CF269" t="s">
        <v>13808</v>
      </c>
      <c r="CK269" t="s">
        <v>13760</v>
      </c>
      <c r="CL269" t="s">
        <v>13809</v>
      </c>
      <c r="CQ269" t="s">
        <v>13766</v>
      </c>
      <c r="CR269" t="s">
        <v>13809</v>
      </c>
      <c r="CT269" t="s">
        <v>18215</v>
      </c>
      <c r="CU269" t="s">
        <v>18216</v>
      </c>
      <c r="CV269" t="s">
        <v>13808</v>
      </c>
      <c r="DA269" t="s">
        <v>18217</v>
      </c>
      <c r="DB269" t="s">
        <v>13808</v>
      </c>
      <c r="DG269" t="s">
        <v>18218</v>
      </c>
      <c r="DH269" t="s">
        <v>13808</v>
      </c>
      <c r="DM269" t="s">
        <v>18219</v>
      </c>
      <c r="DN269" t="s">
        <v>13808</v>
      </c>
      <c r="DY269" t="s">
        <v>13840</v>
      </c>
      <c r="DZ269" t="s">
        <v>18220</v>
      </c>
      <c r="EA269" t="s">
        <v>13871</v>
      </c>
      <c r="EC269">
        <v>44627</v>
      </c>
      <c r="ED269" t="s">
        <v>13843</v>
      </c>
      <c r="EE269" t="s">
        <v>7740</v>
      </c>
    </row>
    <row r="270" spans="1:135">
      <c r="A270" t="s">
        <v>2866</v>
      </c>
      <c r="B270" t="s">
        <v>2861</v>
      </c>
      <c r="C270" t="s">
        <v>18221</v>
      </c>
      <c r="D270" s="24">
        <v>43378</v>
      </c>
      <c r="E270" s="24" t="s">
        <v>13558</v>
      </c>
      <c r="F270" s="24" t="s">
        <v>18222</v>
      </c>
      <c r="G270" s="24" t="s">
        <v>13808</v>
      </c>
      <c r="H270" s="24"/>
      <c r="I270" s="24" t="s">
        <v>13809</v>
      </c>
      <c r="J270" s="24"/>
      <c r="K270" s="24" t="s">
        <v>13809</v>
      </c>
      <c r="L270" s="24"/>
      <c r="M270" s="24" t="s">
        <v>18223</v>
      </c>
      <c r="N270" s="24" t="s">
        <v>13808</v>
      </c>
      <c r="O270" s="24"/>
      <c r="P270" s="24" t="s">
        <v>13808</v>
      </c>
      <c r="Q270" s="24"/>
      <c r="R270" s="24" t="s">
        <v>13818</v>
      </c>
      <c r="S270" s="24" t="s">
        <v>18224</v>
      </c>
      <c r="T270" t="s">
        <v>18225</v>
      </c>
      <c r="U270" t="s">
        <v>13809</v>
      </c>
      <c r="W270" t="s">
        <v>13808</v>
      </c>
      <c r="X270" t="s">
        <v>18226</v>
      </c>
      <c r="Y270" t="s">
        <v>13809</v>
      </c>
      <c r="AA270" t="s">
        <v>18227</v>
      </c>
      <c r="AB270" t="s">
        <v>16346</v>
      </c>
      <c r="AC270" t="s">
        <v>13808</v>
      </c>
      <c r="AH270" t="s">
        <v>13909</v>
      </c>
      <c r="AI270" t="s">
        <v>13808</v>
      </c>
      <c r="AN270" t="s">
        <v>18228</v>
      </c>
      <c r="AO270" t="s">
        <v>13808</v>
      </c>
      <c r="AT270" t="s">
        <v>14595</v>
      </c>
      <c r="AU270" t="s">
        <v>13808</v>
      </c>
      <c r="AZ270" t="s">
        <v>18229</v>
      </c>
      <c r="BA270" t="s">
        <v>13808</v>
      </c>
      <c r="BF270" t="s">
        <v>18230</v>
      </c>
      <c r="BG270" t="s">
        <v>13808</v>
      </c>
      <c r="BL270" t="s">
        <v>18231</v>
      </c>
      <c r="BM270" t="s">
        <v>13808</v>
      </c>
      <c r="BR270" t="s">
        <v>18232</v>
      </c>
      <c r="BT270" t="s">
        <v>13809</v>
      </c>
      <c r="BY270" t="s">
        <v>13887</v>
      </c>
      <c r="BZ270" t="s">
        <v>13808</v>
      </c>
      <c r="CA270" t="s">
        <v>17218</v>
      </c>
      <c r="CE270" t="s">
        <v>14003</v>
      </c>
      <c r="CF270" t="s">
        <v>13818</v>
      </c>
      <c r="CG270" t="s">
        <v>18233</v>
      </c>
      <c r="CK270" t="s">
        <v>13887</v>
      </c>
      <c r="CL270" t="s">
        <v>13808</v>
      </c>
      <c r="CR270" t="s">
        <v>13809</v>
      </c>
      <c r="CT270" t="s">
        <v>18234</v>
      </c>
      <c r="CU270" t="s">
        <v>13909</v>
      </c>
      <c r="CV270" t="s">
        <v>13818</v>
      </c>
      <c r="DA270" t="s">
        <v>13909</v>
      </c>
      <c r="DB270" t="s">
        <v>13818</v>
      </c>
      <c r="DG270" t="s">
        <v>13909</v>
      </c>
      <c r="DH270" t="s">
        <v>13818</v>
      </c>
      <c r="DY270" t="s">
        <v>18200</v>
      </c>
      <c r="DZ270" t="s">
        <v>18021</v>
      </c>
      <c r="EA270" t="s">
        <v>18202</v>
      </c>
      <c r="ED270" t="s">
        <v>13903</v>
      </c>
      <c r="EE270" t="s">
        <v>7511</v>
      </c>
    </row>
    <row r="271" spans="1:135">
      <c r="A271" t="s">
        <v>7372</v>
      </c>
      <c r="B271" t="s">
        <v>2693</v>
      </c>
      <c r="C271" t="s">
        <v>18235</v>
      </c>
      <c r="D271" s="24">
        <v>44629</v>
      </c>
      <c r="E271" s="24" t="s">
        <v>13561</v>
      </c>
      <c r="F271" s="24" t="s">
        <v>18236</v>
      </c>
      <c r="G271" s="24" t="s">
        <v>13808</v>
      </c>
      <c r="H271" s="24"/>
      <c r="I271" s="24" t="s">
        <v>13809</v>
      </c>
      <c r="J271" s="24"/>
      <c r="K271" s="24" t="s">
        <v>13808</v>
      </c>
      <c r="L271" s="24"/>
      <c r="M271" s="24" t="s">
        <v>15106</v>
      </c>
      <c r="N271" s="24" t="s">
        <v>13808</v>
      </c>
      <c r="O271" s="24"/>
      <c r="P271" s="24" t="s">
        <v>13808</v>
      </c>
      <c r="Q271" s="24"/>
      <c r="R271" s="24" t="s">
        <v>13808</v>
      </c>
      <c r="S271" s="24" t="s">
        <v>18237</v>
      </c>
      <c r="T271" t="s">
        <v>14071</v>
      </c>
      <c r="U271" t="s">
        <v>13809</v>
      </c>
      <c r="W271" t="s">
        <v>13809</v>
      </c>
      <c r="Y271" t="s">
        <v>13809</v>
      </c>
      <c r="AA271" t="s">
        <v>18238</v>
      </c>
      <c r="AB271" t="s">
        <v>18239</v>
      </c>
      <c r="AC271" t="s">
        <v>13818</v>
      </c>
      <c r="AD271" t="s">
        <v>14309</v>
      </c>
      <c r="AH271" t="s">
        <v>14073</v>
      </c>
      <c r="AI271" t="s">
        <v>13808</v>
      </c>
      <c r="AK271" t="s">
        <v>18240</v>
      </c>
      <c r="AL271" t="s">
        <v>13818</v>
      </c>
      <c r="AM271" t="s">
        <v>14309</v>
      </c>
      <c r="AN271" t="s">
        <v>18241</v>
      </c>
      <c r="AO271" t="s">
        <v>13818</v>
      </c>
      <c r="AP271" t="s">
        <v>14309</v>
      </c>
      <c r="AT271" t="s">
        <v>18242</v>
      </c>
      <c r="AU271" t="s">
        <v>13818</v>
      </c>
      <c r="AV271" t="s">
        <v>14309</v>
      </c>
      <c r="AZ271" t="s">
        <v>18243</v>
      </c>
      <c r="BA271" t="s">
        <v>13808</v>
      </c>
      <c r="BF271" t="s">
        <v>18244</v>
      </c>
      <c r="BG271" t="s">
        <v>13808</v>
      </c>
      <c r="BL271" t="s">
        <v>18245</v>
      </c>
      <c r="BM271" t="s">
        <v>13818</v>
      </c>
      <c r="BN271" t="s">
        <v>14309</v>
      </c>
      <c r="BR271" t="s">
        <v>18246</v>
      </c>
      <c r="BS271" t="s">
        <v>13824</v>
      </c>
      <c r="BT271" t="s">
        <v>13818</v>
      </c>
      <c r="BU271" t="s">
        <v>18247</v>
      </c>
      <c r="BY271" t="s">
        <v>13826</v>
      </c>
      <c r="BZ271" t="s">
        <v>13818</v>
      </c>
      <c r="CA271" t="s">
        <v>16646</v>
      </c>
      <c r="CE271" t="s">
        <v>16708</v>
      </c>
      <c r="CF271" t="s">
        <v>13818</v>
      </c>
      <c r="CG271" t="s">
        <v>14309</v>
      </c>
      <c r="CK271" t="s">
        <v>13760</v>
      </c>
      <c r="CL271" t="s">
        <v>13809</v>
      </c>
      <c r="CQ271" t="s">
        <v>13766</v>
      </c>
      <c r="CR271" t="s">
        <v>13809</v>
      </c>
      <c r="CT271" t="s">
        <v>13830</v>
      </c>
      <c r="CU271" t="s">
        <v>15268</v>
      </c>
      <c r="CV271" t="s">
        <v>13818</v>
      </c>
      <c r="DA271" t="s">
        <v>15063</v>
      </c>
      <c r="DB271" t="s">
        <v>13818</v>
      </c>
      <c r="DG271" t="s">
        <v>14240</v>
      </c>
      <c r="DH271" t="s">
        <v>13818</v>
      </c>
      <c r="DY271" t="s">
        <v>14606</v>
      </c>
      <c r="DZ271" t="s">
        <v>13841</v>
      </c>
      <c r="EA271" t="s">
        <v>13842</v>
      </c>
      <c r="EC271">
        <v>44630</v>
      </c>
      <c r="ED271" t="s">
        <v>14590</v>
      </c>
      <c r="EE271" t="s">
        <v>7376</v>
      </c>
    </row>
    <row r="272" spans="1:135">
      <c r="A272" t="s">
        <v>2257</v>
      </c>
      <c r="B272" t="s">
        <v>2232</v>
      </c>
      <c r="C272" t="s">
        <v>18248</v>
      </c>
      <c r="D272" s="24">
        <v>44750</v>
      </c>
      <c r="E272" s="24" t="s">
        <v>13560</v>
      </c>
      <c r="F272" s="24" t="s">
        <v>18249</v>
      </c>
      <c r="G272" s="24" t="s">
        <v>13808</v>
      </c>
      <c r="H272" s="24"/>
      <c r="I272" s="24" t="s">
        <v>13809</v>
      </c>
      <c r="J272" s="24"/>
      <c r="K272" s="24" t="s">
        <v>13808</v>
      </c>
      <c r="L272" s="24"/>
      <c r="M272" s="24" t="s">
        <v>14304</v>
      </c>
      <c r="N272" s="24" t="s">
        <v>13808</v>
      </c>
      <c r="O272" s="24"/>
      <c r="P272" s="24" t="s">
        <v>13808</v>
      </c>
      <c r="Q272" s="24"/>
      <c r="R272" s="24" t="s">
        <v>13808</v>
      </c>
      <c r="S272" s="24"/>
      <c r="T272" t="s">
        <v>18250</v>
      </c>
      <c r="U272" t="s">
        <v>13809</v>
      </c>
      <c r="W272" t="s">
        <v>13809</v>
      </c>
      <c r="Y272" t="s">
        <v>13809</v>
      </c>
      <c r="AA272" t="s">
        <v>14412</v>
      </c>
      <c r="AH272" t="s">
        <v>14073</v>
      </c>
      <c r="AI272" t="s">
        <v>13808</v>
      </c>
      <c r="AK272" t="s">
        <v>18251</v>
      </c>
      <c r="AL272" t="s">
        <v>13818</v>
      </c>
      <c r="AM272" t="s">
        <v>14309</v>
      </c>
      <c r="AN272" t="s">
        <v>18252</v>
      </c>
      <c r="AO272" t="s">
        <v>13808</v>
      </c>
      <c r="AQ272" t="s">
        <v>15689</v>
      </c>
      <c r="AR272" t="s">
        <v>13818</v>
      </c>
      <c r="AS272" t="s">
        <v>14309</v>
      </c>
      <c r="AT272" t="s">
        <v>18253</v>
      </c>
      <c r="AU272" t="s">
        <v>13818</v>
      </c>
      <c r="AV272" t="s">
        <v>14309</v>
      </c>
      <c r="AZ272" t="s">
        <v>18254</v>
      </c>
      <c r="BA272" t="s">
        <v>13808</v>
      </c>
      <c r="BC272" t="s">
        <v>18255</v>
      </c>
      <c r="BD272" t="s">
        <v>13818</v>
      </c>
      <c r="BE272" t="s">
        <v>14309</v>
      </c>
      <c r="BF272" t="s">
        <v>18256</v>
      </c>
      <c r="BG272" t="s">
        <v>13818</v>
      </c>
      <c r="BH272" t="s">
        <v>18257</v>
      </c>
      <c r="BL272" t="s">
        <v>18258</v>
      </c>
      <c r="BM272" t="s">
        <v>13818</v>
      </c>
      <c r="BN272" t="s">
        <v>14309</v>
      </c>
      <c r="BR272" t="s">
        <v>18259</v>
      </c>
      <c r="BS272" t="s">
        <v>13824</v>
      </c>
      <c r="BT272" t="s">
        <v>13808</v>
      </c>
      <c r="BU272" t="s">
        <v>14147</v>
      </c>
      <c r="BY272" t="s">
        <v>16927</v>
      </c>
      <c r="BZ272" t="s">
        <v>13818</v>
      </c>
      <c r="CA272" t="s">
        <v>14309</v>
      </c>
      <c r="CE272" t="s">
        <v>13828</v>
      </c>
      <c r="CF272" t="s">
        <v>13808</v>
      </c>
      <c r="CK272" t="s">
        <v>13760</v>
      </c>
      <c r="CL272" t="s">
        <v>13809</v>
      </c>
      <c r="CQ272" t="s">
        <v>13766</v>
      </c>
      <c r="CR272" t="s">
        <v>13809</v>
      </c>
      <c r="CT272" t="s">
        <v>15599</v>
      </c>
      <c r="DA272" t="s">
        <v>18260</v>
      </c>
      <c r="DB272" t="s">
        <v>13818</v>
      </c>
      <c r="DG272" t="s">
        <v>14562</v>
      </c>
      <c r="DH272" t="s">
        <v>13818</v>
      </c>
      <c r="DY272" t="s">
        <v>13840</v>
      </c>
      <c r="DZ272" t="s">
        <v>18261</v>
      </c>
      <c r="EA272" t="s">
        <v>16821</v>
      </c>
      <c r="EC272">
        <v>44754</v>
      </c>
      <c r="ED272" t="s">
        <v>14298</v>
      </c>
      <c r="EE272" t="s">
        <v>6930</v>
      </c>
    </row>
    <row r="273" spans="1:135">
      <c r="A273" t="s">
        <v>11018</v>
      </c>
      <c r="B273" t="s">
        <v>2314</v>
      </c>
      <c r="C273" t="s">
        <v>18262</v>
      </c>
      <c r="D273" s="24">
        <v>44461</v>
      </c>
      <c r="E273" s="24" t="s">
        <v>13550</v>
      </c>
      <c r="F273" s="24" t="s">
        <v>18263</v>
      </c>
      <c r="G273" s="24" t="s">
        <v>13808</v>
      </c>
      <c r="H273" s="24" t="s">
        <v>18264</v>
      </c>
      <c r="I273" s="24" t="s">
        <v>13809</v>
      </c>
      <c r="J273" s="24"/>
      <c r="K273" s="24" t="s">
        <v>13809</v>
      </c>
      <c r="L273" s="24"/>
      <c r="M273" s="24" t="s">
        <v>18265</v>
      </c>
      <c r="N273" s="24" t="s">
        <v>13808</v>
      </c>
      <c r="O273" s="24"/>
      <c r="P273" s="24" t="s">
        <v>13808</v>
      </c>
      <c r="Q273" s="24"/>
      <c r="R273" s="24" t="s">
        <v>13818</v>
      </c>
      <c r="S273" s="24" t="s">
        <v>18266</v>
      </c>
      <c r="T273" t="s">
        <v>14450</v>
      </c>
      <c r="U273" t="s">
        <v>13809</v>
      </c>
      <c r="W273" t="s">
        <v>13809</v>
      </c>
      <c r="Y273" t="s">
        <v>13809</v>
      </c>
      <c r="AA273" t="s">
        <v>14451</v>
      </c>
      <c r="AC273" t="s">
        <v>13809</v>
      </c>
      <c r="AH273" t="s">
        <v>13909</v>
      </c>
      <c r="AI273" t="s">
        <v>13818</v>
      </c>
      <c r="AJ273" t="s">
        <v>14309</v>
      </c>
      <c r="AO273" t="s">
        <v>13809</v>
      </c>
      <c r="AT273" t="s">
        <v>14543</v>
      </c>
      <c r="AU273" t="s">
        <v>13818</v>
      </c>
      <c r="AV273" t="s">
        <v>14309</v>
      </c>
      <c r="AZ273" t="s">
        <v>15008</v>
      </c>
      <c r="BA273" t="s">
        <v>13818</v>
      </c>
      <c r="BB273" t="s">
        <v>14309</v>
      </c>
      <c r="BF273" t="s">
        <v>13894</v>
      </c>
      <c r="BG273" t="s">
        <v>13818</v>
      </c>
      <c r="BH273" t="s">
        <v>14309</v>
      </c>
      <c r="BL273" t="s">
        <v>14433</v>
      </c>
      <c r="BM273" t="s">
        <v>13818</v>
      </c>
      <c r="BN273" t="s">
        <v>14309</v>
      </c>
      <c r="BR273" t="s">
        <v>18267</v>
      </c>
      <c r="BS273" t="s">
        <v>13887</v>
      </c>
      <c r="BT273" t="s">
        <v>13808</v>
      </c>
      <c r="BU273" t="s">
        <v>14010</v>
      </c>
      <c r="BY273" t="s">
        <v>13887</v>
      </c>
      <c r="BZ273" t="s">
        <v>13808</v>
      </c>
      <c r="CA273" t="s">
        <v>18268</v>
      </c>
      <c r="CE273" t="s">
        <v>14265</v>
      </c>
      <c r="CF273" t="s">
        <v>13818</v>
      </c>
      <c r="CL273" t="s">
        <v>13809</v>
      </c>
      <c r="CR273" t="s">
        <v>13809</v>
      </c>
      <c r="CT273" t="s">
        <v>14459</v>
      </c>
      <c r="CU273" t="s">
        <v>13909</v>
      </c>
      <c r="CV273" t="s">
        <v>13818</v>
      </c>
      <c r="CW273" t="s">
        <v>14309</v>
      </c>
      <c r="DA273" t="s">
        <v>13909</v>
      </c>
      <c r="DB273" t="s">
        <v>13818</v>
      </c>
      <c r="DC273" t="s">
        <v>14309</v>
      </c>
      <c r="DG273" t="s">
        <v>13909</v>
      </c>
      <c r="DH273" t="s">
        <v>13818</v>
      </c>
      <c r="DI273" t="s">
        <v>14309</v>
      </c>
      <c r="DY273" t="s">
        <v>13920</v>
      </c>
      <c r="DZ273" t="s">
        <v>13970</v>
      </c>
      <c r="EA273" t="s">
        <v>13842</v>
      </c>
      <c r="EC273">
        <v>44509</v>
      </c>
      <c r="EE273" t="s">
        <v>13596</v>
      </c>
    </row>
    <row r="274" spans="1:135">
      <c r="A274" t="s">
        <v>2268</v>
      </c>
      <c r="B274" t="s">
        <v>2232</v>
      </c>
      <c r="C274" t="s">
        <v>18269</v>
      </c>
      <c r="D274" s="24">
        <v>43888</v>
      </c>
      <c r="E274" s="24" t="s">
        <v>13558</v>
      </c>
      <c r="F274" s="24" t="s">
        <v>18270</v>
      </c>
      <c r="G274" s="24" t="s">
        <v>13808</v>
      </c>
      <c r="H274" s="24"/>
      <c r="I274" s="24" t="s">
        <v>13808</v>
      </c>
      <c r="J274" s="24"/>
      <c r="K274" s="24" t="s">
        <v>13809</v>
      </c>
      <c r="L274" s="24"/>
      <c r="M274" s="24" t="s">
        <v>18271</v>
      </c>
      <c r="N274" s="24" t="s">
        <v>13808</v>
      </c>
      <c r="O274" s="24"/>
      <c r="P274" s="24" t="s">
        <v>13818</v>
      </c>
      <c r="Q274" s="24" t="s">
        <v>18272</v>
      </c>
      <c r="R274" s="24" t="s">
        <v>13808</v>
      </c>
      <c r="S274" s="24"/>
      <c r="T274" t="s">
        <v>13907</v>
      </c>
      <c r="U274" t="s">
        <v>13808</v>
      </c>
      <c r="V274" t="s">
        <v>18273</v>
      </c>
      <c r="W274" t="s">
        <v>13808</v>
      </c>
      <c r="X274" t="s">
        <v>18274</v>
      </c>
      <c r="Y274" t="s">
        <v>13809</v>
      </c>
      <c r="AA274" t="s">
        <v>17946</v>
      </c>
      <c r="AB274" t="s">
        <v>18275</v>
      </c>
      <c r="AC274" t="s">
        <v>13818</v>
      </c>
      <c r="AD274" t="s">
        <v>14414</v>
      </c>
      <c r="AH274" t="s">
        <v>13887</v>
      </c>
      <c r="AI274" t="s">
        <v>13808</v>
      </c>
      <c r="AK274" t="s">
        <v>14625</v>
      </c>
      <c r="AL274" t="s">
        <v>13818</v>
      </c>
      <c r="AM274" t="s">
        <v>14414</v>
      </c>
      <c r="AN274" t="s">
        <v>18276</v>
      </c>
      <c r="AO274" t="s">
        <v>13818</v>
      </c>
      <c r="AP274" t="s">
        <v>14309</v>
      </c>
      <c r="AT274" t="s">
        <v>18277</v>
      </c>
      <c r="AU274" t="s">
        <v>13818</v>
      </c>
      <c r="AV274" t="s">
        <v>14414</v>
      </c>
      <c r="AZ274" t="s">
        <v>18278</v>
      </c>
      <c r="BA274" t="s">
        <v>13818</v>
      </c>
      <c r="BB274" t="s">
        <v>14414</v>
      </c>
      <c r="BF274" t="s">
        <v>18279</v>
      </c>
      <c r="BG274" t="s">
        <v>13818</v>
      </c>
      <c r="BH274" t="s">
        <v>18280</v>
      </c>
      <c r="BL274" t="s">
        <v>14543</v>
      </c>
      <c r="BM274" t="s">
        <v>13808</v>
      </c>
      <c r="BR274" t="s">
        <v>18281</v>
      </c>
      <c r="BS274" t="s">
        <v>14265</v>
      </c>
      <c r="BT274" t="s">
        <v>13808</v>
      </c>
      <c r="BU274" t="s">
        <v>13985</v>
      </c>
      <c r="BY274" t="s">
        <v>13887</v>
      </c>
      <c r="BZ274" t="s">
        <v>13808</v>
      </c>
      <c r="CA274" t="s">
        <v>13861</v>
      </c>
      <c r="CE274" t="s">
        <v>18282</v>
      </c>
      <c r="CF274" t="s">
        <v>13808</v>
      </c>
      <c r="CH274" t="s">
        <v>18283</v>
      </c>
      <c r="CI274" t="s">
        <v>13808</v>
      </c>
      <c r="CJ274" t="s">
        <v>13863</v>
      </c>
      <c r="CK274" t="s">
        <v>14265</v>
      </c>
      <c r="CL274" t="s">
        <v>13808</v>
      </c>
      <c r="CM274" t="s">
        <v>13863</v>
      </c>
      <c r="CR274" t="s">
        <v>13809</v>
      </c>
      <c r="CT274" t="s">
        <v>14011</v>
      </c>
      <c r="CU274" t="s">
        <v>18284</v>
      </c>
      <c r="CV274" t="s">
        <v>13818</v>
      </c>
      <c r="CW274" t="s">
        <v>18285</v>
      </c>
      <c r="DA274" t="s">
        <v>18286</v>
      </c>
      <c r="DB274" t="s">
        <v>13818</v>
      </c>
      <c r="DC274" t="s">
        <v>18287</v>
      </c>
      <c r="DG274" t="s">
        <v>18288</v>
      </c>
      <c r="DH274" t="s">
        <v>13818</v>
      </c>
      <c r="DI274" t="s">
        <v>14414</v>
      </c>
      <c r="DM274" t="s">
        <v>18289</v>
      </c>
      <c r="DN274" t="s">
        <v>13818</v>
      </c>
      <c r="DO274" t="s">
        <v>18290</v>
      </c>
      <c r="DY274" t="s">
        <v>15364</v>
      </c>
      <c r="DZ274" t="s">
        <v>14341</v>
      </c>
      <c r="EA274" t="s">
        <v>18291</v>
      </c>
      <c r="ED274" t="s">
        <v>14501</v>
      </c>
      <c r="EE274" t="s">
        <v>6938</v>
      </c>
    </row>
    <row r="275" spans="1:135">
      <c r="A275" t="s">
        <v>11026</v>
      </c>
      <c r="B275" t="s">
        <v>2232</v>
      </c>
      <c r="C275" t="s">
        <v>18292</v>
      </c>
      <c r="D275" s="24">
        <v>44013</v>
      </c>
      <c r="E275" s="24" t="s">
        <v>13561</v>
      </c>
      <c r="F275" s="24" t="s">
        <v>18293</v>
      </c>
      <c r="G275" s="24" t="s">
        <v>13818</v>
      </c>
      <c r="H275" s="24" t="s">
        <v>18294</v>
      </c>
      <c r="I275" s="24" t="s">
        <v>13809</v>
      </c>
      <c r="J275" s="24"/>
      <c r="K275" s="24" t="s">
        <v>13818</v>
      </c>
      <c r="L275" s="24"/>
      <c r="M275" s="24" t="s">
        <v>18295</v>
      </c>
      <c r="N275" s="24" t="s">
        <v>13808</v>
      </c>
      <c r="O275" s="24"/>
      <c r="P275" s="24" t="s">
        <v>13818</v>
      </c>
      <c r="Q275" s="24" t="s">
        <v>17742</v>
      </c>
      <c r="R275" s="24" t="s">
        <v>13808</v>
      </c>
      <c r="S275" s="24"/>
      <c r="T275" t="s">
        <v>14450</v>
      </c>
      <c r="U275" t="s">
        <v>13809</v>
      </c>
      <c r="W275" t="s">
        <v>13809</v>
      </c>
      <c r="Y275" t="s">
        <v>13809</v>
      </c>
      <c r="AA275" t="s">
        <v>18296</v>
      </c>
      <c r="AB275" t="s">
        <v>18297</v>
      </c>
      <c r="AC275" t="s">
        <v>13818</v>
      </c>
      <c r="AD275" t="s">
        <v>14309</v>
      </c>
      <c r="AH275" t="s">
        <v>13909</v>
      </c>
      <c r="AI275" t="s">
        <v>13818</v>
      </c>
      <c r="AJ275" t="s">
        <v>14309</v>
      </c>
      <c r="AO275" t="s">
        <v>13809</v>
      </c>
      <c r="AT275" t="s">
        <v>15834</v>
      </c>
      <c r="AU275" t="s">
        <v>13818</v>
      </c>
      <c r="AV275" t="s">
        <v>14309</v>
      </c>
      <c r="AZ275" t="s">
        <v>18298</v>
      </c>
      <c r="BA275" t="s">
        <v>13818</v>
      </c>
      <c r="BB275" t="s">
        <v>14309</v>
      </c>
      <c r="BF275" t="s">
        <v>18299</v>
      </c>
      <c r="BG275" t="s">
        <v>13818</v>
      </c>
      <c r="BH275" t="s">
        <v>14309</v>
      </c>
      <c r="BM275" t="s">
        <v>13809</v>
      </c>
      <c r="BR275" t="s">
        <v>18300</v>
      </c>
      <c r="BS275" t="s">
        <v>13887</v>
      </c>
      <c r="BT275" t="s">
        <v>13818</v>
      </c>
      <c r="BU275" t="s">
        <v>18301</v>
      </c>
      <c r="BY275" t="s">
        <v>13887</v>
      </c>
      <c r="BZ275" t="s">
        <v>13818</v>
      </c>
      <c r="CA275" t="s">
        <v>16328</v>
      </c>
      <c r="CF275" t="s">
        <v>13809</v>
      </c>
      <c r="CK275" t="s">
        <v>17321</v>
      </c>
      <c r="CL275" t="s">
        <v>13818</v>
      </c>
      <c r="CM275" t="s">
        <v>14415</v>
      </c>
      <c r="CR275" t="s">
        <v>13809</v>
      </c>
      <c r="CT275" t="s">
        <v>18302</v>
      </c>
      <c r="CU275" t="s">
        <v>18303</v>
      </c>
      <c r="CV275" t="s">
        <v>13818</v>
      </c>
      <c r="CW275" t="s">
        <v>18304</v>
      </c>
      <c r="DA275" t="s">
        <v>18305</v>
      </c>
      <c r="DB275" t="s">
        <v>13818</v>
      </c>
      <c r="DC275" t="s">
        <v>18304</v>
      </c>
      <c r="DG275" t="s">
        <v>18306</v>
      </c>
      <c r="DH275" t="s">
        <v>13818</v>
      </c>
      <c r="DI275" t="s">
        <v>18304</v>
      </c>
      <c r="DM275" t="s">
        <v>18307</v>
      </c>
      <c r="DN275" t="s">
        <v>13818</v>
      </c>
      <c r="DO275" t="s">
        <v>18308</v>
      </c>
      <c r="DY275" t="s">
        <v>13900</v>
      </c>
      <c r="DZ275" t="s">
        <v>13970</v>
      </c>
      <c r="EA275" t="s">
        <v>14461</v>
      </c>
      <c r="EC275">
        <v>44278</v>
      </c>
      <c r="EE275" t="s">
        <v>13597</v>
      </c>
    </row>
    <row r="276" spans="1:135">
      <c r="A276" t="s">
        <v>6939</v>
      </c>
      <c r="B276" t="s">
        <v>2232</v>
      </c>
      <c r="C276" t="s">
        <v>18309</v>
      </c>
      <c r="D276" s="24">
        <v>45121</v>
      </c>
      <c r="E276" s="24" t="s">
        <v>13558</v>
      </c>
      <c r="F276" s="24" t="s">
        <v>18310</v>
      </c>
      <c r="G276" s="24" t="s">
        <v>13808</v>
      </c>
      <c r="H276" s="24"/>
      <c r="I276" s="24" t="s">
        <v>13809</v>
      </c>
      <c r="J276" s="24"/>
      <c r="K276" s="24" t="s">
        <v>13808</v>
      </c>
      <c r="L276" s="24" t="s">
        <v>18311</v>
      </c>
      <c r="M276" s="24" t="s">
        <v>15086</v>
      </c>
      <c r="N276" s="24" t="s">
        <v>13808</v>
      </c>
      <c r="O276" s="24"/>
      <c r="P276" s="24" t="s">
        <v>13808</v>
      </c>
      <c r="Q276" s="24"/>
      <c r="R276" s="24" t="s">
        <v>13808</v>
      </c>
      <c r="S276" s="24"/>
      <c r="T276" t="s">
        <v>18312</v>
      </c>
      <c r="U276" t="s">
        <v>13809</v>
      </c>
      <c r="W276" t="s">
        <v>13809</v>
      </c>
      <c r="Y276" t="s">
        <v>13808</v>
      </c>
      <c r="Z276" t="s">
        <v>18313</v>
      </c>
      <c r="AA276" t="s">
        <v>14594</v>
      </c>
      <c r="AB276" t="s">
        <v>17567</v>
      </c>
      <c r="AC276" t="s">
        <v>13818</v>
      </c>
      <c r="AD276" t="s">
        <v>13819</v>
      </c>
      <c r="AH276" t="s">
        <v>15592</v>
      </c>
      <c r="AI276" t="s">
        <v>13818</v>
      </c>
      <c r="AJ276" t="s">
        <v>13819</v>
      </c>
      <c r="AN276" t="s">
        <v>13711</v>
      </c>
      <c r="AO276" t="s">
        <v>13809</v>
      </c>
      <c r="AT276" t="s">
        <v>15350</v>
      </c>
      <c r="AU276" t="s">
        <v>13818</v>
      </c>
      <c r="AV276" t="s">
        <v>13819</v>
      </c>
      <c r="AZ276" t="s">
        <v>18314</v>
      </c>
      <c r="BA276" t="s">
        <v>13818</v>
      </c>
      <c r="BB276" t="s">
        <v>18315</v>
      </c>
      <c r="BF276" t="s">
        <v>18316</v>
      </c>
      <c r="BG276" t="s">
        <v>13818</v>
      </c>
      <c r="BH276" t="s">
        <v>13819</v>
      </c>
      <c r="BL276" t="s">
        <v>13735</v>
      </c>
      <c r="BM276" t="s">
        <v>13809</v>
      </c>
      <c r="BR276" t="s">
        <v>18317</v>
      </c>
      <c r="BS276" t="s">
        <v>14290</v>
      </c>
      <c r="BT276" t="s">
        <v>13818</v>
      </c>
      <c r="BU276" t="s">
        <v>18318</v>
      </c>
      <c r="BY276" t="s">
        <v>13860</v>
      </c>
      <c r="BZ276" t="s">
        <v>13808</v>
      </c>
      <c r="CA276" t="s">
        <v>13861</v>
      </c>
      <c r="CE276" t="s">
        <v>14215</v>
      </c>
      <c r="CF276" t="s">
        <v>13818</v>
      </c>
      <c r="CG276" t="s">
        <v>17575</v>
      </c>
      <c r="CK276" t="s">
        <v>14581</v>
      </c>
      <c r="CL276" t="s">
        <v>13808</v>
      </c>
      <c r="CQ276" t="s">
        <v>13766</v>
      </c>
      <c r="CR276" t="s">
        <v>13809</v>
      </c>
      <c r="CT276" t="s">
        <v>16008</v>
      </c>
      <c r="CU276" t="s">
        <v>14961</v>
      </c>
      <c r="CV276" t="s">
        <v>13808</v>
      </c>
      <c r="CW276" t="s">
        <v>14309</v>
      </c>
      <c r="CX276" t="s">
        <v>18319</v>
      </c>
      <c r="CY276" t="s">
        <v>13818</v>
      </c>
      <c r="DA276" t="s">
        <v>18320</v>
      </c>
      <c r="DB276" t="s">
        <v>13808</v>
      </c>
      <c r="DC276" t="s">
        <v>14309</v>
      </c>
      <c r="DD276" t="s">
        <v>18321</v>
      </c>
      <c r="DE276" t="s">
        <v>13818</v>
      </c>
      <c r="DG276" t="s">
        <v>15708</v>
      </c>
      <c r="DH276" t="s">
        <v>13818</v>
      </c>
      <c r="DI276" t="s">
        <v>18322</v>
      </c>
      <c r="DM276" t="s">
        <v>18323</v>
      </c>
      <c r="DN276" t="s">
        <v>13818</v>
      </c>
      <c r="DS276" t="s">
        <v>18324</v>
      </c>
      <c r="DT276" t="s">
        <v>13818</v>
      </c>
      <c r="DU276" t="s">
        <v>18325</v>
      </c>
      <c r="DY276" t="s">
        <v>13840</v>
      </c>
      <c r="DZ276" t="s">
        <v>13841</v>
      </c>
      <c r="EA276" t="s">
        <v>14118</v>
      </c>
      <c r="EC276">
        <v>45125</v>
      </c>
      <c r="ED276" t="s">
        <v>13843</v>
      </c>
      <c r="EE276" t="s">
        <v>6943</v>
      </c>
    </row>
    <row r="277" spans="1:135">
      <c r="A277" t="s">
        <v>11035</v>
      </c>
      <c r="B277" t="s">
        <v>2232</v>
      </c>
      <c r="C277" t="s">
        <v>18326</v>
      </c>
      <c r="D277" s="24">
        <v>45121</v>
      </c>
      <c r="E277" s="24" t="s">
        <v>13561</v>
      </c>
      <c r="F277" s="24" t="s">
        <v>18327</v>
      </c>
      <c r="G277" s="24" t="s">
        <v>13808</v>
      </c>
      <c r="H277" s="24"/>
      <c r="I277" s="24" t="s">
        <v>13809</v>
      </c>
      <c r="J277" s="24"/>
      <c r="K277" s="24" t="s">
        <v>13808</v>
      </c>
      <c r="L277" s="24"/>
      <c r="M277" s="24" t="s">
        <v>18328</v>
      </c>
      <c r="N277" s="24" t="s">
        <v>13808</v>
      </c>
      <c r="O277" s="24"/>
      <c r="P277" s="24" t="s">
        <v>13808</v>
      </c>
      <c r="Q277" s="24"/>
      <c r="R277" s="24" t="s">
        <v>13808</v>
      </c>
      <c r="S277" s="24"/>
      <c r="T277" t="s">
        <v>13812</v>
      </c>
      <c r="U277" t="s">
        <v>13809</v>
      </c>
      <c r="W277" t="s">
        <v>13809</v>
      </c>
      <c r="Y277" t="s">
        <v>13818</v>
      </c>
      <c r="Z277" t="s">
        <v>18329</v>
      </c>
      <c r="AA277" t="s">
        <v>13849</v>
      </c>
      <c r="AB277" t="s">
        <v>18330</v>
      </c>
      <c r="AC277" t="s">
        <v>13808</v>
      </c>
      <c r="AE277" t="s">
        <v>18331</v>
      </c>
      <c r="AF277" t="s">
        <v>13818</v>
      </c>
      <c r="AG277" t="s">
        <v>13819</v>
      </c>
      <c r="AH277" t="s">
        <v>13816</v>
      </c>
      <c r="AI277" t="s">
        <v>13808</v>
      </c>
      <c r="AK277" t="s">
        <v>13817</v>
      </c>
      <c r="AL277" t="s">
        <v>13818</v>
      </c>
      <c r="AM277" t="s">
        <v>13819</v>
      </c>
      <c r="AN277" t="s">
        <v>13711</v>
      </c>
      <c r="AO277" t="s">
        <v>13809</v>
      </c>
      <c r="AT277" t="s">
        <v>16744</v>
      </c>
      <c r="AU277" t="s">
        <v>13818</v>
      </c>
      <c r="AV277" t="s">
        <v>13819</v>
      </c>
      <c r="AZ277" t="s">
        <v>18332</v>
      </c>
      <c r="BA277" t="s">
        <v>13818</v>
      </c>
      <c r="BB277" t="s">
        <v>13819</v>
      </c>
      <c r="BF277" t="s">
        <v>18333</v>
      </c>
      <c r="BG277" t="s">
        <v>13818</v>
      </c>
      <c r="BH277" t="s">
        <v>13819</v>
      </c>
      <c r="BL277" t="s">
        <v>18334</v>
      </c>
      <c r="BM277" t="s">
        <v>13818</v>
      </c>
      <c r="BN277" t="s">
        <v>13819</v>
      </c>
      <c r="BR277" t="s">
        <v>18335</v>
      </c>
      <c r="BS277" t="s">
        <v>13824</v>
      </c>
      <c r="BT277" t="s">
        <v>13818</v>
      </c>
      <c r="BU277" t="s">
        <v>14528</v>
      </c>
      <c r="BY277" t="s">
        <v>13826</v>
      </c>
      <c r="BZ277" t="s">
        <v>13808</v>
      </c>
      <c r="CA277" t="s">
        <v>13861</v>
      </c>
      <c r="CE277" t="s">
        <v>13938</v>
      </c>
      <c r="CF277" t="s">
        <v>13808</v>
      </c>
      <c r="CG277" t="s">
        <v>13863</v>
      </c>
      <c r="CK277" t="s">
        <v>18336</v>
      </c>
      <c r="CL277" t="s">
        <v>13808</v>
      </c>
      <c r="CM277" t="s">
        <v>13863</v>
      </c>
      <c r="CQ277" t="s">
        <v>13766</v>
      </c>
      <c r="CR277" t="s">
        <v>13809</v>
      </c>
      <c r="CT277" t="s">
        <v>18337</v>
      </c>
      <c r="CU277" t="s">
        <v>18338</v>
      </c>
      <c r="CV277" t="s">
        <v>13808</v>
      </c>
      <c r="CW277" t="s">
        <v>13819</v>
      </c>
      <c r="CX277" t="s">
        <v>18339</v>
      </c>
      <c r="CY277" t="s">
        <v>13818</v>
      </c>
      <c r="DA277" t="s">
        <v>18340</v>
      </c>
      <c r="DB277" t="s">
        <v>13818</v>
      </c>
      <c r="DG277" t="s">
        <v>18341</v>
      </c>
      <c r="DH277" t="s">
        <v>13818</v>
      </c>
      <c r="DY277" t="s">
        <v>18342</v>
      </c>
      <c r="DZ277" t="s">
        <v>18343</v>
      </c>
      <c r="EA277" t="s">
        <v>14118</v>
      </c>
      <c r="EC277">
        <v>45125</v>
      </c>
      <c r="ED277" t="s">
        <v>13843</v>
      </c>
      <c r="EE277" t="s">
        <v>18344</v>
      </c>
    </row>
    <row r="278" spans="1:135">
      <c r="A278" t="s">
        <v>2336</v>
      </c>
      <c r="B278" t="s">
        <v>2314</v>
      </c>
      <c r="C278" t="s">
        <v>18345</v>
      </c>
      <c r="D278" s="24">
        <v>44267</v>
      </c>
      <c r="E278" s="24" t="s">
        <v>13559</v>
      </c>
      <c r="F278" s="24" t="s">
        <v>18346</v>
      </c>
      <c r="G278" s="24" t="s">
        <v>13808</v>
      </c>
      <c r="H278" s="24"/>
      <c r="I278" s="24" t="s">
        <v>13809</v>
      </c>
      <c r="J278" s="24"/>
      <c r="K278" s="24" t="s">
        <v>13809</v>
      </c>
      <c r="L278" s="24" t="s">
        <v>18347</v>
      </c>
      <c r="M278" s="24" t="s">
        <v>13950</v>
      </c>
      <c r="N278" s="24" t="s">
        <v>13808</v>
      </c>
      <c r="O278" s="24"/>
      <c r="P278" s="24" t="s">
        <v>13808</v>
      </c>
      <c r="Q278" s="24"/>
      <c r="R278" s="24" t="s">
        <v>13808</v>
      </c>
      <c r="S278" s="24"/>
      <c r="T278" t="s">
        <v>18348</v>
      </c>
      <c r="U278" t="s">
        <v>13809</v>
      </c>
      <c r="W278" t="s">
        <v>13809</v>
      </c>
      <c r="Y278" t="s">
        <v>13809</v>
      </c>
      <c r="AA278" t="s">
        <v>18349</v>
      </c>
      <c r="AB278" t="s">
        <v>14732</v>
      </c>
      <c r="AC278" t="s">
        <v>13818</v>
      </c>
      <c r="AD278" t="s">
        <v>14309</v>
      </c>
      <c r="AH278" t="s">
        <v>15188</v>
      </c>
      <c r="AI278" t="s">
        <v>13818</v>
      </c>
      <c r="AJ278" t="s">
        <v>14309</v>
      </c>
      <c r="AO278" t="s">
        <v>13809</v>
      </c>
      <c r="AS278" t="s">
        <v>18350</v>
      </c>
      <c r="AT278" t="s">
        <v>13818</v>
      </c>
      <c r="AU278" t="s">
        <v>14309</v>
      </c>
      <c r="AZ278" t="s">
        <v>18351</v>
      </c>
      <c r="BA278" t="s">
        <v>13818</v>
      </c>
      <c r="BB278" t="s">
        <v>14309</v>
      </c>
      <c r="BF278" t="s">
        <v>18352</v>
      </c>
      <c r="BG278" t="s">
        <v>13818</v>
      </c>
      <c r="BH278" t="s">
        <v>14309</v>
      </c>
      <c r="BK278" t="s">
        <v>14732</v>
      </c>
      <c r="BL278" t="s">
        <v>13818</v>
      </c>
      <c r="BM278" t="s">
        <v>14309</v>
      </c>
      <c r="BR278" t="s">
        <v>18353</v>
      </c>
      <c r="BT278" t="s">
        <v>13809</v>
      </c>
      <c r="BY278" t="s">
        <v>13887</v>
      </c>
      <c r="BZ278" t="s">
        <v>13808</v>
      </c>
      <c r="CA278" t="s">
        <v>18354</v>
      </c>
      <c r="CF278" t="s">
        <v>13809</v>
      </c>
      <c r="CK278" t="s">
        <v>14197</v>
      </c>
      <c r="CL278" t="s">
        <v>13818</v>
      </c>
      <c r="CM278" t="s">
        <v>18355</v>
      </c>
      <c r="CR278" t="s">
        <v>13809</v>
      </c>
      <c r="CT278" t="s">
        <v>18356</v>
      </c>
      <c r="CU278" t="s">
        <v>13887</v>
      </c>
      <c r="CV278" t="s">
        <v>13808</v>
      </c>
      <c r="CX278" t="s">
        <v>15188</v>
      </c>
      <c r="CY278" t="s">
        <v>13818</v>
      </c>
      <c r="DA278" t="s">
        <v>13887</v>
      </c>
      <c r="DB278" t="s">
        <v>13808</v>
      </c>
      <c r="DD278" t="s">
        <v>15188</v>
      </c>
      <c r="DE278" t="s">
        <v>13818</v>
      </c>
      <c r="DG278" t="s">
        <v>13909</v>
      </c>
      <c r="DH278" t="s">
        <v>13818</v>
      </c>
      <c r="DN278" t="s">
        <v>13809</v>
      </c>
      <c r="DY278" t="s">
        <v>13920</v>
      </c>
      <c r="DZ278" t="s">
        <v>14274</v>
      </c>
      <c r="EA278" t="s">
        <v>14275</v>
      </c>
      <c r="EC278">
        <v>44272</v>
      </c>
      <c r="ED278" t="s">
        <v>14608</v>
      </c>
      <c r="EE278" t="s">
        <v>7024</v>
      </c>
    </row>
    <row r="279" spans="1:135">
      <c r="A279" t="s">
        <v>2341</v>
      </c>
      <c r="B279" t="s">
        <v>2314</v>
      </c>
      <c r="C279" t="s">
        <v>18357</v>
      </c>
      <c r="D279" s="24">
        <v>44769</v>
      </c>
      <c r="E279" s="24" t="s">
        <v>13555</v>
      </c>
      <c r="F279" s="24" t="s">
        <v>18358</v>
      </c>
      <c r="G279" s="24" t="s">
        <v>13808</v>
      </c>
      <c r="H279" s="24"/>
      <c r="I279" s="24" t="s">
        <v>13809</v>
      </c>
      <c r="J279" s="24"/>
      <c r="K279" s="24" t="s">
        <v>13809</v>
      </c>
      <c r="L279" s="24"/>
      <c r="M279" s="24" t="s">
        <v>18359</v>
      </c>
      <c r="N279" s="24" t="s">
        <v>13808</v>
      </c>
      <c r="O279" s="24"/>
      <c r="P279" s="24" t="s">
        <v>13808</v>
      </c>
      <c r="Q279" s="24"/>
      <c r="R279" s="24" t="s">
        <v>13808</v>
      </c>
      <c r="S279" s="24"/>
      <c r="T279" t="s">
        <v>18360</v>
      </c>
      <c r="U279" t="s">
        <v>13809</v>
      </c>
      <c r="W279" t="s">
        <v>13808</v>
      </c>
      <c r="X279" t="s">
        <v>18361</v>
      </c>
      <c r="Y279" t="s">
        <v>13809</v>
      </c>
      <c r="AA279" t="s">
        <v>18362</v>
      </c>
      <c r="AB279" t="s">
        <v>18363</v>
      </c>
      <c r="AC279" t="s">
        <v>13808</v>
      </c>
      <c r="AH279" t="s">
        <v>13851</v>
      </c>
      <c r="AI279" t="s">
        <v>13808</v>
      </c>
      <c r="AN279" t="s">
        <v>18364</v>
      </c>
      <c r="AO279" t="s">
        <v>13808</v>
      </c>
      <c r="AT279" t="s">
        <v>14312</v>
      </c>
      <c r="AU279" t="s">
        <v>13808</v>
      </c>
      <c r="AZ279" t="s">
        <v>18365</v>
      </c>
      <c r="BA279" t="s">
        <v>13808</v>
      </c>
      <c r="BB279" t="s">
        <v>18366</v>
      </c>
      <c r="BF279" t="s">
        <v>18367</v>
      </c>
      <c r="BG279" t="s">
        <v>13808</v>
      </c>
      <c r="BL279" t="s">
        <v>18368</v>
      </c>
      <c r="BM279" t="s">
        <v>13808</v>
      </c>
      <c r="BR279" t="s">
        <v>18369</v>
      </c>
      <c r="BS279" t="s">
        <v>13824</v>
      </c>
      <c r="BT279" t="s">
        <v>13808</v>
      </c>
      <c r="BU279" t="s">
        <v>14836</v>
      </c>
      <c r="BY279" t="s">
        <v>13860</v>
      </c>
      <c r="BZ279" t="s">
        <v>13808</v>
      </c>
      <c r="CA279" t="s">
        <v>13937</v>
      </c>
      <c r="CE279" t="s">
        <v>13828</v>
      </c>
      <c r="CF279" t="s">
        <v>13808</v>
      </c>
      <c r="CG279" t="s">
        <v>18370</v>
      </c>
      <c r="CK279" t="s">
        <v>13760</v>
      </c>
      <c r="CL279" t="s">
        <v>13809</v>
      </c>
      <c r="CQ279" t="s">
        <v>13766</v>
      </c>
      <c r="CR279" t="s">
        <v>13809</v>
      </c>
      <c r="CT279" t="s">
        <v>18371</v>
      </c>
      <c r="CU279" t="s">
        <v>18372</v>
      </c>
      <c r="CV279" t="s">
        <v>13808</v>
      </c>
      <c r="DA279" t="s">
        <v>18373</v>
      </c>
      <c r="DB279" t="s">
        <v>13808</v>
      </c>
      <c r="DG279" t="s">
        <v>18374</v>
      </c>
      <c r="DH279" t="s">
        <v>13818</v>
      </c>
      <c r="DM279" t="s">
        <v>18375</v>
      </c>
      <c r="DN279" t="s">
        <v>13808</v>
      </c>
      <c r="DY279" t="s">
        <v>14606</v>
      </c>
      <c r="DZ279" t="s">
        <v>18376</v>
      </c>
      <c r="EA279" t="s">
        <v>13842</v>
      </c>
      <c r="EC279">
        <v>44774</v>
      </c>
      <c r="ED279" t="s">
        <v>14590</v>
      </c>
      <c r="EE279" t="s">
        <v>7028</v>
      </c>
    </row>
    <row r="280" spans="1:135">
      <c r="A280" t="s">
        <v>2712</v>
      </c>
      <c r="B280" t="s">
        <v>2693</v>
      </c>
      <c r="C280" t="s">
        <v>18377</v>
      </c>
      <c r="D280" s="24">
        <v>43371</v>
      </c>
      <c r="E280" s="24" t="s">
        <v>13560</v>
      </c>
      <c r="F280" s="24" t="s">
        <v>18378</v>
      </c>
      <c r="G280" s="24" t="s">
        <v>13808</v>
      </c>
      <c r="H280" s="24"/>
      <c r="I280" s="24" t="s">
        <v>13809</v>
      </c>
      <c r="J280" s="24"/>
      <c r="K280" s="24" t="s">
        <v>13809</v>
      </c>
      <c r="L280" s="24"/>
      <c r="M280" s="24" t="s">
        <v>13950</v>
      </c>
      <c r="N280" s="24" t="s">
        <v>13808</v>
      </c>
      <c r="O280" s="24"/>
      <c r="P280" s="24" t="s">
        <v>13808</v>
      </c>
      <c r="Q280" s="24"/>
      <c r="R280" s="24" t="s">
        <v>13808</v>
      </c>
      <c r="S280" s="24"/>
      <c r="T280" t="s">
        <v>14137</v>
      </c>
      <c r="U280" t="s">
        <v>13809</v>
      </c>
      <c r="W280" t="s">
        <v>13809</v>
      </c>
      <c r="Y280" t="s">
        <v>13809</v>
      </c>
      <c r="AA280" t="s">
        <v>18379</v>
      </c>
      <c r="AB280" t="s">
        <v>18380</v>
      </c>
      <c r="AC280" t="s">
        <v>13818</v>
      </c>
      <c r="AD280" t="s">
        <v>14309</v>
      </c>
      <c r="AH280" t="s">
        <v>14003</v>
      </c>
      <c r="AI280" t="s">
        <v>13808</v>
      </c>
      <c r="AK280" t="s">
        <v>18381</v>
      </c>
      <c r="AL280" t="s">
        <v>13818</v>
      </c>
      <c r="AM280" t="s">
        <v>14309</v>
      </c>
      <c r="AO280" t="s">
        <v>13809</v>
      </c>
      <c r="AT280" t="s">
        <v>18382</v>
      </c>
      <c r="AU280" t="s">
        <v>13818</v>
      </c>
      <c r="AV280" t="s">
        <v>14309</v>
      </c>
      <c r="AZ280" t="s">
        <v>18383</v>
      </c>
      <c r="BA280" t="s">
        <v>13818</v>
      </c>
      <c r="BB280" t="s">
        <v>14309</v>
      </c>
      <c r="BF280" t="s">
        <v>18384</v>
      </c>
      <c r="BG280" t="s">
        <v>13808</v>
      </c>
      <c r="BL280" t="s">
        <v>16214</v>
      </c>
      <c r="BM280" t="s">
        <v>13818</v>
      </c>
      <c r="BN280" t="s">
        <v>14309</v>
      </c>
      <c r="BR280" t="s">
        <v>18385</v>
      </c>
      <c r="BS280" t="s">
        <v>14003</v>
      </c>
      <c r="BT280" t="s">
        <v>13808</v>
      </c>
      <c r="BU280" t="s">
        <v>15012</v>
      </c>
      <c r="BY280" t="s">
        <v>14003</v>
      </c>
      <c r="BZ280" t="s">
        <v>13808</v>
      </c>
      <c r="CA280" t="s">
        <v>13937</v>
      </c>
      <c r="CE280" t="s">
        <v>15470</v>
      </c>
      <c r="CF280" t="s">
        <v>13818</v>
      </c>
      <c r="CK280" t="s">
        <v>18386</v>
      </c>
      <c r="CL280" t="s">
        <v>13808</v>
      </c>
      <c r="CR280" t="s">
        <v>13809</v>
      </c>
      <c r="CT280" t="s">
        <v>18387</v>
      </c>
      <c r="CU280" t="s">
        <v>14003</v>
      </c>
      <c r="CV280" t="s">
        <v>13808</v>
      </c>
      <c r="CX280" t="s">
        <v>18381</v>
      </c>
      <c r="CY280" t="s">
        <v>13818</v>
      </c>
      <c r="CZ280" t="s">
        <v>14309</v>
      </c>
      <c r="DA280" t="s">
        <v>14003</v>
      </c>
      <c r="DB280" t="s">
        <v>13808</v>
      </c>
      <c r="DD280" t="s">
        <v>18381</v>
      </c>
      <c r="DE280" t="s">
        <v>13818</v>
      </c>
      <c r="DF280" t="s">
        <v>14309</v>
      </c>
      <c r="DG280" t="s">
        <v>13909</v>
      </c>
      <c r="DH280" t="s">
        <v>13818</v>
      </c>
      <c r="DZ280" t="s">
        <v>14274</v>
      </c>
      <c r="EA280" t="s">
        <v>14201</v>
      </c>
      <c r="EC280">
        <v>43480</v>
      </c>
      <c r="ED280" t="s">
        <v>13903</v>
      </c>
      <c r="EE280" t="s">
        <v>7380</v>
      </c>
    </row>
    <row r="281" spans="1:135">
      <c r="A281" t="s">
        <v>11053</v>
      </c>
      <c r="B281" t="s">
        <v>2693</v>
      </c>
      <c r="C281" t="s">
        <v>18388</v>
      </c>
      <c r="D281" s="24">
        <v>44503</v>
      </c>
      <c r="E281" s="24" t="s">
        <v>13561</v>
      </c>
      <c r="F281" s="24" t="s">
        <v>18389</v>
      </c>
      <c r="G281" s="24" t="s">
        <v>13818</v>
      </c>
      <c r="H281" s="24" t="s">
        <v>18390</v>
      </c>
      <c r="I281" s="24" t="s">
        <v>13809</v>
      </c>
      <c r="J281" s="24"/>
      <c r="K281" s="24" t="s">
        <v>13809</v>
      </c>
      <c r="L281" s="24"/>
      <c r="M281" s="24" t="s">
        <v>14304</v>
      </c>
      <c r="N281" s="24" t="s">
        <v>13808</v>
      </c>
      <c r="O281" s="24"/>
      <c r="P281" s="24" t="s">
        <v>13808</v>
      </c>
      <c r="Q281" s="24"/>
      <c r="R281" s="24" t="s">
        <v>13808</v>
      </c>
      <c r="S281" s="24"/>
      <c r="T281" t="s">
        <v>18391</v>
      </c>
      <c r="U281" t="s">
        <v>13809</v>
      </c>
      <c r="W281" t="s">
        <v>13809</v>
      </c>
      <c r="Y281" t="s">
        <v>13809</v>
      </c>
      <c r="AA281" t="s">
        <v>17512</v>
      </c>
      <c r="AC281" t="s">
        <v>13809</v>
      </c>
      <c r="AH281" t="s">
        <v>13909</v>
      </c>
      <c r="AI281" t="s">
        <v>13818</v>
      </c>
      <c r="AJ281" t="s">
        <v>14309</v>
      </c>
      <c r="AN281" t="s">
        <v>18392</v>
      </c>
      <c r="AO281" t="s">
        <v>13818</v>
      </c>
      <c r="AP281" t="s">
        <v>14309</v>
      </c>
      <c r="AT281" t="s">
        <v>14432</v>
      </c>
      <c r="AU281" t="s">
        <v>13818</v>
      </c>
      <c r="AV281" t="s">
        <v>14309</v>
      </c>
      <c r="AZ281" t="s">
        <v>18393</v>
      </c>
      <c r="BA281" t="s">
        <v>13818</v>
      </c>
      <c r="BB281" t="s">
        <v>14309</v>
      </c>
      <c r="BF281" t="s">
        <v>18394</v>
      </c>
      <c r="BG281" t="s">
        <v>13818</v>
      </c>
      <c r="BH281" t="s">
        <v>14309</v>
      </c>
      <c r="BL281" t="s">
        <v>16788</v>
      </c>
      <c r="BM281" t="s">
        <v>13818</v>
      </c>
      <c r="BN281" t="s">
        <v>14309</v>
      </c>
      <c r="BR281" t="s">
        <v>18395</v>
      </c>
      <c r="BS281" t="s">
        <v>13887</v>
      </c>
      <c r="BT281" t="s">
        <v>13818</v>
      </c>
      <c r="BU281" t="s">
        <v>18396</v>
      </c>
      <c r="BY281" t="s">
        <v>13887</v>
      </c>
      <c r="BZ281" t="s">
        <v>13818</v>
      </c>
      <c r="CA281" t="s">
        <v>14309</v>
      </c>
      <c r="CE281" t="s">
        <v>13885</v>
      </c>
      <c r="CF281" t="s">
        <v>13818</v>
      </c>
      <c r="CG281" t="s">
        <v>14309</v>
      </c>
      <c r="CL281" t="s">
        <v>13809</v>
      </c>
      <c r="CR281" t="s">
        <v>13809</v>
      </c>
      <c r="CT281" t="s">
        <v>13830</v>
      </c>
      <c r="CU281" t="s">
        <v>13909</v>
      </c>
      <c r="CV281" t="s">
        <v>13818</v>
      </c>
      <c r="CW281" t="s">
        <v>14309</v>
      </c>
      <c r="DA281" t="s">
        <v>13909</v>
      </c>
      <c r="DB281" t="s">
        <v>13818</v>
      </c>
      <c r="DC281" t="s">
        <v>14309</v>
      </c>
      <c r="DG281" t="s">
        <v>13909</v>
      </c>
      <c r="DH281" t="s">
        <v>13818</v>
      </c>
      <c r="DY281" t="s">
        <v>13869</v>
      </c>
      <c r="DZ281" t="s">
        <v>14274</v>
      </c>
      <c r="EA281" t="s">
        <v>14275</v>
      </c>
      <c r="ED281" t="s">
        <v>14722</v>
      </c>
      <c r="EE281" t="s">
        <v>13598</v>
      </c>
    </row>
    <row r="282" spans="1:135">
      <c r="A282" t="s">
        <v>2943</v>
      </c>
      <c r="B282" t="s">
        <v>2926</v>
      </c>
      <c r="C282" t="s">
        <v>18397</v>
      </c>
      <c r="D282" s="24">
        <v>43999</v>
      </c>
      <c r="E282" s="24" t="s">
        <v>13557</v>
      </c>
      <c r="F282" s="24" t="s">
        <v>18398</v>
      </c>
      <c r="G282" s="24" t="s">
        <v>13808</v>
      </c>
      <c r="H282" s="24"/>
      <c r="I282" s="24" t="s">
        <v>13809</v>
      </c>
      <c r="J282" s="24"/>
      <c r="K282" s="24" t="s">
        <v>13808</v>
      </c>
      <c r="L282" s="24"/>
      <c r="M282" s="24" t="s">
        <v>18399</v>
      </c>
      <c r="N282" s="24" t="s">
        <v>13808</v>
      </c>
      <c r="O282" s="24" t="s">
        <v>18400</v>
      </c>
      <c r="P282" s="24" t="s">
        <v>13808</v>
      </c>
      <c r="Q282" s="24"/>
      <c r="R282" s="24" t="s">
        <v>13808</v>
      </c>
      <c r="S282" s="24"/>
      <c r="T282" t="s">
        <v>13875</v>
      </c>
      <c r="U282" t="s">
        <v>13809</v>
      </c>
      <c r="W282" t="s">
        <v>13808</v>
      </c>
      <c r="Y282" t="s">
        <v>13808</v>
      </c>
      <c r="Z282" t="s">
        <v>18401</v>
      </c>
      <c r="AA282" t="s">
        <v>15089</v>
      </c>
      <c r="AB282" t="s">
        <v>13809</v>
      </c>
      <c r="AH282" t="s">
        <v>18402</v>
      </c>
      <c r="AI282" t="s">
        <v>13808</v>
      </c>
      <c r="AN282" t="s">
        <v>18403</v>
      </c>
      <c r="AO282" t="s">
        <v>13808</v>
      </c>
      <c r="AT282" t="s">
        <v>14432</v>
      </c>
      <c r="AU282" t="s">
        <v>13808</v>
      </c>
      <c r="AZ282" t="s">
        <v>16078</v>
      </c>
      <c r="BA282" t="s">
        <v>13808</v>
      </c>
      <c r="BF282" t="s">
        <v>14189</v>
      </c>
      <c r="BG282" t="s">
        <v>13808</v>
      </c>
      <c r="BL282" t="s">
        <v>13809</v>
      </c>
      <c r="BR282" t="s">
        <v>18404</v>
      </c>
      <c r="BS282" t="s">
        <v>13887</v>
      </c>
      <c r="BT282" t="s">
        <v>13897</v>
      </c>
      <c r="BU282" t="s">
        <v>18405</v>
      </c>
      <c r="BY282" t="s">
        <v>13887</v>
      </c>
      <c r="BZ282" t="s">
        <v>13808</v>
      </c>
      <c r="CA282" t="s">
        <v>18406</v>
      </c>
      <c r="CE282" t="s">
        <v>13885</v>
      </c>
      <c r="CF282" t="s">
        <v>13808</v>
      </c>
      <c r="CK282" t="s">
        <v>13809</v>
      </c>
      <c r="CR282" t="s">
        <v>13809</v>
      </c>
      <c r="CT282" t="s">
        <v>18407</v>
      </c>
      <c r="CU282" t="s">
        <v>18408</v>
      </c>
      <c r="CV282" t="s">
        <v>13808</v>
      </c>
      <c r="CW282" t="s">
        <v>18409</v>
      </c>
      <c r="CX282" t="s">
        <v>16046</v>
      </c>
      <c r="CY282" t="s">
        <v>13818</v>
      </c>
      <c r="DA282" t="s">
        <v>18410</v>
      </c>
      <c r="DB282" t="s">
        <v>13897</v>
      </c>
      <c r="DC282" t="s">
        <v>18409</v>
      </c>
      <c r="DG282" t="s">
        <v>18411</v>
      </c>
      <c r="DH282" t="s">
        <v>13818</v>
      </c>
      <c r="DM282" t="s">
        <v>18412</v>
      </c>
      <c r="DN282" t="s">
        <v>13818</v>
      </c>
      <c r="DY282" t="s">
        <v>13840</v>
      </c>
      <c r="DZ282" t="s">
        <v>18413</v>
      </c>
      <c r="EA282" t="s">
        <v>14275</v>
      </c>
      <c r="EC282">
        <v>44267</v>
      </c>
      <c r="ED282" t="s">
        <v>14276</v>
      </c>
      <c r="EE282" t="s">
        <v>7632</v>
      </c>
    </row>
    <row r="283" spans="1:135">
      <c r="A283" t="s">
        <v>2877</v>
      </c>
      <c r="B283" t="s">
        <v>2861</v>
      </c>
      <c r="C283" t="s">
        <v>18414</v>
      </c>
      <c r="D283" s="24">
        <v>43866</v>
      </c>
      <c r="E283" s="24" t="s">
        <v>13555</v>
      </c>
      <c r="F283" s="24" t="s">
        <v>18415</v>
      </c>
      <c r="G283" s="24" t="s">
        <v>13808</v>
      </c>
      <c r="H283" s="24"/>
      <c r="I283" s="24" t="s">
        <v>13809</v>
      </c>
      <c r="J283" s="24"/>
      <c r="K283" s="24" t="s">
        <v>13809</v>
      </c>
      <c r="L283" s="24"/>
      <c r="M283" s="24" t="s">
        <v>16193</v>
      </c>
      <c r="N283" s="24" t="s">
        <v>13808</v>
      </c>
      <c r="O283" s="24"/>
      <c r="P283" s="24" t="s">
        <v>13808</v>
      </c>
      <c r="Q283" s="24"/>
      <c r="R283" s="24" t="s">
        <v>13808</v>
      </c>
      <c r="S283" s="24"/>
      <c r="T283" t="s">
        <v>13907</v>
      </c>
      <c r="U283" t="s">
        <v>13809</v>
      </c>
      <c r="W283" t="s">
        <v>13808</v>
      </c>
      <c r="X283" t="s">
        <v>18416</v>
      </c>
      <c r="Y283" t="s">
        <v>13809</v>
      </c>
      <c r="AA283" t="s">
        <v>13877</v>
      </c>
      <c r="AB283" t="s">
        <v>13894</v>
      </c>
      <c r="AC283" t="s">
        <v>13808</v>
      </c>
      <c r="AH283" t="s">
        <v>13909</v>
      </c>
      <c r="AI283" t="s">
        <v>13808</v>
      </c>
      <c r="AN283" t="s">
        <v>18417</v>
      </c>
      <c r="AO283" t="s">
        <v>13808</v>
      </c>
      <c r="AT283" t="s">
        <v>18418</v>
      </c>
      <c r="AU283" t="s">
        <v>13808</v>
      </c>
      <c r="AZ283" t="s">
        <v>18419</v>
      </c>
      <c r="BA283" t="s">
        <v>13808</v>
      </c>
      <c r="BF283" t="s">
        <v>14169</v>
      </c>
      <c r="BG283" t="s">
        <v>13808</v>
      </c>
      <c r="BL283" t="s">
        <v>13809</v>
      </c>
      <c r="BR283" t="s">
        <v>18420</v>
      </c>
      <c r="BS283" t="s">
        <v>13887</v>
      </c>
      <c r="BT283" t="s">
        <v>13808</v>
      </c>
      <c r="BU283" t="s">
        <v>14128</v>
      </c>
      <c r="BY283" t="s">
        <v>13887</v>
      </c>
      <c r="BZ283" t="s">
        <v>13808</v>
      </c>
      <c r="CE283" t="s">
        <v>13885</v>
      </c>
      <c r="CF283" t="s">
        <v>13808</v>
      </c>
      <c r="CG283" t="s">
        <v>18421</v>
      </c>
      <c r="CK283" t="s">
        <v>13809</v>
      </c>
      <c r="CR283" t="s">
        <v>13809</v>
      </c>
      <c r="CT283" t="s">
        <v>16202</v>
      </c>
      <c r="CU283" t="s">
        <v>18422</v>
      </c>
      <c r="CV283" t="s">
        <v>13808</v>
      </c>
      <c r="CX283" t="s">
        <v>18423</v>
      </c>
      <c r="CY283" t="s">
        <v>13818</v>
      </c>
      <c r="CZ283" t="s">
        <v>18424</v>
      </c>
      <c r="DA283" t="s">
        <v>18425</v>
      </c>
      <c r="DB283" t="s">
        <v>13808</v>
      </c>
      <c r="DM283" t="s">
        <v>18426</v>
      </c>
      <c r="DN283" t="s">
        <v>13808</v>
      </c>
      <c r="DP283" t="s">
        <v>18427</v>
      </c>
      <c r="DQ283" t="s">
        <v>13818</v>
      </c>
      <c r="DR283" t="s">
        <v>18428</v>
      </c>
      <c r="DY283" t="s">
        <v>13920</v>
      </c>
      <c r="DZ283" t="s">
        <v>18429</v>
      </c>
      <c r="EA283" t="s">
        <v>16115</v>
      </c>
      <c r="ED283" t="s">
        <v>14501</v>
      </c>
      <c r="EE283" t="s">
        <v>7524</v>
      </c>
    </row>
    <row r="284" spans="1:135">
      <c r="A284" t="s">
        <v>2719</v>
      </c>
      <c r="B284" t="s">
        <v>2693</v>
      </c>
      <c r="C284" t="s">
        <v>18430</v>
      </c>
      <c r="D284" s="24">
        <v>44636</v>
      </c>
      <c r="E284" s="24" t="s">
        <v>13560</v>
      </c>
      <c r="F284" s="24" t="s">
        <v>18431</v>
      </c>
      <c r="G284" s="24" t="s">
        <v>13808</v>
      </c>
      <c r="H284" s="24"/>
      <c r="I284" s="24" t="s">
        <v>13809</v>
      </c>
      <c r="J284" s="24"/>
      <c r="K284" s="24" t="s">
        <v>13809</v>
      </c>
      <c r="L284" s="24"/>
      <c r="M284" s="24" t="s">
        <v>14304</v>
      </c>
      <c r="N284" s="24" t="s">
        <v>13808</v>
      </c>
      <c r="O284" s="24"/>
      <c r="P284" s="24" t="s">
        <v>13808</v>
      </c>
      <c r="Q284" s="24"/>
      <c r="R284" s="24" t="s">
        <v>13808</v>
      </c>
      <c r="S284" s="24"/>
      <c r="T284" t="s">
        <v>14071</v>
      </c>
      <c r="U284" t="s">
        <v>13809</v>
      </c>
      <c r="W284" t="s">
        <v>13809</v>
      </c>
      <c r="Y284" t="s">
        <v>13809</v>
      </c>
      <c r="AA284" t="s">
        <v>18432</v>
      </c>
      <c r="AB284" t="s">
        <v>18433</v>
      </c>
      <c r="AC284" t="s">
        <v>13808</v>
      </c>
      <c r="AH284" t="s">
        <v>14073</v>
      </c>
      <c r="AI284" t="s">
        <v>13808</v>
      </c>
      <c r="AK284" t="s">
        <v>14310</v>
      </c>
      <c r="AL284" t="s">
        <v>13818</v>
      </c>
      <c r="AM284" t="s">
        <v>14309</v>
      </c>
      <c r="AN284" t="s">
        <v>13711</v>
      </c>
      <c r="AO284" t="s">
        <v>13809</v>
      </c>
      <c r="AT284" t="s">
        <v>14312</v>
      </c>
      <c r="AU284" t="s">
        <v>13818</v>
      </c>
      <c r="AV284" t="s">
        <v>14309</v>
      </c>
      <c r="AZ284" t="s">
        <v>15751</v>
      </c>
      <c r="BA284" t="s">
        <v>13808</v>
      </c>
      <c r="BF284" t="s">
        <v>15752</v>
      </c>
      <c r="BG284" t="s">
        <v>13808</v>
      </c>
      <c r="BL284" t="s">
        <v>18434</v>
      </c>
      <c r="BM284" t="s">
        <v>13808</v>
      </c>
      <c r="BR284" t="s">
        <v>18435</v>
      </c>
      <c r="BS284" t="s">
        <v>13824</v>
      </c>
      <c r="BT284" t="s">
        <v>13808</v>
      </c>
      <c r="BU284" t="s">
        <v>14233</v>
      </c>
      <c r="BY284" t="s">
        <v>13860</v>
      </c>
      <c r="BZ284" t="s">
        <v>13808</v>
      </c>
      <c r="CE284" t="s">
        <v>14292</v>
      </c>
      <c r="CF284" t="s">
        <v>13818</v>
      </c>
      <c r="CG284" t="s">
        <v>14309</v>
      </c>
      <c r="CK284" t="s">
        <v>13760</v>
      </c>
      <c r="CL284" t="s">
        <v>13809</v>
      </c>
      <c r="CQ284" t="s">
        <v>13766</v>
      </c>
      <c r="CR284" t="s">
        <v>13809</v>
      </c>
      <c r="CT284" t="s">
        <v>18436</v>
      </c>
      <c r="CU284" t="s">
        <v>14960</v>
      </c>
      <c r="CV284" t="s">
        <v>13808</v>
      </c>
      <c r="CX284" t="s">
        <v>15706</v>
      </c>
      <c r="CY284" t="s">
        <v>13818</v>
      </c>
      <c r="DA284" t="s">
        <v>14962</v>
      </c>
      <c r="DB284" t="s">
        <v>13808</v>
      </c>
      <c r="DD284" t="s">
        <v>15706</v>
      </c>
      <c r="DE284" t="s">
        <v>13818</v>
      </c>
      <c r="DG284" t="s">
        <v>14240</v>
      </c>
      <c r="DH284" t="s">
        <v>13808</v>
      </c>
      <c r="DY284" t="s">
        <v>13840</v>
      </c>
      <c r="DZ284" t="s">
        <v>13841</v>
      </c>
      <c r="EA284" t="s">
        <v>13842</v>
      </c>
      <c r="EC284">
        <v>44638</v>
      </c>
      <c r="ED284" t="s">
        <v>14590</v>
      </c>
      <c r="EE284" t="s">
        <v>7384</v>
      </c>
    </row>
    <row r="285" spans="1:135">
      <c r="A285" t="s">
        <v>2723</v>
      </c>
      <c r="B285" t="s">
        <v>2693</v>
      </c>
      <c r="C285" t="s">
        <v>18437</v>
      </c>
      <c r="D285" s="24">
        <v>43398</v>
      </c>
      <c r="E285" s="24" t="s">
        <v>13555</v>
      </c>
      <c r="F285" s="24" t="s">
        <v>18438</v>
      </c>
      <c r="G285" s="24" t="s">
        <v>13808</v>
      </c>
      <c r="H285" s="24"/>
      <c r="I285" s="24" t="s">
        <v>13809</v>
      </c>
      <c r="J285" s="24"/>
      <c r="K285" s="24" t="s">
        <v>13808</v>
      </c>
      <c r="L285" s="24"/>
      <c r="M285" s="24" t="s">
        <v>13874</v>
      </c>
      <c r="N285" s="24" t="s">
        <v>13808</v>
      </c>
      <c r="O285" s="24"/>
      <c r="P285" s="24" t="s">
        <v>13808</v>
      </c>
      <c r="Q285" s="24"/>
      <c r="R285" s="24" t="s">
        <v>13808</v>
      </c>
      <c r="S285" s="24"/>
      <c r="T285" t="s">
        <v>14034</v>
      </c>
      <c r="U285" t="s">
        <v>13808</v>
      </c>
      <c r="W285" t="s">
        <v>13808</v>
      </c>
      <c r="X285" t="s">
        <v>18439</v>
      </c>
      <c r="Y285" t="s">
        <v>13809</v>
      </c>
      <c r="AA285" t="s">
        <v>15461</v>
      </c>
      <c r="AB285" t="s">
        <v>18440</v>
      </c>
      <c r="AC285" t="s">
        <v>13808</v>
      </c>
      <c r="AH285" t="s">
        <v>13909</v>
      </c>
      <c r="AI285" t="s">
        <v>13808</v>
      </c>
      <c r="AN285" t="s">
        <v>18441</v>
      </c>
      <c r="AO285" t="s">
        <v>13808</v>
      </c>
      <c r="AT285" t="s">
        <v>14366</v>
      </c>
      <c r="AU285" t="s">
        <v>13808</v>
      </c>
      <c r="AZ285" t="s">
        <v>18442</v>
      </c>
      <c r="BA285" t="s">
        <v>13808</v>
      </c>
      <c r="BF285" t="s">
        <v>18443</v>
      </c>
      <c r="BG285" t="s">
        <v>13808</v>
      </c>
      <c r="BL285" t="s">
        <v>18444</v>
      </c>
      <c r="BM285" t="s">
        <v>13808</v>
      </c>
      <c r="BR285" t="s">
        <v>18445</v>
      </c>
      <c r="BS285" t="s">
        <v>13887</v>
      </c>
      <c r="BT285" t="s">
        <v>13808</v>
      </c>
      <c r="BU285" t="s">
        <v>18446</v>
      </c>
      <c r="BY285" t="s">
        <v>14265</v>
      </c>
      <c r="BZ285" t="s">
        <v>13808</v>
      </c>
      <c r="CA285" t="s">
        <v>18447</v>
      </c>
      <c r="CE285" t="s">
        <v>15280</v>
      </c>
      <c r="CF285" t="s">
        <v>13808</v>
      </c>
      <c r="CL285" t="s">
        <v>13809</v>
      </c>
      <c r="CR285" t="s">
        <v>13809</v>
      </c>
      <c r="CT285" t="s">
        <v>18448</v>
      </c>
      <c r="CU285" t="s">
        <v>18449</v>
      </c>
      <c r="CV285" t="s">
        <v>13808</v>
      </c>
      <c r="CX285" t="s">
        <v>15188</v>
      </c>
      <c r="CY285" t="s">
        <v>13818</v>
      </c>
      <c r="DA285" t="s">
        <v>18450</v>
      </c>
      <c r="DB285" t="s">
        <v>13808</v>
      </c>
      <c r="DC285" t="s">
        <v>15188</v>
      </c>
      <c r="DD285" t="s">
        <v>13818</v>
      </c>
      <c r="DH285" t="s">
        <v>13809</v>
      </c>
      <c r="DM285" t="s">
        <v>18451</v>
      </c>
      <c r="DN285" t="s">
        <v>13808</v>
      </c>
      <c r="DO285" t="s">
        <v>18452</v>
      </c>
      <c r="DP285" t="s">
        <v>15128</v>
      </c>
      <c r="DQ285" t="s">
        <v>13818</v>
      </c>
      <c r="DR285" t="s">
        <v>18453</v>
      </c>
      <c r="DZ285" t="s">
        <v>18454</v>
      </c>
      <c r="EA285" t="s">
        <v>14201</v>
      </c>
      <c r="EC285">
        <v>43726</v>
      </c>
      <c r="ED285" t="s">
        <v>13903</v>
      </c>
      <c r="EE285" t="s">
        <v>7386</v>
      </c>
    </row>
    <row r="286" spans="1:135">
      <c r="A286" t="s">
        <v>2352</v>
      </c>
      <c r="B286" t="s">
        <v>2314</v>
      </c>
      <c r="C286" t="s">
        <v>18455</v>
      </c>
      <c r="D286" s="24">
        <v>43557</v>
      </c>
      <c r="E286" s="24" t="s">
        <v>13553</v>
      </c>
      <c r="F286" s="24" t="s">
        <v>18456</v>
      </c>
      <c r="G286" s="24" t="s">
        <v>13808</v>
      </c>
      <c r="H286" s="24"/>
      <c r="I286" s="24" t="s">
        <v>13809</v>
      </c>
      <c r="J286" s="24"/>
      <c r="K286" s="24" t="s">
        <v>13809</v>
      </c>
      <c r="L286" s="24"/>
      <c r="M286" s="24" t="s">
        <v>14725</v>
      </c>
      <c r="N286" s="24" t="s">
        <v>13808</v>
      </c>
      <c r="O286" s="24"/>
      <c r="P286" s="24" t="s">
        <v>13808</v>
      </c>
      <c r="Q286" s="24"/>
      <c r="R286" s="24" t="s">
        <v>13808</v>
      </c>
      <c r="S286" s="24"/>
      <c r="T286" t="s">
        <v>18457</v>
      </c>
      <c r="U286" t="s">
        <v>13809</v>
      </c>
      <c r="W286" t="s">
        <v>13808</v>
      </c>
      <c r="X286" t="s">
        <v>18458</v>
      </c>
      <c r="Y286" t="s">
        <v>13809</v>
      </c>
      <c r="AA286" t="s">
        <v>13877</v>
      </c>
      <c r="AB286" t="s">
        <v>18459</v>
      </c>
      <c r="AC286" t="s">
        <v>13808</v>
      </c>
      <c r="AH286" t="s">
        <v>13909</v>
      </c>
      <c r="AI286" t="s">
        <v>13808</v>
      </c>
      <c r="AO286" t="s">
        <v>13809</v>
      </c>
      <c r="AT286" t="s">
        <v>18460</v>
      </c>
      <c r="AU286" t="s">
        <v>13808</v>
      </c>
      <c r="AZ286" t="s">
        <v>18461</v>
      </c>
      <c r="BA286" t="s">
        <v>13808</v>
      </c>
      <c r="BF286" t="s">
        <v>15071</v>
      </c>
      <c r="BG286" t="s">
        <v>13808</v>
      </c>
      <c r="BL286" t="s">
        <v>18462</v>
      </c>
      <c r="BM286" t="s">
        <v>13808</v>
      </c>
      <c r="BR286" t="s">
        <v>18463</v>
      </c>
      <c r="BS286" t="s">
        <v>13885</v>
      </c>
      <c r="BT286" t="s">
        <v>13808</v>
      </c>
      <c r="BU286" t="s">
        <v>18464</v>
      </c>
      <c r="BY286" t="s">
        <v>13887</v>
      </c>
      <c r="BZ286" t="s">
        <v>13808</v>
      </c>
      <c r="CA286" t="s">
        <v>13888</v>
      </c>
      <c r="CE286" t="s">
        <v>14197</v>
      </c>
      <c r="CF286" t="s">
        <v>13808</v>
      </c>
      <c r="CL286" t="s">
        <v>13809</v>
      </c>
      <c r="CR286" t="s">
        <v>13809</v>
      </c>
      <c r="CT286" t="s">
        <v>18465</v>
      </c>
      <c r="CU286" t="s">
        <v>18466</v>
      </c>
      <c r="CV286" t="s">
        <v>13808</v>
      </c>
      <c r="DA286" t="s">
        <v>18467</v>
      </c>
      <c r="DB286" t="s">
        <v>13808</v>
      </c>
      <c r="DH286" t="s">
        <v>13809</v>
      </c>
      <c r="DM286" t="s">
        <v>18468</v>
      </c>
      <c r="DN286" t="s">
        <v>13808</v>
      </c>
      <c r="DO286" t="s">
        <v>18469</v>
      </c>
      <c r="DY286" t="s">
        <v>13900</v>
      </c>
      <c r="DZ286" t="s">
        <v>18470</v>
      </c>
      <c r="EA286" t="s">
        <v>18471</v>
      </c>
      <c r="ED286" t="s">
        <v>14501</v>
      </c>
      <c r="EE286" t="s">
        <v>7035</v>
      </c>
    </row>
    <row r="287" spans="1:135">
      <c r="A287" t="s">
        <v>3030</v>
      </c>
      <c r="B287" t="s">
        <v>3013</v>
      </c>
      <c r="C287" t="s">
        <v>18472</v>
      </c>
      <c r="D287" s="24">
        <v>43599</v>
      </c>
      <c r="E287" s="24" t="s">
        <v>13553</v>
      </c>
      <c r="F287" s="24" t="s">
        <v>18473</v>
      </c>
      <c r="G287" s="24" t="s">
        <v>13808</v>
      </c>
      <c r="H287" s="24"/>
      <c r="I287" s="24" t="s">
        <v>13809</v>
      </c>
      <c r="J287" s="24"/>
      <c r="K287" s="24" t="s">
        <v>13808</v>
      </c>
      <c r="L287" s="24"/>
      <c r="M287" s="24" t="s">
        <v>18474</v>
      </c>
      <c r="N287" s="24" t="s">
        <v>13808</v>
      </c>
      <c r="O287" s="24"/>
      <c r="P287" s="24" t="s">
        <v>13808</v>
      </c>
      <c r="Q287" s="24"/>
      <c r="R287" s="24" t="s">
        <v>13808</v>
      </c>
      <c r="S287" s="24"/>
      <c r="T287" t="s">
        <v>14016</v>
      </c>
      <c r="U287" t="s">
        <v>13809</v>
      </c>
      <c r="W287" t="s">
        <v>13808</v>
      </c>
      <c r="X287" t="s">
        <v>18475</v>
      </c>
      <c r="Y287" t="s">
        <v>13809</v>
      </c>
      <c r="AA287" t="s">
        <v>13877</v>
      </c>
      <c r="AB287" t="s">
        <v>18476</v>
      </c>
      <c r="AC287" t="s">
        <v>13808</v>
      </c>
      <c r="AH287" t="s">
        <v>13909</v>
      </c>
      <c r="AI287" t="s">
        <v>13808</v>
      </c>
      <c r="AN287" t="s">
        <v>18477</v>
      </c>
      <c r="AO287" t="s">
        <v>13808</v>
      </c>
      <c r="AT287" t="s">
        <v>18478</v>
      </c>
      <c r="AU287" t="s">
        <v>13897</v>
      </c>
      <c r="AZ287" t="s">
        <v>18479</v>
      </c>
      <c r="BA287" t="s">
        <v>13897</v>
      </c>
      <c r="BF287" t="s">
        <v>18480</v>
      </c>
      <c r="BG287" t="s">
        <v>13808</v>
      </c>
      <c r="BL287" t="s">
        <v>18481</v>
      </c>
      <c r="BM287" t="s">
        <v>13897</v>
      </c>
      <c r="BR287" t="s">
        <v>18482</v>
      </c>
      <c r="BS287" t="s">
        <v>15472</v>
      </c>
      <c r="BT287" t="s">
        <v>13808</v>
      </c>
      <c r="BU287" t="s">
        <v>14025</v>
      </c>
      <c r="BY287" t="s">
        <v>13887</v>
      </c>
      <c r="BZ287" t="s">
        <v>13808</v>
      </c>
      <c r="CA287" t="s">
        <v>13888</v>
      </c>
      <c r="CE287" t="s">
        <v>14197</v>
      </c>
      <c r="CF287" t="s">
        <v>13808</v>
      </c>
      <c r="CL287" t="s">
        <v>13809</v>
      </c>
      <c r="CR287" t="s">
        <v>13809</v>
      </c>
      <c r="CT287" t="s">
        <v>18483</v>
      </c>
      <c r="CU287" t="s">
        <v>18484</v>
      </c>
      <c r="CV287" t="s">
        <v>13808</v>
      </c>
      <c r="DA287" t="s">
        <v>18485</v>
      </c>
      <c r="DB287" t="s">
        <v>13808</v>
      </c>
      <c r="DH287" t="s">
        <v>13809</v>
      </c>
      <c r="DM287" t="s">
        <v>18486</v>
      </c>
      <c r="DN287" t="s">
        <v>13808</v>
      </c>
      <c r="DO287" t="s">
        <v>18487</v>
      </c>
      <c r="DP287" t="s">
        <v>18488</v>
      </c>
      <c r="DQ287" t="s">
        <v>13808</v>
      </c>
      <c r="DR287" t="s">
        <v>18489</v>
      </c>
      <c r="DY287" t="s">
        <v>14460</v>
      </c>
      <c r="DZ287" t="s">
        <v>14696</v>
      </c>
      <c r="EA287" t="s">
        <v>14182</v>
      </c>
      <c r="EC287">
        <v>43956</v>
      </c>
      <c r="ED287" t="s">
        <v>14501</v>
      </c>
      <c r="EE287" t="s">
        <v>7755</v>
      </c>
    </row>
    <row r="288" spans="1:135">
      <c r="A288" t="s">
        <v>2947</v>
      </c>
      <c r="B288" t="s">
        <v>2926</v>
      </c>
      <c r="C288" t="s">
        <v>18490</v>
      </c>
      <c r="D288" s="24">
        <v>42688</v>
      </c>
      <c r="E288" s="24" t="s">
        <v>13555</v>
      </c>
      <c r="F288" s="24" t="s">
        <v>18491</v>
      </c>
      <c r="G288" s="24" t="s">
        <v>13808</v>
      </c>
      <c r="H288" s="24"/>
      <c r="I288" s="24" t="s">
        <v>13809</v>
      </c>
      <c r="J288" s="24"/>
      <c r="K288" s="24" t="s">
        <v>13808</v>
      </c>
      <c r="L288" s="24"/>
      <c r="M288" s="24" t="s">
        <v>13846</v>
      </c>
      <c r="N288" s="24" t="s">
        <v>13808</v>
      </c>
      <c r="O288" s="24"/>
      <c r="P288" s="24" t="s">
        <v>13808</v>
      </c>
      <c r="Q288" s="24"/>
      <c r="R288" s="24" t="s">
        <v>13808</v>
      </c>
      <c r="S288" s="24"/>
      <c r="T288" t="s">
        <v>18492</v>
      </c>
      <c r="U288" t="s">
        <v>13809</v>
      </c>
      <c r="W288" t="s">
        <v>13808</v>
      </c>
      <c r="X288" t="s">
        <v>18493</v>
      </c>
      <c r="Y288" t="s">
        <v>13809</v>
      </c>
      <c r="AA288" t="s">
        <v>14971</v>
      </c>
      <c r="AB288" t="s">
        <v>14706</v>
      </c>
      <c r="AC288" t="s">
        <v>13808</v>
      </c>
      <c r="AH288" t="s">
        <v>13909</v>
      </c>
      <c r="AI288" t="s">
        <v>13808</v>
      </c>
      <c r="AN288" t="s">
        <v>15276</v>
      </c>
      <c r="AO288" t="s">
        <v>13808</v>
      </c>
      <c r="AT288" t="s">
        <v>18494</v>
      </c>
      <c r="AU288" t="s">
        <v>13808</v>
      </c>
      <c r="AZ288" t="s">
        <v>18495</v>
      </c>
      <c r="BA288" t="s">
        <v>13808</v>
      </c>
      <c r="BF288" t="s">
        <v>14170</v>
      </c>
      <c r="BG288" t="s">
        <v>13808</v>
      </c>
      <c r="BL288" t="s">
        <v>15626</v>
      </c>
      <c r="BM288" t="s">
        <v>13808</v>
      </c>
      <c r="BR288" t="s">
        <v>18496</v>
      </c>
      <c r="BS288" t="s">
        <v>13887</v>
      </c>
      <c r="BT288" t="s">
        <v>13808</v>
      </c>
      <c r="BU288" t="s">
        <v>15304</v>
      </c>
      <c r="BY288" t="s">
        <v>13887</v>
      </c>
      <c r="BZ288" t="s">
        <v>13808</v>
      </c>
      <c r="CE288" t="s">
        <v>13887</v>
      </c>
      <c r="CF288" t="s">
        <v>13808</v>
      </c>
      <c r="CL288" t="s">
        <v>13809</v>
      </c>
      <c r="CR288" t="s">
        <v>13809</v>
      </c>
      <c r="CT288" t="s">
        <v>18497</v>
      </c>
      <c r="CU288" t="s">
        <v>18498</v>
      </c>
      <c r="CV288" t="s">
        <v>13808</v>
      </c>
      <c r="CX288" t="s">
        <v>13885</v>
      </c>
      <c r="CY288" t="s">
        <v>13818</v>
      </c>
      <c r="DA288" t="s">
        <v>18499</v>
      </c>
      <c r="DB288" t="s">
        <v>13808</v>
      </c>
      <c r="DD288" t="s">
        <v>13885</v>
      </c>
      <c r="DE288" t="s">
        <v>13818</v>
      </c>
      <c r="DG288" t="s">
        <v>13909</v>
      </c>
      <c r="DH288" t="s">
        <v>13818</v>
      </c>
      <c r="DZ288" t="s">
        <v>18500</v>
      </c>
      <c r="EA288" t="s">
        <v>18501</v>
      </c>
      <c r="EC288">
        <v>43964</v>
      </c>
      <c r="ED288" t="s">
        <v>13903</v>
      </c>
      <c r="EE288" t="s">
        <v>7636</v>
      </c>
    </row>
    <row r="289" spans="1:135">
      <c r="A289" t="s">
        <v>3041</v>
      </c>
      <c r="B289" t="s">
        <v>3013</v>
      </c>
      <c r="C289" t="s">
        <v>18502</v>
      </c>
      <c r="D289" s="24">
        <v>43627</v>
      </c>
      <c r="E289" s="24" t="s">
        <v>13553</v>
      </c>
      <c r="F289" s="24" t="s">
        <v>18503</v>
      </c>
      <c r="G289" s="24" t="s">
        <v>13808</v>
      </c>
      <c r="H289" s="24"/>
      <c r="I289" s="24" t="s">
        <v>13809</v>
      </c>
      <c r="J289" s="24"/>
      <c r="K289" s="24" t="s">
        <v>13808</v>
      </c>
      <c r="L289" s="24" t="s">
        <v>18504</v>
      </c>
      <c r="M289" s="24" t="s">
        <v>14163</v>
      </c>
      <c r="N289" s="24" t="s">
        <v>13808</v>
      </c>
      <c r="O289" s="24"/>
      <c r="P289" s="24" t="s">
        <v>13808</v>
      </c>
      <c r="Q289" s="24"/>
      <c r="R289" s="24" t="s">
        <v>13808</v>
      </c>
      <c r="S289" s="24"/>
      <c r="T289" t="s">
        <v>14429</v>
      </c>
      <c r="U289" t="s">
        <v>13808</v>
      </c>
      <c r="W289" t="s">
        <v>13808</v>
      </c>
      <c r="X289" t="s">
        <v>18505</v>
      </c>
      <c r="Y289" t="s">
        <v>13809</v>
      </c>
      <c r="AA289" t="s">
        <v>13877</v>
      </c>
      <c r="AB289" t="s">
        <v>15898</v>
      </c>
      <c r="AC289" t="s">
        <v>13808</v>
      </c>
      <c r="AH289" t="s">
        <v>13909</v>
      </c>
      <c r="AI289" t="s">
        <v>13808</v>
      </c>
      <c r="AO289" t="s">
        <v>13809</v>
      </c>
      <c r="AT289" t="s">
        <v>16105</v>
      </c>
      <c r="AU289" t="s">
        <v>13808</v>
      </c>
      <c r="AZ289" t="s">
        <v>14730</v>
      </c>
      <c r="BA289" t="s">
        <v>13808</v>
      </c>
      <c r="BF289" t="s">
        <v>18506</v>
      </c>
      <c r="BG289" t="s">
        <v>13808</v>
      </c>
      <c r="BL289" t="s">
        <v>17123</v>
      </c>
      <c r="BM289" t="s">
        <v>13808</v>
      </c>
      <c r="BR289" t="s">
        <v>18507</v>
      </c>
      <c r="BT289" t="s">
        <v>13809</v>
      </c>
      <c r="BY289" t="s">
        <v>13885</v>
      </c>
      <c r="BZ289" t="s">
        <v>13808</v>
      </c>
      <c r="CA289" t="s">
        <v>14026</v>
      </c>
      <c r="CE289" t="s">
        <v>14265</v>
      </c>
      <c r="CF289" t="s">
        <v>13808</v>
      </c>
      <c r="CG289" t="s">
        <v>14291</v>
      </c>
      <c r="CL289" t="s">
        <v>13809</v>
      </c>
      <c r="CR289" t="s">
        <v>13809</v>
      </c>
      <c r="CT289" t="s">
        <v>18508</v>
      </c>
      <c r="CU289" t="s">
        <v>18509</v>
      </c>
      <c r="CV289" t="s">
        <v>13808</v>
      </c>
      <c r="DA289" t="s">
        <v>18510</v>
      </c>
      <c r="DB289" t="s">
        <v>13808</v>
      </c>
      <c r="DH289" t="s">
        <v>13809</v>
      </c>
      <c r="DM289" t="s">
        <v>18511</v>
      </c>
      <c r="DN289" t="s">
        <v>13808</v>
      </c>
      <c r="DO289" t="s">
        <v>18512</v>
      </c>
      <c r="DP289" t="s">
        <v>18513</v>
      </c>
      <c r="DQ289" t="s">
        <v>13808</v>
      </c>
      <c r="DR289" t="s">
        <v>14947</v>
      </c>
      <c r="DY289" t="s">
        <v>15828</v>
      </c>
      <c r="DZ289" t="s">
        <v>18514</v>
      </c>
      <c r="EA289" t="s">
        <v>14500</v>
      </c>
      <c r="EC289">
        <v>43647</v>
      </c>
      <c r="ED289" t="s">
        <v>14501</v>
      </c>
      <c r="EE289" t="s">
        <v>7763</v>
      </c>
    </row>
    <row r="290" spans="1:135">
      <c r="A290" t="s">
        <v>2276</v>
      </c>
      <c r="B290" t="s">
        <v>2232</v>
      </c>
      <c r="C290" t="s">
        <v>18515</v>
      </c>
      <c r="D290" s="24">
        <v>44743</v>
      </c>
      <c r="E290" s="24" t="s">
        <v>13555</v>
      </c>
      <c r="F290" s="24" t="s">
        <v>18516</v>
      </c>
      <c r="G290" s="24" t="s">
        <v>13808</v>
      </c>
      <c r="H290" s="24"/>
      <c r="I290" s="24" t="s">
        <v>13809</v>
      </c>
      <c r="J290" s="24"/>
      <c r="K290" s="24" t="s">
        <v>13809</v>
      </c>
      <c r="L290" s="24"/>
      <c r="M290" s="24" t="s">
        <v>14304</v>
      </c>
      <c r="N290" s="24" t="s">
        <v>13808</v>
      </c>
      <c r="O290" s="24"/>
      <c r="P290" s="24" t="s">
        <v>13808</v>
      </c>
      <c r="Q290" s="24"/>
      <c r="R290" s="24" t="s">
        <v>13808</v>
      </c>
      <c r="S290" s="24"/>
      <c r="T290" t="s">
        <v>18517</v>
      </c>
      <c r="U290" t="s">
        <v>13809</v>
      </c>
      <c r="W290" t="s">
        <v>13808</v>
      </c>
      <c r="X290" t="s">
        <v>18518</v>
      </c>
      <c r="Y290" t="s">
        <v>13808</v>
      </c>
      <c r="Z290" t="s">
        <v>18519</v>
      </c>
      <c r="AA290" t="s">
        <v>14971</v>
      </c>
      <c r="AB290" t="s">
        <v>18030</v>
      </c>
      <c r="AC290" t="s">
        <v>13808</v>
      </c>
      <c r="AH290" t="s">
        <v>18520</v>
      </c>
      <c r="AI290" t="s">
        <v>13808</v>
      </c>
      <c r="AN290" t="s">
        <v>18521</v>
      </c>
      <c r="AO290" t="s">
        <v>13808</v>
      </c>
      <c r="AT290" t="s">
        <v>18522</v>
      </c>
      <c r="AU290" t="s">
        <v>13808</v>
      </c>
      <c r="AZ290" t="s">
        <v>14749</v>
      </c>
      <c r="BA290" t="s">
        <v>13808</v>
      </c>
      <c r="BF290" t="s">
        <v>18523</v>
      </c>
      <c r="BG290" t="s">
        <v>13808</v>
      </c>
      <c r="BL290" t="s">
        <v>18524</v>
      </c>
      <c r="BM290" t="s">
        <v>13808</v>
      </c>
      <c r="BR290" t="s">
        <v>18525</v>
      </c>
      <c r="BS290" t="s">
        <v>13742</v>
      </c>
      <c r="BT290" t="s">
        <v>13809</v>
      </c>
      <c r="BY290" t="s">
        <v>13860</v>
      </c>
      <c r="BZ290" t="s">
        <v>13808</v>
      </c>
      <c r="CA290" t="s">
        <v>13937</v>
      </c>
      <c r="CE290" t="s">
        <v>13754</v>
      </c>
      <c r="CF290" t="s">
        <v>13809</v>
      </c>
      <c r="CK290" t="s">
        <v>18526</v>
      </c>
      <c r="CL290" t="s">
        <v>13808</v>
      </c>
      <c r="CM290" t="s">
        <v>13985</v>
      </c>
      <c r="CQ290" t="s">
        <v>13766</v>
      </c>
      <c r="CR290" t="s">
        <v>13809</v>
      </c>
      <c r="CT290" t="s">
        <v>18527</v>
      </c>
      <c r="DY290" t="s">
        <v>15682</v>
      </c>
      <c r="DZ290" t="s">
        <v>18528</v>
      </c>
      <c r="EA290" t="s">
        <v>16821</v>
      </c>
      <c r="EC290">
        <v>44747</v>
      </c>
      <c r="ED290" t="s">
        <v>14667</v>
      </c>
      <c r="EE290" t="s">
        <v>6950</v>
      </c>
    </row>
    <row r="291" spans="1:135">
      <c r="A291" t="s">
        <v>3046</v>
      </c>
      <c r="B291" t="s">
        <v>3013</v>
      </c>
      <c r="C291" t="s">
        <v>18529</v>
      </c>
      <c r="D291" s="24">
        <v>43415</v>
      </c>
      <c r="E291" s="24" t="s">
        <v>13555</v>
      </c>
      <c r="F291" s="24" t="s">
        <v>18530</v>
      </c>
      <c r="G291" s="24" t="s">
        <v>13808</v>
      </c>
      <c r="H291" s="24"/>
      <c r="I291" s="24" t="s">
        <v>13809</v>
      </c>
      <c r="J291" s="24"/>
      <c r="K291" s="24" t="s">
        <v>13808</v>
      </c>
      <c r="L291" s="24"/>
      <c r="M291" s="24" t="s">
        <v>14185</v>
      </c>
      <c r="N291" s="24" t="s">
        <v>13808</v>
      </c>
      <c r="O291" s="24"/>
      <c r="P291" s="24" t="s">
        <v>13808</v>
      </c>
      <c r="Q291" s="24"/>
      <c r="R291" s="24" t="s">
        <v>13808</v>
      </c>
      <c r="S291" s="24"/>
      <c r="T291" t="s">
        <v>18531</v>
      </c>
      <c r="U291" t="s">
        <v>13808</v>
      </c>
      <c r="W291" t="s">
        <v>13808</v>
      </c>
      <c r="X291" t="s">
        <v>18532</v>
      </c>
      <c r="Y291" t="s">
        <v>13809</v>
      </c>
      <c r="AA291" t="s">
        <v>14971</v>
      </c>
      <c r="AB291" t="s">
        <v>18533</v>
      </c>
      <c r="AC291" t="s">
        <v>13808</v>
      </c>
      <c r="AH291" t="s">
        <v>18520</v>
      </c>
      <c r="AI291" t="s">
        <v>13808</v>
      </c>
      <c r="AN291" t="s">
        <v>18534</v>
      </c>
      <c r="AO291" t="s">
        <v>13808</v>
      </c>
      <c r="AT291" t="s">
        <v>18535</v>
      </c>
      <c r="AU291" t="s">
        <v>13808</v>
      </c>
      <c r="AZ291" t="s">
        <v>18536</v>
      </c>
      <c r="BA291" t="s">
        <v>13808</v>
      </c>
      <c r="BF291" t="s">
        <v>18537</v>
      </c>
      <c r="BG291" t="s">
        <v>13808</v>
      </c>
      <c r="BL291" t="s">
        <v>13934</v>
      </c>
      <c r="BM291" t="s">
        <v>13809</v>
      </c>
      <c r="BR291" t="s">
        <v>18538</v>
      </c>
      <c r="BS291" t="s">
        <v>14213</v>
      </c>
      <c r="BT291" t="s">
        <v>13808</v>
      </c>
      <c r="BU291" t="s">
        <v>15774</v>
      </c>
      <c r="BY291" t="s">
        <v>13986</v>
      </c>
      <c r="BZ291" t="s">
        <v>13808</v>
      </c>
      <c r="CA291" t="s">
        <v>13937</v>
      </c>
      <c r="CE291" t="s">
        <v>18539</v>
      </c>
      <c r="CF291" t="s">
        <v>13808</v>
      </c>
      <c r="CK291" t="s">
        <v>13760</v>
      </c>
      <c r="CL291" t="s">
        <v>13809</v>
      </c>
      <c r="CQ291" t="s">
        <v>13766</v>
      </c>
      <c r="CR291" t="s">
        <v>13809</v>
      </c>
      <c r="CT291" t="s">
        <v>18540</v>
      </c>
      <c r="CU291" t="s">
        <v>14236</v>
      </c>
      <c r="CV291" t="s">
        <v>13808</v>
      </c>
      <c r="DA291" t="s">
        <v>15252</v>
      </c>
      <c r="DB291" t="s">
        <v>13808</v>
      </c>
      <c r="DG291" t="s">
        <v>18541</v>
      </c>
      <c r="DH291" t="s">
        <v>13808</v>
      </c>
      <c r="DJ291" t="s">
        <v>18542</v>
      </c>
      <c r="DK291" t="s">
        <v>13818</v>
      </c>
      <c r="DZ291" t="s">
        <v>18543</v>
      </c>
      <c r="EA291" t="s">
        <v>14201</v>
      </c>
      <c r="EC291">
        <v>44692</v>
      </c>
      <c r="ED291" t="s">
        <v>14667</v>
      </c>
      <c r="EE291" t="s">
        <v>7765</v>
      </c>
    </row>
    <row r="292" spans="1:135">
      <c r="A292" t="s">
        <v>2884</v>
      </c>
      <c r="B292" t="s">
        <v>2861</v>
      </c>
      <c r="C292" t="s">
        <v>18544</v>
      </c>
      <c r="D292" s="24">
        <v>43123</v>
      </c>
      <c r="E292" s="24" t="s">
        <v>13555</v>
      </c>
      <c r="F292" s="24" t="s">
        <v>18545</v>
      </c>
      <c r="G292" s="24" t="s">
        <v>13808</v>
      </c>
      <c r="H292" s="24"/>
      <c r="I292" s="24" t="s">
        <v>13809</v>
      </c>
      <c r="J292" s="24"/>
      <c r="K292" s="24" t="s">
        <v>13808</v>
      </c>
      <c r="L292" s="24"/>
      <c r="M292" s="24" t="s">
        <v>18546</v>
      </c>
      <c r="N292" s="24" t="s">
        <v>13808</v>
      </c>
      <c r="O292" s="24"/>
      <c r="P292" s="24" t="s">
        <v>13808</v>
      </c>
      <c r="Q292" s="24"/>
      <c r="R292" s="24" t="s">
        <v>13808</v>
      </c>
      <c r="S292" s="24"/>
      <c r="T292" t="s">
        <v>18360</v>
      </c>
      <c r="U292" t="s">
        <v>13808</v>
      </c>
      <c r="W292" t="s">
        <v>13808</v>
      </c>
      <c r="X292" t="s">
        <v>18547</v>
      </c>
      <c r="Y292" t="s">
        <v>13808</v>
      </c>
      <c r="AA292" t="s">
        <v>18548</v>
      </c>
      <c r="AC292" t="s">
        <v>13809</v>
      </c>
      <c r="AH292" t="s">
        <v>15188</v>
      </c>
      <c r="AI292" t="s">
        <v>13808</v>
      </c>
      <c r="AN292" t="s">
        <v>14703</v>
      </c>
      <c r="AO292" t="s">
        <v>13808</v>
      </c>
      <c r="AT292" t="s">
        <v>16510</v>
      </c>
      <c r="AU292" t="s">
        <v>13808</v>
      </c>
      <c r="AZ292" t="s">
        <v>18549</v>
      </c>
      <c r="BA292" t="s">
        <v>13808</v>
      </c>
      <c r="BF292" t="s">
        <v>18550</v>
      </c>
      <c r="BG292" t="s">
        <v>13808</v>
      </c>
      <c r="BM292" t="s">
        <v>13809</v>
      </c>
      <c r="BR292" t="s">
        <v>18551</v>
      </c>
      <c r="BS292" t="s">
        <v>13887</v>
      </c>
      <c r="BT292" t="s">
        <v>13808</v>
      </c>
      <c r="BU292" t="s">
        <v>18552</v>
      </c>
      <c r="BY292" t="s">
        <v>13887</v>
      </c>
      <c r="BZ292" t="s">
        <v>13808</v>
      </c>
      <c r="CA292" t="s">
        <v>18553</v>
      </c>
      <c r="CE292" t="s">
        <v>18554</v>
      </c>
      <c r="CF292" t="s">
        <v>13808</v>
      </c>
      <c r="CK292" t="s">
        <v>18555</v>
      </c>
      <c r="CL292" t="s">
        <v>13808</v>
      </c>
      <c r="CR292" t="s">
        <v>13809</v>
      </c>
      <c r="CT292" t="s">
        <v>18556</v>
      </c>
      <c r="CU292" t="s">
        <v>13887</v>
      </c>
      <c r="CV292" t="s">
        <v>13808</v>
      </c>
      <c r="CX292" t="s">
        <v>17303</v>
      </c>
      <c r="CY292" t="s">
        <v>13818</v>
      </c>
      <c r="DA292" t="s">
        <v>13887</v>
      </c>
      <c r="DB292" t="s">
        <v>13808</v>
      </c>
      <c r="DC292" t="s">
        <v>15188</v>
      </c>
      <c r="DD292" t="s">
        <v>13818</v>
      </c>
      <c r="DG292" t="s">
        <v>13909</v>
      </c>
      <c r="DH292" t="s">
        <v>13808</v>
      </c>
      <c r="DL292" t="s">
        <v>18557</v>
      </c>
      <c r="DZ292" t="s">
        <v>18558</v>
      </c>
      <c r="EA292" t="s">
        <v>18559</v>
      </c>
      <c r="EC292">
        <v>43480</v>
      </c>
      <c r="ED292" t="s">
        <v>13903</v>
      </c>
      <c r="EE292" t="s">
        <v>7533</v>
      </c>
    </row>
    <row r="293" spans="1:135">
      <c r="A293" t="s">
        <v>11096</v>
      </c>
      <c r="B293" t="s">
        <v>2314</v>
      </c>
      <c r="C293" t="s">
        <v>18560</v>
      </c>
      <c r="D293" s="24">
        <v>45058</v>
      </c>
      <c r="E293" s="24" t="s">
        <v>13561</v>
      </c>
      <c r="F293" s="24" t="s">
        <v>18561</v>
      </c>
      <c r="G293" s="24" t="s">
        <v>13818</v>
      </c>
      <c r="H293" s="24" t="s">
        <v>18562</v>
      </c>
      <c r="I293" s="24" t="s">
        <v>13809</v>
      </c>
      <c r="J293" s="24"/>
      <c r="K293" s="24" t="s">
        <v>13809</v>
      </c>
      <c r="L293" s="24"/>
      <c r="M293" s="24" t="s">
        <v>15539</v>
      </c>
      <c r="N293" s="24" t="s">
        <v>13818</v>
      </c>
      <c r="O293" s="24"/>
      <c r="P293" s="24" t="s">
        <v>13818</v>
      </c>
      <c r="Q293" s="24"/>
      <c r="R293" s="24" t="s">
        <v>13818</v>
      </c>
      <c r="S293" s="24" t="s">
        <v>13819</v>
      </c>
      <c r="T293" t="s">
        <v>18563</v>
      </c>
      <c r="U293" t="s">
        <v>13809</v>
      </c>
      <c r="W293" t="s">
        <v>13809</v>
      </c>
      <c r="Y293" t="s">
        <v>13809</v>
      </c>
      <c r="AA293" t="s">
        <v>18564</v>
      </c>
      <c r="AB293" t="s">
        <v>18565</v>
      </c>
      <c r="AC293" t="s">
        <v>13818</v>
      </c>
      <c r="AD293" t="s">
        <v>13819</v>
      </c>
      <c r="AH293" t="s">
        <v>14098</v>
      </c>
      <c r="AI293" t="s">
        <v>13818</v>
      </c>
      <c r="AJ293" t="s">
        <v>13819</v>
      </c>
      <c r="AN293" t="s">
        <v>18566</v>
      </c>
      <c r="AO293" t="s">
        <v>13818</v>
      </c>
      <c r="AP293" t="s">
        <v>13819</v>
      </c>
      <c r="AT293" t="s">
        <v>15091</v>
      </c>
      <c r="AU293" t="s">
        <v>13818</v>
      </c>
      <c r="AV293" t="s">
        <v>13819</v>
      </c>
      <c r="AZ293" t="s">
        <v>16005</v>
      </c>
      <c r="BA293" t="s">
        <v>13818</v>
      </c>
      <c r="BB293" t="s">
        <v>13819</v>
      </c>
      <c r="BF293" t="s">
        <v>18567</v>
      </c>
      <c r="BG293" t="s">
        <v>13818</v>
      </c>
      <c r="BH293" t="s">
        <v>13819</v>
      </c>
      <c r="BL293" t="s">
        <v>18568</v>
      </c>
      <c r="BM293" t="s">
        <v>13818</v>
      </c>
      <c r="BN293" t="s">
        <v>13819</v>
      </c>
      <c r="BR293" t="s">
        <v>18569</v>
      </c>
      <c r="BS293" t="s">
        <v>13824</v>
      </c>
      <c r="BT293" t="s">
        <v>13818</v>
      </c>
      <c r="BU293" t="s">
        <v>16420</v>
      </c>
      <c r="BY293" t="s">
        <v>13860</v>
      </c>
      <c r="BZ293" t="s">
        <v>13818</v>
      </c>
      <c r="CA293" t="s">
        <v>14107</v>
      </c>
      <c r="CE293" t="s">
        <v>13828</v>
      </c>
      <c r="CF293" t="s">
        <v>13818</v>
      </c>
      <c r="CG293" t="s">
        <v>13819</v>
      </c>
      <c r="CK293" t="s">
        <v>13760</v>
      </c>
      <c r="CL293" t="s">
        <v>13809</v>
      </c>
      <c r="CQ293" t="s">
        <v>13766</v>
      </c>
      <c r="CR293" t="s">
        <v>13809</v>
      </c>
      <c r="CT293" t="s">
        <v>16008</v>
      </c>
      <c r="CU293" t="s">
        <v>18570</v>
      </c>
      <c r="CV293" t="s">
        <v>13808</v>
      </c>
      <c r="CW293" t="s">
        <v>13819</v>
      </c>
      <c r="CX293" t="s">
        <v>18571</v>
      </c>
      <c r="CY293" t="s">
        <v>13818</v>
      </c>
      <c r="DA293" t="s">
        <v>18572</v>
      </c>
      <c r="DB293" t="s">
        <v>13808</v>
      </c>
      <c r="DC293" t="s">
        <v>13819</v>
      </c>
      <c r="DD293" t="s">
        <v>18573</v>
      </c>
      <c r="DE293" t="s">
        <v>13818</v>
      </c>
      <c r="DG293" t="s">
        <v>18574</v>
      </c>
      <c r="DH293" t="s">
        <v>13808</v>
      </c>
      <c r="DI293" t="s">
        <v>13819</v>
      </c>
      <c r="DM293" t="s">
        <v>18575</v>
      </c>
      <c r="DN293" t="s">
        <v>13818</v>
      </c>
      <c r="DY293" t="s">
        <v>14606</v>
      </c>
      <c r="DZ293" t="s">
        <v>14406</v>
      </c>
      <c r="EA293" t="s">
        <v>14118</v>
      </c>
      <c r="EC293">
        <v>45064</v>
      </c>
      <c r="ED293" t="s">
        <v>13843</v>
      </c>
      <c r="EE293" t="s">
        <v>18576</v>
      </c>
    </row>
    <row r="294" spans="1:135">
      <c r="A294" t="s">
        <v>2892</v>
      </c>
      <c r="B294" t="s">
        <v>2861</v>
      </c>
      <c r="C294" t="s">
        <v>18577</v>
      </c>
      <c r="D294" s="24">
        <v>42688</v>
      </c>
      <c r="E294" s="24" t="s">
        <v>13571</v>
      </c>
      <c r="F294" s="24" t="s">
        <v>18578</v>
      </c>
      <c r="G294" s="24" t="s">
        <v>13808</v>
      </c>
      <c r="H294" s="24"/>
      <c r="I294" s="24" t="s">
        <v>13809</v>
      </c>
      <c r="J294" s="24"/>
      <c r="K294" s="24" t="s">
        <v>13808</v>
      </c>
      <c r="L294" s="24"/>
      <c r="M294" s="24" t="s">
        <v>18579</v>
      </c>
      <c r="N294" s="24" t="s">
        <v>13808</v>
      </c>
      <c r="O294" s="24"/>
      <c r="P294" s="24" t="s">
        <v>13808</v>
      </c>
      <c r="Q294" s="24"/>
      <c r="R294" s="24" t="s">
        <v>13808</v>
      </c>
      <c r="S294" s="24"/>
      <c r="T294" t="s">
        <v>13907</v>
      </c>
      <c r="U294" t="s">
        <v>13808</v>
      </c>
      <c r="W294" t="s">
        <v>13808</v>
      </c>
      <c r="Y294" t="s">
        <v>13809</v>
      </c>
      <c r="AA294" t="s">
        <v>18580</v>
      </c>
      <c r="AB294" t="s">
        <v>18581</v>
      </c>
      <c r="AC294" t="s">
        <v>13808</v>
      </c>
      <c r="AH294" t="s">
        <v>14197</v>
      </c>
      <c r="AI294" t="s">
        <v>13808</v>
      </c>
      <c r="AO294" t="s">
        <v>13809</v>
      </c>
      <c r="AT294" t="s">
        <v>14197</v>
      </c>
      <c r="AU294" t="s">
        <v>13808</v>
      </c>
      <c r="AZ294" t="s">
        <v>14851</v>
      </c>
      <c r="BA294" t="s">
        <v>13818</v>
      </c>
      <c r="BB294" t="s">
        <v>18582</v>
      </c>
      <c r="BF294" t="s">
        <v>18583</v>
      </c>
      <c r="BG294" t="s">
        <v>13808</v>
      </c>
      <c r="BL294" t="s">
        <v>18584</v>
      </c>
      <c r="BM294" t="s">
        <v>13808</v>
      </c>
      <c r="BR294" t="s">
        <v>18585</v>
      </c>
      <c r="BT294" t="s">
        <v>13809</v>
      </c>
      <c r="BY294" t="s">
        <v>14197</v>
      </c>
      <c r="BZ294" t="s">
        <v>13818</v>
      </c>
      <c r="CA294" t="s">
        <v>18582</v>
      </c>
      <c r="CF294" t="s">
        <v>13809</v>
      </c>
      <c r="CL294" t="s">
        <v>13809</v>
      </c>
      <c r="CR294" t="s">
        <v>13809</v>
      </c>
      <c r="CT294" t="s">
        <v>18586</v>
      </c>
      <c r="CU294" t="s">
        <v>14197</v>
      </c>
      <c r="CV294" t="s">
        <v>13808</v>
      </c>
      <c r="DA294" t="s">
        <v>14197</v>
      </c>
      <c r="DB294" t="s">
        <v>13808</v>
      </c>
      <c r="DG294" t="s">
        <v>14693</v>
      </c>
      <c r="DH294" t="s">
        <v>13808</v>
      </c>
      <c r="DZ294" t="s">
        <v>18587</v>
      </c>
      <c r="EA294" t="s">
        <v>15944</v>
      </c>
      <c r="EC294">
        <v>43480</v>
      </c>
      <c r="ED294" t="s">
        <v>13903</v>
      </c>
      <c r="EE294" t="s">
        <v>7546</v>
      </c>
    </row>
    <row r="295" spans="1:135">
      <c r="A295" t="s">
        <v>7037</v>
      </c>
      <c r="B295" t="s">
        <v>2314</v>
      </c>
      <c r="C295" t="s">
        <v>18588</v>
      </c>
      <c r="D295" s="24">
        <v>45132</v>
      </c>
      <c r="E295" s="24" t="s">
        <v>13558</v>
      </c>
      <c r="F295" s="24" t="s">
        <v>18589</v>
      </c>
      <c r="G295" s="24" t="s">
        <v>13808</v>
      </c>
      <c r="H295" s="24"/>
      <c r="I295" s="24" t="s">
        <v>13809</v>
      </c>
      <c r="J295" s="24"/>
      <c r="K295" s="24" t="s">
        <v>13809</v>
      </c>
      <c r="L295" s="24"/>
      <c r="M295" s="24" t="s">
        <v>15539</v>
      </c>
      <c r="N295" s="24" t="s">
        <v>13808</v>
      </c>
      <c r="O295" s="24"/>
      <c r="P295" s="24" t="s">
        <v>13808</v>
      </c>
      <c r="Q295" s="24"/>
      <c r="R295" s="24" t="s">
        <v>13808</v>
      </c>
      <c r="S295" s="24"/>
      <c r="T295" t="s">
        <v>18590</v>
      </c>
      <c r="U295" t="s">
        <v>13809</v>
      </c>
      <c r="W295" t="s">
        <v>13809</v>
      </c>
      <c r="Y295" t="s">
        <v>13808</v>
      </c>
      <c r="Z295" t="s">
        <v>18591</v>
      </c>
      <c r="AA295" t="s">
        <v>14072</v>
      </c>
      <c r="AB295" t="s">
        <v>15551</v>
      </c>
      <c r="AC295" t="s">
        <v>13818</v>
      </c>
      <c r="AD295" t="s">
        <v>13819</v>
      </c>
      <c r="AH295" t="s">
        <v>18592</v>
      </c>
      <c r="AI295" t="s">
        <v>13808</v>
      </c>
      <c r="AK295" t="s">
        <v>15592</v>
      </c>
      <c r="AL295" t="s">
        <v>13818</v>
      </c>
      <c r="AM295" t="s">
        <v>13819</v>
      </c>
      <c r="AN295" t="s">
        <v>18593</v>
      </c>
      <c r="AO295" t="s">
        <v>13818</v>
      </c>
      <c r="AP295" t="s">
        <v>13819</v>
      </c>
      <c r="AT295" t="s">
        <v>14774</v>
      </c>
      <c r="AU295" t="s">
        <v>13818</v>
      </c>
      <c r="AV295" t="s">
        <v>13819</v>
      </c>
      <c r="AZ295" t="s">
        <v>14638</v>
      </c>
      <c r="BA295" t="s">
        <v>13808</v>
      </c>
      <c r="BB295" t="s">
        <v>18594</v>
      </c>
      <c r="BC295" t="s">
        <v>18595</v>
      </c>
      <c r="BD295" t="s">
        <v>13818</v>
      </c>
      <c r="BE295" t="s">
        <v>18596</v>
      </c>
      <c r="BF295" t="s">
        <v>18597</v>
      </c>
      <c r="BG295" t="s">
        <v>13808</v>
      </c>
      <c r="BL295" t="s">
        <v>17532</v>
      </c>
      <c r="BM295" t="s">
        <v>13818</v>
      </c>
      <c r="BN295" t="s">
        <v>13819</v>
      </c>
      <c r="BR295" t="s">
        <v>18598</v>
      </c>
      <c r="BS295" t="s">
        <v>14290</v>
      </c>
      <c r="BT295" t="s">
        <v>13818</v>
      </c>
      <c r="BU295" t="s">
        <v>16420</v>
      </c>
      <c r="BY295" t="s">
        <v>13860</v>
      </c>
      <c r="BZ295" t="s">
        <v>13808</v>
      </c>
      <c r="CA295" t="s">
        <v>13937</v>
      </c>
      <c r="CE295" t="s">
        <v>13938</v>
      </c>
      <c r="CF295" t="s">
        <v>13818</v>
      </c>
      <c r="CG295" t="s">
        <v>13819</v>
      </c>
      <c r="CK295" t="s">
        <v>13760</v>
      </c>
      <c r="CL295" t="s">
        <v>13809</v>
      </c>
      <c r="CQ295" t="s">
        <v>13766</v>
      </c>
      <c r="CR295" t="s">
        <v>13809</v>
      </c>
      <c r="CT295" t="s">
        <v>14781</v>
      </c>
      <c r="CU295" t="s">
        <v>18599</v>
      </c>
      <c r="CV295" t="s">
        <v>13818</v>
      </c>
      <c r="CW295" t="s">
        <v>13819</v>
      </c>
      <c r="DA295" t="s">
        <v>18600</v>
      </c>
      <c r="DB295" t="s">
        <v>13818</v>
      </c>
      <c r="DC295" t="s">
        <v>13819</v>
      </c>
      <c r="DG295" t="s">
        <v>17836</v>
      </c>
      <c r="DH295" t="s">
        <v>13818</v>
      </c>
      <c r="DI295" t="s">
        <v>13819</v>
      </c>
      <c r="DM295" t="s">
        <v>18601</v>
      </c>
      <c r="DN295" t="s">
        <v>13818</v>
      </c>
      <c r="DO295" t="s">
        <v>18602</v>
      </c>
      <c r="DY295" t="s">
        <v>13840</v>
      </c>
      <c r="DZ295" t="s">
        <v>14406</v>
      </c>
      <c r="EA295" t="s">
        <v>14118</v>
      </c>
      <c r="EC295">
        <v>45138</v>
      </c>
      <c r="ED295" t="s">
        <v>13843</v>
      </c>
      <c r="EE295" t="s">
        <v>7041</v>
      </c>
    </row>
    <row r="296" spans="1:135">
      <c r="A296" t="s">
        <v>2731</v>
      </c>
      <c r="B296" t="s">
        <v>2693</v>
      </c>
      <c r="C296" t="s">
        <v>18603</v>
      </c>
      <c r="D296" s="24">
        <v>42664</v>
      </c>
      <c r="E296" s="24" t="s">
        <v>13571</v>
      </c>
      <c r="F296" s="24" t="s">
        <v>18604</v>
      </c>
      <c r="G296" s="24" t="s">
        <v>13808</v>
      </c>
      <c r="H296" s="24"/>
      <c r="I296" s="24" t="s">
        <v>13809</v>
      </c>
      <c r="J296" s="24"/>
      <c r="K296" s="24" t="s">
        <v>13808</v>
      </c>
      <c r="L296" s="24"/>
      <c r="M296" s="24" t="s">
        <v>18605</v>
      </c>
      <c r="N296" s="24" t="s">
        <v>13808</v>
      </c>
      <c r="O296" s="24"/>
      <c r="P296" s="24" t="s">
        <v>13808</v>
      </c>
      <c r="Q296" s="24"/>
      <c r="R296" s="24" t="s">
        <v>13818</v>
      </c>
      <c r="S296" s="24" t="s">
        <v>18606</v>
      </c>
      <c r="T296" t="s">
        <v>18607</v>
      </c>
      <c r="U296" t="s">
        <v>13809</v>
      </c>
      <c r="W296" t="s">
        <v>13808</v>
      </c>
      <c r="Y296" t="s">
        <v>13808</v>
      </c>
      <c r="AA296" t="s">
        <v>18608</v>
      </c>
      <c r="AB296" t="s">
        <v>14059</v>
      </c>
      <c r="AC296" t="s">
        <v>13808</v>
      </c>
      <c r="AH296" t="s">
        <v>18609</v>
      </c>
      <c r="AI296" t="s">
        <v>13808</v>
      </c>
      <c r="AK296" t="s">
        <v>18610</v>
      </c>
      <c r="AL296" t="s">
        <v>13818</v>
      </c>
      <c r="AM296" t="s">
        <v>14309</v>
      </c>
      <c r="AO296" t="s">
        <v>13809</v>
      </c>
      <c r="AT296" t="s">
        <v>17084</v>
      </c>
      <c r="AU296" t="s">
        <v>13808</v>
      </c>
      <c r="AZ296" t="s">
        <v>18611</v>
      </c>
      <c r="BA296" t="s">
        <v>13808</v>
      </c>
      <c r="BC296" t="s">
        <v>18612</v>
      </c>
      <c r="BD296" t="s">
        <v>13818</v>
      </c>
      <c r="BE296" t="s">
        <v>14309</v>
      </c>
      <c r="BF296" t="s">
        <v>14022</v>
      </c>
      <c r="BG296" t="s">
        <v>13818</v>
      </c>
      <c r="BH296" t="s">
        <v>18582</v>
      </c>
      <c r="BL296" t="s">
        <v>14544</v>
      </c>
      <c r="BM296" t="s">
        <v>13808</v>
      </c>
      <c r="BR296" t="s">
        <v>18613</v>
      </c>
      <c r="BS296" t="s">
        <v>13887</v>
      </c>
      <c r="BT296" t="s">
        <v>13808</v>
      </c>
      <c r="BU296" t="s">
        <v>18614</v>
      </c>
      <c r="BY296" t="s">
        <v>13887</v>
      </c>
      <c r="BZ296" t="s">
        <v>13808</v>
      </c>
      <c r="CA296" t="s">
        <v>13937</v>
      </c>
      <c r="CE296" t="s">
        <v>14197</v>
      </c>
      <c r="CF296" t="s">
        <v>13818</v>
      </c>
      <c r="CG296" t="s">
        <v>18178</v>
      </c>
      <c r="CK296" t="s">
        <v>13887</v>
      </c>
      <c r="CL296" t="s">
        <v>13808</v>
      </c>
      <c r="CR296" t="s">
        <v>13809</v>
      </c>
      <c r="CT296" t="s">
        <v>18615</v>
      </c>
      <c r="CU296" t="s">
        <v>18616</v>
      </c>
      <c r="CV296" t="s">
        <v>13808</v>
      </c>
      <c r="DA296" t="s">
        <v>18617</v>
      </c>
      <c r="DB296" t="s">
        <v>13808</v>
      </c>
      <c r="DG296" t="s">
        <v>13909</v>
      </c>
      <c r="DH296" t="s">
        <v>13818</v>
      </c>
      <c r="DZ296" t="s">
        <v>18618</v>
      </c>
      <c r="EA296" t="s">
        <v>18501</v>
      </c>
      <c r="EC296">
        <v>43480</v>
      </c>
      <c r="ED296" t="s">
        <v>13903</v>
      </c>
      <c r="EE296" t="s">
        <v>7394</v>
      </c>
    </row>
    <row r="297" spans="1:135">
      <c r="A297" t="s">
        <v>2359</v>
      </c>
      <c r="B297" t="s">
        <v>2314</v>
      </c>
      <c r="C297" t="s">
        <v>18619</v>
      </c>
      <c r="D297" s="24">
        <v>43579</v>
      </c>
      <c r="E297" s="24" t="s">
        <v>13553</v>
      </c>
      <c r="F297" s="24" t="s">
        <v>18620</v>
      </c>
      <c r="G297" s="24" t="s">
        <v>13808</v>
      </c>
      <c r="H297" s="24"/>
      <c r="I297" s="24" t="s">
        <v>13809</v>
      </c>
      <c r="J297" s="24"/>
      <c r="K297" s="24" t="s">
        <v>13809</v>
      </c>
      <c r="L297" s="24"/>
      <c r="M297" s="24" t="s">
        <v>17316</v>
      </c>
      <c r="N297" s="24" t="s">
        <v>13808</v>
      </c>
      <c r="O297" s="24"/>
      <c r="P297" s="24" t="s">
        <v>13808</v>
      </c>
      <c r="Q297" s="24"/>
      <c r="R297" s="24" t="s">
        <v>13808</v>
      </c>
      <c r="S297" s="24"/>
      <c r="T297" t="s">
        <v>18621</v>
      </c>
      <c r="U297" t="s">
        <v>13809</v>
      </c>
      <c r="W297" t="s">
        <v>13808</v>
      </c>
      <c r="X297" t="s">
        <v>18622</v>
      </c>
      <c r="Y297" t="s">
        <v>13809</v>
      </c>
      <c r="AA297" t="s">
        <v>18623</v>
      </c>
      <c r="AB297" t="s">
        <v>14367</v>
      </c>
      <c r="AC297" t="s">
        <v>13808</v>
      </c>
      <c r="AH297" t="s">
        <v>18624</v>
      </c>
      <c r="AI297" t="s">
        <v>13808</v>
      </c>
      <c r="AO297" t="s">
        <v>13809</v>
      </c>
      <c r="AT297" t="s">
        <v>18625</v>
      </c>
      <c r="AU297" t="s">
        <v>13808</v>
      </c>
      <c r="AZ297" t="s">
        <v>18626</v>
      </c>
      <c r="BA297" t="s">
        <v>13808</v>
      </c>
      <c r="BF297" t="s">
        <v>18627</v>
      </c>
      <c r="BG297" t="s">
        <v>13808</v>
      </c>
      <c r="BL297" t="s">
        <v>18628</v>
      </c>
      <c r="BM297" t="s">
        <v>13808</v>
      </c>
      <c r="BR297" t="s">
        <v>18629</v>
      </c>
      <c r="BT297" t="s">
        <v>13809</v>
      </c>
      <c r="BY297" t="s">
        <v>14265</v>
      </c>
      <c r="BZ297" t="s">
        <v>13808</v>
      </c>
      <c r="CA297" t="s">
        <v>13937</v>
      </c>
      <c r="CE297" t="s">
        <v>14197</v>
      </c>
      <c r="CF297" t="s">
        <v>13808</v>
      </c>
      <c r="CL297" t="s">
        <v>13809</v>
      </c>
      <c r="CR297" t="s">
        <v>13809</v>
      </c>
      <c r="CT297" t="s">
        <v>18630</v>
      </c>
      <c r="CU297" t="s">
        <v>18631</v>
      </c>
      <c r="CV297" t="s">
        <v>13808</v>
      </c>
      <c r="DA297" t="s">
        <v>18632</v>
      </c>
      <c r="DB297" t="s">
        <v>13808</v>
      </c>
      <c r="DG297" t="s">
        <v>18633</v>
      </c>
      <c r="DH297" t="s">
        <v>13808</v>
      </c>
      <c r="DI297" t="s">
        <v>18634</v>
      </c>
      <c r="DM297" t="s">
        <v>18635</v>
      </c>
      <c r="DN297" t="s">
        <v>13808</v>
      </c>
      <c r="DO297" t="s">
        <v>18636</v>
      </c>
      <c r="DZ297" t="s">
        <v>18637</v>
      </c>
      <c r="EA297" t="s">
        <v>13871</v>
      </c>
      <c r="ED297" t="s">
        <v>14501</v>
      </c>
      <c r="EE297" t="s">
        <v>7045</v>
      </c>
    </row>
    <row r="298" spans="1:135">
      <c r="A298" t="s">
        <v>2363</v>
      </c>
      <c r="B298" t="s">
        <v>2314</v>
      </c>
      <c r="C298" t="s">
        <v>18638</v>
      </c>
      <c r="D298" s="24">
        <v>44169</v>
      </c>
      <c r="E298" s="24" t="s">
        <v>13558</v>
      </c>
      <c r="F298" s="24" t="s">
        <v>18639</v>
      </c>
      <c r="G298" s="24" t="s">
        <v>13808</v>
      </c>
      <c r="H298" s="24"/>
      <c r="I298" s="24" t="s">
        <v>13809</v>
      </c>
      <c r="J298" s="24"/>
      <c r="K298" s="24" t="s">
        <v>13809</v>
      </c>
      <c r="L298" s="24"/>
      <c r="M298" s="24" t="s">
        <v>18640</v>
      </c>
      <c r="N298" s="24" t="s">
        <v>13808</v>
      </c>
      <c r="O298" s="24"/>
      <c r="P298" s="24" t="s">
        <v>13808</v>
      </c>
      <c r="Q298" s="24"/>
      <c r="R298" s="24" t="s">
        <v>13808</v>
      </c>
      <c r="S298" s="24" t="s">
        <v>18641</v>
      </c>
      <c r="T298" t="s">
        <v>13907</v>
      </c>
      <c r="U298" t="s">
        <v>13809</v>
      </c>
      <c r="W298" t="s">
        <v>13808</v>
      </c>
      <c r="X298" t="s">
        <v>18642</v>
      </c>
      <c r="Y298" t="s">
        <v>13809</v>
      </c>
      <c r="AA298" t="s">
        <v>18643</v>
      </c>
      <c r="AB298" t="s">
        <v>17121</v>
      </c>
      <c r="AC298" t="s">
        <v>13808</v>
      </c>
      <c r="AH298" t="s">
        <v>18644</v>
      </c>
      <c r="AI298" t="s">
        <v>13808</v>
      </c>
      <c r="AK298" t="s">
        <v>18645</v>
      </c>
      <c r="AL298" t="s">
        <v>13818</v>
      </c>
      <c r="AM298" t="s">
        <v>18646</v>
      </c>
      <c r="AN298" t="s">
        <v>14812</v>
      </c>
      <c r="AO298" t="s">
        <v>13808</v>
      </c>
      <c r="AT298" t="s">
        <v>15820</v>
      </c>
      <c r="AU298" t="s">
        <v>13808</v>
      </c>
      <c r="AZ298" t="s">
        <v>14169</v>
      </c>
      <c r="BA298" t="s">
        <v>13808</v>
      </c>
      <c r="BF298" t="s">
        <v>14490</v>
      </c>
      <c r="BG298" t="s">
        <v>13808</v>
      </c>
      <c r="BM298" t="s">
        <v>13809</v>
      </c>
      <c r="BR298" t="s">
        <v>18647</v>
      </c>
      <c r="BT298" t="s">
        <v>13809</v>
      </c>
      <c r="BY298" t="s">
        <v>14265</v>
      </c>
      <c r="BZ298" t="s">
        <v>13808</v>
      </c>
      <c r="CA298" t="s">
        <v>13937</v>
      </c>
      <c r="CE298" t="s">
        <v>14265</v>
      </c>
      <c r="CF298" t="s">
        <v>13808</v>
      </c>
      <c r="CL298" t="s">
        <v>13809</v>
      </c>
      <c r="CR298" t="s">
        <v>13809</v>
      </c>
      <c r="CT298" t="s">
        <v>13830</v>
      </c>
      <c r="CU298" t="s">
        <v>13909</v>
      </c>
      <c r="CV298" t="s">
        <v>13818</v>
      </c>
      <c r="DA298" t="s">
        <v>13909</v>
      </c>
      <c r="DB298" t="s">
        <v>13818</v>
      </c>
      <c r="DG298" t="s">
        <v>13909</v>
      </c>
      <c r="DH298" t="s">
        <v>13818</v>
      </c>
      <c r="DY298" t="s">
        <v>13840</v>
      </c>
      <c r="DZ298" t="s">
        <v>13841</v>
      </c>
      <c r="EA298" t="s">
        <v>13842</v>
      </c>
      <c r="ED298" t="s">
        <v>14276</v>
      </c>
      <c r="EE298" t="s">
        <v>7050</v>
      </c>
    </row>
    <row r="299" spans="1:135">
      <c r="A299" t="s">
        <v>2897</v>
      </c>
      <c r="B299" t="s">
        <v>2861</v>
      </c>
      <c r="C299" t="s">
        <v>18648</v>
      </c>
      <c r="D299" s="24">
        <v>43105</v>
      </c>
      <c r="E299" s="24" t="s">
        <v>13559</v>
      </c>
      <c r="F299" s="24" t="s">
        <v>18649</v>
      </c>
      <c r="G299" s="24" t="s">
        <v>13808</v>
      </c>
      <c r="H299" s="24"/>
      <c r="I299" s="24" t="s">
        <v>13809</v>
      </c>
      <c r="J299" s="24"/>
      <c r="K299" s="24" t="s">
        <v>13809</v>
      </c>
      <c r="L299" s="24"/>
      <c r="M299" s="24" t="s">
        <v>15163</v>
      </c>
      <c r="N299" s="24" t="s">
        <v>13808</v>
      </c>
      <c r="O299" s="24"/>
      <c r="P299" s="24" t="s">
        <v>13808</v>
      </c>
      <c r="Q299" s="24"/>
      <c r="R299" s="24" t="s">
        <v>13808</v>
      </c>
      <c r="S299" s="24"/>
      <c r="T299" t="s">
        <v>14632</v>
      </c>
      <c r="U299" t="s">
        <v>13809</v>
      </c>
      <c r="W299" t="s">
        <v>13808</v>
      </c>
      <c r="X299" t="s">
        <v>18650</v>
      </c>
      <c r="Y299" t="s">
        <v>13809</v>
      </c>
      <c r="AA299" t="s">
        <v>18651</v>
      </c>
      <c r="AB299" t="s">
        <v>18652</v>
      </c>
      <c r="AC299" t="s">
        <v>13808</v>
      </c>
      <c r="AH299" t="s">
        <v>13909</v>
      </c>
      <c r="AI299" t="s">
        <v>13808</v>
      </c>
      <c r="AN299" t="s">
        <v>18653</v>
      </c>
      <c r="AO299" t="s">
        <v>13808</v>
      </c>
      <c r="AT299" t="s">
        <v>18654</v>
      </c>
      <c r="AU299" t="s">
        <v>13808</v>
      </c>
      <c r="AZ299" t="s">
        <v>18655</v>
      </c>
      <c r="BA299" t="s">
        <v>13808</v>
      </c>
      <c r="BF299" t="s">
        <v>18656</v>
      </c>
      <c r="BG299" t="s">
        <v>13808</v>
      </c>
      <c r="BL299" t="s">
        <v>18657</v>
      </c>
      <c r="BM299" t="s">
        <v>13808</v>
      </c>
      <c r="BR299" t="s">
        <v>18658</v>
      </c>
      <c r="BS299" t="s">
        <v>13887</v>
      </c>
      <c r="BT299" t="s">
        <v>13808</v>
      </c>
      <c r="BU299" t="s">
        <v>14836</v>
      </c>
      <c r="BY299" t="s">
        <v>14265</v>
      </c>
      <c r="BZ299" t="s">
        <v>13808</v>
      </c>
      <c r="CA299" t="s">
        <v>18268</v>
      </c>
      <c r="CE299" t="s">
        <v>13887</v>
      </c>
      <c r="CF299" t="s">
        <v>13808</v>
      </c>
      <c r="CG299" t="s">
        <v>13863</v>
      </c>
      <c r="CL299" t="s">
        <v>13809</v>
      </c>
      <c r="CR299" t="s">
        <v>13809</v>
      </c>
      <c r="CT299" t="s">
        <v>16596</v>
      </c>
      <c r="CU299" t="s">
        <v>13887</v>
      </c>
      <c r="CV299" t="s">
        <v>13808</v>
      </c>
      <c r="CX299" t="s">
        <v>14839</v>
      </c>
      <c r="CY299" t="s">
        <v>13818</v>
      </c>
      <c r="DA299" t="s">
        <v>13887</v>
      </c>
      <c r="DB299" t="s">
        <v>13808</v>
      </c>
      <c r="DD299" t="s">
        <v>14839</v>
      </c>
      <c r="DE299" t="s">
        <v>13818</v>
      </c>
      <c r="DG299" t="s">
        <v>13909</v>
      </c>
      <c r="DH299" t="s">
        <v>13818</v>
      </c>
      <c r="DZ299" t="s">
        <v>18659</v>
      </c>
      <c r="EA299" t="s">
        <v>16850</v>
      </c>
      <c r="EC299">
        <v>43480</v>
      </c>
      <c r="ED299" t="s">
        <v>13903</v>
      </c>
      <c r="EE299" t="s">
        <v>7555</v>
      </c>
    </row>
    <row r="300" spans="1:135">
      <c r="A300" t="s">
        <v>2742</v>
      </c>
      <c r="B300" t="s">
        <v>2693</v>
      </c>
      <c r="C300" t="s">
        <v>18660</v>
      </c>
      <c r="D300" s="24">
        <v>43763</v>
      </c>
      <c r="E300" s="24" t="s">
        <v>13555</v>
      </c>
      <c r="F300" s="24" t="s">
        <v>18661</v>
      </c>
      <c r="G300" s="24" t="s">
        <v>13808</v>
      </c>
      <c r="H300" s="24"/>
      <c r="I300" s="24" t="s">
        <v>13809</v>
      </c>
      <c r="J300" s="24"/>
      <c r="K300" s="24" t="s">
        <v>13809</v>
      </c>
      <c r="L300" s="24"/>
      <c r="M300" s="24" t="s">
        <v>18662</v>
      </c>
      <c r="N300" s="24" t="s">
        <v>13808</v>
      </c>
      <c r="O300" s="24"/>
      <c r="P300" s="24" t="s">
        <v>13808</v>
      </c>
      <c r="Q300" s="24"/>
      <c r="R300" s="24" t="s">
        <v>13808</v>
      </c>
      <c r="S300" s="24"/>
      <c r="T300" t="s">
        <v>18663</v>
      </c>
      <c r="U300" t="s">
        <v>13809</v>
      </c>
      <c r="W300" t="s">
        <v>13808</v>
      </c>
      <c r="X300" t="s">
        <v>18664</v>
      </c>
      <c r="Y300" t="s">
        <v>13809</v>
      </c>
      <c r="AA300" t="s">
        <v>13877</v>
      </c>
      <c r="AB300" t="s">
        <v>18665</v>
      </c>
      <c r="AC300" t="s">
        <v>13808</v>
      </c>
      <c r="AH300" t="s">
        <v>13909</v>
      </c>
      <c r="AI300" t="s">
        <v>13808</v>
      </c>
      <c r="AO300" t="s">
        <v>13809</v>
      </c>
      <c r="AU300" t="s">
        <v>13809</v>
      </c>
      <c r="AZ300" t="s">
        <v>18666</v>
      </c>
      <c r="BA300" t="s">
        <v>13808</v>
      </c>
      <c r="BF300" t="s">
        <v>15883</v>
      </c>
      <c r="BG300" t="s">
        <v>13808</v>
      </c>
      <c r="BL300" t="s">
        <v>18667</v>
      </c>
      <c r="BM300" t="s">
        <v>13808</v>
      </c>
      <c r="BR300" t="s">
        <v>18668</v>
      </c>
      <c r="BS300" t="s">
        <v>13887</v>
      </c>
      <c r="BT300" t="s">
        <v>13808</v>
      </c>
      <c r="BU300" t="s">
        <v>14025</v>
      </c>
      <c r="BY300" t="s">
        <v>14265</v>
      </c>
      <c r="BZ300" t="s">
        <v>13808</v>
      </c>
      <c r="CA300" t="s">
        <v>13888</v>
      </c>
      <c r="CE300" t="s">
        <v>14265</v>
      </c>
      <c r="CF300" t="s">
        <v>13808</v>
      </c>
      <c r="CL300" t="s">
        <v>13809</v>
      </c>
      <c r="CR300" t="s">
        <v>13809</v>
      </c>
      <c r="CT300" t="s">
        <v>18669</v>
      </c>
      <c r="CU300" t="s">
        <v>18670</v>
      </c>
      <c r="CV300" t="s">
        <v>13808</v>
      </c>
      <c r="DA300" t="s">
        <v>18671</v>
      </c>
      <c r="DB300" t="s">
        <v>13808</v>
      </c>
      <c r="DH300" t="s">
        <v>13809</v>
      </c>
      <c r="DM300" t="s">
        <v>18672</v>
      </c>
      <c r="DN300" t="s">
        <v>13808</v>
      </c>
      <c r="DP300" t="s">
        <v>18673</v>
      </c>
      <c r="DQ300" t="s">
        <v>14262</v>
      </c>
      <c r="DY300" t="s">
        <v>15144</v>
      </c>
      <c r="DZ300" t="s">
        <v>18674</v>
      </c>
      <c r="EA300" t="s">
        <v>14049</v>
      </c>
      <c r="EC300">
        <v>43964</v>
      </c>
      <c r="ED300" t="s">
        <v>14501</v>
      </c>
      <c r="EE300" t="s">
        <v>7402</v>
      </c>
    </row>
    <row r="301" spans="1:135">
      <c r="A301" t="s">
        <v>11134</v>
      </c>
      <c r="B301" t="s">
        <v>2926</v>
      </c>
      <c r="C301" t="s">
        <v>18675</v>
      </c>
      <c r="D301" s="24">
        <v>44153</v>
      </c>
      <c r="E301" s="24" t="s">
        <v>13561</v>
      </c>
      <c r="F301" s="24" t="s">
        <v>18676</v>
      </c>
      <c r="G301" s="24" t="s">
        <v>13818</v>
      </c>
      <c r="H301" s="24" t="s">
        <v>18677</v>
      </c>
      <c r="I301" s="24" t="s">
        <v>13809</v>
      </c>
      <c r="J301" s="24"/>
      <c r="K301" s="24" t="s">
        <v>13818</v>
      </c>
      <c r="L301" s="24"/>
      <c r="M301" s="24" t="s">
        <v>14163</v>
      </c>
      <c r="N301" s="24" t="s">
        <v>13808</v>
      </c>
      <c r="O301" s="24"/>
      <c r="P301" s="24" t="s">
        <v>13808</v>
      </c>
      <c r="Q301" s="24"/>
      <c r="R301" s="24" t="s">
        <v>13808</v>
      </c>
      <c r="S301" s="24"/>
      <c r="T301" t="s">
        <v>14450</v>
      </c>
      <c r="U301" t="s">
        <v>13809</v>
      </c>
      <c r="W301" t="s">
        <v>13809</v>
      </c>
      <c r="Y301" t="s">
        <v>13809</v>
      </c>
      <c r="AA301" t="s">
        <v>14451</v>
      </c>
      <c r="AB301" t="s">
        <v>18382</v>
      </c>
      <c r="AC301" t="s">
        <v>13818</v>
      </c>
      <c r="AD301" t="s">
        <v>14309</v>
      </c>
      <c r="AH301" t="s">
        <v>13909</v>
      </c>
      <c r="AI301" t="s">
        <v>13818</v>
      </c>
      <c r="AJ301" t="s">
        <v>14309</v>
      </c>
      <c r="AN301" t="s">
        <v>18678</v>
      </c>
      <c r="AO301" t="s">
        <v>13818</v>
      </c>
      <c r="AP301" t="s">
        <v>14309</v>
      </c>
      <c r="AT301" t="s">
        <v>14037</v>
      </c>
      <c r="AU301" t="s">
        <v>13818</v>
      </c>
      <c r="AV301" t="s">
        <v>14309</v>
      </c>
      <c r="AZ301" t="s">
        <v>18679</v>
      </c>
      <c r="BA301" t="s">
        <v>13818</v>
      </c>
      <c r="BB301" t="s">
        <v>14309</v>
      </c>
      <c r="BF301" t="s">
        <v>18680</v>
      </c>
      <c r="BG301" t="s">
        <v>13818</v>
      </c>
      <c r="BH301" t="s">
        <v>14309</v>
      </c>
      <c r="BL301" t="s">
        <v>16528</v>
      </c>
      <c r="BM301" t="s">
        <v>13818</v>
      </c>
      <c r="BN301" t="s">
        <v>14415</v>
      </c>
      <c r="BR301" t="s">
        <v>18681</v>
      </c>
      <c r="BS301" t="s">
        <v>14265</v>
      </c>
      <c r="BT301" t="s">
        <v>13818</v>
      </c>
      <c r="BU301" t="s">
        <v>18682</v>
      </c>
      <c r="BY301" t="s">
        <v>13887</v>
      </c>
      <c r="BZ301" t="s">
        <v>13818</v>
      </c>
      <c r="CA301" t="s">
        <v>14458</v>
      </c>
      <c r="CE301" t="s">
        <v>14265</v>
      </c>
      <c r="CF301" t="s">
        <v>13818</v>
      </c>
      <c r="CG301" t="s">
        <v>18683</v>
      </c>
      <c r="CL301" t="s">
        <v>13809</v>
      </c>
      <c r="CR301" t="s">
        <v>13809</v>
      </c>
      <c r="CT301" t="s">
        <v>14459</v>
      </c>
      <c r="CU301" t="s">
        <v>13909</v>
      </c>
      <c r="CV301" t="s">
        <v>13818</v>
      </c>
      <c r="DA301" t="s">
        <v>13909</v>
      </c>
      <c r="DB301" t="s">
        <v>13818</v>
      </c>
      <c r="DG301" t="s">
        <v>13909</v>
      </c>
      <c r="DH301" t="s">
        <v>13818</v>
      </c>
      <c r="DY301" t="s">
        <v>13900</v>
      </c>
      <c r="DZ301" t="s">
        <v>13970</v>
      </c>
      <c r="EA301" t="s">
        <v>14461</v>
      </c>
      <c r="EC301">
        <v>44279</v>
      </c>
      <c r="ED301" t="s">
        <v>14276</v>
      </c>
      <c r="EE301" t="s">
        <v>13599</v>
      </c>
    </row>
    <row r="302" spans="1:135">
      <c r="A302" t="s">
        <v>2367</v>
      </c>
      <c r="B302" t="s">
        <v>2314</v>
      </c>
      <c r="C302" t="s">
        <v>18684</v>
      </c>
      <c r="D302" s="24">
        <v>42642</v>
      </c>
      <c r="E302" s="24" t="s">
        <v>13559</v>
      </c>
      <c r="F302" s="24" t="s">
        <v>18685</v>
      </c>
      <c r="G302" s="24" t="s">
        <v>13808</v>
      </c>
      <c r="H302" s="24"/>
      <c r="I302" s="24" t="s">
        <v>13809</v>
      </c>
      <c r="J302" s="24"/>
      <c r="K302" s="24" t="s">
        <v>13808</v>
      </c>
      <c r="L302" s="24" t="s">
        <v>18686</v>
      </c>
      <c r="M302" s="24" t="s">
        <v>15163</v>
      </c>
      <c r="N302" s="24" t="s">
        <v>13808</v>
      </c>
      <c r="O302" s="24"/>
      <c r="P302" s="24" t="s">
        <v>13808</v>
      </c>
      <c r="Q302" s="24"/>
      <c r="R302" s="24" t="s">
        <v>13808</v>
      </c>
      <c r="S302" s="24"/>
      <c r="T302" t="s">
        <v>18687</v>
      </c>
      <c r="U302" t="s">
        <v>13809</v>
      </c>
      <c r="W302" t="s">
        <v>13808</v>
      </c>
      <c r="X302" t="s">
        <v>18688</v>
      </c>
      <c r="Y302" t="s">
        <v>13809</v>
      </c>
      <c r="AA302" t="s">
        <v>14594</v>
      </c>
      <c r="AB302" t="s">
        <v>18689</v>
      </c>
      <c r="AC302" t="s">
        <v>13808</v>
      </c>
      <c r="AH302" t="s">
        <v>18402</v>
      </c>
      <c r="AI302" t="s">
        <v>13808</v>
      </c>
      <c r="AN302" t="s">
        <v>18690</v>
      </c>
      <c r="AO302" t="s">
        <v>13808</v>
      </c>
      <c r="AT302" t="s">
        <v>14544</v>
      </c>
      <c r="AU302" t="s">
        <v>13808</v>
      </c>
      <c r="AZ302" t="s">
        <v>18680</v>
      </c>
      <c r="BA302" t="s">
        <v>13808</v>
      </c>
      <c r="BF302" t="s">
        <v>18691</v>
      </c>
      <c r="BG302" t="s">
        <v>13808</v>
      </c>
      <c r="BM302" t="s">
        <v>13809</v>
      </c>
      <c r="BR302" t="s">
        <v>18692</v>
      </c>
      <c r="BS302" t="s">
        <v>13887</v>
      </c>
      <c r="BT302" t="s">
        <v>13808</v>
      </c>
      <c r="BU302" t="s">
        <v>18693</v>
      </c>
      <c r="BY302" t="s">
        <v>13887</v>
      </c>
      <c r="BZ302" t="s">
        <v>13808</v>
      </c>
      <c r="CA302" t="s">
        <v>18694</v>
      </c>
      <c r="CE302" t="s">
        <v>13885</v>
      </c>
      <c r="CF302" t="s">
        <v>13818</v>
      </c>
      <c r="CG302" t="s">
        <v>18695</v>
      </c>
      <c r="CL302" t="s">
        <v>13809</v>
      </c>
      <c r="CR302" t="s">
        <v>13809</v>
      </c>
      <c r="CT302" t="s">
        <v>18696</v>
      </c>
      <c r="CU302" t="s">
        <v>13909</v>
      </c>
      <c r="CV302" t="s">
        <v>13818</v>
      </c>
      <c r="DA302" t="s">
        <v>13909</v>
      </c>
      <c r="DB302" t="s">
        <v>13818</v>
      </c>
      <c r="DG302" t="s">
        <v>13909</v>
      </c>
      <c r="DH302" t="s">
        <v>13818</v>
      </c>
      <c r="DM302" t="s">
        <v>18697</v>
      </c>
      <c r="DN302" t="s">
        <v>13808</v>
      </c>
      <c r="DO302" t="s">
        <v>18698</v>
      </c>
      <c r="DY302" t="s">
        <v>13840</v>
      </c>
      <c r="DZ302" t="s">
        <v>18699</v>
      </c>
      <c r="EA302" t="s">
        <v>18700</v>
      </c>
      <c r="EC302">
        <v>44260</v>
      </c>
      <c r="ED302" t="s">
        <v>13903</v>
      </c>
      <c r="EE302" t="s">
        <v>7054</v>
      </c>
    </row>
    <row r="303" spans="1:135">
      <c r="A303" t="s">
        <v>2957</v>
      </c>
      <c r="B303" t="s">
        <v>2926</v>
      </c>
      <c r="C303" t="s">
        <v>18701</v>
      </c>
      <c r="D303" s="24">
        <v>42713</v>
      </c>
      <c r="E303" s="24" t="s">
        <v>13571</v>
      </c>
      <c r="F303" s="24" t="s">
        <v>18702</v>
      </c>
      <c r="G303" s="24" t="s">
        <v>13808</v>
      </c>
      <c r="H303" s="24"/>
      <c r="I303" s="24" t="s">
        <v>13809</v>
      </c>
      <c r="J303" s="24"/>
      <c r="K303" s="24" t="s">
        <v>13808</v>
      </c>
      <c r="L303" s="24"/>
      <c r="M303" s="24" t="s">
        <v>18703</v>
      </c>
      <c r="N303" s="24" t="s">
        <v>13808</v>
      </c>
      <c r="O303" s="24"/>
      <c r="P303" s="24" t="s">
        <v>13808</v>
      </c>
      <c r="Q303" s="24"/>
      <c r="R303" s="24" t="s">
        <v>13808</v>
      </c>
      <c r="S303" s="24"/>
      <c r="T303" t="s">
        <v>18704</v>
      </c>
      <c r="U303" t="s">
        <v>13818</v>
      </c>
      <c r="W303" t="s">
        <v>13808</v>
      </c>
      <c r="X303" t="s">
        <v>18705</v>
      </c>
      <c r="Y303" t="s">
        <v>13808</v>
      </c>
      <c r="AA303" t="s">
        <v>18706</v>
      </c>
      <c r="AC303" t="s">
        <v>13809</v>
      </c>
      <c r="AH303" t="s">
        <v>16874</v>
      </c>
      <c r="AI303" t="s">
        <v>13808</v>
      </c>
      <c r="AN303" t="s">
        <v>14597</v>
      </c>
      <c r="AO303" t="s">
        <v>13808</v>
      </c>
      <c r="AU303" t="s">
        <v>13809</v>
      </c>
      <c r="AZ303" t="s">
        <v>18707</v>
      </c>
      <c r="BA303" t="s">
        <v>13808</v>
      </c>
      <c r="BF303" t="s">
        <v>14416</v>
      </c>
      <c r="BG303" t="s">
        <v>13818</v>
      </c>
      <c r="BH303" t="s">
        <v>18708</v>
      </c>
      <c r="BL303" t="s">
        <v>18709</v>
      </c>
      <c r="BM303" t="s">
        <v>13808</v>
      </c>
      <c r="BR303" t="s">
        <v>18710</v>
      </c>
      <c r="BS303" t="s">
        <v>14265</v>
      </c>
      <c r="BT303" t="s">
        <v>13818</v>
      </c>
      <c r="BU303" t="s">
        <v>18711</v>
      </c>
      <c r="BY303" t="s">
        <v>18712</v>
      </c>
      <c r="BZ303" t="s">
        <v>13808</v>
      </c>
      <c r="CA303" t="s">
        <v>16940</v>
      </c>
      <c r="CE303" t="s">
        <v>18713</v>
      </c>
      <c r="CF303" t="s">
        <v>13808</v>
      </c>
      <c r="CL303" t="s">
        <v>13809</v>
      </c>
      <c r="CQ303" t="s">
        <v>14265</v>
      </c>
      <c r="CR303" t="s">
        <v>13818</v>
      </c>
      <c r="CS303" t="s">
        <v>18714</v>
      </c>
      <c r="CT303" t="s">
        <v>18715</v>
      </c>
      <c r="CU303" t="s">
        <v>18716</v>
      </c>
      <c r="CV303" t="s">
        <v>13808</v>
      </c>
      <c r="DA303" t="s">
        <v>18716</v>
      </c>
      <c r="DB303" t="s">
        <v>13808</v>
      </c>
      <c r="DG303" t="s">
        <v>18717</v>
      </c>
      <c r="DH303" t="s">
        <v>13808</v>
      </c>
      <c r="DZ303" t="s">
        <v>18699</v>
      </c>
      <c r="EA303" t="s">
        <v>15944</v>
      </c>
      <c r="EC303">
        <v>43480</v>
      </c>
      <c r="ED303" t="s">
        <v>13903</v>
      </c>
      <c r="EE303" t="s">
        <v>7644</v>
      </c>
    </row>
    <row r="304" spans="1:135">
      <c r="A304" t="s">
        <v>3053</v>
      </c>
      <c r="B304" t="s">
        <v>3013</v>
      </c>
      <c r="C304" t="s">
        <v>18718</v>
      </c>
      <c r="D304" s="24">
        <v>43432</v>
      </c>
      <c r="E304" s="24" t="s">
        <v>13571</v>
      </c>
      <c r="F304" s="24" t="s">
        <v>18719</v>
      </c>
      <c r="G304" s="24" t="s">
        <v>13808</v>
      </c>
      <c r="H304" s="24"/>
      <c r="I304" s="24" t="s">
        <v>13809</v>
      </c>
      <c r="J304" s="24"/>
      <c r="K304" s="24" t="s">
        <v>13808</v>
      </c>
      <c r="L304" s="24"/>
      <c r="M304" s="24" t="s">
        <v>18720</v>
      </c>
      <c r="N304" s="24" t="s">
        <v>13808</v>
      </c>
      <c r="O304" s="24"/>
      <c r="P304" s="24" t="s">
        <v>13808</v>
      </c>
      <c r="Q304" s="24"/>
      <c r="R304" s="24" t="s">
        <v>13808</v>
      </c>
      <c r="S304" s="24"/>
      <c r="T304" t="s">
        <v>18721</v>
      </c>
      <c r="U304" t="s">
        <v>13809</v>
      </c>
      <c r="W304" t="s">
        <v>13808</v>
      </c>
      <c r="X304" t="s">
        <v>18722</v>
      </c>
      <c r="Y304" t="s">
        <v>13809</v>
      </c>
      <c r="AA304" t="s">
        <v>13928</v>
      </c>
      <c r="AB304" t="s">
        <v>18723</v>
      </c>
      <c r="AC304" t="s">
        <v>13808</v>
      </c>
      <c r="AH304" t="s">
        <v>13909</v>
      </c>
      <c r="AI304" t="s">
        <v>13808</v>
      </c>
      <c r="AN304" t="s">
        <v>18724</v>
      </c>
      <c r="AO304" t="s">
        <v>13808</v>
      </c>
      <c r="AT304" t="s">
        <v>18725</v>
      </c>
      <c r="AU304" t="s">
        <v>13808</v>
      </c>
      <c r="AZ304" t="s">
        <v>18726</v>
      </c>
      <c r="BA304" t="s">
        <v>13808</v>
      </c>
      <c r="BF304" t="s">
        <v>18727</v>
      </c>
      <c r="BG304" t="s">
        <v>13808</v>
      </c>
      <c r="BM304" t="s">
        <v>13809</v>
      </c>
      <c r="BR304" t="s">
        <v>18728</v>
      </c>
      <c r="BS304" t="s">
        <v>13887</v>
      </c>
      <c r="BT304" t="s">
        <v>13818</v>
      </c>
      <c r="BU304" t="s">
        <v>15193</v>
      </c>
      <c r="BY304" t="s">
        <v>13887</v>
      </c>
      <c r="BZ304" t="s">
        <v>13808</v>
      </c>
      <c r="CA304" t="s">
        <v>13937</v>
      </c>
      <c r="CE304" t="s">
        <v>13887</v>
      </c>
      <c r="CF304" t="s">
        <v>13818</v>
      </c>
      <c r="CG304" t="s">
        <v>15193</v>
      </c>
      <c r="CL304" t="s">
        <v>13809</v>
      </c>
      <c r="CR304" t="s">
        <v>13809</v>
      </c>
      <c r="CT304" t="s">
        <v>18729</v>
      </c>
      <c r="CU304" t="s">
        <v>13909</v>
      </c>
      <c r="CV304" t="s">
        <v>13808</v>
      </c>
      <c r="DA304" t="s">
        <v>13909</v>
      </c>
      <c r="DB304" t="s">
        <v>13808</v>
      </c>
      <c r="DG304" t="s">
        <v>13909</v>
      </c>
      <c r="DH304" t="s">
        <v>13808</v>
      </c>
      <c r="DZ304" t="s">
        <v>15997</v>
      </c>
      <c r="EA304" t="s">
        <v>14201</v>
      </c>
      <c r="EC304">
        <v>43480</v>
      </c>
      <c r="ED304" t="s">
        <v>13903</v>
      </c>
      <c r="EE304" t="s">
        <v>7771</v>
      </c>
    </row>
    <row r="305" spans="1:135">
      <c r="A305" t="s">
        <v>2371</v>
      </c>
      <c r="B305" t="s">
        <v>2314</v>
      </c>
      <c r="C305" t="s">
        <v>18730</v>
      </c>
      <c r="D305" s="24">
        <v>43413</v>
      </c>
      <c r="E305" s="24" t="s">
        <v>13555</v>
      </c>
      <c r="F305" s="24" t="s">
        <v>18731</v>
      </c>
      <c r="G305" s="24" t="s">
        <v>13808</v>
      </c>
      <c r="H305" s="24"/>
      <c r="I305" s="24" t="s">
        <v>13809</v>
      </c>
      <c r="J305" s="24"/>
      <c r="K305" s="24" t="s">
        <v>13808</v>
      </c>
      <c r="L305" s="24"/>
      <c r="M305" s="24" t="s">
        <v>18732</v>
      </c>
      <c r="N305" s="24" t="s">
        <v>13808</v>
      </c>
      <c r="O305" s="24"/>
      <c r="P305" s="24" t="s">
        <v>13808</v>
      </c>
      <c r="Q305" s="24"/>
      <c r="R305" s="24" t="s">
        <v>13808</v>
      </c>
      <c r="S305" s="24"/>
      <c r="T305" t="s">
        <v>13907</v>
      </c>
      <c r="U305" t="s">
        <v>13808</v>
      </c>
      <c r="W305" t="s">
        <v>13808</v>
      </c>
      <c r="X305" t="s">
        <v>18733</v>
      </c>
      <c r="Y305" t="s">
        <v>13808</v>
      </c>
      <c r="AA305" t="s">
        <v>14971</v>
      </c>
      <c r="AB305" t="s">
        <v>17853</v>
      </c>
      <c r="AC305" t="s">
        <v>13808</v>
      </c>
      <c r="AH305" t="s">
        <v>13909</v>
      </c>
      <c r="AI305" t="s">
        <v>13808</v>
      </c>
      <c r="AN305" t="s">
        <v>16326</v>
      </c>
      <c r="AO305" t="s">
        <v>13808</v>
      </c>
      <c r="AT305" t="s">
        <v>14543</v>
      </c>
      <c r="AU305" t="s">
        <v>13808</v>
      </c>
      <c r="AZ305" t="s">
        <v>14367</v>
      </c>
      <c r="BA305" t="s">
        <v>13808</v>
      </c>
      <c r="BF305" t="s">
        <v>14598</v>
      </c>
      <c r="BG305" t="s">
        <v>13808</v>
      </c>
      <c r="BM305" t="s">
        <v>13809</v>
      </c>
      <c r="BR305" t="s">
        <v>18734</v>
      </c>
      <c r="BS305" t="s">
        <v>13887</v>
      </c>
      <c r="BT305" t="s">
        <v>13808</v>
      </c>
      <c r="BU305" t="s">
        <v>16499</v>
      </c>
      <c r="BY305" t="s">
        <v>13887</v>
      </c>
      <c r="BZ305" t="s">
        <v>13808</v>
      </c>
      <c r="CA305" t="s">
        <v>13937</v>
      </c>
      <c r="CE305" t="s">
        <v>14693</v>
      </c>
      <c r="CF305" t="s">
        <v>13808</v>
      </c>
      <c r="CK305" t="s">
        <v>13887</v>
      </c>
      <c r="CL305" t="s">
        <v>13808</v>
      </c>
      <c r="CR305" t="s">
        <v>13809</v>
      </c>
      <c r="CT305" t="s">
        <v>18735</v>
      </c>
      <c r="CU305" t="s">
        <v>13909</v>
      </c>
      <c r="CV305" t="s">
        <v>13808</v>
      </c>
      <c r="DA305" t="s">
        <v>13909</v>
      </c>
      <c r="DB305" t="s">
        <v>13808</v>
      </c>
      <c r="DG305" t="s">
        <v>13909</v>
      </c>
      <c r="DH305" t="s">
        <v>13808</v>
      </c>
      <c r="DY305" t="s">
        <v>13900</v>
      </c>
      <c r="DZ305" t="s">
        <v>18736</v>
      </c>
      <c r="EA305" t="s">
        <v>15744</v>
      </c>
      <c r="EC305">
        <v>44260</v>
      </c>
      <c r="ED305" t="s">
        <v>13903</v>
      </c>
      <c r="EE305" t="s">
        <v>7058</v>
      </c>
    </row>
    <row r="306" spans="1:135">
      <c r="A306" t="s">
        <v>2375</v>
      </c>
      <c r="B306" t="s">
        <v>2314</v>
      </c>
      <c r="C306" t="s">
        <v>18737</v>
      </c>
      <c r="D306" s="24">
        <v>44699</v>
      </c>
      <c r="E306" s="24" t="s">
        <v>13555</v>
      </c>
      <c r="F306" s="24" t="s">
        <v>18738</v>
      </c>
      <c r="G306" s="24"/>
      <c r="H306" s="24"/>
      <c r="I306" s="24"/>
      <c r="J306" s="24"/>
      <c r="K306" s="24" t="s">
        <v>13809</v>
      </c>
      <c r="L306" s="24"/>
      <c r="M306" s="24" t="s">
        <v>18739</v>
      </c>
      <c r="N306" s="24" t="s">
        <v>13808</v>
      </c>
      <c r="O306" s="24"/>
      <c r="P306" s="24" t="s">
        <v>13808</v>
      </c>
      <c r="Q306" s="24"/>
      <c r="R306" s="24" t="s">
        <v>13808</v>
      </c>
      <c r="S306" s="24"/>
      <c r="T306" t="s">
        <v>18740</v>
      </c>
      <c r="U306" t="s">
        <v>13809</v>
      </c>
      <c r="W306" t="s">
        <v>13808</v>
      </c>
      <c r="X306" t="s">
        <v>18741</v>
      </c>
      <c r="Y306" t="s">
        <v>13809</v>
      </c>
      <c r="AA306" t="s">
        <v>13849</v>
      </c>
      <c r="AB306" t="s">
        <v>18742</v>
      </c>
      <c r="AC306" t="s">
        <v>13808</v>
      </c>
      <c r="AH306" t="s">
        <v>18743</v>
      </c>
      <c r="AI306" t="s">
        <v>13808</v>
      </c>
      <c r="AN306" t="s">
        <v>18744</v>
      </c>
      <c r="AO306" t="s">
        <v>13808</v>
      </c>
      <c r="AT306" t="s">
        <v>16744</v>
      </c>
      <c r="AU306" t="s">
        <v>13808</v>
      </c>
      <c r="AZ306" t="s">
        <v>18745</v>
      </c>
      <c r="BA306" t="s">
        <v>13808</v>
      </c>
      <c r="BF306" t="s">
        <v>18746</v>
      </c>
      <c r="BG306" t="s">
        <v>13808</v>
      </c>
      <c r="BL306" t="s">
        <v>18747</v>
      </c>
      <c r="BM306" t="s">
        <v>13808</v>
      </c>
      <c r="BR306" t="s">
        <v>18748</v>
      </c>
      <c r="BS306" t="s">
        <v>13824</v>
      </c>
      <c r="BT306" t="s">
        <v>13808</v>
      </c>
      <c r="BU306" t="s">
        <v>14233</v>
      </c>
      <c r="BY306" t="s">
        <v>18749</v>
      </c>
      <c r="BZ306" t="s">
        <v>13808</v>
      </c>
      <c r="CA306" t="s">
        <v>18750</v>
      </c>
      <c r="CE306" t="s">
        <v>13938</v>
      </c>
      <c r="CF306" t="s">
        <v>13808</v>
      </c>
      <c r="CK306" t="s">
        <v>14581</v>
      </c>
      <c r="CL306" t="s">
        <v>13808</v>
      </c>
      <c r="CM306" t="s">
        <v>18751</v>
      </c>
      <c r="CQ306" t="s">
        <v>13766</v>
      </c>
      <c r="CR306" t="s">
        <v>13809</v>
      </c>
      <c r="CT306" t="s">
        <v>18752</v>
      </c>
      <c r="CU306" t="s">
        <v>18753</v>
      </c>
      <c r="CV306" t="s">
        <v>13808</v>
      </c>
      <c r="CX306" t="s">
        <v>18754</v>
      </c>
      <c r="CY306" t="s">
        <v>13818</v>
      </c>
      <c r="DA306" t="s">
        <v>18755</v>
      </c>
      <c r="DB306" t="s">
        <v>13808</v>
      </c>
      <c r="DD306" t="s">
        <v>18756</v>
      </c>
      <c r="DE306" t="s">
        <v>13818</v>
      </c>
      <c r="DG306" t="s">
        <v>18757</v>
      </c>
      <c r="DH306" t="s">
        <v>13808</v>
      </c>
      <c r="DJ306" t="s">
        <v>18112</v>
      </c>
      <c r="DK306" t="s">
        <v>13818</v>
      </c>
      <c r="DY306" t="s">
        <v>13840</v>
      </c>
      <c r="DZ306" t="s">
        <v>18758</v>
      </c>
      <c r="EA306" t="s">
        <v>13842</v>
      </c>
      <c r="EC306">
        <v>44700</v>
      </c>
      <c r="ED306" t="s">
        <v>14590</v>
      </c>
      <c r="EE306" t="s">
        <v>7061</v>
      </c>
    </row>
    <row r="307" spans="1:135">
      <c r="A307" t="s">
        <v>2281</v>
      </c>
      <c r="B307" t="s">
        <v>2232</v>
      </c>
      <c r="C307" t="s">
        <v>18759</v>
      </c>
      <c r="D307" s="24">
        <v>43453</v>
      </c>
      <c r="E307" s="24" t="s">
        <v>13555</v>
      </c>
      <c r="F307" s="24" t="s">
        <v>18760</v>
      </c>
      <c r="G307" s="24" t="s">
        <v>13808</v>
      </c>
      <c r="H307" s="24"/>
      <c r="I307" s="24" t="s">
        <v>13809</v>
      </c>
      <c r="J307" s="24"/>
      <c r="K307" s="24" t="s">
        <v>13808</v>
      </c>
      <c r="L307" s="24"/>
      <c r="M307" s="24" t="s">
        <v>14185</v>
      </c>
      <c r="N307" s="24" t="s">
        <v>13808</v>
      </c>
      <c r="O307" s="24"/>
      <c r="P307" s="24" t="s">
        <v>13808</v>
      </c>
      <c r="Q307" s="24"/>
      <c r="R307" s="24" t="s">
        <v>13808</v>
      </c>
      <c r="S307" s="24"/>
      <c r="T307" t="s">
        <v>18721</v>
      </c>
      <c r="U307" t="s">
        <v>13809</v>
      </c>
      <c r="W307" t="s">
        <v>13808</v>
      </c>
      <c r="X307" t="s">
        <v>18761</v>
      </c>
      <c r="Y307" t="s">
        <v>13809</v>
      </c>
      <c r="AA307" t="s">
        <v>14971</v>
      </c>
      <c r="AB307" t="s">
        <v>18581</v>
      </c>
      <c r="AC307" t="s">
        <v>13808</v>
      </c>
      <c r="AH307" t="s">
        <v>13909</v>
      </c>
      <c r="AI307" t="s">
        <v>13808</v>
      </c>
      <c r="AO307" t="s">
        <v>13809</v>
      </c>
      <c r="AT307" t="s">
        <v>14595</v>
      </c>
      <c r="AU307" t="s">
        <v>13808</v>
      </c>
      <c r="AZ307" t="s">
        <v>13883</v>
      </c>
      <c r="BA307" t="s">
        <v>13808</v>
      </c>
      <c r="BF307" t="s">
        <v>14022</v>
      </c>
      <c r="BG307" t="s">
        <v>13808</v>
      </c>
      <c r="BL307" t="s">
        <v>18762</v>
      </c>
      <c r="BM307" t="s">
        <v>13808</v>
      </c>
      <c r="BR307" t="s">
        <v>18763</v>
      </c>
      <c r="BS307" t="s">
        <v>13887</v>
      </c>
      <c r="BT307" t="s">
        <v>13808</v>
      </c>
      <c r="BU307" t="s">
        <v>14233</v>
      </c>
      <c r="BY307" t="s">
        <v>13887</v>
      </c>
      <c r="BZ307" t="s">
        <v>13808</v>
      </c>
      <c r="CA307" t="s">
        <v>13937</v>
      </c>
      <c r="CE307" t="s">
        <v>13885</v>
      </c>
      <c r="CF307" t="s">
        <v>13808</v>
      </c>
      <c r="CL307" t="s">
        <v>13809</v>
      </c>
      <c r="CR307" t="s">
        <v>13809</v>
      </c>
      <c r="CT307" t="s">
        <v>18764</v>
      </c>
      <c r="CU307" t="s">
        <v>13909</v>
      </c>
      <c r="CV307" t="s">
        <v>13808</v>
      </c>
      <c r="DA307" t="s">
        <v>13909</v>
      </c>
      <c r="DB307" t="s">
        <v>13808</v>
      </c>
      <c r="DG307" t="s">
        <v>13909</v>
      </c>
      <c r="DH307" t="s">
        <v>13808</v>
      </c>
      <c r="DZ307" t="s">
        <v>18765</v>
      </c>
      <c r="EA307" t="s">
        <v>14201</v>
      </c>
      <c r="EC307">
        <v>43480</v>
      </c>
      <c r="ED307" t="s">
        <v>13903</v>
      </c>
      <c r="EE307" t="s">
        <v>6959</v>
      </c>
    </row>
    <row r="308" spans="1:135">
      <c r="A308" t="s">
        <v>2285</v>
      </c>
      <c r="B308" t="s">
        <v>2232</v>
      </c>
      <c r="C308" t="s">
        <v>18766</v>
      </c>
      <c r="D308" s="24">
        <v>44743</v>
      </c>
      <c r="E308" s="24" t="s">
        <v>13555</v>
      </c>
      <c r="F308" s="24" t="s">
        <v>18767</v>
      </c>
      <c r="G308" s="24" t="s">
        <v>13808</v>
      </c>
      <c r="H308" s="24"/>
      <c r="I308" s="24" t="s">
        <v>13809</v>
      </c>
      <c r="J308" s="24"/>
      <c r="K308" s="24" t="s">
        <v>13809</v>
      </c>
      <c r="L308" s="24"/>
      <c r="M308" s="24" t="s">
        <v>18768</v>
      </c>
      <c r="N308" s="24" t="s">
        <v>13808</v>
      </c>
      <c r="O308" s="24"/>
      <c r="P308" s="24" t="s">
        <v>13808</v>
      </c>
      <c r="Q308" s="24"/>
      <c r="R308" s="24" t="s">
        <v>13808</v>
      </c>
      <c r="S308" s="24"/>
      <c r="T308" t="s">
        <v>18769</v>
      </c>
      <c r="U308" t="s">
        <v>13809</v>
      </c>
      <c r="W308" t="s">
        <v>13808</v>
      </c>
      <c r="X308" t="s">
        <v>18770</v>
      </c>
      <c r="Y308" t="s">
        <v>13809</v>
      </c>
      <c r="AA308" t="s">
        <v>14906</v>
      </c>
      <c r="AB308" t="s">
        <v>18771</v>
      </c>
      <c r="AC308" t="s">
        <v>13808</v>
      </c>
      <c r="AH308" t="s">
        <v>13851</v>
      </c>
      <c r="AI308" t="s">
        <v>13808</v>
      </c>
      <c r="AN308" t="s">
        <v>18772</v>
      </c>
      <c r="AO308" t="s">
        <v>13808</v>
      </c>
      <c r="AT308" t="s">
        <v>17336</v>
      </c>
      <c r="AU308" t="s">
        <v>13808</v>
      </c>
      <c r="AZ308" t="s">
        <v>14638</v>
      </c>
      <c r="BA308" t="s">
        <v>13808</v>
      </c>
      <c r="BF308" t="s">
        <v>18773</v>
      </c>
      <c r="BG308" t="s">
        <v>13808</v>
      </c>
      <c r="BL308" t="s">
        <v>18774</v>
      </c>
      <c r="BM308" t="s">
        <v>13808</v>
      </c>
      <c r="BR308" t="s">
        <v>18775</v>
      </c>
      <c r="BS308" t="s">
        <v>13742</v>
      </c>
      <c r="BT308" t="s">
        <v>13809</v>
      </c>
      <c r="BY308" t="s">
        <v>13860</v>
      </c>
      <c r="BZ308" t="s">
        <v>13808</v>
      </c>
      <c r="CA308" t="s">
        <v>18776</v>
      </c>
      <c r="CE308" t="s">
        <v>13754</v>
      </c>
      <c r="CF308" t="s">
        <v>13809</v>
      </c>
      <c r="CK308" t="s">
        <v>18777</v>
      </c>
      <c r="CL308" t="s">
        <v>13808</v>
      </c>
      <c r="CQ308" t="s">
        <v>13766</v>
      </c>
      <c r="CR308" t="s">
        <v>13809</v>
      </c>
      <c r="CT308" t="s">
        <v>17657</v>
      </c>
      <c r="CU308" t="s">
        <v>18778</v>
      </c>
      <c r="CV308" t="s">
        <v>13808</v>
      </c>
      <c r="DA308" t="s">
        <v>18779</v>
      </c>
      <c r="DB308" t="s">
        <v>13808</v>
      </c>
      <c r="DG308" t="s">
        <v>14240</v>
      </c>
      <c r="DH308" t="s">
        <v>13818</v>
      </c>
      <c r="DM308" t="s">
        <v>18780</v>
      </c>
      <c r="DN308" t="s">
        <v>13818</v>
      </c>
      <c r="DY308" t="s">
        <v>13840</v>
      </c>
      <c r="DZ308" t="s">
        <v>18781</v>
      </c>
      <c r="EA308" t="s">
        <v>16172</v>
      </c>
      <c r="EC308">
        <v>44747</v>
      </c>
      <c r="ED308" t="s">
        <v>14667</v>
      </c>
      <c r="EE308" t="s">
        <v>6963</v>
      </c>
    </row>
    <row r="309" spans="1:135">
      <c r="A309" t="s">
        <v>2290</v>
      </c>
      <c r="B309" t="s">
        <v>2232</v>
      </c>
      <c r="C309" t="s">
        <v>18782</v>
      </c>
      <c r="D309" s="24">
        <v>43453</v>
      </c>
      <c r="E309" s="24" t="s">
        <v>13564</v>
      </c>
      <c r="F309" s="24" t="s">
        <v>18783</v>
      </c>
      <c r="G309" s="24" t="s">
        <v>13808</v>
      </c>
      <c r="H309" s="24"/>
      <c r="I309" s="24" t="s">
        <v>13809</v>
      </c>
      <c r="J309" s="24"/>
      <c r="K309" s="24" t="s">
        <v>13809</v>
      </c>
      <c r="L309" s="24"/>
      <c r="M309" s="24" t="s">
        <v>15106</v>
      </c>
      <c r="N309" s="24" t="s">
        <v>13808</v>
      </c>
      <c r="O309" s="24"/>
      <c r="P309" s="24" t="s">
        <v>13808</v>
      </c>
      <c r="Q309" s="24"/>
      <c r="R309" s="24" t="s">
        <v>13808</v>
      </c>
      <c r="S309" s="24"/>
      <c r="T309" t="s">
        <v>13907</v>
      </c>
      <c r="U309" t="s">
        <v>13809</v>
      </c>
      <c r="W309" t="s">
        <v>13808</v>
      </c>
      <c r="X309" t="s">
        <v>18784</v>
      </c>
      <c r="Y309" t="s">
        <v>13809</v>
      </c>
      <c r="AA309" t="s">
        <v>13928</v>
      </c>
      <c r="BR309" t="s">
        <v>18785</v>
      </c>
      <c r="BS309" t="s">
        <v>13824</v>
      </c>
      <c r="BT309" t="s">
        <v>13818</v>
      </c>
      <c r="BU309" t="s">
        <v>14836</v>
      </c>
      <c r="BY309" t="s">
        <v>13986</v>
      </c>
      <c r="BZ309" t="s">
        <v>13808</v>
      </c>
      <c r="CA309" t="s">
        <v>13937</v>
      </c>
      <c r="CE309" t="s">
        <v>13828</v>
      </c>
      <c r="CF309" t="s">
        <v>13808</v>
      </c>
      <c r="CK309" t="s">
        <v>13760</v>
      </c>
      <c r="CL309" t="s">
        <v>13809</v>
      </c>
      <c r="CQ309" t="s">
        <v>13766</v>
      </c>
      <c r="CR309" t="s">
        <v>13809</v>
      </c>
      <c r="CT309" t="s">
        <v>18786</v>
      </c>
      <c r="CU309" t="s">
        <v>18787</v>
      </c>
      <c r="CV309" t="s">
        <v>13808</v>
      </c>
      <c r="CX309" t="s">
        <v>17112</v>
      </c>
      <c r="CY309" t="s">
        <v>13818</v>
      </c>
      <c r="DA309" t="s">
        <v>18788</v>
      </c>
      <c r="DB309" t="s">
        <v>13808</v>
      </c>
      <c r="DD309" t="s">
        <v>17112</v>
      </c>
      <c r="DE309" t="s">
        <v>13818</v>
      </c>
      <c r="DG309" t="s">
        <v>14240</v>
      </c>
      <c r="DH309" t="s">
        <v>13808</v>
      </c>
      <c r="DZ309" t="s">
        <v>18789</v>
      </c>
      <c r="EA309" t="s">
        <v>14201</v>
      </c>
      <c r="EC309">
        <v>44627</v>
      </c>
      <c r="ED309" t="s">
        <v>13843</v>
      </c>
      <c r="EE309" t="s">
        <v>6972</v>
      </c>
    </row>
    <row r="310" spans="1:135">
      <c r="A310" t="s">
        <v>3060</v>
      </c>
      <c r="B310" t="s">
        <v>3013</v>
      </c>
      <c r="C310" t="s">
        <v>18790</v>
      </c>
      <c r="D310" s="24">
        <v>43055</v>
      </c>
      <c r="E310" s="24" t="s">
        <v>13571</v>
      </c>
      <c r="F310" s="24" t="s">
        <v>18791</v>
      </c>
      <c r="G310" s="24" t="s">
        <v>13808</v>
      </c>
      <c r="H310" s="24"/>
      <c r="I310" s="24" t="s">
        <v>13809</v>
      </c>
      <c r="J310" s="24"/>
      <c r="K310" s="24" t="s">
        <v>13808</v>
      </c>
      <c r="L310" s="24"/>
      <c r="M310" s="24" t="s">
        <v>13950</v>
      </c>
      <c r="N310" s="24" t="s">
        <v>13808</v>
      </c>
      <c r="O310" s="24"/>
      <c r="P310" s="24" t="s">
        <v>13808</v>
      </c>
      <c r="Q310" s="24"/>
      <c r="R310" s="24" t="s">
        <v>13808</v>
      </c>
      <c r="S310" s="24"/>
      <c r="T310" t="s">
        <v>14034</v>
      </c>
      <c r="U310" t="s">
        <v>13809</v>
      </c>
      <c r="W310" t="s">
        <v>13808</v>
      </c>
      <c r="X310" t="s">
        <v>18792</v>
      </c>
      <c r="Y310" t="s">
        <v>13808</v>
      </c>
      <c r="AA310" t="s">
        <v>13928</v>
      </c>
      <c r="AB310" t="s">
        <v>15824</v>
      </c>
      <c r="AC310" t="s">
        <v>13808</v>
      </c>
      <c r="AH310" t="s">
        <v>13909</v>
      </c>
      <c r="AI310" t="s">
        <v>13808</v>
      </c>
      <c r="AN310" t="s">
        <v>18793</v>
      </c>
      <c r="AO310" t="s">
        <v>13808</v>
      </c>
      <c r="AT310" t="s">
        <v>18794</v>
      </c>
      <c r="AU310" t="s">
        <v>13808</v>
      </c>
      <c r="AZ310" t="s">
        <v>18795</v>
      </c>
      <c r="BA310" t="s">
        <v>13808</v>
      </c>
      <c r="BF310" t="s">
        <v>15883</v>
      </c>
      <c r="BG310" t="s">
        <v>13808</v>
      </c>
      <c r="BM310" t="s">
        <v>13809</v>
      </c>
      <c r="BR310" t="s">
        <v>18796</v>
      </c>
      <c r="BS310" t="s">
        <v>14265</v>
      </c>
      <c r="BT310" t="s">
        <v>13808</v>
      </c>
      <c r="BU310" t="s">
        <v>15304</v>
      </c>
      <c r="BY310" t="s">
        <v>13887</v>
      </c>
      <c r="BZ310" t="s">
        <v>13808</v>
      </c>
      <c r="CA310" t="s">
        <v>13937</v>
      </c>
      <c r="CE310" t="s">
        <v>13887</v>
      </c>
      <c r="CF310" t="s">
        <v>13808</v>
      </c>
      <c r="CL310" t="s">
        <v>13809</v>
      </c>
      <c r="CR310" t="s">
        <v>13809</v>
      </c>
      <c r="CT310" t="s">
        <v>18797</v>
      </c>
      <c r="CU310" t="s">
        <v>14693</v>
      </c>
      <c r="CV310" t="s">
        <v>13808</v>
      </c>
      <c r="CX310" t="s">
        <v>18798</v>
      </c>
      <c r="CY310" t="s">
        <v>13818</v>
      </c>
      <c r="DA310" t="s">
        <v>13909</v>
      </c>
      <c r="DB310" t="s">
        <v>13808</v>
      </c>
      <c r="DG310" t="s">
        <v>13909</v>
      </c>
      <c r="DH310" t="s">
        <v>13818</v>
      </c>
      <c r="DY310" t="s">
        <v>15296</v>
      </c>
      <c r="DZ310" t="s">
        <v>15812</v>
      </c>
      <c r="EA310" t="s">
        <v>18799</v>
      </c>
      <c r="EC310">
        <v>44260</v>
      </c>
      <c r="ED310" t="s">
        <v>13903</v>
      </c>
      <c r="EE310" t="s">
        <v>7785</v>
      </c>
    </row>
    <row r="311" spans="1:135">
      <c r="A311" t="s">
        <v>2753</v>
      </c>
      <c r="B311" t="s">
        <v>2693</v>
      </c>
      <c r="C311" t="s">
        <v>18800</v>
      </c>
      <c r="D311" s="24">
        <v>43405</v>
      </c>
      <c r="E311" s="24" t="s">
        <v>13558</v>
      </c>
      <c r="F311" s="24" t="s">
        <v>18801</v>
      </c>
      <c r="G311" s="24" t="s">
        <v>13808</v>
      </c>
      <c r="H311" s="24"/>
      <c r="I311" s="24" t="s">
        <v>13809</v>
      </c>
      <c r="J311" s="24"/>
      <c r="K311" s="24" t="s">
        <v>13808</v>
      </c>
      <c r="L311" s="24"/>
      <c r="M311" s="24" t="s">
        <v>14304</v>
      </c>
      <c r="N311" s="24" t="s">
        <v>13808</v>
      </c>
      <c r="O311" s="24"/>
      <c r="P311" s="24" t="s">
        <v>13808</v>
      </c>
      <c r="Q311" s="24"/>
      <c r="R311" s="24" t="s">
        <v>13808</v>
      </c>
      <c r="S311" s="24"/>
      <c r="T311" t="s">
        <v>18802</v>
      </c>
      <c r="U311" t="s">
        <v>13809</v>
      </c>
      <c r="W311" t="s">
        <v>13808</v>
      </c>
      <c r="X311" t="s">
        <v>18803</v>
      </c>
      <c r="Y311" t="s">
        <v>13809</v>
      </c>
      <c r="AA311" t="s">
        <v>18804</v>
      </c>
      <c r="AB311" t="s">
        <v>17154</v>
      </c>
      <c r="AC311" t="s">
        <v>13808</v>
      </c>
      <c r="AH311" t="s">
        <v>13887</v>
      </c>
      <c r="AI311" t="s">
        <v>13808</v>
      </c>
      <c r="AK311" t="s">
        <v>14004</v>
      </c>
      <c r="AL311" t="s">
        <v>13808</v>
      </c>
      <c r="AM311" t="s">
        <v>18805</v>
      </c>
      <c r="AN311" t="s">
        <v>14037</v>
      </c>
      <c r="AO311" t="s">
        <v>13808</v>
      </c>
      <c r="AP311" t="s">
        <v>18805</v>
      </c>
      <c r="AT311" t="s">
        <v>13910</v>
      </c>
      <c r="AU311" t="s">
        <v>13808</v>
      </c>
      <c r="AV311" t="s">
        <v>18805</v>
      </c>
      <c r="AZ311" t="s">
        <v>15025</v>
      </c>
      <c r="BA311" t="s">
        <v>13808</v>
      </c>
      <c r="BF311" t="s">
        <v>13894</v>
      </c>
      <c r="BG311" t="s">
        <v>13808</v>
      </c>
      <c r="BM311" t="s">
        <v>13809</v>
      </c>
      <c r="BR311" t="s">
        <v>18806</v>
      </c>
      <c r="BS311" t="s">
        <v>13887</v>
      </c>
      <c r="BT311" t="s">
        <v>13808</v>
      </c>
      <c r="BU311" t="s">
        <v>18807</v>
      </c>
      <c r="BY311" t="s">
        <v>13887</v>
      </c>
      <c r="BZ311" t="s">
        <v>13808</v>
      </c>
      <c r="CA311" t="s">
        <v>18808</v>
      </c>
      <c r="CE311" t="s">
        <v>13887</v>
      </c>
      <c r="CF311" t="s">
        <v>13808</v>
      </c>
      <c r="CG311" t="s">
        <v>13863</v>
      </c>
      <c r="CL311" t="s">
        <v>13809</v>
      </c>
      <c r="CR311" t="s">
        <v>13809</v>
      </c>
      <c r="CT311" t="s">
        <v>18809</v>
      </c>
      <c r="CU311" t="s">
        <v>13909</v>
      </c>
      <c r="CV311" t="s">
        <v>13818</v>
      </c>
      <c r="DA311" t="s">
        <v>13909</v>
      </c>
      <c r="DB311" t="s">
        <v>13818</v>
      </c>
      <c r="DG311" t="s">
        <v>13909</v>
      </c>
      <c r="DH311" t="s">
        <v>13818</v>
      </c>
      <c r="DY311" t="s">
        <v>13840</v>
      </c>
      <c r="DZ311" t="s">
        <v>14341</v>
      </c>
      <c r="EA311" t="s">
        <v>14118</v>
      </c>
      <c r="EC311">
        <v>43837</v>
      </c>
      <c r="ED311" t="s">
        <v>13903</v>
      </c>
      <c r="EE311" t="s">
        <v>7410</v>
      </c>
    </row>
    <row r="312" spans="1:135">
      <c r="A312" t="s">
        <v>2761</v>
      </c>
      <c r="B312" t="s">
        <v>2693</v>
      </c>
      <c r="C312" t="s">
        <v>18810</v>
      </c>
      <c r="D312" s="24">
        <v>44287</v>
      </c>
      <c r="E312" s="24" t="s">
        <v>13558</v>
      </c>
      <c r="F312" s="24" t="s">
        <v>18811</v>
      </c>
      <c r="G312" s="24" t="s">
        <v>13808</v>
      </c>
      <c r="H312" s="24"/>
      <c r="I312" s="24" t="s">
        <v>13809</v>
      </c>
      <c r="J312" s="24"/>
      <c r="K312" s="24" t="s">
        <v>13809</v>
      </c>
      <c r="L312" s="24"/>
      <c r="M312" s="24" t="s">
        <v>13950</v>
      </c>
      <c r="N312" s="24" t="s">
        <v>13808</v>
      </c>
      <c r="O312" s="24"/>
      <c r="P312" s="24" t="s">
        <v>13808</v>
      </c>
      <c r="Q312" s="24"/>
      <c r="R312" s="24" t="s">
        <v>13808</v>
      </c>
      <c r="S312" s="24"/>
      <c r="T312" t="s">
        <v>18348</v>
      </c>
      <c r="U312" t="s">
        <v>13808</v>
      </c>
      <c r="V312" t="s">
        <v>18812</v>
      </c>
      <c r="W312" t="s">
        <v>13809</v>
      </c>
      <c r="Y312" t="s">
        <v>13808</v>
      </c>
      <c r="AA312" t="s">
        <v>18813</v>
      </c>
      <c r="AB312" t="s">
        <v>14123</v>
      </c>
      <c r="AC312" t="s">
        <v>13818</v>
      </c>
      <c r="AD312" t="s">
        <v>14309</v>
      </c>
      <c r="AH312" t="s">
        <v>13887</v>
      </c>
      <c r="AI312" t="s">
        <v>13808</v>
      </c>
      <c r="AK312" t="s">
        <v>14004</v>
      </c>
      <c r="AL312" t="s">
        <v>14262</v>
      </c>
      <c r="AM312" t="s">
        <v>14309</v>
      </c>
      <c r="AN312" t="s">
        <v>16046</v>
      </c>
      <c r="AO312" t="s">
        <v>14262</v>
      </c>
      <c r="AP312" t="s">
        <v>14309</v>
      </c>
      <c r="AT312" t="s">
        <v>18814</v>
      </c>
      <c r="AU312" t="s">
        <v>14262</v>
      </c>
      <c r="AV312" t="s">
        <v>14309</v>
      </c>
      <c r="AZ312" t="s">
        <v>13892</v>
      </c>
      <c r="BA312" t="s">
        <v>14262</v>
      </c>
      <c r="BB312" t="s">
        <v>14309</v>
      </c>
      <c r="BF312" t="s">
        <v>18815</v>
      </c>
      <c r="BG312" t="s">
        <v>13808</v>
      </c>
      <c r="BL312" t="s">
        <v>15824</v>
      </c>
      <c r="BM312" t="s">
        <v>13808</v>
      </c>
      <c r="BR312" t="s">
        <v>18816</v>
      </c>
      <c r="BS312" t="s">
        <v>13887</v>
      </c>
      <c r="BT312" t="s">
        <v>13808</v>
      </c>
      <c r="BU312" t="s">
        <v>18817</v>
      </c>
      <c r="BY312" t="s">
        <v>14265</v>
      </c>
      <c r="BZ312" t="s">
        <v>13818</v>
      </c>
      <c r="CA312" t="s">
        <v>14309</v>
      </c>
      <c r="CE312" t="s">
        <v>13885</v>
      </c>
      <c r="CF312" t="s">
        <v>13818</v>
      </c>
      <c r="CG312" t="s">
        <v>14309</v>
      </c>
      <c r="CL312" t="s">
        <v>13809</v>
      </c>
      <c r="CR312" t="s">
        <v>13809</v>
      </c>
      <c r="CT312" t="s">
        <v>14011</v>
      </c>
      <c r="CU312" t="s">
        <v>13909</v>
      </c>
      <c r="CV312" t="s">
        <v>13818</v>
      </c>
      <c r="DA312" t="s">
        <v>13909</v>
      </c>
      <c r="DB312" t="s">
        <v>13818</v>
      </c>
      <c r="DG312" t="s">
        <v>13909</v>
      </c>
      <c r="DH312" t="s">
        <v>13818</v>
      </c>
      <c r="DY312" t="s">
        <v>13840</v>
      </c>
      <c r="DZ312" t="s">
        <v>14274</v>
      </c>
      <c r="EA312" t="s">
        <v>14275</v>
      </c>
      <c r="EC312">
        <v>44482</v>
      </c>
      <c r="EE312" t="s">
        <v>7416</v>
      </c>
    </row>
    <row r="313" spans="1:135">
      <c r="A313" t="s">
        <v>2905</v>
      </c>
      <c r="B313" t="s">
        <v>2861</v>
      </c>
      <c r="C313" t="s">
        <v>18818</v>
      </c>
      <c r="D313" s="24">
        <v>42636</v>
      </c>
      <c r="E313" s="24" t="s">
        <v>13557</v>
      </c>
      <c r="F313" s="24" t="s">
        <v>18819</v>
      </c>
      <c r="G313" s="24" t="s">
        <v>13808</v>
      </c>
      <c r="H313" s="24"/>
      <c r="I313" s="24" t="s">
        <v>13809</v>
      </c>
      <c r="J313" s="24"/>
      <c r="K313" s="24" t="s">
        <v>13808</v>
      </c>
      <c r="L313" s="24"/>
      <c r="M313" s="24" t="s">
        <v>18820</v>
      </c>
      <c r="N313" s="24" t="s">
        <v>13808</v>
      </c>
      <c r="O313" s="24"/>
      <c r="P313" s="24" t="s">
        <v>13808</v>
      </c>
      <c r="Q313" s="24"/>
      <c r="R313" s="24" t="s">
        <v>13808</v>
      </c>
      <c r="S313" s="24"/>
      <c r="T313" t="s">
        <v>18821</v>
      </c>
      <c r="U313" t="s">
        <v>13809</v>
      </c>
      <c r="W313" t="s">
        <v>13808</v>
      </c>
      <c r="X313" t="s">
        <v>18822</v>
      </c>
      <c r="Y313" t="s">
        <v>13808</v>
      </c>
      <c r="Z313" t="s">
        <v>18823</v>
      </c>
      <c r="AA313" t="s">
        <v>18824</v>
      </c>
      <c r="AB313" t="s">
        <v>16495</v>
      </c>
      <c r="AC313" t="s">
        <v>13808</v>
      </c>
      <c r="AH313" t="s">
        <v>18402</v>
      </c>
      <c r="AI313" t="s">
        <v>13808</v>
      </c>
      <c r="AO313" t="s">
        <v>13809</v>
      </c>
      <c r="AT313" t="s">
        <v>14816</v>
      </c>
      <c r="AU313" t="s">
        <v>13808</v>
      </c>
      <c r="AZ313" t="s">
        <v>18825</v>
      </c>
      <c r="BA313" t="s">
        <v>13808</v>
      </c>
      <c r="BF313" t="s">
        <v>16078</v>
      </c>
      <c r="BG313" t="s">
        <v>13808</v>
      </c>
      <c r="BM313" t="s">
        <v>13809</v>
      </c>
      <c r="BR313" t="s">
        <v>18826</v>
      </c>
      <c r="BS313" t="s">
        <v>13887</v>
      </c>
      <c r="BT313" t="s">
        <v>13808</v>
      </c>
      <c r="BU313" t="s">
        <v>18827</v>
      </c>
      <c r="BY313" t="s">
        <v>13887</v>
      </c>
      <c r="BZ313" t="s">
        <v>13808</v>
      </c>
      <c r="CE313" t="s">
        <v>13887</v>
      </c>
      <c r="CF313" t="s">
        <v>13808</v>
      </c>
      <c r="CL313" t="s">
        <v>13809</v>
      </c>
      <c r="CR313" t="s">
        <v>13809</v>
      </c>
      <c r="CT313" t="s">
        <v>18828</v>
      </c>
      <c r="CU313" t="s">
        <v>13909</v>
      </c>
      <c r="CV313" t="s">
        <v>13818</v>
      </c>
      <c r="DA313" t="s">
        <v>13909</v>
      </c>
      <c r="DB313" t="s">
        <v>13808</v>
      </c>
      <c r="DG313" t="s">
        <v>13909</v>
      </c>
      <c r="DH313" t="s">
        <v>13818</v>
      </c>
      <c r="DM313" t="s">
        <v>18829</v>
      </c>
      <c r="DN313" t="s">
        <v>13808</v>
      </c>
      <c r="DO313" t="s">
        <v>18830</v>
      </c>
      <c r="DY313" t="s">
        <v>13900</v>
      </c>
      <c r="DZ313" t="s">
        <v>18831</v>
      </c>
      <c r="EA313" t="s">
        <v>18832</v>
      </c>
      <c r="EC313">
        <v>44260</v>
      </c>
      <c r="ED313" t="s">
        <v>13903</v>
      </c>
      <c r="EE313" t="s">
        <v>7567</v>
      </c>
    </row>
    <row r="314" spans="1:135">
      <c r="A314" t="s">
        <v>2768</v>
      </c>
      <c r="B314" t="s">
        <v>2693</v>
      </c>
      <c r="C314" t="s">
        <v>18833</v>
      </c>
      <c r="D314" s="24">
        <v>44503</v>
      </c>
      <c r="E314" s="24" t="s">
        <v>13559</v>
      </c>
      <c r="F314" s="24" t="s">
        <v>18834</v>
      </c>
      <c r="G314" s="24" t="s">
        <v>14699</v>
      </c>
      <c r="H314" s="24"/>
      <c r="I314" s="24" t="s">
        <v>13809</v>
      </c>
      <c r="J314" s="24"/>
      <c r="K314" s="24" t="s">
        <v>13809</v>
      </c>
      <c r="L314" s="24"/>
      <c r="M314" s="24" t="s">
        <v>18835</v>
      </c>
      <c r="N314" s="24" t="s">
        <v>13808</v>
      </c>
      <c r="O314" s="24"/>
      <c r="P314" s="24" t="s">
        <v>13808</v>
      </c>
      <c r="Q314" s="24"/>
      <c r="R314" s="24" t="s">
        <v>13808</v>
      </c>
      <c r="S314" s="24"/>
      <c r="T314" t="s">
        <v>18391</v>
      </c>
      <c r="U314" t="s">
        <v>13809</v>
      </c>
      <c r="W314" t="s">
        <v>13809</v>
      </c>
      <c r="Y314" t="s">
        <v>13809</v>
      </c>
      <c r="AA314" t="s">
        <v>17946</v>
      </c>
      <c r="AB314" t="s">
        <v>14008</v>
      </c>
      <c r="AC314" t="s">
        <v>13808</v>
      </c>
      <c r="AE314" t="s">
        <v>17398</v>
      </c>
      <c r="AF314" t="s">
        <v>13818</v>
      </c>
      <c r="AG314" t="s">
        <v>14309</v>
      </c>
      <c r="AH314" t="s">
        <v>13887</v>
      </c>
      <c r="AI314" t="s">
        <v>13808</v>
      </c>
      <c r="AN314" t="s">
        <v>18836</v>
      </c>
      <c r="AO314" t="s">
        <v>13818</v>
      </c>
      <c r="AP314" t="s">
        <v>14309</v>
      </c>
      <c r="AT314" t="s">
        <v>15276</v>
      </c>
      <c r="AU314" t="s">
        <v>13818</v>
      </c>
      <c r="AV314" t="s">
        <v>14309</v>
      </c>
      <c r="AZ314" t="s">
        <v>18837</v>
      </c>
      <c r="BA314" t="s">
        <v>13808</v>
      </c>
      <c r="BC314" t="s">
        <v>15820</v>
      </c>
      <c r="BD314" t="s">
        <v>13818</v>
      </c>
      <c r="BE314" t="s">
        <v>14309</v>
      </c>
      <c r="BF314" t="s">
        <v>17780</v>
      </c>
      <c r="BG314" t="s">
        <v>13808</v>
      </c>
      <c r="BL314" t="s">
        <v>18838</v>
      </c>
      <c r="BM314" t="s">
        <v>13818</v>
      </c>
      <c r="BN314" t="s">
        <v>14309</v>
      </c>
      <c r="BR314" t="s">
        <v>18839</v>
      </c>
      <c r="BS314" t="s">
        <v>13887</v>
      </c>
      <c r="BT314" t="s">
        <v>13808</v>
      </c>
      <c r="BU314" t="s">
        <v>18840</v>
      </c>
      <c r="BY314" t="s">
        <v>13887</v>
      </c>
      <c r="BZ314" t="s">
        <v>13808</v>
      </c>
      <c r="CA314" t="s">
        <v>13937</v>
      </c>
      <c r="CE314" t="s">
        <v>13887</v>
      </c>
      <c r="CF314" t="s">
        <v>13808</v>
      </c>
      <c r="CL314" t="s">
        <v>13809</v>
      </c>
      <c r="CR314" t="s">
        <v>13809</v>
      </c>
      <c r="CT314" t="s">
        <v>18841</v>
      </c>
      <c r="CU314" t="s">
        <v>18842</v>
      </c>
      <c r="CV314" t="s">
        <v>13808</v>
      </c>
      <c r="CW314" t="s">
        <v>18843</v>
      </c>
      <c r="CX314" t="s">
        <v>18844</v>
      </c>
      <c r="CY314" t="s">
        <v>13818</v>
      </c>
      <c r="DA314" t="s">
        <v>16071</v>
      </c>
      <c r="DB314" t="s">
        <v>13808</v>
      </c>
      <c r="DC314" t="s">
        <v>18843</v>
      </c>
      <c r="DG314" t="s">
        <v>18845</v>
      </c>
      <c r="DH314" t="s">
        <v>13818</v>
      </c>
      <c r="DM314" t="s">
        <v>16078</v>
      </c>
      <c r="DN314" t="s">
        <v>13818</v>
      </c>
      <c r="DP314" t="s">
        <v>18846</v>
      </c>
      <c r="DQ314" t="s">
        <v>13818</v>
      </c>
      <c r="DR314" t="s">
        <v>15964</v>
      </c>
      <c r="DY314" t="s">
        <v>13869</v>
      </c>
      <c r="DZ314" t="s">
        <v>14406</v>
      </c>
      <c r="EA314" t="s">
        <v>14275</v>
      </c>
      <c r="ED314" t="s">
        <v>14722</v>
      </c>
      <c r="EE314" t="s">
        <v>7420</v>
      </c>
    </row>
    <row r="315" spans="1:135">
      <c r="A315" t="s">
        <v>3067</v>
      </c>
      <c r="B315" t="s">
        <v>3013</v>
      </c>
      <c r="C315" t="s">
        <v>18847</v>
      </c>
      <c r="D315" s="24">
        <v>43426</v>
      </c>
      <c r="E315" s="24" t="s">
        <v>13557</v>
      </c>
      <c r="F315" s="24" t="s">
        <v>18848</v>
      </c>
      <c r="G315" s="24" t="s">
        <v>13808</v>
      </c>
      <c r="H315" s="24"/>
      <c r="I315" s="24" t="s">
        <v>13809</v>
      </c>
      <c r="J315" s="24"/>
      <c r="K315" s="24" t="s">
        <v>13809</v>
      </c>
      <c r="L315" s="24"/>
      <c r="M315" s="24" t="s">
        <v>18849</v>
      </c>
      <c r="N315" s="24" t="s">
        <v>13808</v>
      </c>
      <c r="O315" s="24"/>
      <c r="P315" s="24" t="s">
        <v>13808</v>
      </c>
      <c r="Q315" s="24"/>
      <c r="R315" s="24" t="s">
        <v>13808</v>
      </c>
      <c r="S315" s="24"/>
      <c r="T315" t="s">
        <v>18850</v>
      </c>
      <c r="U315" t="s">
        <v>13809</v>
      </c>
      <c r="W315" t="s">
        <v>13808</v>
      </c>
      <c r="X315" t="s">
        <v>18851</v>
      </c>
      <c r="Y315" t="s">
        <v>13809</v>
      </c>
      <c r="AA315" t="s">
        <v>18852</v>
      </c>
      <c r="AB315" t="s">
        <v>15833</v>
      </c>
      <c r="AC315" t="s">
        <v>13808</v>
      </c>
      <c r="AH315" t="s">
        <v>13909</v>
      </c>
      <c r="AI315" t="s">
        <v>13808</v>
      </c>
      <c r="AN315" t="s">
        <v>18853</v>
      </c>
      <c r="AO315" t="s">
        <v>13808</v>
      </c>
      <c r="AT315" t="s">
        <v>18854</v>
      </c>
      <c r="AU315" t="s">
        <v>13808</v>
      </c>
      <c r="AZ315" t="s">
        <v>17780</v>
      </c>
      <c r="BA315" t="s">
        <v>13808</v>
      </c>
      <c r="BF315" t="s">
        <v>15973</v>
      </c>
      <c r="BG315" t="s">
        <v>13808</v>
      </c>
      <c r="BM315" t="s">
        <v>13809</v>
      </c>
      <c r="BR315" t="s">
        <v>18855</v>
      </c>
      <c r="BS315" t="s">
        <v>13887</v>
      </c>
      <c r="BT315" t="s">
        <v>13808</v>
      </c>
      <c r="BU315" t="s">
        <v>15012</v>
      </c>
      <c r="BY315" t="s">
        <v>13887</v>
      </c>
      <c r="BZ315" t="s">
        <v>13808</v>
      </c>
      <c r="CA315" t="s">
        <v>17557</v>
      </c>
      <c r="CE315" t="s">
        <v>14693</v>
      </c>
      <c r="CF315" t="s">
        <v>13808</v>
      </c>
      <c r="CG315" t="s">
        <v>14173</v>
      </c>
      <c r="CH315" t="s">
        <v>14197</v>
      </c>
      <c r="CI315" t="s">
        <v>13818</v>
      </c>
      <c r="CJ315" t="s">
        <v>15631</v>
      </c>
      <c r="CK315" t="s">
        <v>13887</v>
      </c>
      <c r="CL315" t="s">
        <v>13808</v>
      </c>
      <c r="CR315" t="s">
        <v>13809</v>
      </c>
      <c r="CT315" t="s">
        <v>18856</v>
      </c>
      <c r="CU315" t="s">
        <v>18857</v>
      </c>
      <c r="CV315" t="s">
        <v>13808</v>
      </c>
      <c r="CX315" t="s">
        <v>18858</v>
      </c>
      <c r="CY315" t="s">
        <v>13818</v>
      </c>
      <c r="DA315" t="s">
        <v>18859</v>
      </c>
      <c r="DB315" t="s">
        <v>13818</v>
      </c>
      <c r="DG315" t="s">
        <v>18860</v>
      </c>
      <c r="DH315" t="s">
        <v>13818</v>
      </c>
      <c r="DI315" t="s">
        <v>18861</v>
      </c>
      <c r="DJ315" t="s">
        <v>18862</v>
      </c>
      <c r="DK315" t="s">
        <v>13818</v>
      </c>
      <c r="DL315" t="s">
        <v>18863</v>
      </c>
      <c r="DM315" t="s">
        <v>18864</v>
      </c>
      <c r="DN315" t="s">
        <v>13808</v>
      </c>
      <c r="DO315" t="s">
        <v>18865</v>
      </c>
      <c r="DP315" t="s">
        <v>18866</v>
      </c>
      <c r="DQ315" t="s">
        <v>13818</v>
      </c>
      <c r="DZ315" t="s">
        <v>18867</v>
      </c>
      <c r="EA315" t="s">
        <v>15744</v>
      </c>
      <c r="EC315">
        <v>44260</v>
      </c>
      <c r="ED315" t="s">
        <v>13903</v>
      </c>
      <c r="EE315" t="s">
        <v>7791</v>
      </c>
    </row>
    <row r="316" spans="1:135">
      <c r="A316" t="s">
        <v>3071</v>
      </c>
      <c r="B316" t="s">
        <v>3013</v>
      </c>
      <c r="C316" t="s">
        <v>18868</v>
      </c>
      <c r="D316" s="24">
        <v>44883</v>
      </c>
      <c r="E316" s="24" t="s">
        <v>13565</v>
      </c>
      <c r="F316" s="24" t="s">
        <v>18869</v>
      </c>
      <c r="G316" s="24" t="s">
        <v>13808</v>
      </c>
      <c r="H316" s="24"/>
      <c r="I316" s="24" t="s">
        <v>13809</v>
      </c>
      <c r="J316" s="24"/>
      <c r="K316" s="24" t="s">
        <v>13808</v>
      </c>
      <c r="L316" s="24"/>
      <c r="M316" s="24" t="s">
        <v>13975</v>
      </c>
      <c r="N316" s="24" t="s">
        <v>13808</v>
      </c>
      <c r="O316" s="24"/>
      <c r="P316" s="24" t="s">
        <v>13808</v>
      </c>
      <c r="Q316" s="24"/>
      <c r="R316" s="24" t="s">
        <v>13818</v>
      </c>
      <c r="S316" s="24"/>
      <c r="T316" t="s">
        <v>15346</v>
      </c>
      <c r="U316" t="s">
        <v>13808</v>
      </c>
      <c r="W316" t="s">
        <v>13808</v>
      </c>
      <c r="X316" t="s">
        <v>18870</v>
      </c>
      <c r="Y316" t="s">
        <v>13809</v>
      </c>
      <c r="AA316" t="s">
        <v>18871</v>
      </c>
      <c r="AB316" t="s">
        <v>15348</v>
      </c>
      <c r="AC316" t="s">
        <v>13809</v>
      </c>
      <c r="AH316" t="s">
        <v>13851</v>
      </c>
      <c r="AI316" t="s">
        <v>13808</v>
      </c>
      <c r="AN316" t="s">
        <v>18872</v>
      </c>
      <c r="AO316" t="s">
        <v>13808</v>
      </c>
      <c r="AT316" t="s">
        <v>18873</v>
      </c>
      <c r="AU316" t="s">
        <v>13808</v>
      </c>
      <c r="AZ316" t="s">
        <v>18874</v>
      </c>
      <c r="BA316" t="s">
        <v>13808</v>
      </c>
      <c r="BF316" t="s">
        <v>18875</v>
      </c>
      <c r="BG316" t="s">
        <v>13808</v>
      </c>
      <c r="BL316" t="s">
        <v>13735</v>
      </c>
      <c r="BM316" t="s">
        <v>13809</v>
      </c>
      <c r="BR316" t="s">
        <v>18496</v>
      </c>
      <c r="BS316" t="s">
        <v>13824</v>
      </c>
      <c r="BT316" t="s">
        <v>13808</v>
      </c>
      <c r="BU316" t="s">
        <v>18876</v>
      </c>
      <c r="BY316" t="s">
        <v>13860</v>
      </c>
      <c r="BZ316" t="s">
        <v>13808</v>
      </c>
      <c r="CA316" t="s">
        <v>17952</v>
      </c>
      <c r="CE316" t="s">
        <v>13828</v>
      </c>
      <c r="CF316" t="s">
        <v>13808</v>
      </c>
      <c r="CK316" t="s">
        <v>13760</v>
      </c>
      <c r="CL316" t="s">
        <v>13809</v>
      </c>
      <c r="CQ316" t="s">
        <v>13766</v>
      </c>
      <c r="CR316" t="s">
        <v>13809</v>
      </c>
      <c r="CT316" t="s">
        <v>14781</v>
      </c>
      <c r="CU316" t="s">
        <v>14110</v>
      </c>
      <c r="CV316" t="s">
        <v>13808</v>
      </c>
      <c r="CX316" t="s">
        <v>18877</v>
      </c>
      <c r="CY316" t="s">
        <v>13818</v>
      </c>
      <c r="CZ316" t="s">
        <v>18878</v>
      </c>
      <c r="DA316" t="s">
        <v>18879</v>
      </c>
      <c r="DB316" t="s">
        <v>13808</v>
      </c>
      <c r="DZ316" t="s">
        <v>18880</v>
      </c>
      <c r="EA316" t="s">
        <v>18881</v>
      </c>
      <c r="EC316">
        <v>44945</v>
      </c>
      <c r="ED316" t="s">
        <v>17062</v>
      </c>
      <c r="EE316" t="s">
        <v>7795</v>
      </c>
    </row>
    <row r="317" spans="1:135">
      <c r="A317" t="s">
        <v>2385</v>
      </c>
      <c r="B317" t="s">
        <v>2314</v>
      </c>
      <c r="C317" t="s">
        <v>18882</v>
      </c>
      <c r="D317" s="24">
        <v>43390</v>
      </c>
      <c r="E317" s="24" t="s">
        <v>13557</v>
      </c>
      <c r="F317" s="24" t="s">
        <v>18883</v>
      </c>
      <c r="G317" s="24" t="s">
        <v>13808</v>
      </c>
      <c r="H317" s="24"/>
      <c r="I317" s="24" t="s">
        <v>13809</v>
      </c>
      <c r="J317" s="24"/>
      <c r="K317" s="24" t="s">
        <v>13808</v>
      </c>
      <c r="L317" s="24"/>
      <c r="M317" s="24" t="s">
        <v>18884</v>
      </c>
      <c r="N317" s="24" t="s">
        <v>13808</v>
      </c>
      <c r="O317" s="24"/>
      <c r="P317" s="24" t="s">
        <v>13808</v>
      </c>
      <c r="Q317" s="24"/>
      <c r="R317" s="24" t="s">
        <v>13808</v>
      </c>
      <c r="S317" s="24"/>
      <c r="T317" t="s">
        <v>18885</v>
      </c>
      <c r="U317" t="s">
        <v>13809</v>
      </c>
      <c r="W317" t="s">
        <v>13808</v>
      </c>
      <c r="X317" t="s">
        <v>18886</v>
      </c>
      <c r="Y317" t="s">
        <v>13809</v>
      </c>
      <c r="AA317" t="s">
        <v>15186</v>
      </c>
      <c r="AB317" t="s">
        <v>18887</v>
      </c>
      <c r="AC317" t="s">
        <v>13808</v>
      </c>
      <c r="AH317" t="s">
        <v>13909</v>
      </c>
      <c r="AI317" t="s">
        <v>13808</v>
      </c>
      <c r="AO317" t="s">
        <v>13809</v>
      </c>
      <c r="AT317" t="s">
        <v>17041</v>
      </c>
      <c r="AU317" t="s">
        <v>13808</v>
      </c>
      <c r="AZ317" t="s">
        <v>18888</v>
      </c>
      <c r="BA317" t="s">
        <v>13808</v>
      </c>
      <c r="BF317" t="s">
        <v>18382</v>
      </c>
      <c r="BG317" t="s">
        <v>13808</v>
      </c>
      <c r="BL317" t="s">
        <v>18889</v>
      </c>
      <c r="BM317" t="s">
        <v>13808</v>
      </c>
      <c r="BR317" t="s">
        <v>18890</v>
      </c>
      <c r="BS317" t="s">
        <v>13885</v>
      </c>
      <c r="BT317" t="s">
        <v>13808</v>
      </c>
      <c r="BU317" t="s">
        <v>18891</v>
      </c>
      <c r="BY317" t="s">
        <v>13887</v>
      </c>
      <c r="BZ317" t="s">
        <v>13808</v>
      </c>
      <c r="CA317" t="s">
        <v>13937</v>
      </c>
      <c r="CE317" t="s">
        <v>15138</v>
      </c>
      <c r="CF317" t="s">
        <v>13808</v>
      </c>
      <c r="CL317" t="s">
        <v>13809</v>
      </c>
      <c r="CR317" t="s">
        <v>13809</v>
      </c>
      <c r="CT317" t="s">
        <v>18892</v>
      </c>
      <c r="CU317" t="s">
        <v>18893</v>
      </c>
      <c r="CV317" t="s">
        <v>13808</v>
      </c>
      <c r="CX317" t="s">
        <v>16942</v>
      </c>
      <c r="CY317" t="s">
        <v>13818</v>
      </c>
      <c r="DA317" t="s">
        <v>18894</v>
      </c>
      <c r="DB317" t="s">
        <v>13808</v>
      </c>
      <c r="DD317" t="s">
        <v>18895</v>
      </c>
      <c r="DE317" t="s">
        <v>13818</v>
      </c>
      <c r="DG317" t="s">
        <v>18896</v>
      </c>
      <c r="DH317" t="s">
        <v>13808</v>
      </c>
      <c r="DJ317" t="s">
        <v>18897</v>
      </c>
      <c r="DK317" t="s">
        <v>13818</v>
      </c>
      <c r="DZ317" t="s">
        <v>15812</v>
      </c>
      <c r="EA317" t="s">
        <v>14627</v>
      </c>
      <c r="EC317">
        <v>43480</v>
      </c>
      <c r="ED317" t="s">
        <v>13903</v>
      </c>
      <c r="EE317" t="s">
        <v>7069</v>
      </c>
    </row>
    <row r="318" spans="1:135">
      <c r="A318" t="s">
        <v>7662</v>
      </c>
      <c r="B318" t="s">
        <v>2926</v>
      </c>
      <c r="C318" t="s">
        <v>18898</v>
      </c>
      <c r="D318" s="24">
        <v>45069</v>
      </c>
      <c r="E318" s="24" t="s">
        <v>13558</v>
      </c>
      <c r="F318" s="24" t="s">
        <v>18899</v>
      </c>
      <c r="G318" s="24" t="s">
        <v>13808</v>
      </c>
      <c r="H318" s="24"/>
      <c r="I318" s="24" t="s">
        <v>13809</v>
      </c>
      <c r="J318" s="24"/>
      <c r="K318" s="24" t="s">
        <v>13809</v>
      </c>
      <c r="L318" s="24"/>
      <c r="M318" s="24" t="s">
        <v>14136</v>
      </c>
      <c r="N318" s="24" t="s">
        <v>13808</v>
      </c>
      <c r="O318" s="24"/>
      <c r="P318" s="24" t="s">
        <v>13808</v>
      </c>
      <c r="Q318" s="24"/>
      <c r="R318" s="24" t="s">
        <v>13808</v>
      </c>
      <c r="S318" s="24"/>
      <c r="T318" t="s">
        <v>18900</v>
      </c>
      <c r="U318" t="s">
        <v>13809</v>
      </c>
      <c r="W318" t="s">
        <v>13809</v>
      </c>
      <c r="Y318" t="s">
        <v>13809</v>
      </c>
      <c r="AA318" t="s">
        <v>18901</v>
      </c>
      <c r="AB318" t="s">
        <v>18902</v>
      </c>
      <c r="AC318" t="s">
        <v>13818</v>
      </c>
      <c r="AD318" t="s">
        <v>13819</v>
      </c>
      <c r="AH318" t="s">
        <v>18903</v>
      </c>
      <c r="AI318" t="s">
        <v>13808</v>
      </c>
      <c r="AJ318" t="s">
        <v>18904</v>
      </c>
      <c r="AK318" t="s">
        <v>18905</v>
      </c>
      <c r="AL318" t="s">
        <v>13818</v>
      </c>
      <c r="AM318" t="s">
        <v>13819</v>
      </c>
      <c r="AN318" t="s">
        <v>18906</v>
      </c>
      <c r="AO318" t="s">
        <v>13808</v>
      </c>
      <c r="AQ318" t="s">
        <v>18907</v>
      </c>
      <c r="AR318" t="s">
        <v>13818</v>
      </c>
      <c r="AS318" t="s">
        <v>13819</v>
      </c>
      <c r="AT318" t="s">
        <v>14100</v>
      </c>
      <c r="AU318" t="s">
        <v>13808</v>
      </c>
      <c r="AZ318" t="s">
        <v>16451</v>
      </c>
      <c r="BA318" t="s">
        <v>13808</v>
      </c>
      <c r="BF318" t="s">
        <v>18212</v>
      </c>
      <c r="BG318" t="s">
        <v>13808</v>
      </c>
      <c r="BL318" t="s">
        <v>15986</v>
      </c>
      <c r="BM318" t="s">
        <v>13818</v>
      </c>
      <c r="BN318" t="s">
        <v>13819</v>
      </c>
      <c r="BR318" t="s">
        <v>18908</v>
      </c>
      <c r="BS318" t="s">
        <v>14779</v>
      </c>
      <c r="BT318" t="s">
        <v>13808</v>
      </c>
      <c r="BU318" t="s">
        <v>15774</v>
      </c>
      <c r="BY318" t="s">
        <v>18909</v>
      </c>
      <c r="BZ318" t="s">
        <v>13818</v>
      </c>
      <c r="CA318" t="s">
        <v>14780</v>
      </c>
      <c r="CE318" t="s">
        <v>18910</v>
      </c>
      <c r="CF318" t="s">
        <v>13808</v>
      </c>
      <c r="CK318" t="s">
        <v>13760</v>
      </c>
      <c r="CL318" t="s">
        <v>13809</v>
      </c>
      <c r="CQ318" t="s">
        <v>13766</v>
      </c>
      <c r="CR318" t="s">
        <v>13809</v>
      </c>
      <c r="CT318" t="s">
        <v>14781</v>
      </c>
      <c r="CU318" t="s">
        <v>18911</v>
      </c>
      <c r="CV318" t="s">
        <v>13808</v>
      </c>
      <c r="CW318" t="s">
        <v>13819</v>
      </c>
      <c r="CX318" t="s">
        <v>18912</v>
      </c>
      <c r="CY318" t="s">
        <v>13818</v>
      </c>
      <c r="DA318" t="s">
        <v>18913</v>
      </c>
      <c r="DB318" t="s">
        <v>13808</v>
      </c>
      <c r="DC318" t="s">
        <v>13819</v>
      </c>
      <c r="DD318" t="s">
        <v>18914</v>
      </c>
      <c r="DE318" t="s">
        <v>13818</v>
      </c>
      <c r="DG318" t="s">
        <v>18915</v>
      </c>
      <c r="DH318" t="s">
        <v>13818</v>
      </c>
      <c r="DM318" t="s">
        <v>18916</v>
      </c>
      <c r="DN318" t="s">
        <v>13818</v>
      </c>
      <c r="DO318" t="s">
        <v>18917</v>
      </c>
      <c r="DY318" t="s">
        <v>18918</v>
      </c>
      <c r="DZ318" t="s">
        <v>14406</v>
      </c>
      <c r="EA318" t="s">
        <v>14118</v>
      </c>
      <c r="EC318">
        <v>45084</v>
      </c>
      <c r="ED318" t="s">
        <v>13843</v>
      </c>
      <c r="EE318" t="s">
        <v>7666</v>
      </c>
    </row>
    <row r="319" spans="1:135">
      <c r="A319" t="s">
        <v>2775</v>
      </c>
      <c r="B319" t="s">
        <v>2693</v>
      </c>
      <c r="C319" t="s">
        <v>18919</v>
      </c>
      <c r="D319" s="24">
        <v>44491</v>
      </c>
      <c r="E319" s="24" t="s">
        <v>13560</v>
      </c>
      <c r="F319" s="24" t="s">
        <v>18920</v>
      </c>
      <c r="G319" s="24" t="s">
        <v>13808</v>
      </c>
      <c r="H319" s="24"/>
      <c r="I319" s="24" t="s">
        <v>13809</v>
      </c>
      <c r="J319" s="24"/>
      <c r="K319" s="24" t="s">
        <v>13808</v>
      </c>
      <c r="L319" s="24"/>
      <c r="M319" s="24" t="s">
        <v>15021</v>
      </c>
      <c r="N319" s="24" t="s">
        <v>13808</v>
      </c>
      <c r="O319" s="24"/>
      <c r="P319" s="24" t="s">
        <v>13808</v>
      </c>
      <c r="Q319" s="24"/>
      <c r="R319" s="24" t="s">
        <v>13808</v>
      </c>
      <c r="S319" s="24"/>
      <c r="T319" t="s">
        <v>14450</v>
      </c>
      <c r="U319" t="s">
        <v>13809</v>
      </c>
      <c r="W319" t="s">
        <v>13809</v>
      </c>
      <c r="Y319" t="s">
        <v>13809</v>
      </c>
      <c r="AA319" t="s">
        <v>18921</v>
      </c>
      <c r="AB319" t="s">
        <v>14705</v>
      </c>
      <c r="AC319" t="s">
        <v>13818</v>
      </c>
      <c r="AD319" t="s">
        <v>13819</v>
      </c>
      <c r="AH319" t="s">
        <v>13887</v>
      </c>
      <c r="AI319" t="s">
        <v>13808</v>
      </c>
      <c r="AK319" t="s">
        <v>15309</v>
      </c>
      <c r="AL319" t="s">
        <v>13818</v>
      </c>
      <c r="AM319" t="s">
        <v>14309</v>
      </c>
      <c r="AN319" t="s">
        <v>14816</v>
      </c>
      <c r="AO319" t="s">
        <v>13818</v>
      </c>
      <c r="AP319" t="s">
        <v>14309</v>
      </c>
      <c r="AT319" t="s">
        <v>17877</v>
      </c>
      <c r="AU319" t="s">
        <v>13818</v>
      </c>
      <c r="AV319" t="s">
        <v>14309</v>
      </c>
      <c r="AZ319" t="s">
        <v>14170</v>
      </c>
      <c r="BA319" t="s">
        <v>13808</v>
      </c>
      <c r="BC319" t="s">
        <v>18922</v>
      </c>
      <c r="BD319" t="s">
        <v>13818</v>
      </c>
      <c r="BE319" t="s">
        <v>14309</v>
      </c>
      <c r="BF319" t="s">
        <v>16078</v>
      </c>
      <c r="BG319" t="s">
        <v>13808</v>
      </c>
      <c r="BL319" t="s">
        <v>18382</v>
      </c>
      <c r="BM319" t="s">
        <v>13818</v>
      </c>
      <c r="BN319" t="s">
        <v>14309</v>
      </c>
      <c r="BR319" t="s">
        <v>18923</v>
      </c>
      <c r="BS319" t="s">
        <v>13887</v>
      </c>
      <c r="BT319" t="s">
        <v>13808</v>
      </c>
      <c r="BU319" t="s">
        <v>15304</v>
      </c>
      <c r="BY319" t="s">
        <v>13887</v>
      </c>
      <c r="BZ319" t="s">
        <v>13808</v>
      </c>
      <c r="CA319" t="s">
        <v>18268</v>
      </c>
      <c r="CE319" t="s">
        <v>13887</v>
      </c>
      <c r="CF319" t="s">
        <v>13808</v>
      </c>
      <c r="CG319" t="s">
        <v>17630</v>
      </c>
      <c r="CL319" t="s">
        <v>13809</v>
      </c>
      <c r="CR319" t="s">
        <v>13809</v>
      </c>
      <c r="CT319" t="s">
        <v>18924</v>
      </c>
      <c r="CU319" t="s">
        <v>14490</v>
      </c>
      <c r="CV319" t="s">
        <v>13808</v>
      </c>
      <c r="CX319" t="s">
        <v>14004</v>
      </c>
      <c r="DA319" t="s">
        <v>14059</v>
      </c>
      <c r="DB319" t="s">
        <v>13808</v>
      </c>
      <c r="DE319" t="s">
        <v>14004</v>
      </c>
      <c r="DF319" t="s">
        <v>13818</v>
      </c>
      <c r="DG319" t="s">
        <v>18925</v>
      </c>
      <c r="DH319" t="s">
        <v>13808</v>
      </c>
      <c r="DJ319" t="s">
        <v>14004</v>
      </c>
      <c r="DK319" t="s">
        <v>13818</v>
      </c>
      <c r="DM319" t="s">
        <v>14423</v>
      </c>
      <c r="DN319" t="s">
        <v>13808</v>
      </c>
      <c r="DY319" t="s">
        <v>14460</v>
      </c>
      <c r="DZ319" t="s">
        <v>13970</v>
      </c>
      <c r="EA319" t="s">
        <v>14461</v>
      </c>
      <c r="EC319">
        <v>44509</v>
      </c>
      <c r="EE319" t="s">
        <v>7426</v>
      </c>
    </row>
    <row r="320" spans="1:135">
      <c r="A320" t="s">
        <v>2779</v>
      </c>
      <c r="B320" t="s">
        <v>2693</v>
      </c>
      <c r="C320" t="s">
        <v>18926</v>
      </c>
      <c r="D320" s="24">
        <v>44699</v>
      </c>
      <c r="E320" s="24" t="s">
        <v>13563</v>
      </c>
      <c r="F320" s="24" t="s">
        <v>18927</v>
      </c>
      <c r="G320" s="24" t="s">
        <v>13808</v>
      </c>
      <c r="H320" s="24"/>
      <c r="I320" s="24" t="s">
        <v>13809</v>
      </c>
      <c r="J320" s="24"/>
      <c r="K320" s="24" t="s">
        <v>13808</v>
      </c>
      <c r="L320" s="24"/>
      <c r="M320" s="24" t="s">
        <v>18640</v>
      </c>
      <c r="N320" s="24" t="s">
        <v>13808</v>
      </c>
      <c r="O320" s="24"/>
      <c r="P320" s="24" t="s">
        <v>13808</v>
      </c>
      <c r="Q320" s="24"/>
      <c r="R320" s="24" t="s">
        <v>13808</v>
      </c>
      <c r="S320" s="24" t="s">
        <v>18928</v>
      </c>
      <c r="T320" t="s">
        <v>14071</v>
      </c>
      <c r="U320" t="s">
        <v>13809</v>
      </c>
      <c r="W320" t="s">
        <v>13809</v>
      </c>
      <c r="Y320" t="s">
        <v>13809</v>
      </c>
      <c r="AA320" t="s">
        <v>14770</v>
      </c>
      <c r="AB320" t="s">
        <v>18929</v>
      </c>
      <c r="AC320" t="s">
        <v>13818</v>
      </c>
      <c r="AD320" t="s">
        <v>14309</v>
      </c>
      <c r="AH320" t="s">
        <v>18520</v>
      </c>
      <c r="AI320" t="s">
        <v>13818</v>
      </c>
      <c r="AJ320" t="s">
        <v>14309</v>
      </c>
      <c r="AN320" t="s">
        <v>18930</v>
      </c>
      <c r="AO320" t="s">
        <v>13818</v>
      </c>
      <c r="AP320" t="s">
        <v>14309</v>
      </c>
      <c r="AT320" t="s">
        <v>18931</v>
      </c>
      <c r="AU320" t="s">
        <v>13818</v>
      </c>
      <c r="AV320" t="s">
        <v>14309</v>
      </c>
      <c r="AZ320" t="s">
        <v>18932</v>
      </c>
      <c r="BA320" t="s">
        <v>13818</v>
      </c>
      <c r="BB320" t="s">
        <v>14309</v>
      </c>
      <c r="BF320" t="s">
        <v>18244</v>
      </c>
      <c r="BG320" t="s">
        <v>13818</v>
      </c>
      <c r="BH320" t="s">
        <v>14309</v>
      </c>
      <c r="BL320" t="s">
        <v>18933</v>
      </c>
      <c r="BM320" t="s">
        <v>13818</v>
      </c>
      <c r="BN320" t="s">
        <v>14309</v>
      </c>
      <c r="BR320" t="s">
        <v>18934</v>
      </c>
      <c r="BS320" t="s">
        <v>13824</v>
      </c>
      <c r="BT320" t="s">
        <v>13818</v>
      </c>
      <c r="BU320" t="s">
        <v>18935</v>
      </c>
      <c r="BY320" t="s">
        <v>13860</v>
      </c>
      <c r="BZ320" t="s">
        <v>13808</v>
      </c>
      <c r="CA320" t="s">
        <v>13937</v>
      </c>
      <c r="CE320" t="s">
        <v>15291</v>
      </c>
      <c r="CF320" t="s">
        <v>13818</v>
      </c>
      <c r="CG320" t="s">
        <v>14309</v>
      </c>
      <c r="CK320" t="s">
        <v>14581</v>
      </c>
      <c r="CL320" t="s">
        <v>13808</v>
      </c>
      <c r="CQ320" t="s">
        <v>13766</v>
      </c>
      <c r="CR320" t="s">
        <v>13809</v>
      </c>
      <c r="CT320" t="s">
        <v>18936</v>
      </c>
      <c r="CU320" t="s">
        <v>14960</v>
      </c>
      <c r="CV320" t="s">
        <v>13808</v>
      </c>
      <c r="CX320" t="s">
        <v>18937</v>
      </c>
      <c r="CY320" t="s">
        <v>13818</v>
      </c>
      <c r="DA320" t="s">
        <v>15063</v>
      </c>
      <c r="DB320" t="s">
        <v>13818</v>
      </c>
      <c r="DG320" t="s">
        <v>14240</v>
      </c>
      <c r="DH320" t="s">
        <v>13818</v>
      </c>
      <c r="DY320" t="s">
        <v>13840</v>
      </c>
      <c r="DZ320" t="s">
        <v>13841</v>
      </c>
      <c r="EA320" t="s">
        <v>13842</v>
      </c>
      <c r="EC320">
        <v>44700</v>
      </c>
      <c r="ED320" t="s">
        <v>14590</v>
      </c>
      <c r="EE320" t="s">
        <v>7430</v>
      </c>
    </row>
    <row r="321" spans="1:135">
      <c r="A321" t="s">
        <v>2786</v>
      </c>
      <c r="B321" t="s">
        <v>2693</v>
      </c>
      <c r="C321" t="s">
        <v>18938</v>
      </c>
      <c r="D321" s="24">
        <v>44699</v>
      </c>
      <c r="E321" s="24" t="s">
        <v>13555</v>
      </c>
      <c r="F321" s="24" t="s">
        <v>18939</v>
      </c>
      <c r="G321" s="24" t="s">
        <v>13808</v>
      </c>
      <c r="H321" s="24"/>
      <c r="I321" s="24" t="s">
        <v>13809</v>
      </c>
      <c r="J321" s="24"/>
      <c r="K321" s="24" t="s">
        <v>13808</v>
      </c>
      <c r="L321" s="24"/>
      <c r="M321" s="24" t="s">
        <v>18940</v>
      </c>
      <c r="N321" s="24" t="s">
        <v>13808</v>
      </c>
      <c r="O321" s="24"/>
      <c r="P321" s="24" t="s">
        <v>13808</v>
      </c>
      <c r="Q321" s="24"/>
      <c r="R321" s="24" t="s">
        <v>13808</v>
      </c>
      <c r="S321" s="24"/>
      <c r="T321" t="s">
        <v>13907</v>
      </c>
      <c r="U321" t="s">
        <v>13809</v>
      </c>
      <c r="W321" t="s">
        <v>13808</v>
      </c>
      <c r="X321" t="s">
        <v>18941</v>
      </c>
      <c r="Y321" t="s">
        <v>13809</v>
      </c>
      <c r="AA321" t="s">
        <v>14906</v>
      </c>
      <c r="AB321" t="s">
        <v>17335</v>
      </c>
      <c r="AC321" t="s">
        <v>13808</v>
      </c>
      <c r="AH321" t="s">
        <v>13851</v>
      </c>
      <c r="AI321" t="s">
        <v>13808</v>
      </c>
      <c r="AN321" t="s">
        <v>18942</v>
      </c>
      <c r="AO321" t="s">
        <v>13808</v>
      </c>
      <c r="AT321" t="s">
        <v>15245</v>
      </c>
      <c r="AU321" t="s">
        <v>13808</v>
      </c>
      <c r="AZ321" t="s">
        <v>15570</v>
      </c>
      <c r="BA321" t="s">
        <v>13808</v>
      </c>
      <c r="BF321" t="s">
        <v>18943</v>
      </c>
      <c r="BG321" t="s">
        <v>13808</v>
      </c>
      <c r="BL321" t="s">
        <v>13735</v>
      </c>
      <c r="BM321" t="s">
        <v>13809</v>
      </c>
      <c r="BR321" t="s">
        <v>18944</v>
      </c>
      <c r="BS321" t="s">
        <v>14213</v>
      </c>
      <c r="BT321" t="s">
        <v>13808</v>
      </c>
      <c r="BU321" t="s">
        <v>15266</v>
      </c>
      <c r="BY321" t="s">
        <v>13860</v>
      </c>
      <c r="BZ321" t="s">
        <v>13808</v>
      </c>
      <c r="CA321" t="s">
        <v>13937</v>
      </c>
      <c r="CE321" t="s">
        <v>15291</v>
      </c>
      <c r="CF321" t="s">
        <v>13808</v>
      </c>
      <c r="CK321" t="s">
        <v>13760</v>
      </c>
      <c r="CL321" t="s">
        <v>13809</v>
      </c>
      <c r="CQ321" t="s">
        <v>13766</v>
      </c>
      <c r="CR321" t="s">
        <v>13809</v>
      </c>
      <c r="CT321" t="s">
        <v>18945</v>
      </c>
      <c r="CU321" t="s">
        <v>18946</v>
      </c>
      <c r="CV321" t="s">
        <v>13808</v>
      </c>
      <c r="CX321" t="s">
        <v>18947</v>
      </c>
      <c r="CY321" t="s">
        <v>13818</v>
      </c>
      <c r="DA321" t="s">
        <v>15779</v>
      </c>
      <c r="DB321" t="s">
        <v>13808</v>
      </c>
      <c r="DD321" t="s">
        <v>18948</v>
      </c>
      <c r="DE321" t="s">
        <v>13818</v>
      </c>
      <c r="DM321" t="s">
        <v>18949</v>
      </c>
      <c r="DN321" t="s">
        <v>13808</v>
      </c>
      <c r="DP321" t="s">
        <v>18950</v>
      </c>
      <c r="DQ321" t="s">
        <v>13818</v>
      </c>
      <c r="DY321" t="s">
        <v>13840</v>
      </c>
      <c r="DZ321" t="s">
        <v>18951</v>
      </c>
      <c r="EA321" t="s">
        <v>16821</v>
      </c>
      <c r="EC321">
        <v>44700</v>
      </c>
      <c r="ED321" t="s">
        <v>14590</v>
      </c>
      <c r="EE321" t="s">
        <v>7434</v>
      </c>
    </row>
    <row r="322" spans="1:135">
      <c r="A322" t="s">
        <v>2392</v>
      </c>
      <c r="B322" t="s">
        <v>2314</v>
      </c>
      <c r="C322" t="s">
        <v>18952</v>
      </c>
      <c r="D322" s="24">
        <v>44491</v>
      </c>
      <c r="E322" s="24" t="s">
        <v>13558</v>
      </c>
      <c r="F322" s="24" t="s">
        <v>18953</v>
      </c>
      <c r="G322" s="24" t="s">
        <v>13808</v>
      </c>
      <c r="H322" s="24"/>
      <c r="I322" s="24" t="s">
        <v>13808</v>
      </c>
      <c r="J322" s="24" t="s">
        <v>18954</v>
      </c>
      <c r="K322" s="24" t="s">
        <v>13809</v>
      </c>
      <c r="L322" s="24"/>
      <c r="M322" s="24" t="s">
        <v>15021</v>
      </c>
      <c r="N322" s="24" t="s">
        <v>13808</v>
      </c>
      <c r="O322" s="24"/>
      <c r="P322" s="24" t="s">
        <v>13808</v>
      </c>
      <c r="Q322" s="24"/>
      <c r="R322" s="24" t="s">
        <v>13808</v>
      </c>
      <c r="S322" s="24"/>
      <c r="T322" t="s">
        <v>14034</v>
      </c>
      <c r="U322" t="s">
        <v>13809</v>
      </c>
      <c r="W322" t="s">
        <v>13808</v>
      </c>
      <c r="X322" t="s">
        <v>18955</v>
      </c>
      <c r="Y322" t="s">
        <v>13809</v>
      </c>
      <c r="AA322" t="s">
        <v>18956</v>
      </c>
      <c r="AB322" t="s">
        <v>17124</v>
      </c>
      <c r="AC322" t="s">
        <v>13808</v>
      </c>
      <c r="AH322" t="s">
        <v>18957</v>
      </c>
      <c r="AI322" t="s">
        <v>13808</v>
      </c>
      <c r="AO322" t="s">
        <v>13809</v>
      </c>
      <c r="AT322" t="s">
        <v>14056</v>
      </c>
      <c r="AU322" t="s">
        <v>13808</v>
      </c>
      <c r="AZ322" t="s">
        <v>18958</v>
      </c>
      <c r="BA322" t="s">
        <v>13808</v>
      </c>
      <c r="BF322" t="s">
        <v>18959</v>
      </c>
      <c r="BG322" t="s">
        <v>13808</v>
      </c>
      <c r="BM322" t="s">
        <v>18960</v>
      </c>
      <c r="BR322" t="s">
        <v>18961</v>
      </c>
      <c r="BS322" t="s">
        <v>13887</v>
      </c>
      <c r="BT322" t="s">
        <v>13808</v>
      </c>
      <c r="BU322" t="s">
        <v>15304</v>
      </c>
      <c r="BY322" t="s">
        <v>13887</v>
      </c>
      <c r="BZ322" t="s">
        <v>13808</v>
      </c>
      <c r="CA322" t="s">
        <v>18268</v>
      </c>
      <c r="CE322" t="s">
        <v>13887</v>
      </c>
      <c r="CF322" t="s">
        <v>13808</v>
      </c>
      <c r="CL322" t="s">
        <v>13809</v>
      </c>
      <c r="CR322" t="s">
        <v>13809</v>
      </c>
      <c r="CT322" t="s">
        <v>14011</v>
      </c>
      <c r="CU322" t="s">
        <v>13909</v>
      </c>
      <c r="CV322" t="s">
        <v>13818</v>
      </c>
      <c r="DA322" t="s">
        <v>13909</v>
      </c>
      <c r="DB322" t="s">
        <v>13818</v>
      </c>
      <c r="DG322" t="s">
        <v>13909</v>
      </c>
      <c r="DH322" t="s">
        <v>13818</v>
      </c>
      <c r="DY322" t="s">
        <v>14460</v>
      </c>
      <c r="DZ322" t="s">
        <v>13970</v>
      </c>
      <c r="EA322" t="s">
        <v>14461</v>
      </c>
      <c r="EC322">
        <v>44509</v>
      </c>
      <c r="EE322" t="s">
        <v>7080</v>
      </c>
    </row>
    <row r="323" spans="1:135">
      <c r="A323" t="s">
        <v>3078</v>
      </c>
      <c r="B323" t="s">
        <v>3013</v>
      </c>
      <c r="C323" t="s">
        <v>18962</v>
      </c>
      <c r="D323" s="24">
        <v>43426</v>
      </c>
      <c r="E323" s="24" t="s">
        <v>13564</v>
      </c>
      <c r="F323" s="24" t="s">
        <v>18963</v>
      </c>
      <c r="G323" s="24" t="s">
        <v>13808</v>
      </c>
      <c r="H323" s="24"/>
      <c r="I323" s="24" t="s">
        <v>13809</v>
      </c>
      <c r="J323" s="24"/>
      <c r="K323" s="24" t="s">
        <v>13808</v>
      </c>
      <c r="L323" s="24"/>
      <c r="M323" s="24" t="s">
        <v>15805</v>
      </c>
      <c r="N323" s="24" t="s">
        <v>13808</v>
      </c>
      <c r="O323" s="24"/>
      <c r="P323" s="24" t="s">
        <v>13808</v>
      </c>
      <c r="Q323" s="24"/>
      <c r="R323" s="24" t="s">
        <v>13808</v>
      </c>
      <c r="S323" s="24"/>
      <c r="T323" t="s">
        <v>15878</v>
      </c>
      <c r="U323" t="s">
        <v>13809</v>
      </c>
      <c r="W323" t="s">
        <v>13808</v>
      </c>
      <c r="X323" t="s">
        <v>18964</v>
      </c>
      <c r="Y323" t="s">
        <v>13809</v>
      </c>
      <c r="AA323" t="s">
        <v>13928</v>
      </c>
      <c r="AB323" t="s">
        <v>16405</v>
      </c>
      <c r="AC323" t="s">
        <v>13808</v>
      </c>
      <c r="AH323" t="s">
        <v>15188</v>
      </c>
      <c r="AI323" t="s">
        <v>13808</v>
      </c>
      <c r="AN323" t="s">
        <v>15188</v>
      </c>
      <c r="AO323" t="s">
        <v>13808</v>
      </c>
      <c r="AT323" t="s">
        <v>18350</v>
      </c>
      <c r="AU323" t="s">
        <v>13808</v>
      </c>
      <c r="AZ323" t="s">
        <v>18965</v>
      </c>
      <c r="BA323" t="s">
        <v>13808</v>
      </c>
      <c r="BF323" t="s">
        <v>14510</v>
      </c>
      <c r="BG323" t="s">
        <v>13808</v>
      </c>
      <c r="BM323" t="s">
        <v>13809</v>
      </c>
      <c r="BR323" t="s">
        <v>18966</v>
      </c>
      <c r="BS323" t="s">
        <v>13887</v>
      </c>
      <c r="BT323" t="s">
        <v>13808</v>
      </c>
      <c r="BU323" t="s">
        <v>18967</v>
      </c>
      <c r="BY323" t="s">
        <v>13887</v>
      </c>
      <c r="BZ323" t="s">
        <v>13808</v>
      </c>
      <c r="CA323" t="s">
        <v>13937</v>
      </c>
      <c r="CE323" t="s">
        <v>18968</v>
      </c>
      <c r="CF323" t="s">
        <v>13818</v>
      </c>
      <c r="CG323" t="s">
        <v>18969</v>
      </c>
      <c r="CK323" t="s">
        <v>13887</v>
      </c>
      <c r="CL323" t="s">
        <v>13808</v>
      </c>
      <c r="CR323" t="s">
        <v>13809</v>
      </c>
      <c r="CT323" t="s">
        <v>18970</v>
      </c>
      <c r="CU323" t="s">
        <v>18971</v>
      </c>
      <c r="CV323" t="s">
        <v>13808</v>
      </c>
      <c r="CW323" t="s">
        <v>18972</v>
      </c>
      <c r="CX323" t="s">
        <v>18973</v>
      </c>
      <c r="CY323" t="s">
        <v>13818</v>
      </c>
      <c r="DA323" t="s">
        <v>18974</v>
      </c>
      <c r="DB323" t="s">
        <v>13808</v>
      </c>
      <c r="DC323" t="s">
        <v>18972</v>
      </c>
      <c r="DD323" t="s">
        <v>18975</v>
      </c>
      <c r="DE323" t="s">
        <v>13818</v>
      </c>
      <c r="DG323" t="s">
        <v>18976</v>
      </c>
      <c r="DH323" t="s">
        <v>13818</v>
      </c>
      <c r="DI323" t="s">
        <v>18972</v>
      </c>
      <c r="DM323" t="s">
        <v>18977</v>
      </c>
      <c r="DN323" t="s">
        <v>13808</v>
      </c>
      <c r="DO323" t="s">
        <v>18865</v>
      </c>
      <c r="DY323" t="s">
        <v>13900</v>
      </c>
      <c r="DZ323" t="s">
        <v>18978</v>
      </c>
      <c r="EA323" t="s">
        <v>15744</v>
      </c>
      <c r="EC323">
        <v>44260</v>
      </c>
      <c r="ED323" t="s">
        <v>13903</v>
      </c>
      <c r="EE323" t="s">
        <v>7801</v>
      </c>
    </row>
    <row r="324" spans="1:135">
      <c r="A324" t="s">
        <v>2967</v>
      </c>
      <c r="B324" t="s">
        <v>2926</v>
      </c>
      <c r="C324" t="s">
        <v>18979</v>
      </c>
      <c r="D324" s="24">
        <v>43228</v>
      </c>
      <c r="E324" s="24" t="s">
        <v>13559</v>
      </c>
      <c r="F324" s="24" t="s">
        <v>18980</v>
      </c>
      <c r="G324" s="24" t="s">
        <v>13808</v>
      </c>
      <c r="H324" s="24"/>
      <c r="I324" s="24" t="s">
        <v>13809</v>
      </c>
      <c r="J324" s="24"/>
      <c r="K324" s="24" t="s">
        <v>13809</v>
      </c>
      <c r="L324" s="24"/>
      <c r="M324" s="24" t="s">
        <v>13950</v>
      </c>
      <c r="N324" s="24" t="s">
        <v>13808</v>
      </c>
      <c r="O324" s="24"/>
      <c r="P324" s="24" t="s">
        <v>13808</v>
      </c>
      <c r="Q324" s="24"/>
      <c r="R324" s="24" t="s">
        <v>13808</v>
      </c>
      <c r="S324" s="24"/>
      <c r="T324" t="s">
        <v>18981</v>
      </c>
      <c r="U324" t="s">
        <v>13809</v>
      </c>
      <c r="W324" t="s">
        <v>13809</v>
      </c>
      <c r="Y324" t="s">
        <v>13809</v>
      </c>
      <c r="AA324" t="s">
        <v>18982</v>
      </c>
      <c r="AB324" t="s">
        <v>14674</v>
      </c>
      <c r="AC324" t="s">
        <v>13818</v>
      </c>
      <c r="AD324" t="s">
        <v>14309</v>
      </c>
      <c r="AH324" t="s">
        <v>13887</v>
      </c>
      <c r="AI324" t="s">
        <v>13808</v>
      </c>
      <c r="AK324" t="s">
        <v>14004</v>
      </c>
      <c r="AL324" t="s">
        <v>13818</v>
      </c>
      <c r="AM324" t="s">
        <v>14309</v>
      </c>
      <c r="AN324" t="s">
        <v>17084</v>
      </c>
      <c r="AO324" t="s">
        <v>13818</v>
      </c>
      <c r="AP324" t="s">
        <v>14309</v>
      </c>
      <c r="AT324" t="s">
        <v>15898</v>
      </c>
      <c r="AU324" t="s">
        <v>13818</v>
      </c>
      <c r="AV324" t="s">
        <v>14309</v>
      </c>
      <c r="AZ324" t="s">
        <v>18983</v>
      </c>
      <c r="BA324" t="s">
        <v>13808</v>
      </c>
      <c r="BC324" t="s">
        <v>18984</v>
      </c>
      <c r="BD324" t="s">
        <v>13818</v>
      </c>
      <c r="BF324" t="s">
        <v>16368</v>
      </c>
      <c r="BG324" t="s">
        <v>13808</v>
      </c>
      <c r="BM324" t="s">
        <v>13809</v>
      </c>
      <c r="BR324" t="s">
        <v>18985</v>
      </c>
      <c r="BS324" t="s">
        <v>13887</v>
      </c>
      <c r="BT324" t="s">
        <v>13808</v>
      </c>
      <c r="BU324" t="s">
        <v>18986</v>
      </c>
      <c r="BY324" t="s">
        <v>13887</v>
      </c>
      <c r="BZ324" t="s">
        <v>13808</v>
      </c>
      <c r="CA324" t="s">
        <v>13937</v>
      </c>
      <c r="CE324" t="s">
        <v>13887</v>
      </c>
      <c r="CF324" t="s">
        <v>13808</v>
      </c>
      <c r="CL324" t="s">
        <v>13809</v>
      </c>
      <c r="CR324" t="s">
        <v>13809</v>
      </c>
      <c r="CT324" t="s">
        <v>18987</v>
      </c>
      <c r="CU324" t="s">
        <v>13909</v>
      </c>
      <c r="CV324" t="s">
        <v>13818</v>
      </c>
      <c r="DA324" t="s">
        <v>13887</v>
      </c>
      <c r="DB324" t="s">
        <v>13808</v>
      </c>
      <c r="DD324" t="s">
        <v>14004</v>
      </c>
      <c r="DE324" t="s">
        <v>13818</v>
      </c>
      <c r="DG324" t="s">
        <v>13909</v>
      </c>
      <c r="DH324" t="s">
        <v>13818</v>
      </c>
      <c r="DY324" t="s">
        <v>13900</v>
      </c>
      <c r="DZ324" t="s">
        <v>13970</v>
      </c>
      <c r="EA324" t="s">
        <v>15744</v>
      </c>
      <c r="EC324">
        <v>44260</v>
      </c>
      <c r="ED324" t="s">
        <v>13903</v>
      </c>
      <c r="EE324" t="s">
        <v>7670</v>
      </c>
    </row>
    <row r="325" spans="1:135">
      <c r="A325" t="s">
        <v>3085</v>
      </c>
      <c r="B325" t="s">
        <v>3013</v>
      </c>
      <c r="C325" t="s">
        <v>18988</v>
      </c>
      <c r="D325" s="24">
        <v>43637</v>
      </c>
      <c r="E325" s="24" t="s">
        <v>13553</v>
      </c>
      <c r="F325" s="24" t="s">
        <v>18989</v>
      </c>
      <c r="G325" s="24" t="s">
        <v>13808</v>
      </c>
      <c r="H325" s="24" t="s">
        <v>18990</v>
      </c>
      <c r="I325" s="24" t="s">
        <v>13809</v>
      </c>
      <c r="J325" s="24"/>
      <c r="K325" s="24" t="s">
        <v>13808</v>
      </c>
      <c r="L325" s="24"/>
      <c r="M325" s="24" t="s">
        <v>15021</v>
      </c>
      <c r="N325" s="24" t="s">
        <v>13808</v>
      </c>
      <c r="O325" s="24"/>
      <c r="P325" s="24" t="s">
        <v>13808</v>
      </c>
      <c r="Q325" s="24"/>
      <c r="R325" s="24" t="s">
        <v>13808</v>
      </c>
      <c r="S325" s="24"/>
      <c r="T325" t="s">
        <v>14034</v>
      </c>
      <c r="U325" t="s">
        <v>13809</v>
      </c>
      <c r="W325" t="s">
        <v>13808</v>
      </c>
      <c r="X325" t="s">
        <v>18991</v>
      </c>
      <c r="Y325" t="s">
        <v>13808</v>
      </c>
      <c r="AA325" t="s">
        <v>13877</v>
      </c>
      <c r="AB325" t="s">
        <v>18992</v>
      </c>
      <c r="AC325" t="s">
        <v>13808</v>
      </c>
      <c r="AH325" t="s">
        <v>13909</v>
      </c>
      <c r="AI325" t="s">
        <v>13808</v>
      </c>
      <c r="AO325" t="s">
        <v>13809</v>
      </c>
      <c r="AT325" t="s">
        <v>13878</v>
      </c>
      <c r="AU325" t="s">
        <v>13808</v>
      </c>
      <c r="AZ325" t="s">
        <v>18993</v>
      </c>
      <c r="BA325" t="s">
        <v>13808</v>
      </c>
      <c r="BF325" t="s">
        <v>14007</v>
      </c>
      <c r="BG325" t="s">
        <v>13808</v>
      </c>
      <c r="BM325" t="s">
        <v>13809</v>
      </c>
      <c r="BR325" t="s">
        <v>18994</v>
      </c>
      <c r="BS325" t="s">
        <v>13885</v>
      </c>
      <c r="BT325" t="s">
        <v>13808</v>
      </c>
      <c r="BU325" t="s">
        <v>18995</v>
      </c>
      <c r="BY325" t="s">
        <v>13887</v>
      </c>
      <c r="BZ325" t="s">
        <v>13808</v>
      </c>
      <c r="CA325" t="s">
        <v>13888</v>
      </c>
      <c r="CE325" t="s">
        <v>13887</v>
      </c>
      <c r="CF325" t="s">
        <v>13808</v>
      </c>
      <c r="CL325" t="s">
        <v>13809</v>
      </c>
      <c r="CR325" t="s">
        <v>13809</v>
      </c>
      <c r="CT325" t="s">
        <v>16202</v>
      </c>
      <c r="CU325" t="s">
        <v>18996</v>
      </c>
      <c r="CV325" t="s">
        <v>13808</v>
      </c>
      <c r="DA325" t="s">
        <v>18997</v>
      </c>
      <c r="DB325" t="s">
        <v>13808</v>
      </c>
      <c r="DH325" t="s">
        <v>13809</v>
      </c>
      <c r="DM325" t="s">
        <v>18998</v>
      </c>
      <c r="DN325" t="s">
        <v>13808</v>
      </c>
      <c r="DO325" t="s">
        <v>18999</v>
      </c>
      <c r="DP325" t="s">
        <v>19000</v>
      </c>
      <c r="DQ325" t="s">
        <v>13808</v>
      </c>
      <c r="DR325" t="s">
        <v>19001</v>
      </c>
      <c r="DY325" t="s">
        <v>13900</v>
      </c>
      <c r="DZ325" t="s">
        <v>19002</v>
      </c>
      <c r="EA325" t="s">
        <v>14500</v>
      </c>
      <c r="EC325">
        <v>44260</v>
      </c>
      <c r="ED325" t="s">
        <v>14501</v>
      </c>
      <c r="EE325" t="s">
        <v>7805</v>
      </c>
    </row>
    <row r="326" spans="1:135">
      <c r="A326" t="s">
        <v>3093</v>
      </c>
      <c r="B326" t="s">
        <v>3013</v>
      </c>
      <c r="C326" t="s">
        <v>19003</v>
      </c>
      <c r="D326" s="24">
        <v>43655</v>
      </c>
      <c r="E326" s="24" t="s">
        <v>13553</v>
      </c>
      <c r="F326" s="24" t="s">
        <v>19004</v>
      </c>
      <c r="G326" s="24" t="s">
        <v>13808</v>
      </c>
      <c r="H326" s="24"/>
      <c r="I326" s="24" t="s">
        <v>13809</v>
      </c>
      <c r="J326" s="24"/>
      <c r="K326" s="24" t="s">
        <v>13808</v>
      </c>
      <c r="L326" s="24"/>
      <c r="M326" s="24" t="s">
        <v>19005</v>
      </c>
      <c r="N326" s="24" t="s">
        <v>13808</v>
      </c>
      <c r="O326" s="24"/>
      <c r="P326" s="24" t="s">
        <v>13808</v>
      </c>
      <c r="Q326" s="24"/>
      <c r="R326" s="24" t="s">
        <v>13808</v>
      </c>
      <c r="S326" s="24"/>
      <c r="T326" t="s">
        <v>16194</v>
      </c>
      <c r="U326" t="s">
        <v>13809</v>
      </c>
      <c r="W326" t="s">
        <v>13808</v>
      </c>
      <c r="X326" t="s">
        <v>19006</v>
      </c>
      <c r="Y326" t="s">
        <v>13809</v>
      </c>
      <c r="AA326" t="s">
        <v>13877</v>
      </c>
      <c r="AB326" t="s">
        <v>14851</v>
      </c>
      <c r="AC326" t="s">
        <v>13808</v>
      </c>
      <c r="AH326" t="s">
        <v>13909</v>
      </c>
      <c r="AI326" t="s">
        <v>13808</v>
      </c>
      <c r="AO326" t="s">
        <v>13809</v>
      </c>
      <c r="AT326" t="s">
        <v>15883</v>
      </c>
      <c r="AU326" t="s">
        <v>13808</v>
      </c>
      <c r="AZ326" t="s">
        <v>15025</v>
      </c>
      <c r="BA326" t="s">
        <v>13808</v>
      </c>
      <c r="BF326" t="s">
        <v>16581</v>
      </c>
      <c r="BG326" t="s">
        <v>13808</v>
      </c>
      <c r="BM326" t="s">
        <v>13809</v>
      </c>
      <c r="BR326" t="s">
        <v>19007</v>
      </c>
      <c r="BT326" t="s">
        <v>13809</v>
      </c>
      <c r="BY326" t="s">
        <v>13887</v>
      </c>
      <c r="BZ326" t="s">
        <v>13808</v>
      </c>
      <c r="CA326" t="s">
        <v>14026</v>
      </c>
      <c r="CE326" t="s">
        <v>13887</v>
      </c>
      <c r="CF326" t="s">
        <v>13808</v>
      </c>
      <c r="CG326" t="s">
        <v>14042</v>
      </c>
      <c r="CL326" t="s">
        <v>13809</v>
      </c>
      <c r="CR326" t="s">
        <v>13809</v>
      </c>
      <c r="CT326" t="s">
        <v>19008</v>
      </c>
      <c r="CU326" t="s">
        <v>19009</v>
      </c>
      <c r="CV326" t="s">
        <v>13808</v>
      </c>
      <c r="DA326" t="s">
        <v>19010</v>
      </c>
      <c r="DB326" t="s">
        <v>13808</v>
      </c>
      <c r="DH326" t="s">
        <v>13809</v>
      </c>
      <c r="DM326" t="s">
        <v>19011</v>
      </c>
      <c r="DN326" t="s">
        <v>13808</v>
      </c>
      <c r="DO326" t="s">
        <v>19012</v>
      </c>
      <c r="DY326" t="s">
        <v>13900</v>
      </c>
      <c r="DZ326" t="s">
        <v>19013</v>
      </c>
      <c r="EA326" t="s">
        <v>14500</v>
      </c>
      <c r="EC326">
        <v>43657</v>
      </c>
      <c r="ED326" t="s">
        <v>14501</v>
      </c>
      <c r="EE326" t="s">
        <v>7811</v>
      </c>
    </row>
    <row r="327" spans="1:135">
      <c r="A327" t="s">
        <v>2790</v>
      </c>
      <c r="B327" t="s">
        <v>2693</v>
      </c>
      <c r="C327" t="s">
        <v>19014</v>
      </c>
      <c r="D327" s="24">
        <v>43405</v>
      </c>
      <c r="E327" s="24" t="s">
        <v>13565</v>
      </c>
      <c r="F327" s="24" t="s">
        <v>19015</v>
      </c>
      <c r="G327" s="24" t="s">
        <v>13808</v>
      </c>
      <c r="H327" s="24"/>
      <c r="I327" s="24" t="s">
        <v>13809</v>
      </c>
      <c r="J327" s="24"/>
      <c r="K327" s="24" t="s">
        <v>13808</v>
      </c>
      <c r="L327" s="24"/>
      <c r="M327" s="24" t="s">
        <v>19016</v>
      </c>
      <c r="N327" s="24" t="s">
        <v>13808</v>
      </c>
      <c r="O327" s="24"/>
      <c r="P327" s="24" t="s">
        <v>13808</v>
      </c>
      <c r="Q327" s="24"/>
      <c r="R327" s="24" t="s">
        <v>13808</v>
      </c>
      <c r="S327" s="24"/>
      <c r="T327" t="s">
        <v>19017</v>
      </c>
      <c r="U327" t="s">
        <v>13809</v>
      </c>
      <c r="W327" t="s">
        <v>13818</v>
      </c>
      <c r="X327" t="s">
        <v>19018</v>
      </c>
      <c r="Y327" t="s">
        <v>13809</v>
      </c>
      <c r="AA327" t="s">
        <v>19019</v>
      </c>
      <c r="AC327" t="s">
        <v>13809</v>
      </c>
      <c r="AH327" t="s">
        <v>13909</v>
      </c>
      <c r="AI327" t="s">
        <v>13808</v>
      </c>
      <c r="AK327" t="s">
        <v>15309</v>
      </c>
      <c r="AL327" t="s">
        <v>13818</v>
      </c>
      <c r="AN327" t="s">
        <v>19020</v>
      </c>
      <c r="AO327" t="s">
        <v>13818</v>
      </c>
      <c r="AT327" t="s">
        <v>13958</v>
      </c>
      <c r="AU327" t="s">
        <v>13818</v>
      </c>
      <c r="AZ327" t="s">
        <v>13883</v>
      </c>
      <c r="BA327" t="s">
        <v>13818</v>
      </c>
      <c r="BF327" t="s">
        <v>16048</v>
      </c>
      <c r="BG327" t="s">
        <v>13818</v>
      </c>
      <c r="BL327" t="s">
        <v>19021</v>
      </c>
      <c r="BM327" t="s">
        <v>13818</v>
      </c>
      <c r="BR327" t="s">
        <v>19022</v>
      </c>
      <c r="BS327" t="s">
        <v>13887</v>
      </c>
      <c r="BT327" t="s">
        <v>13808</v>
      </c>
      <c r="BU327" t="s">
        <v>19023</v>
      </c>
      <c r="BY327" t="s">
        <v>13887</v>
      </c>
      <c r="BZ327" t="s">
        <v>13808</v>
      </c>
      <c r="CA327" t="s">
        <v>13937</v>
      </c>
      <c r="CE327" t="s">
        <v>13887</v>
      </c>
      <c r="CF327" t="s">
        <v>13818</v>
      </c>
      <c r="CG327" t="s">
        <v>19024</v>
      </c>
      <c r="CL327" t="s">
        <v>13809</v>
      </c>
      <c r="CR327" t="s">
        <v>13809</v>
      </c>
      <c r="CT327" t="s">
        <v>19025</v>
      </c>
      <c r="CU327" t="s">
        <v>16503</v>
      </c>
      <c r="CV327" t="s">
        <v>13808</v>
      </c>
      <c r="CX327" t="s">
        <v>15197</v>
      </c>
      <c r="CY327" t="s">
        <v>13818</v>
      </c>
      <c r="DA327" t="s">
        <v>14197</v>
      </c>
      <c r="DB327" t="s">
        <v>13808</v>
      </c>
      <c r="DD327" t="s">
        <v>19026</v>
      </c>
      <c r="DE327" t="s">
        <v>13818</v>
      </c>
      <c r="DG327" t="s">
        <v>13909</v>
      </c>
      <c r="DH327" t="s">
        <v>13818</v>
      </c>
      <c r="DZ327" t="s">
        <v>15812</v>
      </c>
      <c r="EA327" t="s">
        <v>14201</v>
      </c>
      <c r="EC327">
        <v>43480</v>
      </c>
      <c r="ED327" t="s">
        <v>13903</v>
      </c>
      <c r="EE327" t="s">
        <v>7438</v>
      </c>
    </row>
    <row r="328" spans="1:135">
      <c r="A328" t="s">
        <v>2396</v>
      </c>
      <c r="B328" t="s">
        <v>2314</v>
      </c>
      <c r="C328" t="s">
        <v>19027</v>
      </c>
      <c r="D328" s="24">
        <v>44333</v>
      </c>
      <c r="E328" s="24" t="s">
        <v>13560</v>
      </c>
      <c r="F328" s="24" t="s">
        <v>19028</v>
      </c>
      <c r="G328" s="24" t="s">
        <v>13808</v>
      </c>
      <c r="H328" s="24"/>
      <c r="I328" s="24" t="s">
        <v>13809</v>
      </c>
      <c r="J328" s="24"/>
      <c r="K328" s="24" t="s">
        <v>13809</v>
      </c>
      <c r="L328" s="24"/>
      <c r="M328" s="24" t="s">
        <v>13950</v>
      </c>
      <c r="N328" s="24" t="s">
        <v>13808</v>
      </c>
      <c r="O328" s="24"/>
      <c r="P328" s="24" t="s">
        <v>13808</v>
      </c>
      <c r="Q328" s="24"/>
      <c r="R328" s="24" t="s">
        <v>13808</v>
      </c>
      <c r="S328" s="24"/>
      <c r="T328" t="s">
        <v>14450</v>
      </c>
      <c r="U328" t="s">
        <v>13809</v>
      </c>
      <c r="W328" t="s">
        <v>13809</v>
      </c>
      <c r="Y328" t="s">
        <v>13808</v>
      </c>
      <c r="Z328" t="s">
        <v>19029</v>
      </c>
      <c r="AA328" t="s">
        <v>19030</v>
      </c>
      <c r="AB328" t="s">
        <v>14730</v>
      </c>
      <c r="AC328" t="s">
        <v>13808</v>
      </c>
      <c r="AH328" t="s">
        <v>13887</v>
      </c>
      <c r="AI328" t="s">
        <v>13808</v>
      </c>
      <c r="AK328" t="s">
        <v>15188</v>
      </c>
      <c r="AL328" t="s">
        <v>13818</v>
      </c>
      <c r="AM328" t="s">
        <v>14309</v>
      </c>
      <c r="AO328" t="s">
        <v>13809</v>
      </c>
      <c r="AU328" t="s">
        <v>13809</v>
      </c>
      <c r="AZ328" t="s">
        <v>15008</v>
      </c>
      <c r="BA328" t="s">
        <v>13808</v>
      </c>
      <c r="BB328" t="s">
        <v>14309</v>
      </c>
      <c r="BF328" t="s">
        <v>14596</v>
      </c>
      <c r="BG328" t="s">
        <v>13818</v>
      </c>
      <c r="BH328" t="s">
        <v>14309</v>
      </c>
      <c r="BL328" t="s">
        <v>13809</v>
      </c>
      <c r="BR328" t="s">
        <v>19031</v>
      </c>
      <c r="BT328" t="s">
        <v>13809</v>
      </c>
      <c r="BY328" t="s">
        <v>13887</v>
      </c>
      <c r="BZ328" t="s">
        <v>13808</v>
      </c>
      <c r="CE328" t="s">
        <v>13887</v>
      </c>
      <c r="CF328" t="s">
        <v>13808</v>
      </c>
      <c r="CG328" t="s">
        <v>19032</v>
      </c>
      <c r="CL328" t="s">
        <v>13809</v>
      </c>
      <c r="CR328" t="s">
        <v>13809</v>
      </c>
      <c r="CT328" t="s">
        <v>19033</v>
      </c>
      <c r="CU328" t="s">
        <v>19034</v>
      </c>
      <c r="CV328" t="s">
        <v>13808</v>
      </c>
      <c r="CX328" t="s">
        <v>15188</v>
      </c>
      <c r="CY328" t="s">
        <v>13818</v>
      </c>
      <c r="DA328" t="s">
        <v>19034</v>
      </c>
      <c r="DB328" t="s">
        <v>13808</v>
      </c>
      <c r="DD328" t="s">
        <v>15188</v>
      </c>
      <c r="DE328" t="s">
        <v>13818</v>
      </c>
      <c r="DG328" t="s">
        <v>13909</v>
      </c>
      <c r="DH328" t="s">
        <v>13818</v>
      </c>
      <c r="DY328" t="s">
        <v>13900</v>
      </c>
      <c r="DZ328" t="s">
        <v>13970</v>
      </c>
      <c r="EA328" t="s">
        <v>14461</v>
      </c>
      <c r="EC328">
        <v>44280</v>
      </c>
      <c r="ED328" t="s">
        <v>14276</v>
      </c>
      <c r="EE328" t="s">
        <v>7084</v>
      </c>
    </row>
    <row r="329" spans="1:135">
      <c r="A329" t="s">
        <v>11224</v>
      </c>
      <c r="B329" t="s">
        <v>2693</v>
      </c>
      <c r="C329" t="s">
        <v>19035</v>
      </c>
      <c r="D329" s="24">
        <v>44636</v>
      </c>
      <c r="E329" s="24" t="s">
        <v>13561</v>
      </c>
      <c r="F329" s="24" t="s">
        <v>19036</v>
      </c>
      <c r="G329" s="24" t="s">
        <v>13818</v>
      </c>
      <c r="H329" s="24" t="s">
        <v>19037</v>
      </c>
      <c r="I329" s="24" t="s">
        <v>13809</v>
      </c>
      <c r="J329" s="24"/>
      <c r="K329" s="24" t="s">
        <v>13809</v>
      </c>
      <c r="L329" s="24"/>
      <c r="M329" s="24" t="s">
        <v>15106</v>
      </c>
      <c r="N329" s="24" t="s">
        <v>13808</v>
      </c>
      <c r="O329" s="24"/>
      <c r="P329" s="24" t="s">
        <v>13808</v>
      </c>
      <c r="Q329" s="24"/>
      <c r="R329" s="24" t="s">
        <v>13818</v>
      </c>
      <c r="S329" s="24" t="s">
        <v>19038</v>
      </c>
      <c r="T329" t="s">
        <v>14071</v>
      </c>
      <c r="U329" t="s">
        <v>13809</v>
      </c>
      <c r="W329" t="s">
        <v>13809</v>
      </c>
      <c r="Y329" t="s">
        <v>13809</v>
      </c>
      <c r="AA329" t="s">
        <v>17512</v>
      </c>
      <c r="AB329" t="s">
        <v>13699</v>
      </c>
      <c r="AC329" t="s">
        <v>13809</v>
      </c>
      <c r="AD329" t="s">
        <v>19039</v>
      </c>
      <c r="AH329" t="s">
        <v>13851</v>
      </c>
      <c r="AI329" t="s">
        <v>13818</v>
      </c>
      <c r="AJ329" t="s">
        <v>14309</v>
      </c>
      <c r="AN329" t="s">
        <v>13711</v>
      </c>
      <c r="AO329" t="s">
        <v>13809</v>
      </c>
      <c r="AP329" t="s">
        <v>19039</v>
      </c>
      <c r="AT329" t="s">
        <v>13717</v>
      </c>
      <c r="AU329" t="s">
        <v>13809</v>
      </c>
      <c r="AV329" t="s">
        <v>19039</v>
      </c>
      <c r="AZ329" t="s">
        <v>18243</v>
      </c>
      <c r="BA329" t="s">
        <v>13818</v>
      </c>
      <c r="BB329" t="s">
        <v>14309</v>
      </c>
      <c r="BF329" t="s">
        <v>17058</v>
      </c>
      <c r="BG329" t="s">
        <v>13809</v>
      </c>
      <c r="BH329" t="s">
        <v>19039</v>
      </c>
      <c r="BL329" t="s">
        <v>13735</v>
      </c>
      <c r="BM329" t="s">
        <v>13809</v>
      </c>
      <c r="BN329" t="s">
        <v>19039</v>
      </c>
      <c r="BR329" t="s">
        <v>19040</v>
      </c>
      <c r="BS329" t="s">
        <v>13742</v>
      </c>
      <c r="BT329" t="s">
        <v>13809</v>
      </c>
      <c r="BY329" t="s">
        <v>13748</v>
      </c>
      <c r="BZ329" t="s">
        <v>13809</v>
      </c>
      <c r="CE329" t="s">
        <v>19041</v>
      </c>
      <c r="CF329" t="s">
        <v>13809</v>
      </c>
      <c r="CK329" t="s">
        <v>13760</v>
      </c>
      <c r="CL329" t="s">
        <v>13809</v>
      </c>
      <c r="CQ329" t="s">
        <v>13766</v>
      </c>
      <c r="CR329" t="s">
        <v>13809</v>
      </c>
      <c r="CT329" t="s">
        <v>13830</v>
      </c>
      <c r="CU329" t="s">
        <v>15268</v>
      </c>
      <c r="CV329" t="s">
        <v>13818</v>
      </c>
      <c r="DA329" t="s">
        <v>15063</v>
      </c>
      <c r="DB329" t="s">
        <v>13818</v>
      </c>
      <c r="DG329" t="s">
        <v>14240</v>
      </c>
      <c r="DH329" t="s">
        <v>13818</v>
      </c>
      <c r="DY329" t="s">
        <v>15364</v>
      </c>
      <c r="DZ329" t="s">
        <v>13841</v>
      </c>
      <c r="EA329" t="s">
        <v>13842</v>
      </c>
      <c r="EC329">
        <v>44638</v>
      </c>
      <c r="ED329" t="s">
        <v>14590</v>
      </c>
      <c r="EE329" t="s">
        <v>13600</v>
      </c>
    </row>
    <row r="330" spans="1:135">
      <c r="A330" t="s">
        <v>2297</v>
      </c>
      <c r="B330" t="s">
        <v>2232</v>
      </c>
      <c r="C330" t="s">
        <v>19042</v>
      </c>
      <c r="D330" s="24">
        <v>43585</v>
      </c>
      <c r="E330" s="24" t="s">
        <v>13555</v>
      </c>
      <c r="F330" s="24" t="s">
        <v>19043</v>
      </c>
      <c r="G330" s="24" t="s">
        <v>13808</v>
      </c>
      <c r="H330" s="24" t="s">
        <v>19044</v>
      </c>
      <c r="I330" s="24" t="s">
        <v>13809</v>
      </c>
      <c r="J330" s="24"/>
      <c r="K330" s="24" t="s">
        <v>13808</v>
      </c>
      <c r="L330" s="24" t="s">
        <v>19045</v>
      </c>
      <c r="M330" s="24" t="s">
        <v>19046</v>
      </c>
      <c r="N330" s="24" t="s">
        <v>13808</v>
      </c>
      <c r="O330" s="24"/>
      <c r="P330" s="24" t="s">
        <v>13808</v>
      </c>
      <c r="Q330" s="24"/>
      <c r="R330" s="24" t="s">
        <v>13808</v>
      </c>
      <c r="S330" s="24"/>
      <c r="T330" t="s">
        <v>13875</v>
      </c>
      <c r="U330" t="s">
        <v>13809</v>
      </c>
      <c r="W330" t="s">
        <v>13808</v>
      </c>
      <c r="X330" t="s">
        <v>19047</v>
      </c>
      <c r="Y330" t="s">
        <v>13808</v>
      </c>
      <c r="AA330" t="s">
        <v>13849</v>
      </c>
      <c r="AB330" t="s">
        <v>14544</v>
      </c>
      <c r="AC330" t="s">
        <v>13808</v>
      </c>
      <c r="AH330" t="s">
        <v>13909</v>
      </c>
      <c r="AI330" t="s">
        <v>13808</v>
      </c>
      <c r="AO330" t="s">
        <v>13809</v>
      </c>
      <c r="AT330" t="s">
        <v>14687</v>
      </c>
      <c r="AU330" t="s">
        <v>13808</v>
      </c>
      <c r="AZ330" t="s">
        <v>19048</v>
      </c>
      <c r="BA330" t="s">
        <v>13808</v>
      </c>
      <c r="BF330" t="s">
        <v>19049</v>
      </c>
      <c r="BG330" t="s">
        <v>13808</v>
      </c>
      <c r="BL330" t="s">
        <v>14732</v>
      </c>
      <c r="BM330" t="s">
        <v>13808</v>
      </c>
      <c r="BR330" t="s">
        <v>19050</v>
      </c>
      <c r="BS330" t="s">
        <v>14693</v>
      </c>
      <c r="BT330" t="s">
        <v>13808</v>
      </c>
      <c r="BU330" t="s">
        <v>19051</v>
      </c>
      <c r="BY330" t="s">
        <v>13887</v>
      </c>
      <c r="BZ330" t="s">
        <v>13808</v>
      </c>
      <c r="CA330" t="s">
        <v>13937</v>
      </c>
      <c r="CE330" t="s">
        <v>13885</v>
      </c>
      <c r="CF330" t="s">
        <v>13808</v>
      </c>
      <c r="CK330" t="s">
        <v>13885</v>
      </c>
      <c r="CL330" t="s">
        <v>13808</v>
      </c>
      <c r="CR330" t="s">
        <v>13809</v>
      </c>
      <c r="CT330" t="s">
        <v>19052</v>
      </c>
      <c r="CU330" t="s">
        <v>19053</v>
      </c>
      <c r="CV330" t="s">
        <v>13808</v>
      </c>
      <c r="CW330" t="s">
        <v>19054</v>
      </c>
      <c r="CX330" t="s">
        <v>17876</v>
      </c>
      <c r="CY330" t="s">
        <v>13818</v>
      </c>
      <c r="CZ330" t="s">
        <v>19055</v>
      </c>
      <c r="DA330" t="s">
        <v>19056</v>
      </c>
      <c r="DB330" t="s">
        <v>13808</v>
      </c>
      <c r="DC330" t="s">
        <v>19057</v>
      </c>
      <c r="DD330" t="s">
        <v>19058</v>
      </c>
      <c r="DE330" t="s">
        <v>13808</v>
      </c>
      <c r="DF330" t="s">
        <v>19059</v>
      </c>
      <c r="DG330" t="s">
        <v>19060</v>
      </c>
      <c r="DH330" t="s">
        <v>13808</v>
      </c>
      <c r="DI330" t="s">
        <v>19061</v>
      </c>
      <c r="DJ330" t="s">
        <v>19062</v>
      </c>
      <c r="DK330" t="s">
        <v>13818</v>
      </c>
      <c r="DL330" t="s">
        <v>19063</v>
      </c>
      <c r="DZ330" t="s">
        <v>19064</v>
      </c>
      <c r="EA330" t="s">
        <v>18799</v>
      </c>
      <c r="ED330" t="s">
        <v>14501</v>
      </c>
      <c r="EE330" t="s">
        <v>6976</v>
      </c>
    </row>
    <row r="331" spans="1:135">
      <c r="A331" t="s">
        <v>3097</v>
      </c>
      <c r="B331" t="s">
        <v>3013</v>
      </c>
      <c r="C331" t="s">
        <v>19065</v>
      </c>
      <c r="D331" s="24">
        <v>43442</v>
      </c>
      <c r="E331" s="24" t="s">
        <v>13564</v>
      </c>
      <c r="F331" s="24" t="s">
        <v>19066</v>
      </c>
      <c r="G331" s="24" t="s">
        <v>13808</v>
      </c>
      <c r="H331" s="24"/>
      <c r="I331" s="24" t="s">
        <v>13809</v>
      </c>
      <c r="J331" s="24"/>
      <c r="K331" s="24" t="s">
        <v>13809</v>
      </c>
      <c r="L331" s="24"/>
      <c r="M331" s="24" t="s">
        <v>19067</v>
      </c>
      <c r="N331" s="24" t="s">
        <v>13808</v>
      </c>
      <c r="O331" s="24"/>
      <c r="P331" s="24" t="s">
        <v>13808</v>
      </c>
      <c r="Q331" s="24"/>
      <c r="R331" s="24" t="s">
        <v>13808</v>
      </c>
      <c r="S331" s="24"/>
      <c r="T331" t="s">
        <v>19068</v>
      </c>
      <c r="U331" t="s">
        <v>13809</v>
      </c>
      <c r="W331" t="s">
        <v>13809</v>
      </c>
      <c r="X331" t="s">
        <v>19069</v>
      </c>
      <c r="Y331" t="s">
        <v>13808</v>
      </c>
      <c r="AA331" t="s">
        <v>19070</v>
      </c>
      <c r="AB331" t="s">
        <v>19071</v>
      </c>
      <c r="AC331" t="s">
        <v>19072</v>
      </c>
      <c r="AH331" t="s">
        <v>18402</v>
      </c>
      <c r="AI331" t="s">
        <v>13808</v>
      </c>
      <c r="AK331" t="s">
        <v>19073</v>
      </c>
      <c r="AL331" t="s">
        <v>13818</v>
      </c>
      <c r="AM331" t="s">
        <v>14309</v>
      </c>
      <c r="AN331" t="s">
        <v>14812</v>
      </c>
      <c r="AO331" t="s">
        <v>13818</v>
      </c>
      <c r="AP331" t="s">
        <v>14309</v>
      </c>
      <c r="AT331" t="s">
        <v>14598</v>
      </c>
      <c r="AU331" t="s">
        <v>13818</v>
      </c>
      <c r="AV331" t="s">
        <v>13819</v>
      </c>
      <c r="AZ331" t="s">
        <v>14596</v>
      </c>
      <c r="BA331" t="s">
        <v>13808</v>
      </c>
      <c r="BF331" t="s">
        <v>13887</v>
      </c>
      <c r="BG331" t="s">
        <v>13808</v>
      </c>
      <c r="BH331" t="s">
        <v>19074</v>
      </c>
      <c r="BM331" t="s">
        <v>13809</v>
      </c>
      <c r="BR331" t="s">
        <v>19075</v>
      </c>
      <c r="BS331" t="s">
        <v>13885</v>
      </c>
      <c r="BT331" t="s">
        <v>13808</v>
      </c>
      <c r="BU331" t="s">
        <v>15012</v>
      </c>
      <c r="BY331" t="s">
        <v>13887</v>
      </c>
      <c r="BZ331" t="s">
        <v>13808</v>
      </c>
      <c r="CA331" t="s">
        <v>13888</v>
      </c>
      <c r="CF331" t="s">
        <v>13809</v>
      </c>
      <c r="CK331" t="s">
        <v>19076</v>
      </c>
      <c r="CL331" t="s">
        <v>13808</v>
      </c>
      <c r="CM331" t="s">
        <v>19077</v>
      </c>
      <c r="CR331" t="s">
        <v>13809</v>
      </c>
      <c r="CT331" t="s">
        <v>19078</v>
      </c>
      <c r="CU331" t="s">
        <v>15196</v>
      </c>
      <c r="CV331" t="s">
        <v>13808</v>
      </c>
      <c r="CX331" t="s">
        <v>19079</v>
      </c>
      <c r="CY331" t="s">
        <v>13818</v>
      </c>
      <c r="DA331" t="s">
        <v>15280</v>
      </c>
      <c r="DB331" t="s">
        <v>13808</v>
      </c>
      <c r="DD331" t="s">
        <v>19080</v>
      </c>
      <c r="DE331" t="s">
        <v>13818</v>
      </c>
      <c r="DG331" t="s">
        <v>13909</v>
      </c>
      <c r="DH331" t="s">
        <v>13818</v>
      </c>
      <c r="DY331" t="s">
        <v>19081</v>
      </c>
      <c r="DZ331" t="s">
        <v>19082</v>
      </c>
      <c r="EA331" t="s">
        <v>19083</v>
      </c>
      <c r="EC331">
        <v>44263</v>
      </c>
      <c r="ED331" t="s">
        <v>13903</v>
      </c>
      <c r="EE331" t="s">
        <v>7818</v>
      </c>
    </row>
    <row r="332" spans="1:135">
      <c r="A332" t="s">
        <v>2794</v>
      </c>
      <c r="B332" t="s">
        <v>2693</v>
      </c>
      <c r="C332" t="s">
        <v>19084</v>
      </c>
      <c r="D332" s="24">
        <v>43531</v>
      </c>
      <c r="E332" s="24" t="s">
        <v>13560</v>
      </c>
      <c r="F332" s="24" t="s">
        <v>19085</v>
      </c>
      <c r="G332" s="24" t="s">
        <v>13808</v>
      </c>
      <c r="H332" s="24"/>
      <c r="I332" s="24" t="s">
        <v>13809</v>
      </c>
      <c r="J332" s="24"/>
      <c r="K332" s="24" t="s">
        <v>13809</v>
      </c>
      <c r="L332" s="24"/>
      <c r="M332" s="24" t="s">
        <v>15434</v>
      </c>
      <c r="N332" s="24" t="s">
        <v>13808</v>
      </c>
      <c r="O332" s="24"/>
      <c r="P332" s="24" t="s">
        <v>13808</v>
      </c>
      <c r="Q332" s="24" t="s">
        <v>19086</v>
      </c>
      <c r="R332" s="24" t="s">
        <v>13808</v>
      </c>
      <c r="S332" s="24"/>
      <c r="T332" t="s">
        <v>14137</v>
      </c>
      <c r="U332" t="s">
        <v>13809</v>
      </c>
      <c r="W332" t="s">
        <v>13809</v>
      </c>
      <c r="Y332" t="s">
        <v>13809</v>
      </c>
      <c r="AA332" t="s">
        <v>19087</v>
      </c>
      <c r="AB332" t="s">
        <v>15348</v>
      </c>
      <c r="AC332" t="s">
        <v>13809</v>
      </c>
      <c r="AH332" t="s">
        <v>18592</v>
      </c>
      <c r="AI332" t="s">
        <v>13808</v>
      </c>
      <c r="AK332" t="s">
        <v>13817</v>
      </c>
      <c r="AL332" t="s">
        <v>13818</v>
      </c>
      <c r="AM332" t="s">
        <v>14309</v>
      </c>
      <c r="AN332" t="s">
        <v>13711</v>
      </c>
      <c r="AO332" t="s">
        <v>13809</v>
      </c>
      <c r="AT332" t="s">
        <v>13717</v>
      </c>
      <c r="AU332" t="s">
        <v>13809</v>
      </c>
      <c r="AZ332" t="s">
        <v>19088</v>
      </c>
      <c r="BA332" t="s">
        <v>13808</v>
      </c>
      <c r="BF332" t="s">
        <v>19089</v>
      </c>
      <c r="BG332" t="s">
        <v>13808</v>
      </c>
      <c r="BL332" t="s">
        <v>19090</v>
      </c>
      <c r="BM332" t="s">
        <v>13818</v>
      </c>
      <c r="BN332" t="s">
        <v>14309</v>
      </c>
      <c r="BR332" t="s">
        <v>19091</v>
      </c>
      <c r="BS332" t="s">
        <v>14779</v>
      </c>
      <c r="BT332" t="s">
        <v>13808</v>
      </c>
      <c r="BU332" t="s">
        <v>15598</v>
      </c>
      <c r="BY332" t="s">
        <v>15097</v>
      </c>
      <c r="BZ332" t="s">
        <v>13808</v>
      </c>
      <c r="CA332" t="s">
        <v>19092</v>
      </c>
      <c r="CE332" t="s">
        <v>14292</v>
      </c>
      <c r="CF332" t="s">
        <v>13818</v>
      </c>
      <c r="CG332" t="s">
        <v>19093</v>
      </c>
      <c r="CK332" t="s">
        <v>13760</v>
      </c>
      <c r="CL332" t="s">
        <v>13809</v>
      </c>
      <c r="CQ332" t="s">
        <v>13766</v>
      </c>
      <c r="CR332" t="s">
        <v>13809</v>
      </c>
      <c r="CT332" t="s">
        <v>14422</v>
      </c>
      <c r="CU332" t="s">
        <v>19094</v>
      </c>
      <c r="CV332" t="s">
        <v>13808</v>
      </c>
      <c r="CX332" t="s">
        <v>14997</v>
      </c>
      <c r="CY332" t="s">
        <v>13818</v>
      </c>
      <c r="DA332" t="s">
        <v>19095</v>
      </c>
      <c r="DB332" t="s">
        <v>13808</v>
      </c>
      <c r="DD332" t="s">
        <v>19096</v>
      </c>
      <c r="DE332" t="s">
        <v>13818</v>
      </c>
      <c r="DG332" t="s">
        <v>14240</v>
      </c>
      <c r="DH332" t="s">
        <v>13818</v>
      </c>
      <c r="DY332" t="s">
        <v>14606</v>
      </c>
      <c r="DZ332" t="s">
        <v>14923</v>
      </c>
      <c r="EA332" t="s">
        <v>19097</v>
      </c>
      <c r="EC332">
        <v>44691</v>
      </c>
      <c r="ED332" t="s">
        <v>13843</v>
      </c>
      <c r="EE332" t="s">
        <v>7441</v>
      </c>
    </row>
    <row r="333" spans="1:135">
      <c r="A333" t="s">
        <v>11242</v>
      </c>
      <c r="B333" t="s">
        <v>3013</v>
      </c>
      <c r="C333" t="s">
        <v>19098</v>
      </c>
      <c r="D333" s="24">
        <v>45069</v>
      </c>
      <c r="E333" s="24" t="s">
        <v>13561</v>
      </c>
      <c r="F333" s="24" t="s">
        <v>19099</v>
      </c>
      <c r="G333" s="24" t="s">
        <v>13818</v>
      </c>
      <c r="H333" s="24"/>
      <c r="I333" s="24" t="s">
        <v>13809</v>
      </c>
      <c r="J333" s="24"/>
      <c r="K333" s="24" t="s">
        <v>13808</v>
      </c>
      <c r="L333" s="24"/>
      <c r="M333" s="24" t="s">
        <v>15539</v>
      </c>
      <c r="N333" s="24" t="s">
        <v>13808</v>
      </c>
      <c r="O333" s="24" t="s">
        <v>14309</v>
      </c>
      <c r="P333" s="24" t="s">
        <v>13808</v>
      </c>
      <c r="Q333" s="24" t="s">
        <v>14309</v>
      </c>
      <c r="R333" s="24" t="s">
        <v>13808</v>
      </c>
      <c r="S333" s="24" t="s">
        <v>14309</v>
      </c>
      <c r="T333" t="s">
        <v>19100</v>
      </c>
      <c r="U333" t="s">
        <v>13809</v>
      </c>
      <c r="W333" t="s">
        <v>13809</v>
      </c>
      <c r="Y333" t="s">
        <v>13809</v>
      </c>
      <c r="AA333" t="s">
        <v>14386</v>
      </c>
      <c r="AB333" t="s">
        <v>13699</v>
      </c>
      <c r="AC333" t="s">
        <v>13809</v>
      </c>
      <c r="AH333" t="s">
        <v>13851</v>
      </c>
      <c r="AI333" t="s">
        <v>13818</v>
      </c>
      <c r="AJ333" t="s">
        <v>14309</v>
      </c>
      <c r="AN333" t="s">
        <v>19101</v>
      </c>
      <c r="AO333" t="s">
        <v>13818</v>
      </c>
      <c r="AP333" t="s">
        <v>14309</v>
      </c>
      <c r="AT333" t="s">
        <v>16982</v>
      </c>
      <c r="AU333" t="s">
        <v>13818</v>
      </c>
      <c r="AV333" t="s">
        <v>14309</v>
      </c>
      <c r="AZ333" t="s">
        <v>19102</v>
      </c>
      <c r="BA333" t="s">
        <v>13818</v>
      </c>
      <c r="BB333" t="s">
        <v>14309</v>
      </c>
      <c r="BF333" t="s">
        <v>14870</v>
      </c>
      <c r="BG333" t="s">
        <v>13818</v>
      </c>
      <c r="BH333" t="s">
        <v>14309</v>
      </c>
      <c r="BL333" t="s">
        <v>13934</v>
      </c>
      <c r="BM333" t="s">
        <v>13809</v>
      </c>
      <c r="BR333" t="s">
        <v>19103</v>
      </c>
      <c r="BS333" t="s">
        <v>13824</v>
      </c>
      <c r="BT333" t="s">
        <v>13818</v>
      </c>
      <c r="BU333" t="s">
        <v>14309</v>
      </c>
      <c r="BY333" t="s">
        <v>13860</v>
      </c>
      <c r="BZ333" t="s">
        <v>13818</v>
      </c>
      <c r="CA333" t="s">
        <v>14309</v>
      </c>
      <c r="CE333" t="s">
        <v>13828</v>
      </c>
      <c r="CF333" t="s">
        <v>13818</v>
      </c>
      <c r="CG333" t="s">
        <v>19104</v>
      </c>
      <c r="CK333" t="s">
        <v>13760</v>
      </c>
      <c r="CL333" t="s">
        <v>13809</v>
      </c>
      <c r="CQ333" t="s">
        <v>13766</v>
      </c>
      <c r="CR333" t="s">
        <v>13809</v>
      </c>
      <c r="CT333" t="s">
        <v>19105</v>
      </c>
      <c r="CU333" t="s">
        <v>19106</v>
      </c>
      <c r="CV333" t="s">
        <v>13808</v>
      </c>
      <c r="CW333" t="s">
        <v>13819</v>
      </c>
      <c r="CX333" t="s">
        <v>19107</v>
      </c>
      <c r="CY333" t="s">
        <v>13818</v>
      </c>
      <c r="DA333" t="s">
        <v>19108</v>
      </c>
      <c r="DB333" t="s">
        <v>13808</v>
      </c>
      <c r="DC333" t="s">
        <v>13819</v>
      </c>
      <c r="DD333" t="s">
        <v>19109</v>
      </c>
      <c r="DE333" t="s">
        <v>13818</v>
      </c>
      <c r="DG333" t="s">
        <v>19110</v>
      </c>
      <c r="DH333" t="s">
        <v>13818</v>
      </c>
      <c r="DY333" t="s">
        <v>14606</v>
      </c>
      <c r="DZ333" t="s">
        <v>14406</v>
      </c>
      <c r="EA333" t="s">
        <v>17222</v>
      </c>
      <c r="EC333">
        <v>45084</v>
      </c>
      <c r="ED333" t="s">
        <v>13843</v>
      </c>
      <c r="EE333" t="s">
        <v>13601</v>
      </c>
    </row>
    <row r="334" spans="1:135">
      <c r="A334" t="s">
        <v>2974</v>
      </c>
      <c r="B334" t="s">
        <v>2926</v>
      </c>
      <c r="C334" t="s">
        <v>19111</v>
      </c>
      <c r="D334" s="24">
        <v>42688</v>
      </c>
      <c r="E334" s="24" t="s">
        <v>13555</v>
      </c>
      <c r="F334" s="24" t="s">
        <v>19112</v>
      </c>
      <c r="G334" s="24" t="s">
        <v>13808</v>
      </c>
      <c r="H334" s="24"/>
      <c r="I334" s="24" t="s">
        <v>13809</v>
      </c>
      <c r="J334" s="24"/>
      <c r="K334" s="24" t="s">
        <v>13808</v>
      </c>
      <c r="L334" s="24"/>
      <c r="M334" s="24" t="s">
        <v>19113</v>
      </c>
      <c r="N334" s="24" t="s">
        <v>13808</v>
      </c>
      <c r="O334" s="24"/>
      <c r="P334" s="24" t="s">
        <v>13808</v>
      </c>
      <c r="Q334" s="24"/>
      <c r="R334" s="24" t="s">
        <v>13808</v>
      </c>
      <c r="S334" s="24"/>
      <c r="T334" t="s">
        <v>19114</v>
      </c>
      <c r="U334" t="s">
        <v>13809</v>
      </c>
      <c r="W334" t="s">
        <v>13808</v>
      </c>
      <c r="Y334" t="s">
        <v>13809</v>
      </c>
      <c r="AA334" t="s">
        <v>19115</v>
      </c>
      <c r="AB334" t="s">
        <v>19116</v>
      </c>
      <c r="AC334" t="s">
        <v>13808</v>
      </c>
      <c r="AH334" t="s">
        <v>18402</v>
      </c>
      <c r="AI334" t="s">
        <v>13808</v>
      </c>
      <c r="AO334" t="s">
        <v>13809</v>
      </c>
      <c r="AU334" t="s">
        <v>13809</v>
      </c>
      <c r="AZ334" t="s">
        <v>19117</v>
      </c>
      <c r="BA334" t="s">
        <v>13808</v>
      </c>
      <c r="BF334" t="s">
        <v>18051</v>
      </c>
      <c r="BG334" t="s">
        <v>13808</v>
      </c>
      <c r="BH334" t="s">
        <v>19118</v>
      </c>
      <c r="BL334" t="s">
        <v>19119</v>
      </c>
      <c r="BM334" t="s">
        <v>13808</v>
      </c>
      <c r="BR334" t="s">
        <v>19120</v>
      </c>
      <c r="BS334" t="s">
        <v>13885</v>
      </c>
      <c r="BT334" t="s">
        <v>13808</v>
      </c>
      <c r="BU334" t="s">
        <v>19121</v>
      </c>
      <c r="BY334" t="s">
        <v>13887</v>
      </c>
      <c r="BZ334" t="s">
        <v>13808</v>
      </c>
      <c r="CA334" t="s">
        <v>13937</v>
      </c>
      <c r="CE334" t="s">
        <v>13885</v>
      </c>
      <c r="CF334" t="s">
        <v>13808</v>
      </c>
      <c r="CL334" t="s">
        <v>13809</v>
      </c>
      <c r="CR334" t="s">
        <v>13809</v>
      </c>
      <c r="CT334" t="s">
        <v>19122</v>
      </c>
      <c r="CU334" t="s">
        <v>18402</v>
      </c>
      <c r="CV334" t="s">
        <v>13808</v>
      </c>
      <c r="DA334" t="s">
        <v>18402</v>
      </c>
      <c r="DB334" t="s">
        <v>13808</v>
      </c>
      <c r="DG334" t="s">
        <v>13885</v>
      </c>
      <c r="DH334" t="s">
        <v>13808</v>
      </c>
      <c r="DZ334" t="s">
        <v>19123</v>
      </c>
      <c r="EA334" t="s">
        <v>19124</v>
      </c>
      <c r="EC334">
        <v>43480</v>
      </c>
      <c r="ED334" t="s">
        <v>13903</v>
      </c>
      <c r="EE334" t="s">
        <v>7684</v>
      </c>
    </row>
    <row r="335" spans="1:135">
      <c r="A335" t="s">
        <v>2799</v>
      </c>
      <c r="B335" t="s">
        <v>2693</v>
      </c>
      <c r="C335" t="s">
        <v>19125</v>
      </c>
      <c r="D335" s="24">
        <v>43620</v>
      </c>
      <c r="E335" s="24" t="s">
        <v>13564</v>
      </c>
      <c r="F335" s="24" t="s">
        <v>19126</v>
      </c>
      <c r="G335" s="24" t="s">
        <v>13808</v>
      </c>
      <c r="H335" s="24" t="s">
        <v>19127</v>
      </c>
      <c r="I335" s="24" t="s">
        <v>13809</v>
      </c>
      <c r="J335" s="24"/>
      <c r="K335" s="24" t="s">
        <v>13808</v>
      </c>
      <c r="L335" s="24" t="s">
        <v>19128</v>
      </c>
      <c r="M335" s="24" t="s">
        <v>15106</v>
      </c>
      <c r="N335" s="24" t="s">
        <v>13808</v>
      </c>
      <c r="O335" s="24"/>
      <c r="P335" s="24" t="s">
        <v>13808</v>
      </c>
      <c r="Q335" s="24"/>
      <c r="R335" s="24" t="s">
        <v>13808</v>
      </c>
      <c r="S335" s="24"/>
      <c r="T335" t="s">
        <v>13907</v>
      </c>
      <c r="U335" t="s">
        <v>13809</v>
      </c>
      <c r="W335" t="s">
        <v>13808</v>
      </c>
      <c r="X335" t="s">
        <v>19129</v>
      </c>
      <c r="Y335" t="s">
        <v>13808</v>
      </c>
      <c r="AA335" t="s">
        <v>15089</v>
      </c>
      <c r="AB335" t="s">
        <v>19130</v>
      </c>
      <c r="AC335" t="s">
        <v>13808</v>
      </c>
      <c r="AH335" t="s">
        <v>13851</v>
      </c>
      <c r="AI335" t="s">
        <v>13808</v>
      </c>
      <c r="AN335" t="s">
        <v>13711</v>
      </c>
      <c r="AO335" t="s">
        <v>13809</v>
      </c>
      <c r="AT335" t="s">
        <v>19131</v>
      </c>
      <c r="AU335" t="s">
        <v>13808</v>
      </c>
      <c r="AZ335" t="s">
        <v>15154</v>
      </c>
      <c r="BA335" t="s">
        <v>13808</v>
      </c>
      <c r="BF335" t="s">
        <v>13933</v>
      </c>
      <c r="BG335" t="s">
        <v>13808</v>
      </c>
      <c r="BL335" t="s">
        <v>19132</v>
      </c>
      <c r="BM335" t="s">
        <v>13808</v>
      </c>
      <c r="BR335" t="s">
        <v>19133</v>
      </c>
      <c r="BS335" t="s">
        <v>13824</v>
      </c>
      <c r="BT335" t="s">
        <v>13808</v>
      </c>
      <c r="BU335" t="s">
        <v>19134</v>
      </c>
      <c r="BY335" t="s">
        <v>13860</v>
      </c>
      <c r="BZ335" t="s">
        <v>13808</v>
      </c>
      <c r="CA335" t="s">
        <v>19135</v>
      </c>
      <c r="CE335" t="s">
        <v>14292</v>
      </c>
      <c r="CF335" t="s">
        <v>13808</v>
      </c>
      <c r="CK335" t="s">
        <v>13760</v>
      </c>
      <c r="CL335" t="s">
        <v>13809</v>
      </c>
      <c r="CQ335" t="s">
        <v>13766</v>
      </c>
      <c r="CR335" t="s">
        <v>13809</v>
      </c>
      <c r="CT335" t="s">
        <v>19136</v>
      </c>
      <c r="CU335" t="s">
        <v>19137</v>
      </c>
      <c r="CV335" t="s">
        <v>13818</v>
      </c>
      <c r="CW335" t="s">
        <v>19138</v>
      </c>
      <c r="DA335" t="s">
        <v>19139</v>
      </c>
      <c r="DB335" t="s">
        <v>13808</v>
      </c>
      <c r="DE335" t="s">
        <v>13818</v>
      </c>
      <c r="DF335" t="s">
        <v>19138</v>
      </c>
      <c r="DH335" t="s">
        <v>13808</v>
      </c>
      <c r="DM335" t="s">
        <v>19140</v>
      </c>
      <c r="DN335" t="s">
        <v>13818</v>
      </c>
      <c r="DO335" t="s">
        <v>19141</v>
      </c>
      <c r="DY335" t="s">
        <v>13840</v>
      </c>
      <c r="DZ335" t="s">
        <v>19142</v>
      </c>
      <c r="EA335" t="s">
        <v>15744</v>
      </c>
      <c r="EC335">
        <v>44627</v>
      </c>
      <c r="ED335" t="s">
        <v>13843</v>
      </c>
      <c r="EE335" t="s">
        <v>7445</v>
      </c>
    </row>
    <row r="336" spans="1:135">
      <c r="A336" t="s">
        <v>2982</v>
      </c>
      <c r="B336" t="s">
        <v>2926</v>
      </c>
      <c r="C336" t="s">
        <v>19143</v>
      </c>
      <c r="D336" s="24">
        <v>43228</v>
      </c>
      <c r="E336" s="24" t="s">
        <v>13555</v>
      </c>
      <c r="F336" s="24" t="s">
        <v>19144</v>
      </c>
      <c r="G336" s="24" t="s">
        <v>13808</v>
      </c>
      <c r="H336" s="24"/>
      <c r="I336" s="24" t="s">
        <v>13809</v>
      </c>
      <c r="J336" s="24"/>
      <c r="K336" s="24" t="s">
        <v>13808</v>
      </c>
      <c r="L336" s="24"/>
      <c r="M336" s="24" t="s">
        <v>19016</v>
      </c>
      <c r="N336" s="24" t="s">
        <v>13808</v>
      </c>
      <c r="O336" s="24"/>
      <c r="P336" s="24" t="s">
        <v>13808</v>
      </c>
      <c r="Q336" s="24"/>
      <c r="R336" s="24" t="s">
        <v>13808</v>
      </c>
      <c r="S336" s="24"/>
      <c r="T336" t="s">
        <v>19145</v>
      </c>
      <c r="U336" t="s">
        <v>13808</v>
      </c>
      <c r="W336" t="s">
        <v>13808</v>
      </c>
      <c r="X336" t="s">
        <v>19146</v>
      </c>
      <c r="Y336" t="s">
        <v>13808</v>
      </c>
      <c r="AA336" t="s">
        <v>15207</v>
      </c>
      <c r="AB336" t="s">
        <v>13958</v>
      </c>
      <c r="AC336" t="s">
        <v>13808</v>
      </c>
      <c r="AH336" t="s">
        <v>13909</v>
      </c>
      <c r="AI336" t="s">
        <v>13808</v>
      </c>
      <c r="AN336" t="s">
        <v>14367</v>
      </c>
      <c r="AO336" t="s">
        <v>13808</v>
      </c>
      <c r="AT336" t="s">
        <v>14006</v>
      </c>
      <c r="AU336" t="s">
        <v>13808</v>
      </c>
      <c r="AZ336" t="s">
        <v>19147</v>
      </c>
      <c r="BA336" t="s">
        <v>13808</v>
      </c>
      <c r="BF336" t="s">
        <v>14177</v>
      </c>
      <c r="BG336" t="s">
        <v>13808</v>
      </c>
      <c r="BM336" t="s">
        <v>13809</v>
      </c>
      <c r="BR336" t="s">
        <v>19148</v>
      </c>
      <c r="BS336" t="s">
        <v>13887</v>
      </c>
      <c r="BT336" t="s">
        <v>13808</v>
      </c>
      <c r="BU336" t="s">
        <v>14315</v>
      </c>
      <c r="BY336" t="s">
        <v>13887</v>
      </c>
      <c r="BZ336" t="s">
        <v>13808</v>
      </c>
      <c r="CA336" t="s">
        <v>13937</v>
      </c>
      <c r="CE336" t="s">
        <v>13885</v>
      </c>
      <c r="CF336" t="s">
        <v>13808</v>
      </c>
      <c r="CK336" t="s">
        <v>13887</v>
      </c>
      <c r="CL336" t="s">
        <v>13808</v>
      </c>
      <c r="CR336" t="s">
        <v>13809</v>
      </c>
      <c r="CT336" t="s">
        <v>19149</v>
      </c>
      <c r="CU336" t="s">
        <v>19150</v>
      </c>
      <c r="CV336" t="s">
        <v>13808</v>
      </c>
      <c r="CX336" t="s">
        <v>14731</v>
      </c>
      <c r="CY336" t="s">
        <v>13818</v>
      </c>
      <c r="DA336" t="s">
        <v>19151</v>
      </c>
      <c r="DB336" t="s">
        <v>13808</v>
      </c>
      <c r="DG336" t="s">
        <v>19152</v>
      </c>
      <c r="DH336" t="s">
        <v>19153</v>
      </c>
      <c r="DM336" t="s">
        <v>19154</v>
      </c>
      <c r="DN336" t="s">
        <v>13808</v>
      </c>
      <c r="DZ336" t="s">
        <v>19155</v>
      </c>
      <c r="EA336" t="s">
        <v>14201</v>
      </c>
      <c r="EC336">
        <v>43480</v>
      </c>
      <c r="ED336" t="s">
        <v>14298</v>
      </c>
      <c r="EE336" t="s">
        <v>7688</v>
      </c>
    </row>
    <row r="337" spans="1:135">
      <c r="A337" t="s">
        <v>2803</v>
      </c>
      <c r="B337" t="s">
        <v>2693</v>
      </c>
      <c r="C337" t="s">
        <v>19156</v>
      </c>
      <c r="D337" s="24">
        <v>44503</v>
      </c>
      <c r="E337" s="24" t="s">
        <v>13559</v>
      </c>
      <c r="F337" s="24" t="s">
        <v>19157</v>
      </c>
      <c r="G337" s="24" t="s">
        <v>14699</v>
      </c>
      <c r="H337" s="24"/>
      <c r="I337" s="24" t="s">
        <v>13809</v>
      </c>
      <c r="J337" s="24"/>
      <c r="K337" s="24" t="s">
        <v>13809</v>
      </c>
      <c r="L337" s="24"/>
      <c r="M337" s="24" t="s">
        <v>18835</v>
      </c>
      <c r="N337" s="24" t="s">
        <v>13808</v>
      </c>
      <c r="O337" s="24"/>
      <c r="P337" s="24" t="s">
        <v>13808</v>
      </c>
      <c r="Q337" s="24"/>
      <c r="R337" s="24" t="s">
        <v>13808</v>
      </c>
      <c r="S337" s="24"/>
      <c r="T337" t="s">
        <v>18391</v>
      </c>
      <c r="U337" t="s">
        <v>13809</v>
      </c>
      <c r="W337" t="s">
        <v>13809</v>
      </c>
      <c r="Y337" t="s">
        <v>13809</v>
      </c>
      <c r="AA337" t="s">
        <v>17946</v>
      </c>
      <c r="AB337" t="s">
        <v>14008</v>
      </c>
      <c r="AC337" t="s">
        <v>13808</v>
      </c>
      <c r="AE337" t="s">
        <v>17398</v>
      </c>
      <c r="AF337" t="s">
        <v>13818</v>
      </c>
      <c r="AG337" t="s">
        <v>14309</v>
      </c>
      <c r="AH337" t="s">
        <v>13887</v>
      </c>
      <c r="AI337" t="s">
        <v>13808</v>
      </c>
      <c r="AN337" t="s">
        <v>18836</v>
      </c>
      <c r="AO337" t="s">
        <v>13818</v>
      </c>
      <c r="AP337" t="s">
        <v>14309</v>
      </c>
      <c r="AT337" t="s">
        <v>15276</v>
      </c>
      <c r="AU337" t="s">
        <v>13818</v>
      </c>
      <c r="AV337" t="s">
        <v>14309</v>
      </c>
      <c r="AZ337" t="s">
        <v>18837</v>
      </c>
      <c r="BA337" t="s">
        <v>13808</v>
      </c>
      <c r="BC337" t="s">
        <v>15820</v>
      </c>
      <c r="BD337" t="s">
        <v>13818</v>
      </c>
      <c r="BE337" t="s">
        <v>14309</v>
      </c>
      <c r="BF337" t="s">
        <v>17780</v>
      </c>
      <c r="BG337" t="s">
        <v>13808</v>
      </c>
      <c r="BL337" t="s">
        <v>18838</v>
      </c>
      <c r="BM337" t="s">
        <v>13818</v>
      </c>
      <c r="BN337" t="s">
        <v>14309</v>
      </c>
      <c r="BR337" t="s">
        <v>18839</v>
      </c>
      <c r="BS337" t="s">
        <v>13887</v>
      </c>
      <c r="BT337" t="s">
        <v>13808</v>
      </c>
      <c r="BU337" t="s">
        <v>18840</v>
      </c>
      <c r="BY337" t="s">
        <v>13887</v>
      </c>
      <c r="BZ337" t="s">
        <v>13808</v>
      </c>
      <c r="CA337" t="s">
        <v>13937</v>
      </c>
      <c r="CE337" t="s">
        <v>13887</v>
      </c>
      <c r="CF337" t="s">
        <v>13808</v>
      </c>
      <c r="CL337" t="s">
        <v>13809</v>
      </c>
      <c r="CR337" t="s">
        <v>13809</v>
      </c>
      <c r="CT337" t="s">
        <v>19158</v>
      </c>
      <c r="CU337" t="s">
        <v>18842</v>
      </c>
      <c r="CV337" t="s">
        <v>13808</v>
      </c>
      <c r="CX337" t="s">
        <v>18844</v>
      </c>
      <c r="CY337" t="s">
        <v>13818</v>
      </c>
      <c r="DA337" t="s">
        <v>16071</v>
      </c>
      <c r="DB337" t="s">
        <v>13808</v>
      </c>
      <c r="DG337" t="s">
        <v>18845</v>
      </c>
      <c r="DH337" t="s">
        <v>13818</v>
      </c>
      <c r="DM337" t="s">
        <v>16078</v>
      </c>
      <c r="DN337" t="s">
        <v>13818</v>
      </c>
      <c r="DP337" t="s">
        <v>18846</v>
      </c>
      <c r="DQ337" t="s">
        <v>13818</v>
      </c>
      <c r="DY337" t="s">
        <v>13869</v>
      </c>
      <c r="DZ337" t="s">
        <v>14406</v>
      </c>
      <c r="EA337" t="s">
        <v>14275</v>
      </c>
      <c r="ED337" t="s">
        <v>14722</v>
      </c>
      <c r="EE337" t="s">
        <v>7447</v>
      </c>
    </row>
    <row r="338" spans="1:135">
      <c r="A338" t="s">
        <v>11268</v>
      </c>
      <c r="B338" t="s">
        <v>2693</v>
      </c>
      <c r="C338" t="s">
        <v>19159</v>
      </c>
      <c r="D338" s="24">
        <v>44636</v>
      </c>
      <c r="E338" s="24" t="s">
        <v>13561</v>
      </c>
      <c r="F338" s="24" t="s">
        <v>19160</v>
      </c>
      <c r="G338" s="24" t="s">
        <v>13818</v>
      </c>
      <c r="H338" s="24" t="s">
        <v>19037</v>
      </c>
      <c r="I338" s="24" t="s">
        <v>13809</v>
      </c>
      <c r="J338" s="24"/>
      <c r="K338" s="24" t="s">
        <v>13809</v>
      </c>
      <c r="L338" s="24"/>
      <c r="M338" s="24" t="s">
        <v>19161</v>
      </c>
      <c r="N338" s="24" t="s">
        <v>13808</v>
      </c>
      <c r="O338" s="24"/>
      <c r="P338" s="24" t="s">
        <v>13808</v>
      </c>
      <c r="Q338" s="24"/>
      <c r="R338" s="24" t="s">
        <v>13818</v>
      </c>
      <c r="S338" s="24" t="s">
        <v>19038</v>
      </c>
      <c r="T338" t="s">
        <v>14071</v>
      </c>
      <c r="U338" t="s">
        <v>13809</v>
      </c>
      <c r="W338" t="s">
        <v>13809</v>
      </c>
      <c r="Y338" t="s">
        <v>13809</v>
      </c>
      <c r="AA338" t="s">
        <v>17512</v>
      </c>
      <c r="AB338" t="s">
        <v>19162</v>
      </c>
      <c r="AC338" t="s">
        <v>13818</v>
      </c>
      <c r="AD338" t="s">
        <v>14309</v>
      </c>
      <c r="AH338" t="s">
        <v>13851</v>
      </c>
      <c r="AI338" t="s">
        <v>13818</v>
      </c>
      <c r="AJ338" t="s">
        <v>14309</v>
      </c>
      <c r="AN338" t="s">
        <v>19163</v>
      </c>
      <c r="AO338" t="s">
        <v>13818</v>
      </c>
      <c r="AP338" t="s">
        <v>14309</v>
      </c>
      <c r="AT338" t="s">
        <v>19164</v>
      </c>
      <c r="AU338" t="s">
        <v>13818</v>
      </c>
      <c r="AV338" t="s">
        <v>14309</v>
      </c>
      <c r="AZ338" t="s">
        <v>19165</v>
      </c>
      <c r="BA338" t="s">
        <v>13818</v>
      </c>
      <c r="BB338" t="s">
        <v>14309</v>
      </c>
      <c r="BF338" t="s">
        <v>19166</v>
      </c>
      <c r="BG338" t="s">
        <v>13818</v>
      </c>
      <c r="BH338" t="s">
        <v>14309</v>
      </c>
      <c r="BL338" t="s">
        <v>19167</v>
      </c>
      <c r="BM338" t="s">
        <v>13818</v>
      </c>
      <c r="BN338" t="s">
        <v>14309</v>
      </c>
      <c r="BR338" t="s">
        <v>19168</v>
      </c>
      <c r="BS338" t="s">
        <v>13824</v>
      </c>
      <c r="BT338" t="s">
        <v>13818</v>
      </c>
      <c r="BU338" t="s">
        <v>18247</v>
      </c>
      <c r="BY338" t="s">
        <v>13860</v>
      </c>
      <c r="BZ338" t="s">
        <v>13818</v>
      </c>
      <c r="CA338" t="s">
        <v>16646</v>
      </c>
      <c r="CE338" t="s">
        <v>13828</v>
      </c>
      <c r="CF338" t="s">
        <v>13818</v>
      </c>
      <c r="CG338" t="s">
        <v>14309</v>
      </c>
      <c r="CK338" t="s">
        <v>13760</v>
      </c>
      <c r="CL338" t="s">
        <v>13809</v>
      </c>
      <c r="CQ338" t="s">
        <v>13766</v>
      </c>
      <c r="CR338" t="s">
        <v>13809</v>
      </c>
      <c r="CT338" t="s">
        <v>13830</v>
      </c>
      <c r="CU338" t="s">
        <v>15268</v>
      </c>
      <c r="CV338" t="s">
        <v>13818</v>
      </c>
      <c r="CW338" t="s">
        <v>14309</v>
      </c>
      <c r="DA338" t="s">
        <v>15063</v>
      </c>
      <c r="DB338" t="s">
        <v>13818</v>
      </c>
      <c r="DC338" t="s">
        <v>14309</v>
      </c>
      <c r="DG338" t="s">
        <v>14240</v>
      </c>
      <c r="DH338" t="s">
        <v>13818</v>
      </c>
      <c r="DI338" t="s">
        <v>14309</v>
      </c>
      <c r="DY338" t="s">
        <v>15364</v>
      </c>
      <c r="DZ338" t="s">
        <v>13841</v>
      </c>
      <c r="EA338" t="s">
        <v>13842</v>
      </c>
      <c r="EC338">
        <v>44638</v>
      </c>
      <c r="ED338" t="s">
        <v>14590</v>
      </c>
      <c r="EE338" t="s">
        <v>13602</v>
      </c>
    </row>
    <row r="339" spans="1:135">
      <c r="A339" t="s">
        <v>3101</v>
      </c>
      <c r="B339" t="s">
        <v>3013</v>
      </c>
      <c r="C339" t="s">
        <v>19169</v>
      </c>
      <c r="D339" s="24">
        <v>42699</v>
      </c>
      <c r="E339" s="24" t="s">
        <v>13555</v>
      </c>
      <c r="F339" s="24" t="s">
        <v>19170</v>
      </c>
      <c r="G339" s="24" t="s">
        <v>13808</v>
      </c>
      <c r="H339" s="24"/>
      <c r="I339" s="24" t="s">
        <v>13809</v>
      </c>
      <c r="J339" s="24"/>
      <c r="K339" s="24" t="s">
        <v>13808</v>
      </c>
      <c r="L339" s="24" t="s">
        <v>19171</v>
      </c>
      <c r="M339" s="24" t="s">
        <v>19172</v>
      </c>
      <c r="N339" s="24" t="s">
        <v>13808</v>
      </c>
      <c r="O339" s="24"/>
      <c r="P339" s="24" t="s">
        <v>13808</v>
      </c>
      <c r="Q339" s="24"/>
      <c r="R339" s="24" t="s">
        <v>13808</v>
      </c>
      <c r="S339" s="24"/>
      <c r="T339" t="s">
        <v>19173</v>
      </c>
      <c r="U339" t="s">
        <v>13808</v>
      </c>
      <c r="W339" t="s">
        <v>13808</v>
      </c>
      <c r="X339" t="s">
        <v>19174</v>
      </c>
      <c r="Y339" t="s">
        <v>13808</v>
      </c>
      <c r="AA339" t="s">
        <v>19175</v>
      </c>
      <c r="AC339" t="s">
        <v>13809</v>
      </c>
      <c r="AH339" t="s">
        <v>19176</v>
      </c>
      <c r="AI339" t="s">
        <v>13808</v>
      </c>
      <c r="AN339" t="s">
        <v>19177</v>
      </c>
      <c r="AO339" t="s">
        <v>13808</v>
      </c>
      <c r="AT339" t="s">
        <v>14018</v>
      </c>
      <c r="AU339" t="s">
        <v>13808</v>
      </c>
      <c r="AZ339" t="s">
        <v>19178</v>
      </c>
      <c r="BA339" t="s">
        <v>13808</v>
      </c>
      <c r="BF339" t="s">
        <v>17947</v>
      </c>
      <c r="BG339" t="s">
        <v>13808</v>
      </c>
      <c r="BL339" t="s">
        <v>19179</v>
      </c>
      <c r="BM339" t="s">
        <v>13808</v>
      </c>
      <c r="BR339" t="s">
        <v>19180</v>
      </c>
      <c r="BS339" t="s">
        <v>13887</v>
      </c>
      <c r="BT339" t="s">
        <v>13808</v>
      </c>
      <c r="BU339" t="s">
        <v>19181</v>
      </c>
      <c r="BY339" t="s">
        <v>13887</v>
      </c>
      <c r="BZ339" t="s">
        <v>13808</v>
      </c>
      <c r="CA339" t="s">
        <v>19182</v>
      </c>
      <c r="CE339" t="s">
        <v>13885</v>
      </c>
      <c r="CF339" t="s">
        <v>13808</v>
      </c>
      <c r="CL339" t="s">
        <v>13809</v>
      </c>
      <c r="CR339" t="s">
        <v>13809</v>
      </c>
      <c r="CT339" t="s">
        <v>19183</v>
      </c>
      <c r="CU339" t="s">
        <v>13909</v>
      </c>
      <c r="CV339" t="s">
        <v>13808</v>
      </c>
      <c r="DA339" t="s">
        <v>13909</v>
      </c>
      <c r="DB339" t="s">
        <v>13808</v>
      </c>
      <c r="DG339" t="s">
        <v>13909</v>
      </c>
      <c r="DH339" t="s">
        <v>13808</v>
      </c>
      <c r="DZ339" t="s">
        <v>19184</v>
      </c>
      <c r="EA339" t="s">
        <v>19185</v>
      </c>
      <c r="EC339">
        <v>44264</v>
      </c>
      <c r="ED339" t="s">
        <v>13903</v>
      </c>
      <c r="EE339" t="s">
        <v>7821</v>
      </c>
    </row>
    <row r="340" spans="1:135">
      <c r="A340" t="s">
        <v>2986</v>
      </c>
      <c r="B340" t="s">
        <v>2926</v>
      </c>
      <c r="C340" t="s">
        <v>19186</v>
      </c>
      <c r="D340" s="24">
        <v>43453</v>
      </c>
      <c r="E340" s="24" t="s">
        <v>13558</v>
      </c>
      <c r="F340" s="24" t="s">
        <v>19187</v>
      </c>
      <c r="G340" s="24" t="s">
        <v>13808</v>
      </c>
      <c r="H340" s="24"/>
      <c r="I340" s="24" t="s">
        <v>13809</v>
      </c>
      <c r="J340" s="24"/>
      <c r="K340" s="24" t="s">
        <v>13808</v>
      </c>
      <c r="L340" s="24"/>
      <c r="M340" s="24" t="s">
        <v>15106</v>
      </c>
      <c r="N340" s="24" t="s">
        <v>13808</v>
      </c>
      <c r="O340" s="24"/>
      <c r="P340" s="24" t="s">
        <v>13808</v>
      </c>
      <c r="Q340" s="24"/>
      <c r="R340" s="24" t="s">
        <v>13808</v>
      </c>
      <c r="S340" s="24"/>
      <c r="T340" t="s">
        <v>19188</v>
      </c>
      <c r="U340" t="s">
        <v>13809</v>
      </c>
      <c r="W340" t="s">
        <v>13818</v>
      </c>
      <c r="X340" t="s">
        <v>19189</v>
      </c>
      <c r="Y340" t="s">
        <v>13809</v>
      </c>
      <c r="AA340" t="s">
        <v>19190</v>
      </c>
      <c r="AB340" t="s">
        <v>14851</v>
      </c>
      <c r="AC340" t="s">
        <v>13818</v>
      </c>
      <c r="AD340" t="s">
        <v>19191</v>
      </c>
      <c r="AH340" t="s">
        <v>13887</v>
      </c>
      <c r="AI340" t="s">
        <v>13808</v>
      </c>
      <c r="AK340" t="s">
        <v>15309</v>
      </c>
      <c r="AL340" t="s">
        <v>13818</v>
      </c>
      <c r="AM340" t="s">
        <v>19191</v>
      </c>
      <c r="AO340" t="s">
        <v>13809</v>
      </c>
      <c r="AU340" t="s">
        <v>13809</v>
      </c>
      <c r="AZ340" t="s">
        <v>14706</v>
      </c>
      <c r="BA340" t="s">
        <v>13818</v>
      </c>
      <c r="BB340" t="s">
        <v>19191</v>
      </c>
      <c r="BF340" t="s">
        <v>14006</v>
      </c>
      <c r="BG340" t="s">
        <v>13818</v>
      </c>
      <c r="BH340" t="s">
        <v>19191</v>
      </c>
      <c r="BL340" t="s">
        <v>14705</v>
      </c>
      <c r="BM340" t="s">
        <v>13818</v>
      </c>
      <c r="BN340" t="s">
        <v>19191</v>
      </c>
      <c r="BR340" t="s">
        <v>19192</v>
      </c>
      <c r="BT340" t="s">
        <v>13809</v>
      </c>
      <c r="BY340" t="s">
        <v>14693</v>
      </c>
      <c r="BZ340" t="s">
        <v>13818</v>
      </c>
      <c r="CA340" t="s">
        <v>19193</v>
      </c>
      <c r="CF340" t="s">
        <v>13809</v>
      </c>
      <c r="CL340" t="s">
        <v>13809</v>
      </c>
      <c r="CR340" t="s">
        <v>13809</v>
      </c>
      <c r="CT340" t="s">
        <v>19194</v>
      </c>
      <c r="CU340" t="s">
        <v>14197</v>
      </c>
      <c r="CV340" t="s">
        <v>13818</v>
      </c>
      <c r="CW340" t="s">
        <v>19191</v>
      </c>
      <c r="CX340" t="s">
        <v>19026</v>
      </c>
      <c r="CY340" t="s">
        <v>13818</v>
      </c>
      <c r="DA340" t="s">
        <v>13887</v>
      </c>
      <c r="DB340" t="s">
        <v>13818</v>
      </c>
      <c r="DG340" t="s">
        <v>13885</v>
      </c>
      <c r="DH340" t="s">
        <v>13818</v>
      </c>
      <c r="DI340" t="s">
        <v>19191</v>
      </c>
      <c r="DJ340" t="s">
        <v>14840</v>
      </c>
      <c r="DK340" t="s">
        <v>13818</v>
      </c>
      <c r="DZ340" t="s">
        <v>14274</v>
      </c>
      <c r="EA340" t="s">
        <v>14201</v>
      </c>
      <c r="EC340">
        <v>44264</v>
      </c>
      <c r="ED340" t="s">
        <v>13903</v>
      </c>
      <c r="EE340" t="s">
        <v>7692</v>
      </c>
    </row>
    <row r="341" spans="1:135">
      <c r="A341" t="s">
        <v>2400</v>
      </c>
      <c r="B341" t="s">
        <v>2314</v>
      </c>
      <c r="C341" t="s">
        <v>19195</v>
      </c>
      <c r="D341" s="24">
        <v>43606</v>
      </c>
      <c r="E341" s="24" t="s">
        <v>13560</v>
      </c>
      <c r="F341" s="24" t="s">
        <v>19196</v>
      </c>
      <c r="G341" s="24" t="s">
        <v>13808</v>
      </c>
      <c r="H341" s="24"/>
      <c r="I341" s="24" t="s">
        <v>13809</v>
      </c>
      <c r="J341" s="24"/>
      <c r="K341" s="24" t="s">
        <v>13809</v>
      </c>
      <c r="L341" s="24"/>
      <c r="M341" s="24" t="s">
        <v>15021</v>
      </c>
      <c r="N341" s="24" t="s">
        <v>13808</v>
      </c>
      <c r="O341" s="24"/>
      <c r="P341" s="24" t="s">
        <v>13808</v>
      </c>
      <c r="Q341" s="24"/>
      <c r="R341" s="24" t="s">
        <v>13808</v>
      </c>
      <c r="S341" s="24"/>
      <c r="T341" t="s">
        <v>19197</v>
      </c>
      <c r="U341" t="s">
        <v>13809</v>
      </c>
      <c r="W341" t="s">
        <v>13808</v>
      </c>
      <c r="X341" t="s">
        <v>19198</v>
      </c>
      <c r="Y341" t="s">
        <v>13809</v>
      </c>
      <c r="AA341" t="s">
        <v>16563</v>
      </c>
      <c r="AB341" t="s">
        <v>14366</v>
      </c>
      <c r="AC341" t="s">
        <v>13808</v>
      </c>
      <c r="AH341" t="s">
        <v>13909</v>
      </c>
      <c r="AI341" t="s">
        <v>13808</v>
      </c>
      <c r="AO341" t="s">
        <v>13809</v>
      </c>
      <c r="AT341" t="s">
        <v>13910</v>
      </c>
      <c r="AU341" t="s">
        <v>13897</v>
      </c>
      <c r="AZ341" t="s">
        <v>15883</v>
      </c>
      <c r="BA341" t="s">
        <v>13808</v>
      </c>
      <c r="BF341" t="s">
        <v>14490</v>
      </c>
      <c r="BG341" t="s">
        <v>13808</v>
      </c>
      <c r="BM341" t="s">
        <v>13809</v>
      </c>
      <c r="BR341" t="s">
        <v>19199</v>
      </c>
      <c r="BS341" t="s">
        <v>13887</v>
      </c>
      <c r="BT341" t="s">
        <v>13808</v>
      </c>
      <c r="BU341" t="s">
        <v>14025</v>
      </c>
      <c r="BY341" t="s">
        <v>13887</v>
      </c>
      <c r="BZ341" t="s">
        <v>13808</v>
      </c>
      <c r="CA341" t="s">
        <v>13888</v>
      </c>
      <c r="CE341" t="s">
        <v>13887</v>
      </c>
      <c r="CF341" t="s">
        <v>13808</v>
      </c>
      <c r="CL341" t="s">
        <v>13809</v>
      </c>
      <c r="CR341" t="s">
        <v>13809</v>
      </c>
      <c r="CT341" t="s">
        <v>19200</v>
      </c>
      <c r="CU341" t="s">
        <v>19201</v>
      </c>
      <c r="CV341" t="s">
        <v>13818</v>
      </c>
      <c r="CW341" t="s">
        <v>17988</v>
      </c>
      <c r="DA341" t="s">
        <v>19202</v>
      </c>
      <c r="DB341" t="s">
        <v>13818</v>
      </c>
      <c r="DC341" t="s">
        <v>17988</v>
      </c>
      <c r="DG341" t="s">
        <v>19203</v>
      </c>
      <c r="DH341" t="s">
        <v>13808</v>
      </c>
      <c r="DJ341" t="s">
        <v>14851</v>
      </c>
      <c r="DK341" t="s">
        <v>13818</v>
      </c>
      <c r="DL341" t="s">
        <v>17988</v>
      </c>
      <c r="DM341" t="s">
        <v>19204</v>
      </c>
      <c r="DN341" t="s">
        <v>13818</v>
      </c>
      <c r="DO341" t="s">
        <v>17988</v>
      </c>
      <c r="DP341" t="s">
        <v>19205</v>
      </c>
      <c r="DQ341" t="s">
        <v>13818</v>
      </c>
      <c r="DR341" t="s">
        <v>19206</v>
      </c>
      <c r="DY341" t="s">
        <v>13900</v>
      </c>
      <c r="DZ341" t="s">
        <v>19207</v>
      </c>
      <c r="EA341" t="s">
        <v>19207</v>
      </c>
      <c r="ED341" t="s">
        <v>14501</v>
      </c>
      <c r="EE341" t="s">
        <v>7096</v>
      </c>
    </row>
    <row r="342" spans="1:135">
      <c r="A342" t="s">
        <v>3109</v>
      </c>
      <c r="B342" t="s">
        <v>3013</v>
      </c>
      <c r="C342" t="s">
        <v>19208</v>
      </c>
      <c r="D342" s="24">
        <v>43637</v>
      </c>
      <c r="E342" s="24" t="s">
        <v>13553</v>
      </c>
      <c r="F342" s="24" t="s">
        <v>19209</v>
      </c>
      <c r="G342" s="24" t="s">
        <v>13808</v>
      </c>
      <c r="H342" s="24"/>
      <c r="I342" s="24" t="s">
        <v>13809</v>
      </c>
      <c r="J342" s="24"/>
      <c r="K342" s="24" t="s">
        <v>13809</v>
      </c>
      <c r="L342" s="24"/>
      <c r="M342" s="24" t="s">
        <v>14163</v>
      </c>
      <c r="N342" s="24" t="s">
        <v>13808</v>
      </c>
      <c r="O342" s="24"/>
      <c r="P342" s="24" t="s">
        <v>13808</v>
      </c>
      <c r="Q342" s="24"/>
      <c r="R342" s="24" t="s">
        <v>13808</v>
      </c>
      <c r="S342" s="24"/>
      <c r="T342" t="s">
        <v>14016</v>
      </c>
      <c r="U342" t="s">
        <v>13809</v>
      </c>
      <c r="W342" t="s">
        <v>13808</v>
      </c>
      <c r="X342" t="s">
        <v>19210</v>
      </c>
      <c r="Y342" t="s">
        <v>13808</v>
      </c>
      <c r="AA342" t="s">
        <v>13877</v>
      </c>
      <c r="AC342" t="s">
        <v>13809</v>
      </c>
      <c r="AH342" t="s">
        <v>13909</v>
      </c>
      <c r="AI342" t="s">
        <v>13808</v>
      </c>
      <c r="AN342" t="s">
        <v>19211</v>
      </c>
      <c r="AO342" t="s">
        <v>13808</v>
      </c>
      <c r="AT342" t="s">
        <v>14366</v>
      </c>
      <c r="AU342" t="s">
        <v>13808</v>
      </c>
      <c r="AZ342" t="s">
        <v>19212</v>
      </c>
      <c r="BA342" t="s">
        <v>13808</v>
      </c>
      <c r="BF342" t="s">
        <v>14706</v>
      </c>
      <c r="BG342" t="s">
        <v>13808</v>
      </c>
      <c r="BL342" t="s">
        <v>19213</v>
      </c>
      <c r="BM342" t="s">
        <v>13897</v>
      </c>
      <c r="BR342" t="s">
        <v>19214</v>
      </c>
      <c r="BT342" t="s">
        <v>13809</v>
      </c>
      <c r="BY342" t="s">
        <v>13887</v>
      </c>
      <c r="BZ342" t="s">
        <v>13808</v>
      </c>
      <c r="CA342" t="s">
        <v>13888</v>
      </c>
      <c r="CE342" t="s">
        <v>16201</v>
      </c>
      <c r="CF342" t="s">
        <v>13808</v>
      </c>
      <c r="CG342" t="s">
        <v>19215</v>
      </c>
      <c r="CL342" t="s">
        <v>13809</v>
      </c>
      <c r="CR342" t="s">
        <v>13809</v>
      </c>
      <c r="CT342" t="s">
        <v>14938</v>
      </c>
      <c r="CU342" t="s">
        <v>19216</v>
      </c>
      <c r="CV342" t="s">
        <v>13808</v>
      </c>
      <c r="DA342" t="s">
        <v>19217</v>
      </c>
      <c r="DB342" t="s">
        <v>13808</v>
      </c>
      <c r="DH342" t="s">
        <v>13809</v>
      </c>
      <c r="DM342" t="s">
        <v>19218</v>
      </c>
      <c r="DN342" t="s">
        <v>13808</v>
      </c>
      <c r="DO342" t="s">
        <v>19219</v>
      </c>
      <c r="DP342" t="s">
        <v>19220</v>
      </c>
      <c r="DQ342" t="s">
        <v>13808</v>
      </c>
      <c r="DR342" t="s">
        <v>14947</v>
      </c>
      <c r="DY342" t="s">
        <v>15828</v>
      </c>
      <c r="DZ342" t="s">
        <v>19221</v>
      </c>
      <c r="EA342" t="s">
        <v>19222</v>
      </c>
      <c r="EC342">
        <v>44264</v>
      </c>
      <c r="ED342" t="s">
        <v>14501</v>
      </c>
      <c r="EE342" t="s">
        <v>7829</v>
      </c>
    </row>
    <row r="343" spans="1:135">
      <c r="A343" t="s">
        <v>2404</v>
      </c>
      <c r="B343" t="s">
        <v>2314</v>
      </c>
      <c r="C343" t="s">
        <v>19223</v>
      </c>
      <c r="D343" s="24">
        <v>43627</v>
      </c>
      <c r="E343" s="24" t="s">
        <v>13555</v>
      </c>
      <c r="F343" s="24" t="s">
        <v>19224</v>
      </c>
      <c r="G343" s="24" t="s">
        <v>13808</v>
      </c>
      <c r="H343" s="24"/>
      <c r="I343" s="24" t="s">
        <v>13809</v>
      </c>
      <c r="J343" s="24"/>
      <c r="K343" s="24" t="s">
        <v>13808</v>
      </c>
      <c r="L343" s="24" t="s">
        <v>19225</v>
      </c>
      <c r="M343" s="24" t="s">
        <v>19226</v>
      </c>
      <c r="N343" s="24" t="s">
        <v>13808</v>
      </c>
      <c r="O343" s="24"/>
      <c r="P343" s="24" t="s">
        <v>13808</v>
      </c>
      <c r="Q343" s="24"/>
      <c r="R343" s="24" t="s">
        <v>13808</v>
      </c>
      <c r="S343" s="24"/>
      <c r="T343" t="s">
        <v>19227</v>
      </c>
      <c r="U343" t="s">
        <v>13809</v>
      </c>
      <c r="W343" t="s">
        <v>13808</v>
      </c>
      <c r="X343" t="s">
        <v>19228</v>
      </c>
      <c r="Y343" t="s">
        <v>13808</v>
      </c>
      <c r="AA343" t="s">
        <v>13877</v>
      </c>
      <c r="AB343" t="s">
        <v>15077</v>
      </c>
      <c r="AC343" t="s">
        <v>13808</v>
      </c>
      <c r="AH343" t="s">
        <v>13909</v>
      </c>
      <c r="AI343" t="s">
        <v>13808</v>
      </c>
      <c r="AO343" t="s">
        <v>13809</v>
      </c>
      <c r="AU343" t="s">
        <v>13809</v>
      </c>
      <c r="AZ343" t="s">
        <v>13892</v>
      </c>
      <c r="BA343" t="s">
        <v>13808</v>
      </c>
      <c r="BF343" t="s">
        <v>15834</v>
      </c>
      <c r="BG343" t="s">
        <v>13808</v>
      </c>
      <c r="BL343" t="s">
        <v>17853</v>
      </c>
      <c r="BM343" t="s">
        <v>13897</v>
      </c>
      <c r="BR343" t="s">
        <v>19229</v>
      </c>
      <c r="BT343" t="s">
        <v>13809</v>
      </c>
      <c r="BY343" t="s">
        <v>16201</v>
      </c>
      <c r="BZ343" t="s">
        <v>13808</v>
      </c>
      <c r="CA343" t="s">
        <v>14026</v>
      </c>
      <c r="CE343" t="s">
        <v>16141</v>
      </c>
      <c r="CF343" t="s">
        <v>13808</v>
      </c>
      <c r="CG343" t="s">
        <v>14128</v>
      </c>
      <c r="CL343" t="s">
        <v>13809</v>
      </c>
      <c r="CR343" t="s">
        <v>13809</v>
      </c>
      <c r="CT343" t="s">
        <v>19230</v>
      </c>
      <c r="CU343" t="s">
        <v>19231</v>
      </c>
      <c r="CV343" t="s">
        <v>13808</v>
      </c>
      <c r="DA343" t="s">
        <v>19232</v>
      </c>
      <c r="DB343" t="s">
        <v>13808</v>
      </c>
      <c r="DH343" t="s">
        <v>13809</v>
      </c>
      <c r="DM343" t="s">
        <v>19233</v>
      </c>
      <c r="DN343" t="s">
        <v>13808</v>
      </c>
      <c r="DO343" t="s">
        <v>19234</v>
      </c>
      <c r="DP343" t="s">
        <v>19235</v>
      </c>
      <c r="DQ343" t="s">
        <v>13818</v>
      </c>
      <c r="DR343" t="s">
        <v>19236</v>
      </c>
      <c r="DY343" t="s">
        <v>15828</v>
      </c>
      <c r="DZ343" t="s">
        <v>19237</v>
      </c>
      <c r="EA343" t="s">
        <v>19238</v>
      </c>
      <c r="EC343">
        <v>43647</v>
      </c>
      <c r="ED343" t="s">
        <v>14501</v>
      </c>
      <c r="EE343" t="s">
        <v>7100</v>
      </c>
    </row>
    <row r="344" spans="1:135">
      <c r="A344" t="s">
        <v>2408</v>
      </c>
      <c r="B344" t="s">
        <v>2314</v>
      </c>
      <c r="C344" t="s">
        <v>19239</v>
      </c>
      <c r="D344" s="24">
        <v>43655</v>
      </c>
      <c r="E344" s="24" t="s">
        <v>13553</v>
      </c>
      <c r="F344" s="24" t="s">
        <v>19240</v>
      </c>
      <c r="G344" s="24" t="s">
        <v>13808</v>
      </c>
      <c r="H344" s="24" t="s">
        <v>19241</v>
      </c>
      <c r="I344" s="24" t="s">
        <v>13809</v>
      </c>
      <c r="J344" s="24"/>
      <c r="K344" s="24" t="s">
        <v>13809</v>
      </c>
      <c r="L344" s="24"/>
      <c r="M344" s="24" t="s">
        <v>15021</v>
      </c>
      <c r="N344" s="24" t="s">
        <v>13808</v>
      </c>
      <c r="O344" s="24"/>
      <c r="P344" s="24" t="s">
        <v>13808</v>
      </c>
      <c r="Q344" s="24"/>
      <c r="R344" s="24" t="s">
        <v>13808</v>
      </c>
      <c r="S344" s="24"/>
      <c r="T344" t="s">
        <v>19242</v>
      </c>
      <c r="U344" t="s">
        <v>13809</v>
      </c>
      <c r="W344" t="s">
        <v>13808</v>
      </c>
      <c r="X344" t="s">
        <v>19243</v>
      </c>
      <c r="Y344" t="s">
        <v>13808</v>
      </c>
      <c r="AA344" t="s">
        <v>14684</v>
      </c>
      <c r="AB344" t="s">
        <v>19244</v>
      </c>
      <c r="AC344" t="s">
        <v>13808</v>
      </c>
      <c r="AH344" t="s">
        <v>13909</v>
      </c>
      <c r="AI344" t="s">
        <v>13808</v>
      </c>
      <c r="AN344" t="s">
        <v>19245</v>
      </c>
      <c r="AO344" t="s">
        <v>13808</v>
      </c>
      <c r="AT344" t="s">
        <v>19246</v>
      </c>
      <c r="AU344" t="s">
        <v>13808</v>
      </c>
      <c r="AZ344" t="s">
        <v>15883</v>
      </c>
      <c r="BA344" t="s">
        <v>13808</v>
      </c>
      <c r="BF344" t="s">
        <v>16078</v>
      </c>
      <c r="BG344" t="s">
        <v>13808</v>
      </c>
      <c r="BL344" t="s">
        <v>19247</v>
      </c>
      <c r="BM344" t="s">
        <v>13808</v>
      </c>
      <c r="BR344" t="s">
        <v>19248</v>
      </c>
      <c r="BS344" t="s">
        <v>13885</v>
      </c>
      <c r="BT344" t="s">
        <v>13808</v>
      </c>
      <c r="BU344" t="s">
        <v>19249</v>
      </c>
      <c r="BY344" t="s">
        <v>13887</v>
      </c>
      <c r="BZ344" t="s">
        <v>13808</v>
      </c>
      <c r="CA344" t="s">
        <v>13888</v>
      </c>
      <c r="CE344" t="s">
        <v>14265</v>
      </c>
      <c r="CF344" t="s">
        <v>13808</v>
      </c>
      <c r="CL344" t="s">
        <v>13809</v>
      </c>
      <c r="CR344" t="s">
        <v>13809</v>
      </c>
      <c r="CT344" t="s">
        <v>19250</v>
      </c>
      <c r="CU344" t="s">
        <v>19251</v>
      </c>
      <c r="CV344" t="s">
        <v>13818</v>
      </c>
      <c r="CW344" t="s">
        <v>19252</v>
      </c>
      <c r="DA344" t="s">
        <v>19253</v>
      </c>
      <c r="DB344" t="s">
        <v>13818</v>
      </c>
      <c r="DC344" t="s">
        <v>19252</v>
      </c>
      <c r="DH344" t="s">
        <v>13809</v>
      </c>
      <c r="DM344" t="s">
        <v>19254</v>
      </c>
      <c r="DN344" t="s">
        <v>13808</v>
      </c>
      <c r="DO344" t="s">
        <v>19255</v>
      </c>
      <c r="DP344" t="s">
        <v>19256</v>
      </c>
      <c r="DQ344" t="s">
        <v>13808</v>
      </c>
      <c r="DY344" t="s">
        <v>13900</v>
      </c>
      <c r="DZ344" t="s">
        <v>19257</v>
      </c>
      <c r="EA344" t="s">
        <v>14500</v>
      </c>
      <c r="EC344">
        <v>44264</v>
      </c>
      <c r="ED344" t="s">
        <v>14501</v>
      </c>
      <c r="EE344" t="s">
        <v>7104</v>
      </c>
    </row>
    <row r="345" spans="1:135">
      <c r="A345" t="s">
        <v>2413</v>
      </c>
      <c r="B345" t="s">
        <v>2314</v>
      </c>
      <c r="C345" t="s">
        <v>19258</v>
      </c>
      <c r="D345" s="24">
        <v>43557</v>
      </c>
      <c r="E345" s="24" t="s">
        <v>13553</v>
      </c>
      <c r="F345" s="24" t="s">
        <v>19259</v>
      </c>
      <c r="G345" s="24" t="s">
        <v>13808</v>
      </c>
      <c r="H345" s="24"/>
      <c r="I345" s="24" t="s">
        <v>13809</v>
      </c>
      <c r="J345" s="24"/>
      <c r="K345" s="24" t="s">
        <v>13808</v>
      </c>
      <c r="L345" s="24"/>
      <c r="M345" s="24" t="s">
        <v>19260</v>
      </c>
      <c r="N345" s="24" t="s">
        <v>13808</v>
      </c>
      <c r="O345" s="24"/>
      <c r="P345" s="24" t="s">
        <v>13808</v>
      </c>
      <c r="Q345" s="24"/>
      <c r="R345" s="24" t="s">
        <v>13808</v>
      </c>
      <c r="S345" s="24"/>
      <c r="T345" t="s">
        <v>19261</v>
      </c>
      <c r="U345" t="s">
        <v>13808</v>
      </c>
      <c r="W345" t="s">
        <v>13808</v>
      </c>
      <c r="X345" t="s">
        <v>19262</v>
      </c>
      <c r="Y345" t="s">
        <v>13809</v>
      </c>
      <c r="AA345" t="s">
        <v>13877</v>
      </c>
      <c r="AB345" t="s">
        <v>19263</v>
      </c>
      <c r="AC345" t="s">
        <v>13808</v>
      </c>
      <c r="AH345" t="s">
        <v>13909</v>
      </c>
      <c r="AI345" t="s">
        <v>13808</v>
      </c>
      <c r="AO345" t="s">
        <v>13809</v>
      </c>
      <c r="AT345" t="s">
        <v>19264</v>
      </c>
      <c r="AU345" t="s">
        <v>13808</v>
      </c>
      <c r="AZ345" t="s">
        <v>19265</v>
      </c>
      <c r="BA345" t="s">
        <v>13808</v>
      </c>
      <c r="BF345" t="s">
        <v>14189</v>
      </c>
      <c r="BG345" t="s">
        <v>13808</v>
      </c>
      <c r="BL345" t="s">
        <v>19266</v>
      </c>
      <c r="BM345" t="s">
        <v>13808</v>
      </c>
      <c r="BR345" t="s">
        <v>19267</v>
      </c>
      <c r="BS345" t="s">
        <v>13887</v>
      </c>
      <c r="BT345" t="s">
        <v>13808</v>
      </c>
      <c r="BU345" t="s">
        <v>17966</v>
      </c>
      <c r="BY345" t="s">
        <v>14197</v>
      </c>
      <c r="BZ345" t="s">
        <v>13808</v>
      </c>
      <c r="CA345" t="s">
        <v>17109</v>
      </c>
      <c r="CE345" t="s">
        <v>13887</v>
      </c>
      <c r="CF345" t="s">
        <v>13808</v>
      </c>
      <c r="CL345" t="s">
        <v>13809</v>
      </c>
      <c r="CR345" t="s">
        <v>13809</v>
      </c>
      <c r="CT345" t="s">
        <v>19268</v>
      </c>
      <c r="CU345" t="s">
        <v>19269</v>
      </c>
      <c r="CV345" t="s">
        <v>13808</v>
      </c>
      <c r="DA345" t="s">
        <v>19270</v>
      </c>
      <c r="DB345" t="s">
        <v>13808</v>
      </c>
      <c r="DG345" t="s">
        <v>19271</v>
      </c>
      <c r="DH345" t="s">
        <v>13808</v>
      </c>
      <c r="DM345" t="s">
        <v>19272</v>
      </c>
      <c r="DN345" t="s">
        <v>13808</v>
      </c>
      <c r="DY345" t="s">
        <v>13900</v>
      </c>
      <c r="DZ345" t="s">
        <v>19273</v>
      </c>
      <c r="EA345" t="s">
        <v>19274</v>
      </c>
      <c r="EC345">
        <v>44263</v>
      </c>
      <c r="ED345" t="s">
        <v>14501</v>
      </c>
      <c r="EE345" t="s">
        <v>7106</v>
      </c>
    </row>
    <row r="346" spans="1:135">
      <c r="A346" t="s">
        <v>2417</v>
      </c>
      <c r="B346" t="s">
        <v>2314</v>
      </c>
      <c r="C346" t="s">
        <v>19275</v>
      </c>
      <c r="D346" s="24">
        <v>43579</v>
      </c>
      <c r="E346" s="24" t="s">
        <v>13553</v>
      </c>
      <c r="F346" s="24" t="s">
        <v>19276</v>
      </c>
      <c r="G346" s="24" t="s">
        <v>13808</v>
      </c>
      <c r="H346" s="24"/>
      <c r="I346" s="24" t="s">
        <v>13809</v>
      </c>
      <c r="J346" s="24"/>
      <c r="K346" s="24" t="s">
        <v>13808</v>
      </c>
      <c r="L346" s="24" t="s">
        <v>19277</v>
      </c>
      <c r="M346" s="24" t="s">
        <v>17316</v>
      </c>
      <c r="N346" s="24" t="s">
        <v>13808</v>
      </c>
      <c r="O346" s="24"/>
      <c r="P346" s="24" t="s">
        <v>13808</v>
      </c>
      <c r="Q346" s="24"/>
      <c r="R346" s="24" t="s">
        <v>13808</v>
      </c>
      <c r="S346" s="24"/>
      <c r="T346" t="s">
        <v>14429</v>
      </c>
      <c r="U346" t="s">
        <v>13809</v>
      </c>
      <c r="W346" t="s">
        <v>13808</v>
      </c>
      <c r="X346" t="s">
        <v>19278</v>
      </c>
      <c r="Y346" t="s">
        <v>13808</v>
      </c>
      <c r="AA346" t="s">
        <v>13849</v>
      </c>
      <c r="AB346" t="s">
        <v>19279</v>
      </c>
      <c r="AC346" t="s">
        <v>13808</v>
      </c>
      <c r="AH346" t="s">
        <v>13909</v>
      </c>
      <c r="AI346" t="s">
        <v>13808</v>
      </c>
      <c r="AO346" t="s">
        <v>13809</v>
      </c>
      <c r="AT346" t="s">
        <v>15883</v>
      </c>
      <c r="AU346" t="s">
        <v>13808</v>
      </c>
      <c r="AZ346" t="s">
        <v>19280</v>
      </c>
      <c r="BA346" t="s">
        <v>13808</v>
      </c>
      <c r="BF346" t="s">
        <v>14816</v>
      </c>
      <c r="BG346" t="s">
        <v>13808</v>
      </c>
      <c r="BL346" t="s">
        <v>19281</v>
      </c>
      <c r="BM346" t="s">
        <v>13808</v>
      </c>
      <c r="BR346" t="s">
        <v>19282</v>
      </c>
      <c r="BT346" t="s">
        <v>13809</v>
      </c>
      <c r="BY346" t="s">
        <v>19283</v>
      </c>
      <c r="BZ346" t="s">
        <v>13808</v>
      </c>
      <c r="CA346" t="s">
        <v>19284</v>
      </c>
      <c r="CE346" t="s">
        <v>14693</v>
      </c>
      <c r="CF346" t="s">
        <v>13808</v>
      </c>
      <c r="CG346" t="s">
        <v>13863</v>
      </c>
      <c r="CH346" t="s">
        <v>13885</v>
      </c>
      <c r="CI346" t="s">
        <v>13808</v>
      </c>
      <c r="CJ346" t="s">
        <v>19285</v>
      </c>
      <c r="CL346" t="s">
        <v>13809</v>
      </c>
      <c r="CR346" t="s">
        <v>13809</v>
      </c>
      <c r="CT346" t="s">
        <v>19286</v>
      </c>
      <c r="CU346" t="s">
        <v>19287</v>
      </c>
      <c r="CV346" t="s">
        <v>13808</v>
      </c>
      <c r="DA346" t="s">
        <v>19288</v>
      </c>
      <c r="DB346" t="s">
        <v>13808</v>
      </c>
      <c r="DH346" t="s">
        <v>13809</v>
      </c>
      <c r="DM346" t="s">
        <v>19289</v>
      </c>
      <c r="DN346" t="s">
        <v>13808</v>
      </c>
      <c r="DO346" t="s">
        <v>19290</v>
      </c>
      <c r="DP346" t="s">
        <v>19291</v>
      </c>
      <c r="DQ346" t="s">
        <v>13808</v>
      </c>
      <c r="DY346" t="s">
        <v>13840</v>
      </c>
      <c r="DZ346" t="s">
        <v>19292</v>
      </c>
      <c r="EA346" t="s">
        <v>13871</v>
      </c>
      <c r="EC346">
        <v>44260</v>
      </c>
      <c r="ED346" t="s">
        <v>14501</v>
      </c>
      <c r="EE346" t="s">
        <v>7110</v>
      </c>
    </row>
    <row r="347" spans="1:135">
      <c r="A347" t="s">
        <v>2421</v>
      </c>
      <c r="B347" t="s">
        <v>2314</v>
      </c>
      <c r="C347" t="s">
        <v>19293</v>
      </c>
      <c r="D347" s="24">
        <v>42656</v>
      </c>
      <c r="E347" s="24" t="s">
        <v>13555</v>
      </c>
      <c r="F347" s="24" t="s">
        <v>19294</v>
      </c>
      <c r="G347" s="24" t="s">
        <v>13808</v>
      </c>
      <c r="H347" s="24"/>
      <c r="I347" s="24" t="s">
        <v>13809</v>
      </c>
      <c r="J347" s="24"/>
      <c r="K347" s="24" t="s">
        <v>13809</v>
      </c>
      <c r="L347" s="24"/>
      <c r="M347" s="24" t="s">
        <v>19295</v>
      </c>
      <c r="N347" s="24" t="s">
        <v>13808</v>
      </c>
      <c r="O347" s="24"/>
      <c r="P347" s="24" t="s">
        <v>13808</v>
      </c>
      <c r="Q347" s="24"/>
      <c r="R347" s="24" t="s">
        <v>13808</v>
      </c>
      <c r="S347" s="24"/>
      <c r="T347" t="s">
        <v>19296</v>
      </c>
      <c r="U347" t="s">
        <v>13809</v>
      </c>
      <c r="W347" t="s">
        <v>13808</v>
      </c>
      <c r="X347" t="s">
        <v>19297</v>
      </c>
      <c r="Y347" t="s">
        <v>13808</v>
      </c>
      <c r="Z347" t="s">
        <v>19298</v>
      </c>
      <c r="AA347" t="s">
        <v>13849</v>
      </c>
      <c r="AH347" t="s">
        <v>19299</v>
      </c>
      <c r="AI347" t="s">
        <v>13808</v>
      </c>
      <c r="AN347" t="s">
        <v>15038</v>
      </c>
      <c r="AO347" t="s">
        <v>13808</v>
      </c>
      <c r="AT347" t="s">
        <v>19300</v>
      </c>
      <c r="AU347" t="s">
        <v>13808</v>
      </c>
      <c r="AZ347" t="s">
        <v>19301</v>
      </c>
      <c r="BA347" t="s">
        <v>13808</v>
      </c>
      <c r="BF347" t="s">
        <v>19302</v>
      </c>
      <c r="BG347" t="s">
        <v>13808</v>
      </c>
      <c r="BL347" t="s">
        <v>19303</v>
      </c>
      <c r="BM347" t="s">
        <v>13808</v>
      </c>
      <c r="BR347" t="s">
        <v>19304</v>
      </c>
      <c r="BY347" t="s">
        <v>19305</v>
      </c>
      <c r="BZ347" t="s">
        <v>15174</v>
      </c>
      <c r="CA347" t="s">
        <v>17630</v>
      </c>
      <c r="CE347" t="s">
        <v>13828</v>
      </c>
      <c r="CF347" t="s">
        <v>13808</v>
      </c>
      <c r="CK347" t="s">
        <v>13760</v>
      </c>
      <c r="CL347" t="s">
        <v>13809</v>
      </c>
      <c r="CQ347" t="s">
        <v>13766</v>
      </c>
      <c r="CR347" t="s">
        <v>13809</v>
      </c>
      <c r="CT347" t="s">
        <v>16771</v>
      </c>
      <c r="DG347" t="s">
        <v>14562</v>
      </c>
      <c r="DZ347" t="s">
        <v>19306</v>
      </c>
      <c r="EA347" t="s">
        <v>14182</v>
      </c>
      <c r="EC347">
        <v>44627</v>
      </c>
      <c r="ED347" t="s">
        <v>13843</v>
      </c>
      <c r="EE347" t="s">
        <v>7116</v>
      </c>
    </row>
    <row r="348" spans="1:135">
      <c r="A348" t="s">
        <v>2432</v>
      </c>
      <c r="B348" t="s">
        <v>2314</v>
      </c>
      <c r="C348" t="s">
        <v>19307</v>
      </c>
      <c r="D348" s="24">
        <v>43565</v>
      </c>
      <c r="E348" s="24" t="s">
        <v>13553</v>
      </c>
      <c r="F348" s="24" t="s">
        <v>19308</v>
      </c>
      <c r="G348" s="24" t="s">
        <v>13808</v>
      </c>
      <c r="H348" s="24"/>
      <c r="I348" s="24" t="s">
        <v>13809</v>
      </c>
      <c r="J348" s="24"/>
      <c r="K348" s="24" t="s">
        <v>13809</v>
      </c>
      <c r="L348" s="24"/>
      <c r="M348" s="24" t="s">
        <v>14163</v>
      </c>
      <c r="N348" s="24" t="s">
        <v>13808</v>
      </c>
      <c r="O348" s="24"/>
      <c r="P348" s="24" t="s">
        <v>13808</v>
      </c>
      <c r="Q348" s="24"/>
      <c r="R348" s="24" t="s">
        <v>13808</v>
      </c>
      <c r="S348" s="24"/>
      <c r="T348" t="s">
        <v>14429</v>
      </c>
      <c r="U348" t="s">
        <v>13808</v>
      </c>
      <c r="W348" t="s">
        <v>13808</v>
      </c>
      <c r="X348" t="s">
        <v>19309</v>
      </c>
      <c r="Y348" t="s">
        <v>13808</v>
      </c>
      <c r="AA348" t="s">
        <v>13877</v>
      </c>
      <c r="AB348" t="s">
        <v>19310</v>
      </c>
      <c r="AC348" t="s">
        <v>13808</v>
      </c>
      <c r="AH348" t="s">
        <v>13909</v>
      </c>
      <c r="AI348" t="s">
        <v>13808</v>
      </c>
      <c r="AO348" t="s">
        <v>13809</v>
      </c>
      <c r="AT348" t="s">
        <v>14732</v>
      </c>
      <c r="AU348" t="s">
        <v>13808</v>
      </c>
      <c r="AZ348" t="s">
        <v>15883</v>
      </c>
      <c r="BA348" t="s">
        <v>13808</v>
      </c>
      <c r="BF348" t="s">
        <v>17398</v>
      </c>
      <c r="BG348" t="s">
        <v>13808</v>
      </c>
      <c r="BL348" t="s">
        <v>19311</v>
      </c>
      <c r="BM348" t="s">
        <v>13808</v>
      </c>
      <c r="BR348" t="s">
        <v>19312</v>
      </c>
      <c r="BT348" t="s">
        <v>13809</v>
      </c>
      <c r="BY348" t="s">
        <v>19313</v>
      </c>
      <c r="BZ348" t="s">
        <v>13808</v>
      </c>
      <c r="CA348" t="s">
        <v>14026</v>
      </c>
      <c r="CF348" t="s">
        <v>13809</v>
      </c>
      <c r="CK348" t="s">
        <v>16141</v>
      </c>
      <c r="CL348" t="s">
        <v>13808</v>
      </c>
      <c r="CM348" t="s">
        <v>14291</v>
      </c>
      <c r="CR348" t="s">
        <v>13809</v>
      </c>
      <c r="CT348" t="s">
        <v>19314</v>
      </c>
      <c r="CU348" t="s">
        <v>19315</v>
      </c>
      <c r="CV348" t="s">
        <v>13808</v>
      </c>
      <c r="DA348" t="s">
        <v>19316</v>
      </c>
      <c r="DB348" t="s">
        <v>13808</v>
      </c>
      <c r="DH348" t="s">
        <v>13809</v>
      </c>
      <c r="DM348" t="s">
        <v>19317</v>
      </c>
      <c r="DN348" t="s">
        <v>13808</v>
      </c>
      <c r="DZ348" t="s">
        <v>19318</v>
      </c>
      <c r="EA348" t="s">
        <v>19319</v>
      </c>
      <c r="EC348">
        <v>44260</v>
      </c>
      <c r="ED348" t="s">
        <v>14501</v>
      </c>
      <c r="EE348" t="s">
        <v>7124</v>
      </c>
    </row>
    <row r="349" spans="1:135">
      <c r="A349" t="s">
        <v>2440</v>
      </c>
      <c r="B349" t="s">
        <v>2314</v>
      </c>
      <c r="C349" t="s">
        <v>19320</v>
      </c>
      <c r="D349" s="24">
        <v>43565</v>
      </c>
      <c r="E349" s="24" t="s">
        <v>13553</v>
      </c>
      <c r="F349" s="24" t="s">
        <v>19321</v>
      </c>
      <c r="G349" s="24" t="s">
        <v>13808</v>
      </c>
      <c r="H349" s="24"/>
      <c r="I349" s="24" t="s">
        <v>13809</v>
      </c>
      <c r="J349" s="24"/>
      <c r="K349" s="24" t="s">
        <v>13809</v>
      </c>
      <c r="L349" s="24"/>
      <c r="M349" s="24" t="s">
        <v>14163</v>
      </c>
      <c r="N349" s="24" t="s">
        <v>13808</v>
      </c>
      <c r="O349" s="24"/>
      <c r="P349" s="24" t="s">
        <v>13808</v>
      </c>
      <c r="Q349" s="24"/>
      <c r="R349" s="24" t="s">
        <v>13808</v>
      </c>
      <c r="S349" s="24"/>
      <c r="T349" t="s">
        <v>14016</v>
      </c>
      <c r="U349" t="s">
        <v>13808</v>
      </c>
      <c r="W349" t="s">
        <v>13808</v>
      </c>
      <c r="X349" t="s">
        <v>19322</v>
      </c>
      <c r="Y349" t="s">
        <v>13808</v>
      </c>
      <c r="AA349" t="s">
        <v>13877</v>
      </c>
      <c r="AB349" t="s">
        <v>19323</v>
      </c>
      <c r="AC349" t="s">
        <v>13808</v>
      </c>
      <c r="AH349" t="s">
        <v>13909</v>
      </c>
      <c r="AI349" t="s">
        <v>13808</v>
      </c>
      <c r="AO349" t="s">
        <v>13809</v>
      </c>
      <c r="AT349" t="s">
        <v>19324</v>
      </c>
      <c r="AU349" t="s">
        <v>13808</v>
      </c>
      <c r="AZ349" t="s">
        <v>19325</v>
      </c>
      <c r="BA349" t="s">
        <v>13808</v>
      </c>
      <c r="BF349" t="s">
        <v>19326</v>
      </c>
      <c r="BG349" t="s">
        <v>13808</v>
      </c>
      <c r="BL349" t="s">
        <v>19327</v>
      </c>
      <c r="BM349" t="s">
        <v>13808</v>
      </c>
      <c r="BR349" t="s">
        <v>19328</v>
      </c>
      <c r="BT349" t="s">
        <v>13809</v>
      </c>
      <c r="BY349" t="s">
        <v>14265</v>
      </c>
      <c r="BZ349" t="s">
        <v>13808</v>
      </c>
      <c r="CA349" t="s">
        <v>17109</v>
      </c>
      <c r="CE349" t="s">
        <v>14197</v>
      </c>
      <c r="CF349" t="s">
        <v>13808</v>
      </c>
      <c r="CG349" t="s">
        <v>14173</v>
      </c>
      <c r="CK349" t="s">
        <v>13887</v>
      </c>
      <c r="CL349" t="s">
        <v>13808</v>
      </c>
      <c r="CM349" t="s">
        <v>19329</v>
      </c>
      <c r="CR349" t="s">
        <v>13809</v>
      </c>
      <c r="CT349" t="s">
        <v>19330</v>
      </c>
      <c r="CU349" t="s">
        <v>19331</v>
      </c>
      <c r="CV349" t="s">
        <v>13808</v>
      </c>
      <c r="DA349" t="s">
        <v>19332</v>
      </c>
      <c r="DB349" t="s">
        <v>13808</v>
      </c>
      <c r="DH349" t="s">
        <v>13809</v>
      </c>
      <c r="DM349" t="s">
        <v>19333</v>
      </c>
      <c r="DN349" t="s">
        <v>13808</v>
      </c>
      <c r="DZ349" t="s">
        <v>19334</v>
      </c>
      <c r="EA349" t="s">
        <v>19335</v>
      </c>
      <c r="EC349">
        <v>44260</v>
      </c>
      <c r="ED349" t="s">
        <v>14501</v>
      </c>
      <c r="EE349" t="s">
        <v>7130</v>
      </c>
    </row>
    <row r="350" spans="1:135">
      <c r="A350" t="s">
        <v>2445</v>
      </c>
      <c r="B350" t="s">
        <v>2314</v>
      </c>
      <c r="C350" t="s">
        <v>19336</v>
      </c>
      <c r="D350" s="24">
        <v>43552</v>
      </c>
      <c r="E350" s="24" t="s">
        <v>13553</v>
      </c>
      <c r="F350" s="24" t="s">
        <v>19337</v>
      </c>
      <c r="G350" s="24" t="s">
        <v>13808</v>
      </c>
      <c r="H350" s="24"/>
      <c r="I350" s="24" t="s">
        <v>13809</v>
      </c>
      <c r="J350" s="24"/>
      <c r="K350" s="24" t="s">
        <v>13809</v>
      </c>
      <c r="L350" s="24"/>
      <c r="M350" s="24" t="s">
        <v>14681</v>
      </c>
      <c r="N350" s="24" t="s">
        <v>13808</v>
      </c>
      <c r="O350" s="24"/>
      <c r="P350" s="24" t="s">
        <v>13808</v>
      </c>
      <c r="Q350" s="24"/>
      <c r="R350" s="24" t="s">
        <v>13808</v>
      </c>
      <c r="S350" s="24"/>
      <c r="T350" t="s">
        <v>19338</v>
      </c>
      <c r="U350" t="s">
        <v>13809</v>
      </c>
      <c r="W350" t="s">
        <v>13808</v>
      </c>
      <c r="X350" t="s">
        <v>19339</v>
      </c>
      <c r="Y350" t="s">
        <v>13808</v>
      </c>
      <c r="Z350" t="s">
        <v>19340</v>
      </c>
      <c r="AA350" t="s">
        <v>19341</v>
      </c>
      <c r="AB350" t="s">
        <v>19342</v>
      </c>
      <c r="AC350" t="s">
        <v>13808</v>
      </c>
      <c r="AH350" t="s">
        <v>13909</v>
      </c>
      <c r="AI350" t="s">
        <v>13808</v>
      </c>
      <c r="AO350" t="s">
        <v>13809</v>
      </c>
      <c r="AT350" t="s">
        <v>19343</v>
      </c>
      <c r="AU350" t="s">
        <v>13808</v>
      </c>
      <c r="AZ350" t="s">
        <v>19344</v>
      </c>
      <c r="BA350" t="s">
        <v>13808</v>
      </c>
      <c r="BF350" t="s">
        <v>18382</v>
      </c>
      <c r="BG350" t="s">
        <v>13897</v>
      </c>
      <c r="BL350" t="s">
        <v>19345</v>
      </c>
      <c r="BM350" t="s">
        <v>13808</v>
      </c>
      <c r="BR350" t="s">
        <v>19346</v>
      </c>
      <c r="BS350" t="s">
        <v>14265</v>
      </c>
      <c r="BT350" t="s">
        <v>13808</v>
      </c>
      <c r="BU350" t="s">
        <v>19347</v>
      </c>
      <c r="BY350" t="s">
        <v>19348</v>
      </c>
      <c r="BZ350" t="s">
        <v>13808</v>
      </c>
      <c r="CA350" t="s">
        <v>14026</v>
      </c>
      <c r="CE350" t="s">
        <v>16141</v>
      </c>
      <c r="CF350" t="s">
        <v>13808</v>
      </c>
      <c r="CG350" t="s">
        <v>14173</v>
      </c>
      <c r="CK350" t="s">
        <v>16141</v>
      </c>
      <c r="CL350" t="s">
        <v>13808</v>
      </c>
      <c r="CR350" t="s">
        <v>13809</v>
      </c>
      <c r="CT350" t="s">
        <v>19349</v>
      </c>
      <c r="CU350" t="s">
        <v>19350</v>
      </c>
      <c r="CV350" t="s">
        <v>13808</v>
      </c>
      <c r="DA350" t="s">
        <v>19351</v>
      </c>
      <c r="DB350" t="s">
        <v>13808</v>
      </c>
      <c r="DG350" t="s">
        <v>19352</v>
      </c>
      <c r="DH350" t="s">
        <v>13808</v>
      </c>
      <c r="DM350" t="s">
        <v>19353</v>
      </c>
      <c r="DN350" t="s">
        <v>13808</v>
      </c>
      <c r="DO350" t="s">
        <v>18487</v>
      </c>
      <c r="DZ350" t="s">
        <v>19354</v>
      </c>
      <c r="EA350" t="s">
        <v>18471</v>
      </c>
      <c r="EC350">
        <v>43613</v>
      </c>
      <c r="ED350" t="s">
        <v>14501</v>
      </c>
      <c r="EE350" t="s">
        <v>7132</v>
      </c>
    </row>
    <row r="351" spans="1:135">
      <c r="A351" t="s">
        <v>2805</v>
      </c>
      <c r="B351" t="s">
        <v>2693</v>
      </c>
      <c r="C351" t="s">
        <v>19355</v>
      </c>
      <c r="D351" s="24">
        <v>43585</v>
      </c>
      <c r="E351" s="24" t="s">
        <v>13553</v>
      </c>
      <c r="F351" s="24" t="s">
        <v>19356</v>
      </c>
      <c r="G351" s="24" t="s">
        <v>13808</v>
      </c>
      <c r="H351" s="24" t="s">
        <v>19357</v>
      </c>
      <c r="I351" s="24" t="s">
        <v>13809</v>
      </c>
      <c r="J351" s="24"/>
      <c r="K351" s="24" t="s">
        <v>13809</v>
      </c>
      <c r="L351" s="24"/>
      <c r="M351" s="24" t="s">
        <v>17316</v>
      </c>
      <c r="N351" s="24" t="s">
        <v>13808</v>
      </c>
      <c r="O351" s="24"/>
      <c r="P351" s="24" t="s">
        <v>13808</v>
      </c>
      <c r="Q351" s="24"/>
      <c r="R351" s="24" t="s">
        <v>13808</v>
      </c>
      <c r="S351" s="24"/>
      <c r="T351" t="s">
        <v>14429</v>
      </c>
      <c r="U351" t="s">
        <v>13809</v>
      </c>
      <c r="W351" t="s">
        <v>13808</v>
      </c>
      <c r="X351" t="s">
        <v>19358</v>
      </c>
      <c r="Y351" t="s">
        <v>13809</v>
      </c>
      <c r="AA351" t="s">
        <v>13849</v>
      </c>
      <c r="AB351" t="s">
        <v>19359</v>
      </c>
      <c r="AC351" t="s">
        <v>13808</v>
      </c>
      <c r="AH351" t="s">
        <v>13909</v>
      </c>
      <c r="AI351" t="s">
        <v>13808</v>
      </c>
      <c r="AO351" t="s">
        <v>13809</v>
      </c>
      <c r="AT351" t="s">
        <v>14416</v>
      </c>
      <c r="AU351" t="s">
        <v>13808</v>
      </c>
      <c r="AZ351" t="s">
        <v>14433</v>
      </c>
      <c r="BA351" t="s">
        <v>13808</v>
      </c>
      <c r="BF351" t="s">
        <v>17868</v>
      </c>
      <c r="BG351" t="s">
        <v>13808</v>
      </c>
      <c r="BL351" t="s">
        <v>19360</v>
      </c>
      <c r="BM351" t="s">
        <v>13808</v>
      </c>
      <c r="BR351" t="s">
        <v>19361</v>
      </c>
      <c r="BT351" t="s">
        <v>13809</v>
      </c>
      <c r="BY351" t="s">
        <v>19362</v>
      </c>
      <c r="BZ351" t="s">
        <v>13808</v>
      </c>
      <c r="CA351" t="s">
        <v>13937</v>
      </c>
      <c r="CE351" t="s">
        <v>13885</v>
      </c>
      <c r="CF351" t="s">
        <v>13808</v>
      </c>
      <c r="CG351" t="s">
        <v>13863</v>
      </c>
      <c r="CK351" t="s">
        <v>14197</v>
      </c>
      <c r="CL351" t="s">
        <v>13808</v>
      </c>
      <c r="CM351" t="s">
        <v>19363</v>
      </c>
      <c r="CR351" t="s">
        <v>13809</v>
      </c>
      <c r="CT351" t="s">
        <v>19364</v>
      </c>
      <c r="CU351" t="s">
        <v>19365</v>
      </c>
      <c r="CV351" t="s">
        <v>13808</v>
      </c>
      <c r="DA351" t="s">
        <v>19366</v>
      </c>
      <c r="DB351" t="s">
        <v>13808</v>
      </c>
      <c r="DG351" t="s">
        <v>19367</v>
      </c>
      <c r="DH351" t="s">
        <v>13808</v>
      </c>
      <c r="DJ351" t="s">
        <v>19368</v>
      </c>
      <c r="DK351" t="s">
        <v>13808</v>
      </c>
      <c r="DM351" t="s">
        <v>19369</v>
      </c>
      <c r="DN351" t="s">
        <v>13808</v>
      </c>
      <c r="DO351" t="s">
        <v>19370</v>
      </c>
      <c r="DY351" t="s">
        <v>13840</v>
      </c>
      <c r="DZ351" t="s">
        <v>19371</v>
      </c>
      <c r="EA351" t="s">
        <v>13871</v>
      </c>
      <c r="EC351">
        <v>44260</v>
      </c>
      <c r="ED351" t="s">
        <v>14501</v>
      </c>
      <c r="EE351" t="s">
        <v>7451</v>
      </c>
    </row>
    <row r="352" spans="1:135">
      <c r="A352" t="s">
        <v>2449</v>
      </c>
      <c r="B352" t="s">
        <v>2314</v>
      </c>
      <c r="C352" t="s">
        <v>19372</v>
      </c>
      <c r="D352" s="24">
        <v>43565</v>
      </c>
      <c r="E352" s="24" t="s">
        <v>13553</v>
      </c>
      <c r="F352" s="24" t="s">
        <v>19373</v>
      </c>
      <c r="G352" s="24" t="s">
        <v>13808</v>
      </c>
      <c r="H352" s="24"/>
      <c r="I352" s="24" t="s">
        <v>13809</v>
      </c>
      <c r="J352" s="24"/>
      <c r="K352" s="24" t="s">
        <v>13809</v>
      </c>
      <c r="L352" s="24"/>
      <c r="M352" s="24" t="s">
        <v>14163</v>
      </c>
      <c r="N352" s="24" t="s">
        <v>13808</v>
      </c>
      <c r="O352" s="24"/>
      <c r="P352" s="24" t="s">
        <v>13808</v>
      </c>
      <c r="Q352" s="24"/>
      <c r="R352" s="24" t="s">
        <v>13808</v>
      </c>
      <c r="S352" s="24"/>
      <c r="T352" t="s">
        <v>14016</v>
      </c>
      <c r="U352" t="s">
        <v>13808</v>
      </c>
      <c r="W352" t="s">
        <v>13808</v>
      </c>
      <c r="X352" t="s">
        <v>19374</v>
      </c>
      <c r="Y352" t="s">
        <v>13808</v>
      </c>
      <c r="AA352" t="s">
        <v>13877</v>
      </c>
      <c r="AB352" t="s">
        <v>19375</v>
      </c>
      <c r="AC352" t="s">
        <v>13808</v>
      </c>
      <c r="AH352" t="s">
        <v>13909</v>
      </c>
      <c r="AI352" t="s">
        <v>13808</v>
      </c>
      <c r="AO352" t="s">
        <v>13809</v>
      </c>
      <c r="AT352" t="s">
        <v>18506</v>
      </c>
      <c r="AU352" t="s">
        <v>13808</v>
      </c>
      <c r="AZ352" t="s">
        <v>14598</v>
      </c>
      <c r="BA352" t="s">
        <v>13808</v>
      </c>
      <c r="BF352" t="s">
        <v>13892</v>
      </c>
      <c r="BG352" t="s">
        <v>13897</v>
      </c>
      <c r="BL352" t="s">
        <v>19376</v>
      </c>
      <c r="BM352" t="s">
        <v>13808</v>
      </c>
      <c r="BR352" t="s">
        <v>19377</v>
      </c>
      <c r="BT352" t="s">
        <v>13809</v>
      </c>
      <c r="BY352" t="s">
        <v>13887</v>
      </c>
      <c r="BZ352" t="s">
        <v>13808</v>
      </c>
      <c r="CA352" t="s">
        <v>19378</v>
      </c>
      <c r="CF352" t="s">
        <v>13809</v>
      </c>
      <c r="CK352" t="s">
        <v>15138</v>
      </c>
      <c r="CL352" t="s">
        <v>13808</v>
      </c>
      <c r="CM352" t="s">
        <v>19329</v>
      </c>
      <c r="CR352" t="s">
        <v>13809</v>
      </c>
      <c r="CT352" t="s">
        <v>19379</v>
      </c>
      <c r="CU352" t="s">
        <v>19380</v>
      </c>
      <c r="CV352" t="s">
        <v>13808</v>
      </c>
      <c r="DA352" t="s">
        <v>19381</v>
      </c>
      <c r="DB352" t="s">
        <v>13808</v>
      </c>
      <c r="DH352" t="s">
        <v>13809</v>
      </c>
      <c r="DM352" t="s">
        <v>19382</v>
      </c>
      <c r="DN352" t="s">
        <v>13808</v>
      </c>
      <c r="DO352" t="s">
        <v>19383</v>
      </c>
      <c r="DZ352" t="s">
        <v>19384</v>
      </c>
      <c r="EA352" t="s">
        <v>19319</v>
      </c>
      <c r="EC352">
        <v>44260</v>
      </c>
      <c r="ED352" t="s">
        <v>14501</v>
      </c>
      <c r="EE352" t="s">
        <v>7139</v>
      </c>
    </row>
    <row r="353" spans="1:135">
      <c r="A353" t="s">
        <v>7830</v>
      </c>
      <c r="B353" t="s">
        <v>3013</v>
      </c>
      <c r="C353" t="s">
        <v>19385</v>
      </c>
      <c r="D353" s="24">
        <v>42716</v>
      </c>
      <c r="E353" s="24" t="s">
        <v>13560</v>
      </c>
      <c r="F353" s="24" t="s">
        <v>19386</v>
      </c>
      <c r="G353" s="24" t="s">
        <v>13808</v>
      </c>
      <c r="H353" s="24"/>
      <c r="I353" s="24" t="s">
        <v>13809</v>
      </c>
      <c r="J353" s="24"/>
      <c r="K353" s="24" t="s">
        <v>13809</v>
      </c>
      <c r="L353" s="24"/>
      <c r="M353" s="24" t="s">
        <v>19387</v>
      </c>
      <c r="N353" s="24" t="s">
        <v>13808</v>
      </c>
      <c r="O353" s="24"/>
      <c r="P353" s="24" t="s">
        <v>13809</v>
      </c>
      <c r="Q353" s="24"/>
      <c r="R353" s="24" t="s">
        <v>13808</v>
      </c>
      <c r="S353" s="24"/>
      <c r="T353" t="s">
        <v>19388</v>
      </c>
      <c r="U353" t="s">
        <v>13808</v>
      </c>
      <c r="W353" t="s">
        <v>13809</v>
      </c>
      <c r="Y353" t="s">
        <v>13809</v>
      </c>
      <c r="AA353" t="s">
        <v>19389</v>
      </c>
      <c r="AC353" t="s">
        <v>13809</v>
      </c>
      <c r="AH353" t="s">
        <v>13887</v>
      </c>
      <c r="AI353" t="s">
        <v>13808</v>
      </c>
      <c r="AK353" t="s">
        <v>15309</v>
      </c>
      <c r="AL353" t="s">
        <v>13818</v>
      </c>
      <c r="AM353" t="s">
        <v>14309</v>
      </c>
      <c r="AO353" t="s">
        <v>13809</v>
      </c>
      <c r="AU353" t="s">
        <v>13809</v>
      </c>
      <c r="AZ353" t="s">
        <v>16048</v>
      </c>
      <c r="BA353" t="s">
        <v>13808</v>
      </c>
      <c r="BF353" t="s">
        <v>19390</v>
      </c>
      <c r="BG353" t="s">
        <v>13818</v>
      </c>
      <c r="BH353" t="s">
        <v>14309</v>
      </c>
      <c r="BM353" t="s">
        <v>13809</v>
      </c>
      <c r="BR353" t="s">
        <v>19391</v>
      </c>
      <c r="BT353" t="s">
        <v>13809</v>
      </c>
      <c r="BY353" t="s">
        <v>14265</v>
      </c>
      <c r="BZ353" t="s">
        <v>13808</v>
      </c>
      <c r="CA353" t="s">
        <v>19392</v>
      </c>
      <c r="CF353" t="s">
        <v>13809</v>
      </c>
      <c r="CL353" t="s">
        <v>13809</v>
      </c>
      <c r="CR353" t="s">
        <v>13809</v>
      </c>
      <c r="CT353" t="s">
        <v>19393</v>
      </c>
      <c r="DG353" t="s">
        <v>15025</v>
      </c>
      <c r="DH353" t="s">
        <v>13818</v>
      </c>
      <c r="DI353" t="s">
        <v>19394</v>
      </c>
      <c r="DM353" t="s">
        <v>19395</v>
      </c>
      <c r="DN353" t="s">
        <v>13808</v>
      </c>
      <c r="DZ353" t="s">
        <v>19396</v>
      </c>
      <c r="EA353" t="s">
        <v>13842</v>
      </c>
      <c r="EC353">
        <v>44260</v>
      </c>
      <c r="ED353" t="s">
        <v>13903</v>
      </c>
      <c r="EE353" t="s">
        <v>7832</v>
      </c>
    </row>
    <row r="354" spans="1:135">
      <c r="A354" t="s">
        <v>11318</v>
      </c>
      <c r="B354" t="s">
        <v>2926</v>
      </c>
      <c r="C354" t="s">
        <v>19397</v>
      </c>
      <c r="D354" s="24">
        <v>44312</v>
      </c>
      <c r="E354" s="24" t="s">
        <v>13561</v>
      </c>
      <c r="F354" s="24" t="s">
        <v>19398</v>
      </c>
      <c r="G354" s="24" t="s">
        <v>13818</v>
      </c>
      <c r="H354" s="24" t="s">
        <v>19037</v>
      </c>
      <c r="I354" s="24" t="s">
        <v>13809</v>
      </c>
      <c r="J354" s="24"/>
      <c r="K354" s="24" t="s">
        <v>13809</v>
      </c>
      <c r="L354" s="24"/>
      <c r="M354" s="24" t="s">
        <v>17316</v>
      </c>
      <c r="N354" s="24" t="s">
        <v>13808</v>
      </c>
      <c r="O354" s="24"/>
      <c r="P354" s="24" t="s">
        <v>13808</v>
      </c>
      <c r="Q354" s="24"/>
      <c r="R354" s="24" t="s">
        <v>13808</v>
      </c>
      <c r="S354" s="24"/>
      <c r="T354" t="s">
        <v>18348</v>
      </c>
      <c r="U354" t="s">
        <v>13809</v>
      </c>
      <c r="W354" t="s">
        <v>13809</v>
      </c>
      <c r="Y354" t="s">
        <v>13809</v>
      </c>
      <c r="AA354" t="s">
        <v>16322</v>
      </c>
      <c r="AC354" t="s">
        <v>13809</v>
      </c>
      <c r="AH354" t="s">
        <v>13909</v>
      </c>
      <c r="AI354" t="s">
        <v>13818</v>
      </c>
      <c r="AJ354" t="s">
        <v>14309</v>
      </c>
      <c r="AO354" t="s">
        <v>13809</v>
      </c>
      <c r="AU354" t="s">
        <v>13809</v>
      </c>
      <c r="AZ354" t="s">
        <v>16048</v>
      </c>
      <c r="BA354" t="s">
        <v>13818</v>
      </c>
      <c r="BB354" t="s">
        <v>14309</v>
      </c>
      <c r="BF354" t="s">
        <v>14416</v>
      </c>
      <c r="BG354" t="s">
        <v>13818</v>
      </c>
      <c r="BH354" t="s">
        <v>14309</v>
      </c>
      <c r="BM354" t="s">
        <v>13809</v>
      </c>
      <c r="BR354" t="s">
        <v>19399</v>
      </c>
      <c r="BT354" t="s">
        <v>13809</v>
      </c>
      <c r="BY354" t="s">
        <v>13887</v>
      </c>
      <c r="BZ354" t="s">
        <v>13818</v>
      </c>
      <c r="CA354" t="s">
        <v>16328</v>
      </c>
      <c r="CF354" t="s">
        <v>13809</v>
      </c>
      <c r="CL354" t="s">
        <v>13809</v>
      </c>
      <c r="CR354" t="s">
        <v>13809</v>
      </c>
      <c r="CT354" t="s">
        <v>14011</v>
      </c>
      <c r="CU354" t="s">
        <v>13909</v>
      </c>
      <c r="CV354" t="s">
        <v>13818</v>
      </c>
      <c r="DA354" t="s">
        <v>13909</v>
      </c>
      <c r="DB354" t="s">
        <v>13818</v>
      </c>
      <c r="DG354" t="s">
        <v>13909</v>
      </c>
      <c r="DH354" t="s">
        <v>13818</v>
      </c>
      <c r="DY354" t="s">
        <v>15296</v>
      </c>
      <c r="DZ354" t="s">
        <v>14274</v>
      </c>
      <c r="EA354" t="s">
        <v>14275</v>
      </c>
      <c r="EC354">
        <v>44314</v>
      </c>
      <c r="ED354" t="s">
        <v>14276</v>
      </c>
      <c r="EE354" t="s">
        <v>13603</v>
      </c>
    </row>
    <row r="355" spans="1:135">
      <c r="A355" t="s">
        <v>7140</v>
      </c>
      <c r="B355" t="s">
        <v>2926</v>
      </c>
      <c r="C355" t="s">
        <v>19400</v>
      </c>
      <c r="D355" s="24">
        <v>44333</v>
      </c>
      <c r="E355" s="24" t="s">
        <v>13555</v>
      </c>
      <c r="F355" s="24" t="s">
        <v>19401</v>
      </c>
      <c r="G355" s="24" t="s">
        <v>13808</v>
      </c>
      <c r="H355" s="24"/>
      <c r="I355" s="24" t="s">
        <v>13809</v>
      </c>
      <c r="J355" s="24"/>
      <c r="K355" s="24" t="s">
        <v>13809</v>
      </c>
      <c r="L355" s="24"/>
      <c r="M355" s="24" t="s">
        <v>14304</v>
      </c>
      <c r="N355" s="24" t="s">
        <v>13808</v>
      </c>
      <c r="O355" s="24"/>
      <c r="P355" s="24" t="s">
        <v>13808</v>
      </c>
      <c r="Q355" s="24"/>
      <c r="R355" s="24" t="s">
        <v>13808</v>
      </c>
      <c r="S355" s="24"/>
      <c r="T355" t="s">
        <v>19402</v>
      </c>
      <c r="U355" t="s">
        <v>13809</v>
      </c>
      <c r="W355" t="s">
        <v>13809</v>
      </c>
      <c r="Y355" t="s">
        <v>13809</v>
      </c>
      <c r="AA355" t="s">
        <v>19403</v>
      </c>
      <c r="AB355" t="s">
        <v>19404</v>
      </c>
      <c r="AC355" t="s">
        <v>13808</v>
      </c>
      <c r="AD355" t="s">
        <v>19405</v>
      </c>
      <c r="AH355" t="s">
        <v>14073</v>
      </c>
      <c r="AI355" t="s">
        <v>13808</v>
      </c>
      <c r="AJ355" t="s">
        <v>19405</v>
      </c>
      <c r="AK355" t="s">
        <v>18520</v>
      </c>
      <c r="AL355" t="s">
        <v>13818</v>
      </c>
      <c r="AM355" t="s">
        <v>19406</v>
      </c>
      <c r="AN355" t="s">
        <v>13711</v>
      </c>
      <c r="AO355" t="s">
        <v>13809</v>
      </c>
      <c r="AT355" t="s">
        <v>13717</v>
      </c>
      <c r="AU355" t="s">
        <v>13809</v>
      </c>
      <c r="AZ355" t="s">
        <v>19407</v>
      </c>
      <c r="BA355" t="s">
        <v>13818</v>
      </c>
      <c r="BB355" t="s">
        <v>19406</v>
      </c>
      <c r="BF355" t="s">
        <v>19408</v>
      </c>
      <c r="BG355" t="s">
        <v>13818</v>
      </c>
      <c r="BH355" t="s">
        <v>19406</v>
      </c>
      <c r="BL355" t="s">
        <v>13735</v>
      </c>
      <c r="BM355" t="s">
        <v>13809</v>
      </c>
      <c r="BR355" t="s">
        <v>19409</v>
      </c>
      <c r="BS355" t="s">
        <v>13742</v>
      </c>
      <c r="BT355" t="s">
        <v>13809</v>
      </c>
      <c r="BY355" t="s">
        <v>13860</v>
      </c>
      <c r="BZ355" t="s">
        <v>13808</v>
      </c>
      <c r="CA355" t="s">
        <v>19410</v>
      </c>
      <c r="CE355" t="s">
        <v>13828</v>
      </c>
      <c r="CF355" t="s">
        <v>13808</v>
      </c>
      <c r="CK355" t="s">
        <v>13760</v>
      </c>
      <c r="CL355" t="s">
        <v>13809</v>
      </c>
      <c r="CQ355" t="s">
        <v>13766</v>
      </c>
      <c r="CR355" t="s">
        <v>13809</v>
      </c>
      <c r="CT355" t="s">
        <v>19411</v>
      </c>
      <c r="CU355" t="s">
        <v>13941</v>
      </c>
      <c r="CV355" t="s">
        <v>13808</v>
      </c>
      <c r="DA355" t="s">
        <v>14340</v>
      </c>
      <c r="DB355" t="s">
        <v>13808</v>
      </c>
      <c r="DH355" t="s">
        <v>13808</v>
      </c>
      <c r="DY355" t="s">
        <v>13840</v>
      </c>
      <c r="DZ355" t="s">
        <v>13841</v>
      </c>
      <c r="EA355" t="s">
        <v>13842</v>
      </c>
      <c r="EC355">
        <v>44627</v>
      </c>
      <c r="ED355" t="s">
        <v>13843</v>
      </c>
      <c r="EE355" t="s">
        <v>7142</v>
      </c>
    </row>
    <row r="356" spans="1:135">
      <c r="A356" t="s">
        <v>2909</v>
      </c>
      <c r="B356" t="s">
        <v>2861</v>
      </c>
      <c r="C356" t="s">
        <v>19412</v>
      </c>
      <c r="D356" s="24">
        <v>42717</v>
      </c>
      <c r="E356" s="24" t="s">
        <v>13571</v>
      </c>
      <c r="F356" s="24" t="s">
        <v>19413</v>
      </c>
      <c r="G356" s="24" t="s">
        <v>13808</v>
      </c>
      <c r="H356" s="24"/>
      <c r="I356" s="24" t="s">
        <v>13808</v>
      </c>
      <c r="J356" s="24"/>
      <c r="K356" s="24" t="s">
        <v>13808</v>
      </c>
      <c r="L356" s="24"/>
      <c r="M356" s="24" t="s">
        <v>19414</v>
      </c>
      <c r="N356" s="24" t="s">
        <v>13808</v>
      </c>
      <c r="O356" s="24"/>
      <c r="P356" s="24" t="s">
        <v>13808</v>
      </c>
      <c r="Q356" s="24"/>
      <c r="R356" s="24"/>
      <c r="S356" s="24"/>
      <c r="T356" t="s">
        <v>15346</v>
      </c>
      <c r="U356" t="s">
        <v>13809</v>
      </c>
      <c r="W356" t="s">
        <v>13808</v>
      </c>
      <c r="Y356" t="s">
        <v>13808</v>
      </c>
      <c r="AA356" t="s">
        <v>15089</v>
      </c>
      <c r="AB356" t="s">
        <v>19415</v>
      </c>
      <c r="AC356" t="s">
        <v>13808</v>
      </c>
      <c r="AH356" t="s">
        <v>19416</v>
      </c>
      <c r="AI356" t="s">
        <v>13808</v>
      </c>
      <c r="AN356" t="s">
        <v>19417</v>
      </c>
      <c r="AO356" t="s">
        <v>13808</v>
      </c>
      <c r="AT356" t="s">
        <v>19418</v>
      </c>
      <c r="AU356" t="s">
        <v>13808</v>
      </c>
      <c r="AZ356" t="s">
        <v>19419</v>
      </c>
      <c r="BA356" t="s">
        <v>13808</v>
      </c>
      <c r="BF356" t="s">
        <v>19420</v>
      </c>
      <c r="BG356" t="s">
        <v>13808</v>
      </c>
      <c r="BL356" t="s">
        <v>19421</v>
      </c>
      <c r="BM356" t="s">
        <v>13808</v>
      </c>
      <c r="BR356" t="s">
        <v>19422</v>
      </c>
      <c r="BS356" t="s">
        <v>19423</v>
      </c>
      <c r="BT356" t="s">
        <v>13808</v>
      </c>
      <c r="BU356" t="s">
        <v>19424</v>
      </c>
      <c r="BY356" t="s">
        <v>13826</v>
      </c>
      <c r="BZ356" t="s">
        <v>13808</v>
      </c>
      <c r="CA356" t="s">
        <v>13937</v>
      </c>
      <c r="CE356" t="s">
        <v>16968</v>
      </c>
      <c r="CF356" t="s">
        <v>13808</v>
      </c>
      <c r="CK356" t="s">
        <v>13760</v>
      </c>
      <c r="CL356" t="s">
        <v>13809</v>
      </c>
      <c r="CQ356" t="s">
        <v>13766</v>
      </c>
      <c r="CR356" t="s">
        <v>13809</v>
      </c>
      <c r="CT356" t="s">
        <v>19425</v>
      </c>
      <c r="CU356" t="s">
        <v>15557</v>
      </c>
      <c r="CV356" t="s">
        <v>13808</v>
      </c>
      <c r="DA356" t="s">
        <v>15558</v>
      </c>
      <c r="DB356" t="s">
        <v>13808</v>
      </c>
      <c r="DG356" t="s">
        <v>14562</v>
      </c>
      <c r="DH356" t="s">
        <v>13808</v>
      </c>
      <c r="DY356" t="s">
        <v>15364</v>
      </c>
      <c r="DZ356" t="s">
        <v>19426</v>
      </c>
      <c r="EA356" t="s">
        <v>14881</v>
      </c>
      <c r="EC356">
        <v>44627</v>
      </c>
      <c r="ED356" t="s">
        <v>13843</v>
      </c>
      <c r="EE356" t="s">
        <v>7587</v>
      </c>
    </row>
    <row r="357" spans="1:135">
      <c r="A357" t="s">
        <v>2453</v>
      </c>
      <c r="B357" t="s">
        <v>2314</v>
      </c>
      <c r="C357" t="s">
        <v>19427</v>
      </c>
      <c r="D357" s="24">
        <v>42713</v>
      </c>
      <c r="E357" s="24" t="s">
        <v>13571</v>
      </c>
      <c r="F357" s="24" t="s">
        <v>19428</v>
      </c>
      <c r="G357" s="24" t="s">
        <v>13808</v>
      </c>
      <c r="H357" s="24"/>
      <c r="I357" s="24" t="s">
        <v>13809</v>
      </c>
      <c r="J357" s="24"/>
      <c r="K357" s="24" t="s">
        <v>13809</v>
      </c>
      <c r="L357" s="24"/>
      <c r="M357" s="24" t="s">
        <v>19429</v>
      </c>
      <c r="N357" s="24" t="s">
        <v>13808</v>
      </c>
      <c r="O357" s="24"/>
      <c r="P357" s="24" t="s">
        <v>13808</v>
      </c>
      <c r="Q357" s="24"/>
      <c r="R357" s="24" t="s">
        <v>13818</v>
      </c>
      <c r="S357" s="24"/>
      <c r="T357" t="s">
        <v>19430</v>
      </c>
      <c r="U357" t="s">
        <v>13809</v>
      </c>
      <c r="W357" t="s">
        <v>13808</v>
      </c>
      <c r="Y357" t="s">
        <v>13808</v>
      </c>
      <c r="AA357" t="s">
        <v>19431</v>
      </c>
      <c r="AB357" t="s">
        <v>19432</v>
      </c>
      <c r="AC357" t="s">
        <v>13808</v>
      </c>
      <c r="AH357" t="s">
        <v>19433</v>
      </c>
      <c r="AI357" t="s">
        <v>13808</v>
      </c>
      <c r="AK357" t="s">
        <v>19434</v>
      </c>
      <c r="AL357" t="s">
        <v>13818</v>
      </c>
      <c r="AM357" t="s">
        <v>19435</v>
      </c>
      <c r="AN357" t="s">
        <v>19436</v>
      </c>
      <c r="AO357" t="s">
        <v>13808</v>
      </c>
      <c r="AT357" t="s">
        <v>14693</v>
      </c>
      <c r="AU357" t="s">
        <v>13808</v>
      </c>
      <c r="AZ357" t="s">
        <v>19437</v>
      </c>
      <c r="BA357" t="s">
        <v>13808</v>
      </c>
      <c r="BF357" t="s">
        <v>19438</v>
      </c>
      <c r="BG357" t="s">
        <v>13808</v>
      </c>
      <c r="BL357" t="s">
        <v>19439</v>
      </c>
      <c r="BM357" t="s">
        <v>13808</v>
      </c>
      <c r="BR357" t="s">
        <v>19440</v>
      </c>
      <c r="BS357" t="s">
        <v>13887</v>
      </c>
      <c r="BT357" t="s">
        <v>13808</v>
      </c>
      <c r="BU357" t="s">
        <v>19441</v>
      </c>
      <c r="BY357" t="s">
        <v>16141</v>
      </c>
      <c r="BZ357" t="s">
        <v>13808</v>
      </c>
      <c r="CA357" t="s">
        <v>13937</v>
      </c>
      <c r="CE357" t="s">
        <v>19442</v>
      </c>
      <c r="CF357" t="s">
        <v>13808</v>
      </c>
      <c r="CK357" t="s">
        <v>19443</v>
      </c>
      <c r="CL357" t="s">
        <v>13808</v>
      </c>
      <c r="CQ357" t="s">
        <v>14265</v>
      </c>
      <c r="CR357" t="s">
        <v>13818</v>
      </c>
      <c r="CS357" t="s">
        <v>19444</v>
      </c>
      <c r="CT357" t="s">
        <v>19445</v>
      </c>
      <c r="CU357" t="s">
        <v>19446</v>
      </c>
      <c r="CV357" t="s">
        <v>13808</v>
      </c>
      <c r="DA357" t="s">
        <v>19447</v>
      </c>
      <c r="DB357" t="s">
        <v>13808</v>
      </c>
      <c r="DG357" t="s">
        <v>19448</v>
      </c>
      <c r="DH357" t="s">
        <v>13808</v>
      </c>
      <c r="DI357" t="s">
        <v>19449</v>
      </c>
      <c r="DM357" t="s">
        <v>19450</v>
      </c>
      <c r="DN357" t="s">
        <v>13818</v>
      </c>
      <c r="DO357" t="s">
        <v>19451</v>
      </c>
      <c r="DZ357" t="s">
        <v>14923</v>
      </c>
      <c r="EA357" t="s">
        <v>19452</v>
      </c>
      <c r="EC357">
        <v>43480</v>
      </c>
      <c r="ED357" t="s">
        <v>13903</v>
      </c>
      <c r="EE357" t="s">
        <v>7146</v>
      </c>
    </row>
    <row r="358" spans="1:135">
      <c r="A358" t="s">
        <v>11333</v>
      </c>
      <c r="B358" t="s">
        <v>2314</v>
      </c>
      <c r="C358" t="s">
        <v>19453</v>
      </c>
      <c r="D358" s="24">
        <v>44062</v>
      </c>
      <c r="E358" s="24" t="s">
        <v>13553</v>
      </c>
      <c r="F358" s="24" t="s">
        <v>19454</v>
      </c>
      <c r="G358" s="24" t="s">
        <v>13808</v>
      </c>
      <c r="H358" s="24"/>
      <c r="I358" s="24" t="s">
        <v>13809</v>
      </c>
      <c r="J358" s="24"/>
      <c r="K358" s="24" t="s">
        <v>13809</v>
      </c>
      <c r="L358" s="24"/>
      <c r="M358" s="24" t="s">
        <v>14163</v>
      </c>
      <c r="N358" s="24" t="s">
        <v>13808</v>
      </c>
      <c r="O358" s="24"/>
      <c r="P358" s="24" t="s">
        <v>13808</v>
      </c>
      <c r="Q358" s="24"/>
      <c r="R358" s="24" t="s">
        <v>13808</v>
      </c>
      <c r="S358" s="24"/>
      <c r="T358" t="s">
        <v>16225</v>
      </c>
      <c r="U358" t="s">
        <v>13809</v>
      </c>
      <c r="W358" t="s">
        <v>13809</v>
      </c>
      <c r="Y358" t="s">
        <v>13809</v>
      </c>
      <c r="AA358" t="s">
        <v>13849</v>
      </c>
      <c r="AB358" t="s">
        <v>13809</v>
      </c>
      <c r="AH358" t="s">
        <v>13887</v>
      </c>
      <c r="AI358" t="s">
        <v>13808</v>
      </c>
      <c r="AN358" t="s">
        <v>13809</v>
      </c>
      <c r="AT358" t="s">
        <v>13809</v>
      </c>
      <c r="AZ358" t="s">
        <v>14046</v>
      </c>
      <c r="BA358" t="s">
        <v>13808</v>
      </c>
      <c r="BF358" t="s">
        <v>13809</v>
      </c>
      <c r="BL358" t="s">
        <v>13809</v>
      </c>
      <c r="BR358" t="s">
        <v>19455</v>
      </c>
      <c r="BS358" t="s">
        <v>13809</v>
      </c>
      <c r="BY358" t="s">
        <v>13809</v>
      </c>
      <c r="CE358" t="s">
        <v>13809</v>
      </c>
      <c r="CK358" t="s">
        <v>13887</v>
      </c>
      <c r="CL358" t="s">
        <v>13808</v>
      </c>
      <c r="CR358" t="s">
        <v>13809</v>
      </c>
      <c r="CT358" t="s">
        <v>19456</v>
      </c>
      <c r="CU358" t="s">
        <v>13809</v>
      </c>
      <c r="DA358" t="s">
        <v>13809</v>
      </c>
      <c r="DG358" t="s">
        <v>13809</v>
      </c>
      <c r="DM358" t="s">
        <v>19457</v>
      </c>
      <c r="DN358" t="s">
        <v>13808</v>
      </c>
      <c r="DO358" t="s">
        <v>13839</v>
      </c>
      <c r="DP358" t="s">
        <v>15973</v>
      </c>
      <c r="DQ358" t="s">
        <v>13808</v>
      </c>
      <c r="DR358" t="s">
        <v>19458</v>
      </c>
      <c r="DY358" t="s">
        <v>15296</v>
      </c>
      <c r="DZ358" t="s">
        <v>13970</v>
      </c>
      <c r="EA358" t="s">
        <v>14500</v>
      </c>
      <c r="ED358" t="s">
        <v>14276</v>
      </c>
      <c r="EE358" t="s">
        <v>13604</v>
      </c>
    </row>
    <row r="359" spans="1:135">
      <c r="A359" t="s">
        <v>2301</v>
      </c>
      <c r="B359" t="s">
        <v>2232</v>
      </c>
      <c r="C359" t="s">
        <v>19459</v>
      </c>
      <c r="D359" s="24">
        <v>45218</v>
      </c>
      <c r="E359" s="24" t="s">
        <v>13559</v>
      </c>
      <c r="F359" s="24" t="s">
        <v>19460</v>
      </c>
      <c r="G359" s="24" t="s">
        <v>13808</v>
      </c>
      <c r="H359" s="24"/>
      <c r="I359" s="24" t="s">
        <v>13809</v>
      </c>
      <c r="J359" s="24"/>
      <c r="K359" s="24" t="s">
        <v>13809</v>
      </c>
      <c r="L359" s="24"/>
      <c r="M359" s="24" t="s">
        <v>14304</v>
      </c>
      <c r="N359" s="24" t="s">
        <v>13808</v>
      </c>
      <c r="O359" s="24"/>
      <c r="P359" s="24" t="s">
        <v>13808</v>
      </c>
      <c r="Q359" s="24"/>
      <c r="R359" s="24" t="s">
        <v>13808</v>
      </c>
      <c r="S359" s="24"/>
      <c r="T359" t="s">
        <v>15300</v>
      </c>
      <c r="U359" t="s">
        <v>13809</v>
      </c>
      <c r="W359" t="s">
        <v>13808</v>
      </c>
      <c r="X359" t="s">
        <v>19461</v>
      </c>
      <c r="Y359" t="s">
        <v>13808</v>
      </c>
      <c r="Z359" t="s">
        <v>19462</v>
      </c>
      <c r="AA359" t="s">
        <v>14594</v>
      </c>
      <c r="AB359" t="s">
        <v>19463</v>
      </c>
      <c r="AC359" t="s">
        <v>13808</v>
      </c>
      <c r="AH359" t="s">
        <v>13851</v>
      </c>
      <c r="AI359" t="s">
        <v>13808</v>
      </c>
      <c r="AN359" t="s">
        <v>19464</v>
      </c>
      <c r="AO359" t="s">
        <v>13808</v>
      </c>
      <c r="AT359" t="s">
        <v>19465</v>
      </c>
      <c r="AU359" t="s">
        <v>13808</v>
      </c>
      <c r="AZ359" t="s">
        <v>19466</v>
      </c>
      <c r="BA359" t="s">
        <v>13808</v>
      </c>
      <c r="BF359" t="s">
        <v>19467</v>
      </c>
      <c r="BG359" t="s">
        <v>13808</v>
      </c>
      <c r="BL359" t="s">
        <v>19468</v>
      </c>
      <c r="BM359" t="s">
        <v>13808</v>
      </c>
      <c r="BR359" t="s">
        <v>19469</v>
      </c>
      <c r="BS359" t="s">
        <v>13742</v>
      </c>
      <c r="BT359" t="s">
        <v>13809</v>
      </c>
      <c r="BY359" t="s">
        <v>13860</v>
      </c>
      <c r="BZ359" t="s">
        <v>13808</v>
      </c>
      <c r="CA359" t="s">
        <v>13861</v>
      </c>
      <c r="CE359" t="s">
        <v>13828</v>
      </c>
      <c r="CF359" t="s">
        <v>13808</v>
      </c>
      <c r="CG359" t="s">
        <v>17630</v>
      </c>
      <c r="CK359" t="s">
        <v>13760</v>
      </c>
      <c r="CL359" t="s">
        <v>13809</v>
      </c>
      <c r="CQ359" t="s">
        <v>13766</v>
      </c>
      <c r="CR359" t="s">
        <v>13809</v>
      </c>
      <c r="CT359" t="s">
        <v>13830</v>
      </c>
      <c r="CU359" t="s">
        <v>19470</v>
      </c>
      <c r="CV359" t="s">
        <v>13808</v>
      </c>
      <c r="CX359" t="s">
        <v>19471</v>
      </c>
      <c r="CY359" t="s">
        <v>13818</v>
      </c>
      <c r="DA359" t="s">
        <v>19472</v>
      </c>
      <c r="DB359" t="s">
        <v>13808</v>
      </c>
      <c r="DD359" t="s">
        <v>19473</v>
      </c>
      <c r="DE359" t="s">
        <v>13818</v>
      </c>
      <c r="DG359" t="s">
        <v>19474</v>
      </c>
      <c r="DH359" t="s">
        <v>13818</v>
      </c>
      <c r="DM359" t="s">
        <v>19475</v>
      </c>
      <c r="DN359" t="s">
        <v>13808</v>
      </c>
      <c r="DP359" t="s">
        <v>19476</v>
      </c>
      <c r="DQ359" t="s">
        <v>13818</v>
      </c>
      <c r="DY359" t="s">
        <v>13840</v>
      </c>
      <c r="DZ359" t="s">
        <v>13841</v>
      </c>
      <c r="EA359" t="s">
        <v>13842</v>
      </c>
      <c r="EC359">
        <v>45209</v>
      </c>
      <c r="ED359" t="s">
        <v>14298</v>
      </c>
      <c r="EE359" t="s">
        <v>6982</v>
      </c>
    </row>
    <row r="360" spans="1:135">
      <c r="A360" t="s">
        <v>2473</v>
      </c>
      <c r="B360" t="s">
        <v>2314</v>
      </c>
      <c r="C360" t="s">
        <v>19477</v>
      </c>
      <c r="D360" s="24">
        <v>42636</v>
      </c>
      <c r="E360" s="24" t="s">
        <v>13555</v>
      </c>
      <c r="F360" s="24" t="s">
        <v>19478</v>
      </c>
      <c r="G360" s="24" t="s">
        <v>13808</v>
      </c>
      <c r="H360" s="24"/>
      <c r="I360" s="24" t="s">
        <v>13809</v>
      </c>
      <c r="J360" s="24"/>
      <c r="K360" s="24" t="s">
        <v>13809</v>
      </c>
      <c r="L360" s="24"/>
      <c r="M360" s="24" t="s">
        <v>19479</v>
      </c>
      <c r="N360" s="24" t="s">
        <v>13808</v>
      </c>
      <c r="O360" s="24"/>
      <c r="P360" s="24" t="s">
        <v>13808</v>
      </c>
      <c r="Q360" s="24"/>
      <c r="R360" s="24" t="s">
        <v>13808</v>
      </c>
      <c r="S360" s="24"/>
      <c r="T360" t="s">
        <v>19480</v>
      </c>
      <c r="U360" t="s">
        <v>13809</v>
      </c>
      <c r="W360" t="s">
        <v>13808</v>
      </c>
      <c r="X360" t="s">
        <v>19481</v>
      </c>
      <c r="Y360" t="s">
        <v>13809</v>
      </c>
      <c r="AA360" t="s">
        <v>13877</v>
      </c>
      <c r="AB360" t="s">
        <v>19323</v>
      </c>
      <c r="AC360" t="s">
        <v>13808</v>
      </c>
      <c r="AH360" t="s">
        <v>15188</v>
      </c>
      <c r="AI360" t="s">
        <v>13808</v>
      </c>
      <c r="AN360" t="s">
        <v>14851</v>
      </c>
      <c r="AO360" t="s">
        <v>13808</v>
      </c>
      <c r="AT360" t="s">
        <v>14006</v>
      </c>
      <c r="AU360" t="s">
        <v>13808</v>
      </c>
      <c r="AZ360" t="s">
        <v>14730</v>
      </c>
      <c r="BA360" t="s">
        <v>13808</v>
      </c>
      <c r="BF360" t="s">
        <v>19482</v>
      </c>
      <c r="BG360" t="s">
        <v>13808</v>
      </c>
      <c r="BL360" t="s">
        <v>19483</v>
      </c>
      <c r="BM360" t="s">
        <v>13808</v>
      </c>
      <c r="BR360" t="s">
        <v>19484</v>
      </c>
      <c r="BT360" t="s">
        <v>13809</v>
      </c>
      <c r="BY360" t="s">
        <v>13887</v>
      </c>
      <c r="BZ360" t="s">
        <v>13808</v>
      </c>
      <c r="CA360" t="s">
        <v>14026</v>
      </c>
      <c r="CE360" t="s">
        <v>13885</v>
      </c>
      <c r="CF360" t="s">
        <v>13808</v>
      </c>
      <c r="CG360" t="s">
        <v>19485</v>
      </c>
      <c r="CL360" t="s">
        <v>13809</v>
      </c>
      <c r="CR360" t="s">
        <v>13809</v>
      </c>
      <c r="CT360" t="s">
        <v>19486</v>
      </c>
      <c r="CU360" t="s">
        <v>13909</v>
      </c>
      <c r="CV360" t="s">
        <v>13808</v>
      </c>
      <c r="DA360" t="s">
        <v>13909</v>
      </c>
      <c r="DB360" t="s">
        <v>13808</v>
      </c>
      <c r="DG360" t="s">
        <v>16874</v>
      </c>
      <c r="DH360" t="s">
        <v>13808</v>
      </c>
      <c r="DJ360" t="s">
        <v>14693</v>
      </c>
      <c r="DK360" t="s">
        <v>13818</v>
      </c>
      <c r="DM360" t="s">
        <v>15138</v>
      </c>
      <c r="DN360" t="s">
        <v>13808</v>
      </c>
      <c r="DY360" t="s">
        <v>13920</v>
      </c>
      <c r="DZ360" t="s">
        <v>19487</v>
      </c>
      <c r="EA360" t="s">
        <v>14627</v>
      </c>
      <c r="EC360">
        <v>43782</v>
      </c>
      <c r="ED360" t="s">
        <v>13903</v>
      </c>
      <c r="EE360" t="s">
        <v>7178</v>
      </c>
    </row>
    <row r="361" spans="1:135">
      <c r="A361" t="s">
        <v>2478</v>
      </c>
      <c r="B361" t="s">
        <v>2314</v>
      </c>
      <c r="C361" t="s">
        <v>19488</v>
      </c>
      <c r="D361" s="24">
        <v>45134</v>
      </c>
      <c r="E361" s="24" t="s">
        <v>13559</v>
      </c>
      <c r="F361" s="24" t="s">
        <v>19489</v>
      </c>
      <c r="G361" s="24" t="s">
        <v>13808</v>
      </c>
      <c r="H361" s="24" t="s">
        <v>19490</v>
      </c>
      <c r="I361" s="24" t="s">
        <v>13809</v>
      </c>
      <c r="J361" s="24"/>
      <c r="K361" s="24" t="s">
        <v>13808</v>
      </c>
      <c r="L361" s="24"/>
      <c r="M361" s="24" t="s">
        <v>19491</v>
      </c>
      <c r="N361" s="24" t="s">
        <v>13808</v>
      </c>
      <c r="O361" s="24"/>
      <c r="P361" s="24" t="s">
        <v>13808</v>
      </c>
      <c r="Q361" s="24"/>
      <c r="R361" s="24" t="s">
        <v>13808</v>
      </c>
      <c r="S361" s="24"/>
      <c r="T361" t="s">
        <v>19492</v>
      </c>
      <c r="U361" t="s">
        <v>13808</v>
      </c>
      <c r="V361" t="s">
        <v>19493</v>
      </c>
      <c r="W361" t="s">
        <v>13808</v>
      </c>
      <c r="X361" t="s">
        <v>19494</v>
      </c>
      <c r="Y361" t="s">
        <v>13809</v>
      </c>
      <c r="AA361" t="s">
        <v>13953</v>
      </c>
      <c r="AH361" t="s">
        <v>19495</v>
      </c>
      <c r="AI361" t="s">
        <v>13808</v>
      </c>
      <c r="AK361" t="s">
        <v>19496</v>
      </c>
      <c r="AL361" t="s">
        <v>13818</v>
      </c>
      <c r="AM361" t="s">
        <v>14259</v>
      </c>
      <c r="AN361" t="s">
        <v>19497</v>
      </c>
      <c r="AO361" t="s">
        <v>13808</v>
      </c>
      <c r="AT361" t="s">
        <v>17684</v>
      </c>
      <c r="AU361" t="s">
        <v>13808</v>
      </c>
      <c r="AZ361" t="s">
        <v>19498</v>
      </c>
      <c r="BA361" t="s">
        <v>13808</v>
      </c>
      <c r="BB361" t="s">
        <v>19499</v>
      </c>
      <c r="BF361" t="s">
        <v>19500</v>
      </c>
      <c r="BG361" t="s">
        <v>13808</v>
      </c>
      <c r="BL361" t="s">
        <v>19501</v>
      </c>
      <c r="BM361" t="s">
        <v>13808</v>
      </c>
      <c r="BR361" t="s">
        <v>19502</v>
      </c>
      <c r="BS361" t="s">
        <v>13824</v>
      </c>
      <c r="BT361" t="s">
        <v>13808</v>
      </c>
      <c r="BU361" t="s">
        <v>13985</v>
      </c>
      <c r="BY361" t="s">
        <v>19503</v>
      </c>
      <c r="BZ361" t="s">
        <v>13808</v>
      </c>
      <c r="CA361" t="s">
        <v>13937</v>
      </c>
      <c r="CE361" t="s">
        <v>19504</v>
      </c>
      <c r="CF361" t="s">
        <v>13808</v>
      </c>
      <c r="CK361" t="s">
        <v>19505</v>
      </c>
      <c r="CL361" t="s">
        <v>13808</v>
      </c>
      <c r="CQ361" t="s">
        <v>13766</v>
      </c>
      <c r="CR361" t="s">
        <v>13809</v>
      </c>
      <c r="CT361" t="s">
        <v>19506</v>
      </c>
      <c r="CU361" t="s">
        <v>19507</v>
      </c>
      <c r="CV361" t="s">
        <v>13808</v>
      </c>
      <c r="CX361" t="s">
        <v>19508</v>
      </c>
      <c r="CY361" t="s">
        <v>13818</v>
      </c>
      <c r="DA361" t="s">
        <v>19509</v>
      </c>
      <c r="DB361" t="s">
        <v>13808</v>
      </c>
      <c r="DD361" t="s">
        <v>19510</v>
      </c>
      <c r="DE361" t="s">
        <v>13818</v>
      </c>
      <c r="DG361" t="s">
        <v>19511</v>
      </c>
      <c r="DH361" t="s">
        <v>13808</v>
      </c>
      <c r="DJ361" t="s">
        <v>19512</v>
      </c>
      <c r="DK361" t="s">
        <v>13818</v>
      </c>
      <c r="DM361" t="s">
        <v>19513</v>
      </c>
      <c r="DN361" t="s">
        <v>13808</v>
      </c>
      <c r="DY361" t="s">
        <v>14606</v>
      </c>
      <c r="DZ361" t="s">
        <v>13841</v>
      </c>
      <c r="EA361" t="s">
        <v>13842</v>
      </c>
      <c r="EC361">
        <v>45138</v>
      </c>
      <c r="ED361" t="s">
        <v>13843</v>
      </c>
      <c r="EE361" t="s">
        <v>7182</v>
      </c>
    </row>
    <row r="362" spans="1:135">
      <c r="A362" t="s">
        <v>2498</v>
      </c>
      <c r="B362" t="s">
        <v>2314</v>
      </c>
      <c r="C362" t="s">
        <v>19514</v>
      </c>
      <c r="D362" s="24">
        <v>44931</v>
      </c>
      <c r="E362" s="24" t="s">
        <v>13553</v>
      </c>
      <c r="F362" s="24" t="s">
        <v>19515</v>
      </c>
      <c r="G362" s="24" t="s">
        <v>13808</v>
      </c>
      <c r="H362" s="24"/>
      <c r="I362" s="24" t="s">
        <v>13809</v>
      </c>
      <c r="J362" s="24"/>
      <c r="K362" s="24" t="s">
        <v>13809</v>
      </c>
      <c r="L362" s="24"/>
      <c r="M362" s="24" t="s">
        <v>19260</v>
      </c>
      <c r="N362" s="24" t="s">
        <v>13808</v>
      </c>
      <c r="O362" s="24"/>
      <c r="P362" s="24" t="s">
        <v>13808</v>
      </c>
      <c r="Q362" s="24"/>
      <c r="R362" s="24" t="s">
        <v>13808</v>
      </c>
      <c r="S362" s="24"/>
      <c r="T362" t="s">
        <v>19516</v>
      </c>
      <c r="U362" t="s">
        <v>13809</v>
      </c>
      <c r="W362" t="s">
        <v>13808</v>
      </c>
      <c r="X362" t="s">
        <v>19517</v>
      </c>
      <c r="Y362" t="s">
        <v>13809</v>
      </c>
      <c r="AA362" t="s">
        <v>13849</v>
      </c>
      <c r="AB362" t="s">
        <v>19518</v>
      </c>
      <c r="AC362" t="s">
        <v>13808</v>
      </c>
      <c r="AH362" t="s">
        <v>13851</v>
      </c>
      <c r="AI362" t="s">
        <v>13808</v>
      </c>
      <c r="AN362" t="s">
        <v>19519</v>
      </c>
      <c r="AO362" t="s">
        <v>13809</v>
      </c>
      <c r="AT362" t="s">
        <v>13931</v>
      </c>
      <c r="AU362" t="s">
        <v>13808</v>
      </c>
      <c r="AZ362" t="s">
        <v>19407</v>
      </c>
      <c r="BA362" t="s">
        <v>13808</v>
      </c>
      <c r="BF362" t="s">
        <v>19520</v>
      </c>
      <c r="BG362" t="s">
        <v>13808</v>
      </c>
      <c r="BL362" t="s">
        <v>19521</v>
      </c>
      <c r="BM362" t="s">
        <v>13808</v>
      </c>
      <c r="BR362" t="s">
        <v>19522</v>
      </c>
      <c r="BS362" t="s">
        <v>19523</v>
      </c>
      <c r="BT362" t="s">
        <v>13808</v>
      </c>
      <c r="BU362" t="s">
        <v>14291</v>
      </c>
      <c r="BY362" t="s">
        <v>19524</v>
      </c>
      <c r="BZ362" t="s">
        <v>13808</v>
      </c>
      <c r="CA362" t="s">
        <v>13861</v>
      </c>
      <c r="CE362" t="s">
        <v>17250</v>
      </c>
      <c r="CF362" t="s">
        <v>13808</v>
      </c>
      <c r="CG362" t="s">
        <v>13863</v>
      </c>
      <c r="CK362" t="s">
        <v>18777</v>
      </c>
      <c r="CL362" t="s">
        <v>13808</v>
      </c>
      <c r="CQ362" t="s">
        <v>13766</v>
      </c>
      <c r="CR362" t="s">
        <v>13809</v>
      </c>
      <c r="CT362" t="s">
        <v>14293</v>
      </c>
      <c r="CU362" t="s">
        <v>19525</v>
      </c>
      <c r="CV362" t="s">
        <v>13808</v>
      </c>
      <c r="DA362" t="s">
        <v>19526</v>
      </c>
      <c r="DB362" t="s">
        <v>13808</v>
      </c>
      <c r="DM362" t="s">
        <v>19527</v>
      </c>
      <c r="DN362" t="s">
        <v>13808</v>
      </c>
      <c r="DY362" t="s">
        <v>13869</v>
      </c>
      <c r="DZ362" t="s">
        <v>19528</v>
      </c>
      <c r="EA362" t="s">
        <v>14182</v>
      </c>
      <c r="EC362">
        <v>45001</v>
      </c>
      <c r="ED362" t="s">
        <v>14298</v>
      </c>
      <c r="EE362" t="s">
        <v>7195</v>
      </c>
    </row>
    <row r="363" spans="1:135">
      <c r="A363" t="s">
        <v>3114</v>
      </c>
      <c r="B363" t="s">
        <v>3013</v>
      </c>
      <c r="C363" t="s">
        <v>19529</v>
      </c>
      <c r="D363" s="24">
        <v>43858</v>
      </c>
      <c r="E363" s="24" t="s">
        <v>13571</v>
      </c>
      <c r="F363" s="24" t="s">
        <v>19530</v>
      </c>
      <c r="G363" s="24" t="s">
        <v>13808</v>
      </c>
      <c r="H363" s="24"/>
      <c r="I363" s="24" t="s">
        <v>13809</v>
      </c>
      <c r="J363" s="24"/>
      <c r="K363" s="24" t="s">
        <v>13808</v>
      </c>
      <c r="L363" s="24"/>
      <c r="M363" s="24" t="s">
        <v>14136</v>
      </c>
      <c r="N363" s="24" t="s">
        <v>13808</v>
      </c>
      <c r="O363" s="24"/>
      <c r="P363" s="24" t="s">
        <v>13808</v>
      </c>
      <c r="Q363" s="24"/>
      <c r="R363" s="24" t="s">
        <v>13808</v>
      </c>
      <c r="S363" s="24"/>
      <c r="T363" t="s">
        <v>19531</v>
      </c>
      <c r="U363" t="s">
        <v>13808</v>
      </c>
      <c r="W363" t="s">
        <v>13808</v>
      </c>
      <c r="X363" t="s">
        <v>19532</v>
      </c>
      <c r="Y363" t="s">
        <v>13809</v>
      </c>
      <c r="AA363" t="s">
        <v>14614</v>
      </c>
      <c r="AB363" t="s">
        <v>19533</v>
      </c>
      <c r="AC363" t="s">
        <v>13808</v>
      </c>
      <c r="AH363" t="s">
        <v>13909</v>
      </c>
      <c r="AI363" t="s">
        <v>13808</v>
      </c>
      <c r="AN363" t="s">
        <v>19534</v>
      </c>
      <c r="AO363" t="s">
        <v>13808</v>
      </c>
      <c r="AT363" t="s">
        <v>15883</v>
      </c>
      <c r="AU363" t="s">
        <v>13808</v>
      </c>
      <c r="AZ363" t="s">
        <v>19535</v>
      </c>
      <c r="BA363" t="s">
        <v>13808</v>
      </c>
      <c r="BF363" t="s">
        <v>14022</v>
      </c>
      <c r="BG363" t="s">
        <v>13808</v>
      </c>
      <c r="BL363" t="s">
        <v>19536</v>
      </c>
      <c r="BM363" t="s">
        <v>13808</v>
      </c>
      <c r="BR363" t="s">
        <v>19537</v>
      </c>
      <c r="BS363" t="s">
        <v>13887</v>
      </c>
      <c r="BT363" t="s">
        <v>13808</v>
      </c>
      <c r="BU363" t="s">
        <v>19538</v>
      </c>
      <c r="BY363" t="s">
        <v>14265</v>
      </c>
      <c r="BZ363" t="s">
        <v>13808</v>
      </c>
      <c r="CA363" t="s">
        <v>13937</v>
      </c>
      <c r="CE363" t="s">
        <v>13887</v>
      </c>
      <c r="CF363" t="s">
        <v>13808</v>
      </c>
      <c r="CK363" t="s">
        <v>18051</v>
      </c>
      <c r="CL363" t="s">
        <v>13808</v>
      </c>
      <c r="CQ363" t="s">
        <v>14265</v>
      </c>
      <c r="CR363" t="s">
        <v>13818</v>
      </c>
      <c r="CS363" t="s">
        <v>19539</v>
      </c>
      <c r="CT363" t="s">
        <v>19540</v>
      </c>
      <c r="CU363" t="s">
        <v>19541</v>
      </c>
      <c r="CV363" t="s">
        <v>13808</v>
      </c>
      <c r="CX363" t="s">
        <v>19542</v>
      </c>
      <c r="CY363" t="s">
        <v>13818</v>
      </c>
      <c r="DA363" t="s">
        <v>19543</v>
      </c>
      <c r="DB363" t="s">
        <v>13808</v>
      </c>
      <c r="DD363" t="s">
        <v>19544</v>
      </c>
      <c r="DE363" t="s">
        <v>13818</v>
      </c>
      <c r="DG363" t="s">
        <v>13909</v>
      </c>
      <c r="DH363" t="s">
        <v>13818</v>
      </c>
      <c r="DZ363" t="s">
        <v>14696</v>
      </c>
      <c r="EA363" t="s">
        <v>14627</v>
      </c>
      <c r="EC363">
        <v>43480</v>
      </c>
      <c r="ED363" t="s">
        <v>14501</v>
      </c>
      <c r="EE363" t="s">
        <v>7836</v>
      </c>
    </row>
    <row r="364" spans="1:135">
      <c r="A364" t="s">
        <v>2809</v>
      </c>
      <c r="B364" t="s">
        <v>2693</v>
      </c>
      <c r="C364" t="s">
        <v>19545</v>
      </c>
      <c r="D364" s="24">
        <v>42636</v>
      </c>
      <c r="E364" s="24" t="s">
        <v>13555</v>
      </c>
      <c r="F364" s="24" t="s">
        <v>19546</v>
      </c>
      <c r="G364" s="24" t="s">
        <v>13808</v>
      </c>
      <c r="H364" s="24"/>
      <c r="I364" s="24" t="s">
        <v>13809</v>
      </c>
      <c r="J364" s="24"/>
      <c r="K364" s="24" t="s">
        <v>13808</v>
      </c>
      <c r="L364" s="24" t="s">
        <v>19547</v>
      </c>
      <c r="M364" s="24" t="s">
        <v>17316</v>
      </c>
      <c r="N364" s="24" t="s">
        <v>13808</v>
      </c>
      <c r="O364" s="24"/>
      <c r="P364" s="24" t="s">
        <v>13808</v>
      </c>
      <c r="Q364" s="24"/>
      <c r="R364" s="24" t="s">
        <v>13808</v>
      </c>
      <c r="S364" s="24"/>
      <c r="T364" t="s">
        <v>19548</v>
      </c>
      <c r="U364" t="s">
        <v>13809</v>
      </c>
      <c r="W364" t="s">
        <v>13808</v>
      </c>
      <c r="X364" t="s">
        <v>19549</v>
      </c>
      <c r="Y364" t="s">
        <v>13809</v>
      </c>
      <c r="AA364" t="s">
        <v>19550</v>
      </c>
      <c r="AB364" t="s">
        <v>19551</v>
      </c>
      <c r="AC364" t="s">
        <v>13808</v>
      </c>
      <c r="AH364" t="s">
        <v>13909</v>
      </c>
      <c r="AI364" t="s">
        <v>13808</v>
      </c>
      <c r="AO364" t="s">
        <v>13809</v>
      </c>
      <c r="AT364" t="s">
        <v>14056</v>
      </c>
      <c r="AU364" t="s">
        <v>13808</v>
      </c>
      <c r="AZ364" t="s">
        <v>19552</v>
      </c>
      <c r="BA364" t="s">
        <v>13808</v>
      </c>
      <c r="BF364" t="s">
        <v>14170</v>
      </c>
      <c r="BG364" t="s">
        <v>13808</v>
      </c>
      <c r="BL364" t="s">
        <v>19553</v>
      </c>
      <c r="BM364" t="s">
        <v>13808</v>
      </c>
      <c r="BR364" t="s">
        <v>19554</v>
      </c>
      <c r="BS364" t="s">
        <v>14265</v>
      </c>
      <c r="BT364" t="s">
        <v>13808</v>
      </c>
      <c r="BU364" t="s">
        <v>17966</v>
      </c>
      <c r="BY364" t="s">
        <v>19555</v>
      </c>
      <c r="BZ364" t="s">
        <v>13808</v>
      </c>
      <c r="CA364" t="s">
        <v>19556</v>
      </c>
      <c r="CE364" t="s">
        <v>19557</v>
      </c>
      <c r="CF364" t="s">
        <v>13808</v>
      </c>
      <c r="CL364" t="s">
        <v>13809</v>
      </c>
      <c r="CR364" t="s">
        <v>13809</v>
      </c>
      <c r="CT364" t="s">
        <v>19558</v>
      </c>
      <c r="CU364" t="s">
        <v>19559</v>
      </c>
      <c r="CV364" t="s">
        <v>13808</v>
      </c>
      <c r="DA364" t="s">
        <v>16943</v>
      </c>
      <c r="DB364" t="s">
        <v>13808</v>
      </c>
      <c r="DG364" t="s">
        <v>13909</v>
      </c>
      <c r="DH364" t="s">
        <v>13818</v>
      </c>
      <c r="DZ364" t="s">
        <v>19560</v>
      </c>
      <c r="EA364" t="s">
        <v>19561</v>
      </c>
      <c r="EC364">
        <v>43726</v>
      </c>
      <c r="ED364" t="s">
        <v>13903</v>
      </c>
      <c r="EE364" t="s">
        <v>7455</v>
      </c>
    </row>
    <row r="365" spans="1:135">
      <c r="A365" t="s">
        <v>2508</v>
      </c>
      <c r="B365" t="s">
        <v>2314</v>
      </c>
      <c r="C365" t="s">
        <v>19562</v>
      </c>
      <c r="D365" s="24">
        <v>44152</v>
      </c>
      <c r="E365" s="24" t="s">
        <v>13561</v>
      </c>
      <c r="F365" s="24" t="s">
        <v>19563</v>
      </c>
      <c r="G365" s="24"/>
      <c r="H365" s="24"/>
      <c r="I365" s="24" t="s">
        <v>13809</v>
      </c>
      <c r="J365" s="24"/>
      <c r="K365" s="24" t="s">
        <v>13818</v>
      </c>
      <c r="L365" s="24"/>
      <c r="M365" s="24" t="s">
        <v>19564</v>
      </c>
      <c r="N365" s="24" t="s">
        <v>13818</v>
      </c>
      <c r="O365" s="24"/>
      <c r="P365" s="24" t="s">
        <v>13818</v>
      </c>
      <c r="Q365" s="24"/>
      <c r="R365" s="24" t="s">
        <v>13818</v>
      </c>
      <c r="S365" s="24" t="s">
        <v>19565</v>
      </c>
      <c r="T365" t="s">
        <v>19566</v>
      </c>
      <c r="U365" t="s">
        <v>13809</v>
      </c>
      <c r="W365" t="s">
        <v>13808</v>
      </c>
      <c r="X365" t="s">
        <v>19567</v>
      </c>
      <c r="Y365" t="s">
        <v>13809</v>
      </c>
      <c r="AA365" t="s">
        <v>19568</v>
      </c>
      <c r="AB365" t="s">
        <v>19569</v>
      </c>
      <c r="AC365" t="s">
        <v>13818</v>
      </c>
      <c r="AE365" t="s">
        <v>19570</v>
      </c>
      <c r="AF365" t="s">
        <v>13818</v>
      </c>
      <c r="AG365" t="s">
        <v>14309</v>
      </c>
      <c r="AH365" t="s">
        <v>19571</v>
      </c>
      <c r="AI365" t="s">
        <v>13818</v>
      </c>
      <c r="AJ365" t="s">
        <v>14309</v>
      </c>
      <c r="AN365" t="s">
        <v>19572</v>
      </c>
      <c r="AO365" t="s">
        <v>13818</v>
      </c>
      <c r="AP365" t="s">
        <v>14309</v>
      </c>
      <c r="AT365" t="s">
        <v>16660</v>
      </c>
      <c r="AU365" t="s">
        <v>13818</v>
      </c>
      <c r="AV365" t="s">
        <v>14309</v>
      </c>
      <c r="AZ365" t="s">
        <v>19573</v>
      </c>
      <c r="BA365" t="s">
        <v>13818</v>
      </c>
      <c r="BB365" t="s">
        <v>14309</v>
      </c>
      <c r="BF365" t="s">
        <v>19574</v>
      </c>
      <c r="BG365" t="s">
        <v>13818</v>
      </c>
      <c r="BH365" t="s">
        <v>14309</v>
      </c>
      <c r="BL365" t="s">
        <v>19575</v>
      </c>
      <c r="BM365" t="s">
        <v>13818</v>
      </c>
      <c r="BN365" t="s">
        <v>14309</v>
      </c>
      <c r="BR365" t="s">
        <v>19576</v>
      </c>
      <c r="BS365" t="s">
        <v>14290</v>
      </c>
      <c r="BT365" t="s">
        <v>13818</v>
      </c>
      <c r="BU365" t="s">
        <v>19577</v>
      </c>
      <c r="BY365" t="s">
        <v>19578</v>
      </c>
      <c r="BZ365" t="s">
        <v>13818</v>
      </c>
      <c r="CA365" t="s">
        <v>16646</v>
      </c>
      <c r="CE365" t="s">
        <v>19579</v>
      </c>
      <c r="CF365" t="s">
        <v>13818</v>
      </c>
      <c r="CG365" t="s">
        <v>14309</v>
      </c>
      <c r="CH365" t="s">
        <v>13828</v>
      </c>
      <c r="CI365" t="s">
        <v>13818</v>
      </c>
      <c r="CJ365" t="s">
        <v>14309</v>
      </c>
      <c r="CK365" t="s">
        <v>19580</v>
      </c>
      <c r="CL365" t="s">
        <v>13818</v>
      </c>
      <c r="CM365" t="s">
        <v>14309</v>
      </c>
      <c r="CQ365" t="s">
        <v>13766</v>
      </c>
      <c r="CR365" t="s">
        <v>13809</v>
      </c>
      <c r="CT365" t="s">
        <v>19581</v>
      </c>
      <c r="DG365" t="s">
        <v>19582</v>
      </c>
      <c r="DH365" t="s">
        <v>13818</v>
      </c>
      <c r="DI365" t="s">
        <v>14309</v>
      </c>
      <c r="DZ365" t="s">
        <v>19583</v>
      </c>
      <c r="EA365" t="s">
        <v>13842</v>
      </c>
      <c r="EC365">
        <v>44684</v>
      </c>
      <c r="ED365" t="s">
        <v>17062</v>
      </c>
      <c r="EE365" t="s">
        <v>13605</v>
      </c>
    </row>
    <row r="366" spans="1:135">
      <c r="A366" t="s">
        <v>2503</v>
      </c>
      <c r="B366" t="s">
        <v>2314</v>
      </c>
      <c r="C366" t="s">
        <v>19584</v>
      </c>
      <c r="D366" s="24">
        <v>43557</v>
      </c>
      <c r="E366" s="24" t="s">
        <v>13553</v>
      </c>
      <c r="F366" s="24" t="s">
        <v>19585</v>
      </c>
      <c r="G366" s="24" t="s">
        <v>13808</v>
      </c>
      <c r="H366" s="24"/>
      <c r="I366" s="24" t="s">
        <v>13809</v>
      </c>
      <c r="J366" s="24"/>
      <c r="K366" s="24" t="s">
        <v>13809</v>
      </c>
      <c r="L366" s="24"/>
      <c r="M366" s="24" t="s">
        <v>15805</v>
      </c>
      <c r="N366" s="24" t="s">
        <v>13808</v>
      </c>
      <c r="O366" s="24" t="s">
        <v>19586</v>
      </c>
      <c r="P366" s="24" t="s">
        <v>13808</v>
      </c>
      <c r="Q366" s="24"/>
      <c r="R366" s="24" t="s">
        <v>13808</v>
      </c>
      <c r="S366" s="24"/>
      <c r="T366" t="s">
        <v>19587</v>
      </c>
      <c r="U366" t="s">
        <v>13808</v>
      </c>
      <c r="W366" t="s">
        <v>13808</v>
      </c>
      <c r="X366" t="s">
        <v>19588</v>
      </c>
      <c r="Y366" t="s">
        <v>13809</v>
      </c>
      <c r="AA366" t="s">
        <v>13877</v>
      </c>
      <c r="AB366" t="s">
        <v>19589</v>
      </c>
      <c r="AC366" t="s">
        <v>13808</v>
      </c>
      <c r="AH366" t="s">
        <v>13909</v>
      </c>
      <c r="AI366" t="s">
        <v>13808</v>
      </c>
      <c r="AN366" t="s">
        <v>19590</v>
      </c>
      <c r="AO366" t="s">
        <v>13808</v>
      </c>
      <c r="AT366" t="s">
        <v>19591</v>
      </c>
      <c r="AU366" t="s">
        <v>13808</v>
      </c>
      <c r="AZ366" t="s">
        <v>19592</v>
      </c>
      <c r="BA366" t="s">
        <v>13808</v>
      </c>
      <c r="BF366" t="s">
        <v>19593</v>
      </c>
      <c r="BG366" t="s">
        <v>13897</v>
      </c>
      <c r="BL366" t="s">
        <v>19594</v>
      </c>
      <c r="BM366" t="s">
        <v>13808</v>
      </c>
      <c r="BR366" t="s">
        <v>19595</v>
      </c>
      <c r="BS366" t="s">
        <v>13887</v>
      </c>
      <c r="BT366" t="s">
        <v>13808</v>
      </c>
      <c r="BU366" t="s">
        <v>14515</v>
      </c>
      <c r="BY366" t="s">
        <v>15138</v>
      </c>
      <c r="BZ366" t="s">
        <v>13808</v>
      </c>
      <c r="CA366" t="s">
        <v>13888</v>
      </c>
      <c r="CE366" t="s">
        <v>19596</v>
      </c>
      <c r="CF366" t="s">
        <v>13808</v>
      </c>
      <c r="CL366" t="s">
        <v>13809</v>
      </c>
      <c r="CQ366" t="s">
        <v>13887</v>
      </c>
      <c r="CR366" t="s">
        <v>13808</v>
      </c>
      <c r="CS366" t="s">
        <v>19597</v>
      </c>
      <c r="CT366" t="s">
        <v>19598</v>
      </c>
      <c r="CU366" t="s">
        <v>19599</v>
      </c>
      <c r="CV366" t="s">
        <v>13808</v>
      </c>
      <c r="CX366" t="s">
        <v>14169</v>
      </c>
      <c r="CY366" t="s">
        <v>13808</v>
      </c>
      <c r="CZ366" t="s">
        <v>19600</v>
      </c>
      <c r="DA366" t="s">
        <v>19601</v>
      </c>
      <c r="DB366" t="s">
        <v>13808</v>
      </c>
      <c r="DD366" t="s">
        <v>13892</v>
      </c>
      <c r="DE366" t="s">
        <v>13808</v>
      </c>
      <c r="DF366" t="s">
        <v>19602</v>
      </c>
      <c r="DG366" t="s">
        <v>19603</v>
      </c>
      <c r="DH366" t="s">
        <v>13808</v>
      </c>
      <c r="DI366" t="s">
        <v>19604</v>
      </c>
      <c r="DJ366" t="s">
        <v>19605</v>
      </c>
      <c r="DK366" t="s">
        <v>13808</v>
      </c>
      <c r="DL366" t="s">
        <v>19606</v>
      </c>
      <c r="DM366" t="s">
        <v>19607</v>
      </c>
      <c r="DN366" t="s">
        <v>13808</v>
      </c>
      <c r="DO366" t="s">
        <v>18487</v>
      </c>
      <c r="DZ366" t="s">
        <v>14274</v>
      </c>
      <c r="EA366" t="s">
        <v>19319</v>
      </c>
      <c r="EC366">
        <v>44260</v>
      </c>
      <c r="ED366" t="s">
        <v>14501</v>
      </c>
      <c r="EE366" t="s">
        <v>7197</v>
      </c>
    </row>
    <row r="367" spans="1:135">
      <c r="A367" t="s">
        <v>2511</v>
      </c>
      <c r="B367" t="s">
        <v>2314</v>
      </c>
      <c r="C367" t="s">
        <v>19608</v>
      </c>
      <c r="D367" s="24">
        <v>44685</v>
      </c>
      <c r="E367" s="24" t="s">
        <v>13560</v>
      </c>
      <c r="F367" s="24" t="s">
        <v>19609</v>
      </c>
      <c r="G367" s="24" t="s">
        <v>13808</v>
      </c>
      <c r="H367" s="24"/>
      <c r="I367" s="24" t="s">
        <v>13809</v>
      </c>
      <c r="J367" s="24"/>
      <c r="K367" s="24" t="s">
        <v>13809</v>
      </c>
      <c r="L367" s="24"/>
      <c r="M367" s="24" t="s">
        <v>19610</v>
      </c>
      <c r="N367" s="24" t="s">
        <v>13808</v>
      </c>
      <c r="O367" s="24"/>
      <c r="P367" s="24" t="s">
        <v>13808</v>
      </c>
      <c r="Q367" s="24"/>
      <c r="R367" s="24" t="s">
        <v>13818</v>
      </c>
      <c r="S367" s="24" t="s">
        <v>19611</v>
      </c>
      <c r="T367" t="s">
        <v>19612</v>
      </c>
      <c r="U367" t="s">
        <v>13809</v>
      </c>
      <c r="W367" t="s">
        <v>13808</v>
      </c>
      <c r="X367" t="s">
        <v>19613</v>
      </c>
      <c r="Y367" t="s">
        <v>13808</v>
      </c>
      <c r="Z367" t="s">
        <v>19614</v>
      </c>
      <c r="AA367" t="s">
        <v>19615</v>
      </c>
      <c r="AB367" t="s">
        <v>19616</v>
      </c>
      <c r="AC367" t="s">
        <v>13808</v>
      </c>
      <c r="AH367" t="s">
        <v>19617</v>
      </c>
      <c r="AI367" t="s">
        <v>13808</v>
      </c>
      <c r="AN367" t="s">
        <v>19618</v>
      </c>
      <c r="AO367" t="s">
        <v>13808</v>
      </c>
      <c r="AT367" t="s">
        <v>19619</v>
      </c>
      <c r="AU367" t="s">
        <v>13808</v>
      </c>
      <c r="AZ367" t="s">
        <v>19620</v>
      </c>
      <c r="BA367" t="s">
        <v>13808</v>
      </c>
      <c r="BF367" t="s">
        <v>19621</v>
      </c>
      <c r="BG367" t="s">
        <v>13808</v>
      </c>
      <c r="BL367" t="s">
        <v>19622</v>
      </c>
      <c r="BM367" t="s">
        <v>13808</v>
      </c>
      <c r="BR367" t="s">
        <v>19623</v>
      </c>
      <c r="BS367" t="s">
        <v>13824</v>
      </c>
      <c r="BT367" t="s">
        <v>13808</v>
      </c>
      <c r="BU367" t="s">
        <v>14233</v>
      </c>
      <c r="BY367" t="s">
        <v>19624</v>
      </c>
      <c r="BZ367" t="s">
        <v>13808</v>
      </c>
      <c r="CA367" t="s">
        <v>13937</v>
      </c>
      <c r="CE367" t="s">
        <v>19625</v>
      </c>
      <c r="CF367" t="s">
        <v>13808</v>
      </c>
      <c r="CK367" t="s">
        <v>17424</v>
      </c>
      <c r="CL367" t="s">
        <v>13818</v>
      </c>
      <c r="CM367" t="s">
        <v>14309</v>
      </c>
      <c r="CQ367" t="s">
        <v>16814</v>
      </c>
      <c r="CR367" t="s">
        <v>13818</v>
      </c>
      <c r="CS367" t="s">
        <v>14309</v>
      </c>
      <c r="CT367" t="s">
        <v>19626</v>
      </c>
      <c r="CU367" t="s">
        <v>19627</v>
      </c>
      <c r="CV367" t="s">
        <v>13808</v>
      </c>
      <c r="CX367" t="s">
        <v>19628</v>
      </c>
      <c r="CY367" t="s">
        <v>13818</v>
      </c>
      <c r="DA367" t="s">
        <v>19629</v>
      </c>
      <c r="DB367" t="s">
        <v>13808</v>
      </c>
      <c r="DD367" t="s">
        <v>19630</v>
      </c>
      <c r="DE367" t="s">
        <v>13818</v>
      </c>
      <c r="DG367" t="s">
        <v>19631</v>
      </c>
      <c r="DH367" t="s">
        <v>13808</v>
      </c>
      <c r="DJ367" t="s">
        <v>19632</v>
      </c>
      <c r="DK367" t="s">
        <v>13808</v>
      </c>
      <c r="DY367" t="s">
        <v>13840</v>
      </c>
      <c r="DZ367" t="s">
        <v>19633</v>
      </c>
      <c r="EA367" t="s">
        <v>14881</v>
      </c>
      <c r="EC367">
        <v>44685</v>
      </c>
      <c r="ED367" t="s">
        <v>14590</v>
      </c>
      <c r="EE367" t="s">
        <v>7203</v>
      </c>
    </row>
    <row r="368" spans="1:135">
      <c r="A368" t="s">
        <v>7693</v>
      </c>
      <c r="B368" t="s">
        <v>2926</v>
      </c>
      <c r="C368" t="s">
        <v>19634</v>
      </c>
      <c r="D368" s="24">
        <v>44055</v>
      </c>
      <c r="E368" s="24" t="s">
        <v>13553</v>
      </c>
      <c r="F368" s="24" t="s">
        <v>19635</v>
      </c>
      <c r="G368" s="24" t="s">
        <v>13808</v>
      </c>
      <c r="H368" s="24"/>
      <c r="I368" s="24" t="s">
        <v>13809</v>
      </c>
      <c r="J368" s="24"/>
      <c r="K368" s="24" t="s">
        <v>13809</v>
      </c>
      <c r="L368" s="24"/>
      <c r="M368" s="24" t="s">
        <v>17316</v>
      </c>
      <c r="N368" s="24" t="s">
        <v>13808</v>
      </c>
      <c r="O368" s="24"/>
      <c r="P368" s="24" t="s">
        <v>13808</v>
      </c>
      <c r="Q368" s="24"/>
      <c r="R368" s="24" t="s">
        <v>13808</v>
      </c>
      <c r="S368" s="24"/>
      <c r="T368" t="s">
        <v>13875</v>
      </c>
      <c r="U368" t="s">
        <v>13808</v>
      </c>
      <c r="V368" t="s">
        <v>19636</v>
      </c>
      <c r="W368" t="s">
        <v>13808</v>
      </c>
      <c r="X368" t="s">
        <v>19637</v>
      </c>
      <c r="Y368" t="s">
        <v>13809</v>
      </c>
      <c r="AA368" t="s">
        <v>19638</v>
      </c>
      <c r="AB368" t="s">
        <v>13809</v>
      </c>
      <c r="AH368" t="s">
        <v>19639</v>
      </c>
      <c r="AI368" t="s">
        <v>13808</v>
      </c>
      <c r="AN368" t="s">
        <v>13809</v>
      </c>
      <c r="AT368" t="s">
        <v>13885</v>
      </c>
      <c r="AU368" t="s">
        <v>13808</v>
      </c>
      <c r="AZ368" t="s">
        <v>13887</v>
      </c>
      <c r="BA368" t="s">
        <v>13808</v>
      </c>
      <c r="BF368" t="s">
        <v>14265</v>
      </c>
      <c r="BG368" t="s">
        <v>13808</v>
      </c>
      <c r="BL368" t="s">
        <v>13809</v>
      </c>
      <c r="BR368" t="s">
        <v>19640</v>
      </c>
      <c r="BS368" t="s">
        <v>13809</v>
      </c>
      <c r="BY368" t="s">
        <v>13809</v>
      </c>
      <c r="CE368" t="s">
        <v>13809</v>
      </c>
      <c r="CK368" t="s">
        <v>14265</v>
      </c>
      <c r="CL368" t="s">
        <v>13808</v>
      </c>
      <c r="CR368" t="s">
        <v>13809</v>
      </c>
      <c r="CT368" t="s">
        <v>19641</v>
      </c>
      <c r="CU368" t="s">
        <v>19642</v>
      </c>
      <c r="CV368" t="s">
        <v>13808</v>
      </c>
      <c r="DA368" t="s">
        <v>19643</v>
      </c>
      <c r="DB368" t="s">
        <v>13808</v>
      </c>
      <c r="DM368" t="s">
        <v>19644</v>
      </c>
      <c r="DN368" t="s">
        <v>13808</v>
      </c>
      <c r="DP368" t="s">
        <v>19645</v>
      </c>
      <c r="DQ368" t="s">
        <v>13808</v>
      </c>
      <c r="DY368" t="s">
        <v>13900</v>
      </c>
      <c r="DZ368" t="s">
        <v>19646</v>
      </c>
      <c r="EA368" t="s">
        <v>14461</v>
      </c>
      <c r="ED368" t="s">
        <v>14276</v>
      </c>
      <c r="EE368" t="s">
        <v>7698</v>
      </c>
    </row>
    <row r="369" spans="1:135">
      <c r="A369" t="s">
        <v>2823</v>
      </c>
      <c r="B369" t="s">
        <v>2693</v>
      </c>
      <c r="C369" t="s">
        <v>19647</v>
      </c>
      <c r="D369" s="24">
        <v>44420</v>
      </c>
      <c r="E369" s="24" t="s">
        <v>13555</v>
      </c>
      <c r="F369" s="24" t="s">
        <v>19648</v>
      </c>
      <c r="G369" s="24" t="s">
        <v>13808</v>
      </c>
      <c r="H369" s="24"/>
      <c r="I369" s="24" t="s">
        <v>13809</v>
      </c>
      <c r="J369" s="24"/>
      <c r="K369" s="24" t="s">
        <v>13808</v>
      </c>
      <c r="L369" s="24"/>
      <c r="M369" s="24" t="s">
        <v>19649</v>
      </c>
      <c r="N369" s="24" t="s">
        <v>13808</v>
      </c>
      <c r="O369" s="24"/>
      <c r="P369" s="24" t="s">
        <v>13808</v>
      </c>
      <c r="Q369" s="24"/>
      <c r="R369" s="24" t="s">
        <v>13808</v>
      </c>
      <c r="S369" s="24"/>
      <c r="T369" t="s">
        <v>19650</v>
      </c>
      <c r="U369" t="s">
        <v>13809</v>
      </c>
      <c r="W369" t="s">
        <v>13808</v>
      </c>
      <c r="X369" t="s">
        <v>19651</v>
      </c>
      <c r="Y369" t="s">
        <v>13809</v>
      </c>
      <c r="AA369" t="s">
        <v>14226</v>
      </c>
      <c r="AB369" t="s">
        <v>19652</v>
      </c>
      <c r="AC369" t="s">
        <v>13808</v>
      </c>
      <c r="AH369" t="s">
        <v>19653</v>
      </c>
      <c r="AI369" t="s">
        <v>13808</v>
      </c>
      <c r="AN369" t="s">
        <v>19654</v>
      </c>
      <c r="AO369" t="s">
        <v>13808</v>
      </c>
      <c r="AT369" t="s">
        <v>19655</v>
      </c>
      <c r="AU369" t="s">
        <v>13808</v>
      </c>
      <c r="AZ369" t="s">
        <v>14023</v>
      </c>
      <c r="BA369" t="s">
        <v>13808</v>
      </c>
      <c r="BF369" t="s">
        <v>19656</v>
      </c>
      <c r="BG369" t="s">
        <v>13808</v>
      </c>
      <c r="BL369" t="s">
        <v>19657</v>
      </c>
      <c r="BM369" t="s">
        <v>13808</v>
      </c>
      <c r="BR369" t="s">
        <v>19658</v>
      </c>
      <c r="BS369" t="s">
        <v>13887</v>
      </c>
      <c r="BT369" t="s">
        <v>13808</v>
      </c>
      <c r="BU369" t="s">
        <v>19659</v>
      </c>
      <c r="BV369" t="s">
        <v>13887</v>
      </c>
      <c r="BW369" t="s">
        <v>13897</v>
      </c>
      <c r="BX369" t="s">
        <v>19660</v>
      </c>
      <c r="BY369" t="s">
        <v>19661</v>
      </c>
      <c r="BZ369" t="s">
        <v>13808</v>
      </c>
      <c r="CA369" t="s">
        <v>18038</v>
      </c>
      <c r="CE369" t="s">
        <v>14197</v>
      </c>
      <c r="CF369" t="s">
        <v>13808</v>
      </c>
      <c r="CL369" t="s">
        <v>13809</v>
      </c>
      <c r="CR369" t="s">
        <v>13809</v>
      </c>
      <c r="CT369" t="s">
        <v>19662</v>
      </c>
      <c r="CU369" t="s">
        <v>19663</v>
      </c>
      <c r="CV369" t="s">
        <v>13808</v>
      </c>
      <c r="CX369" t="s">
        <v>19664</v>
      </c>
      <c r="CY369" t="s">
        <v>13818</v>
      </c>
      <c r="DA369" t="s">
        <v>19665</v>
      </c>
      <c r="DB369" t="s">
        <v>13808</v>
      </c>
      <c r="DD369" t="s">
        <v>19666</v>
      </c>
      <c r="DE369" t="s">
        <v>13818</v>
      </c>
      <c r="DG369" t="s">
        <v>19667</v>
      </c>
      <c r="DH369" t="s">
        <v>13808</v>
      </c>
      <c r="DI369" t="s">
        <v>13968</v>
      </c>
      <c r="DJ369" t="s">
        <v>19668</v>
      </c>
      <c r="DK369" t="s">
        <v>13808</v>
      </c>
      <c r="DM369" t="s">
        <v>19669</v>
      </c>
      <c r="DN369" t="s">
        <v>13818</v>
      </c>
      <c r="DY369" t="s">
        <v>15296</v>
      </c>
      <c r="DZ369" t="s">
        <v>19670</v>
      </c>
      <c r="EA369" t="s">
        <v>19671</v>
      </c>
      <c r="EC369">
        <v>44424</v>
      </c>
      <c r="ED369" t="s">
        <v>17330</v>
      </c>
      <c r="EE369" t="s">
        <v>7467</v>
      </c>
    </row>
    <row r="370" spans="1:135">
      <c r="A370" t="s">
        <v>2528</v>
      </c>
      <c r="B370" t="s">
        <v>2314</v>
      </c>
      <c r="C370" t="s">
        <v>19672</v>
      </c>
      <c r="D370" s="24">
        <v>45132</v>
      </c>
      <c r="E370" s="24" t="s">
        <v>13558</v>
      </c>
      <c r="F370" s="24" t="s">
        <v>19673</v>
      </c>
      <c r="G370" s="24" t="s">
        <v>13808</v>
      </c>
      <c r="H370" s="24"/>
      <c r="I370" s="24" t="s">
        <v>13809</v>
      </c>
      <c r="J370" s="24"/>
      <c r="K370" s="24" t="s">
        <v>13809</v>
      </c>
      <c r="L370" s="24"/>
      <c r="M370" s="24" t="s">
        <v>15539</v>
      </c>
      <c r="N370" s="24" t="s">
        <v>13808</v>
      </c>
      <c r="O370" s="24"/>
      <c r="P370" s="24" t="s">
        <v>13808</v>
      </c>
      <c r="Q370" s="24"/>
      <c r="R370" s="24" t="s">
        <v>13808</v>
      </c>
      <c r="S370" s="24"/>
      <c r="T370" t="s">
        <v>15164</v>
      </c>
      <c r="U370" t="s">
        <v>13809</v>
      </c>
      <c r="W370" t="s">
        <v>13808</v>
      </c>
      <c r="X370" t="s">
        <v>19674</v>
      </c>
      <c r="Y370" t="s">
        <v>13808</v>
      </c>
      <c r="AA370" t="s">
        <v>14791</v>
      </c>
      <c r="AB370" t="s">
        <v>19675</v>
      </c>
      <c r="AC370" t="s">
        <v>13808</v>
      </c>
      <c r="AH370" t="s">
        <v>19676</v>
      </c>
      <c r="AI370" t="s">
        <v>13808</v>
      </c>
      <c r="AN370" t="s">
        <v>19677</v>
      </c>
      <c r="AO370" t="s">
        <v>13808</v>
      </c>
      <c r="AT370" t="s">
        <v>19678</v>
      </c>
      <c r="AU370" t="s">
        <v>13808</v>
      </c>
      <c r="AZ370" t="s">
        <v>14954</v>
      </c>
      <c r="BA370" t="s">
        <v>13808</v>
      </c>
      <c r="BF370" t="s">
        <v>19679</v>
      </c>
      <c r="BG370" t="s">
        <v>13808</v>
      </c>
      <c r="BL370" t="s">
        <v>19680</v>
      </c>
      <c r="BM370" t="s">
        <v>13808</v>
      </c>
      <c r="BR370" t="s">
        <v>19681</v>
      </c>
      <c r="BS370" t="s">
        <v>13824</v>
      </c>
      <c r="BT370" t="s">
        <v>13808</v>
      </c>
      <c r="BU370" t="s">
        <v>19682</v>
      </c>
      <c r="BY370" t="s">
        <v>13826</v>
      </c>
      <c r="BZ370" t="s">
        <v>13808</v>
      </c>
      <c r="CA370" t="s">
        <v>13937</v>
      </c>
      <c r="CE370" t="s">
        <v>13754</v>
      </c>
      <c r="CF370" t="s">
        <v>13809</v>
      </c>
      <c r="CK370" t="s">
        <v>19683</v>
      </c>
      <c r="CL370" t="s">
        <v>13808</v>
      </c>
      <c r="CM370" t="s">
        <v>19684</v>
      </c>
      <c r="CQ370" t="s">
        <v>13766</v>
      </c>
      <c r="CR370" t="s">
        <v>13809</v>
      </c>
      <c r="CT370" t="s">
        <v>19685</v>
      </c>
      <c r="CU370" t="s">
        <v>19686</v>
      </c>
      <c r="CV370" t="s">
        <v>13818</v>
      </c>
      <c r="DA370" t="s">
        <v>19687</v>
      </c>
      <c r="DB370" t="s">
        <v>13808</v>
      </c>
      <c r="DD370" t="s">
        <v>19688</v>
      </c>
      <c r="DE370" t="s">
        <v>13818</v>
      </c>
      <c r="DG370" t="s">
        <v>19689</v>
      </c>
      <c r="DH370" t="s">
        <v>13818</v>
      </c>
      <c r="DM370" t="s">
        <v>19690</v>
      </c>
      <c r="DN370" t="s">
        <v>13808</v>
      </c>
      <c r="DO370" t="s">
        <v>19691</v>
      </c>
      <c r="DY370" t="s">
        <v>19692</v>
      </c>
      <c r="DZ370" t="s">
        <v>19693</v>
      </c>
      <c r="EA370" t="s">
        <v>19694</v>
      </c>
      <c r="EC370">
        <v>45138</v>
      </c>
      <c r="ED370" t="s">
        <v>13843</v>
      </c>
      <c r="EE370" t="s">
        <v>7215</v>
      </c>
    </row>
    <row r="371" spans="1:135">
      <c r="A371" t="s">
        <v>2533</v>
      </c>
      <c r="B371" t="s">
        <v>2314</v>
      </c>
      <c r="C371" t="s">
        <v>19695</v>
      </c>
      <c r="D371" s="24">
        <v>43390</v>
      </c>
      <c r="E371" s="24" t="s">
        <v>13553</v>
      </c>
      <c r="F371" s="24" t="s">
        <v>19696</v>
      </c>
      <c r="G371" s="24" t="s">
        <v>13808</v>
      </c>
      <c r="H371" s="24"/>
      <c r="I371" s="24" t="s">
        <v>13809</v>
      </c>
      <c r="J371" s="24"/>
      <c r="K371" s="24" t="s">
        <v>13809</v>
      </c>
      <c r="L371" s="24"/>
      <c r="M371" s="24" t="s">
        <v>18884</v>
      </c>
      <c r="N371" s="24" t="s">
        <v>13808</v>
      </c>
      <c r="O371" s="24"/>
      <c r="P371" s="24" t="s">
        <v>13808</v>
      </c>
      <c r="Q371" s="24"/>
      <c r="R371" s="24" t="s">
        <v>13808</v>
      </c>
      <c r="S371" s="24"/>
      <c r="T371" t="s">
        <v>14429</v>
      </c>
      <c r="U371" t="s">
        <v>13809</v>
      </c>
      <c r="W371" t="s">
        <v>13808</v>
      </c>
      <c r="X371" t="s">
        <v>19697</v>
      </c>
      <c r="Y371" t="s">
        <v>13809</v>
      </c>
      <c r="AA371" t="s">
        <v>14188</v>
      </c>
      <c r="AB371" t="s">
        <v>14852</v>
      </c>
      <c r="AC371" t="s">
        <v>13808</v>
      </c>
      <c r="AH371" t="s">
        <v>13909</v>
      </c>
      <c r="AI371" t="s">
        <v>13808</v>
      </c>
      <c r="AO371" t="s">
        <v>13809</v>
      </c>
      <c r="AT371" t="s">
        <v>16368</v>
      </c>
      <c r="AU371" t="s">
        <v>19698</v>
      </c>
      <c r="AZ371" t="s">
        <v>19699</v>
      </c>
      <c r="BA371" t="s">
        <v>13808</v>
      </c>
      <c r="BF371" t="s">
        <v>19700</v>
      </c>
      <c r="BG371" t="s">
        <v>13808</v>
      </c>
      <c r="BL371" t="s">
        <v>19701</v>
      </c>
      <c r="BM371" t="s">
        <v>13808</v>
      </c>
      <c r="BR371" t="s">
        <v>19702</v>
      </c>
      <c r="BS371" t="s">
        <v>13885</v>
      </c>
      <c r="BT371" t="s">
        <v>13808</v>
      </c>
      <c r="BU371" t="s">
        <v>19703</v>
      </c>
      <c r="BY371" t="s">
        <v>15138</v>
      </c>
      <c r="BZ371" t="s">
        <v>13808</v>
      </c>
      <c r="CA371" t="s">
        <v>13861</v>
      </c>
      <c r="CE371" t="s">
        <v>14003</v>
      </c>
      <c r="CF371" t="s">
        <v>13808</v>
      </c>
      <c r="CL371" t="s">
        <v>13809</v>
      </c>
      <c r="CR371" t="s">
        <v>13809</v>
      </c>
      <c r="CT371" t="s">
        <v>19704</v>
      </c>
      <c r="CU371" t="s">
        <v>13909</v>
      </c>
      <c r="CV371" t="s">
        <v>13808</v>
      </c>
      <c r="DA371" t="s">
        <v>13909</v>
      </c>
      <c r="DB371" t="s">
        <v>13808</v>
      </c>
      <c r="DG371" t="s">
        <v>13909</v>
      </c>
      <c r="DH371" t="s">
        <v>13808</v>
      </c>
      <c r="DZ371" t="s">
        <v>19705</v>
      </c>
      <c r="EA371" t="s">
        <v>19706</v>
      </c>
      <c r="EC371">
        <v>43965</v>
      </c>
      <c r="ED371" t="s">
        <v>13903</v>
      </c>
      <c r="EE371" t="s">
        <v>7219</v>
      </c>
    </row>
    <row r="372" spans="1:135">
      <c r="A372" t="s">
        <v>2827</v>
      </c>
      <c r="B372" t="s">
        <v>2693</v>
      </c>
      <c r="C372" t="s">
        <v>19707</v>
      </c>
      <c r="D372" s="24">
        <v>44673</v>
      </c>
      <c r="E372" s="24" t="s">
        <v>13557</v>
      </c>
      <c r="F372" s="24" t="s">
        <v>19708</v>
      </c>
      <c r="G372" s="24" t="s">
        <v>13808</v>
      </c>
      <c r="H372" s="24"/>
      <c r="I372" s="24" t="s">
        <v>13809</v>
      </c>
      <c r="J372" s="24"/>
      <c r="K372" s="24" t="s">
        <v>13808</v>
      </c>
      <c r="L372" s="24"/>
      <c r="M372" s="24" t="s">
        <v>15163</v>
      </c>
      <c r="N372" s="24" t="s">
        <v>13808</v>
      </c>
      <c r="O372" s="24"/>
      <c r="P372" s="24" t="s">
        <v>13808</v>
      </c>
      <c r="Q372" s="24"/>
      <c r="R372" s="24" t="s">
        <v>13808</v>
      </c>
      <c r="S372" s="24"/>
      <c r="T372" t="s">
        <v>19709</v>
      </c>
      <c r="U372" t="s">
        <v>13809</v>
      </c>
      <c r="W372" t="s">
        <v>13808</v>
      </c>
      <c r="Y372" t="s">
        <v>13808</v>
      </c>
      <c r="AA372" t="s">
        <v>15330</v>
      </c>
      <c r="AH372" t="s">
        <v>13851</v>
      </c>
      <c r="AI372" t="s">
        <v>13808</v>
      </c>
      <c r="AN372" t="s">
        <v>19710</v>
      </c>
      <c r="AO372" t="s">
        <v>13808</v>
      </c>
      <c r="AT372" t="s">
        <v>16883</v>
      </c>
      <c r="AU372" t="s">
        <v>13808</v>
      </c>
      <c r="BF372" t="s">
        <v>19711</v>
      </c>
      <c r="BG372" t="s">
        <v>13808</v>
      </c>
      <c r="BL372" t="s">
        <v>19712</v>
      </c>
      <c r="BM372" t="s">
        <v>13808</v>
      </c>
      <c r="BR372" t="s">
        <v>19713</v>
      </c>
      <c r="BS372" t="s">
        <v>14290</v>
      </c>
      <c r="BT372" t="s">
        <v>13808</v>
      </c>
      <c r="BU372" t="s">
        <v>14147</v>
      </c>
      <c r="BY372" t="s">
        <v>19714</v>
      </c>
      <c r="BZ372" t="s">
        <v>13808</v>
      </c>
      <c r="CA372" t="s">
        <v>13937</v>
      </c>
      <c r="CE372" t="s">
        <v>19715</v>
      </c>
      <c r="CF372" t="s">
        <v>13808</v>
      </c>
      <c r="CK372" t="s">
        <v>19716</v>
      </c>
      <c r="CL372" t="s">
        <v>13808</v>
      </c>
      <c r="CQ372" t="s">
        <v>19717</v>
      </c>
      <c r="CR372" t="s">
        <v>13808</v>
      </c>
      <c r="CS372" t="s">
        <v>19718</v>
      </c>
      <c r="CT372" t="s">
        <v>19719</v>
      </c>
      <c r="DY372" t="s">
        <v>13840</v>
      </c>
      <c r="DZ372" t="s">
        <v>13841</v>
      </c>
      <c r="EA372" t="s">
        <v>13842</v>
      </c>
      <c r="EC372">
        <v>44676</v>
      </c>
      <c r="ED372" t="s">
        <v>14590</v>
      </c>
      <c r="EE372" t="s">
        <v>7471</v>
      </c>
    </row>
    <row r="373" spans="1:135">
      <c r="A373" t="s">
        <v>11382</v>
      </c>
      <c r="B373" t="s">
        <v>2861</v>
      </c>
      <c r="C373" t="s">
        <v>19720</v>
      </c>
      <c r="D373" s="24">
        <v>44322</v>
      </c>
      <c r="E373" s="24" t="s">
        <v>13550</v>
      </c>
      <c r="F373" s="24" t="s">
        <v>19721</v>
      </c>
      <c r="G373" s="24" t="s">
        <v>13808</v>
      </c>
      <c r="H373" s="24" t="s">
        <v>19722</v>
      </c>
      <c r="I373" s="24" t="s">
        <v>13809</v>
      </c>
      <c r="J373" s="24"/>
      <c r="K373" s="24" t="s">
        <v>13809</v>
      </c>
      <c r="L373" s="24"/>
      <c r="M373" s="24" t="s">
        <v>19723</v>
      </c>
      <c r="N373" s="24" t="s">
        <v>13808</v>
      </c>
      <c r="O373" s="24"/>
      <c r="P373" s="24" t="s">
        <v>13808</v>
      </c>
      <c r="Q373" s="24"/>
      <c r="R373" s="24" t="s">
        <v>13808</v>
      </c>
      <c r="S373" s="24" t="s">
        <v>19724</v>
      </c>
      <c r="T373" t="s">
        <v>18348</v>
      </c>
      <c r="U373" t="s">
        <v>13809</v>
      </c>
      <c r="W373" t="s">
        <v>13809</v>
      </c>
      <c r="Y373" t="s">
        <v>13809</v>
      </c>
      <c r="AA373" t="s">
        <v>16322</v>
      </c>
      <c r="AC373" t="s">
        <v>13809</v>
      </c>
      <c r="AH373" t="s">
        <v>13909</v>
      </c>
      <c r="AI373" t="s">
        <v>13818</v>
      </c>
      <c r="AJ373" t="s">
        <v>14309</v>
      </c>
      <c r="AO373" t="s">
        <v>13809</v>
      </c>
      <c r="AT373" t="s">
        <v>14544</v>
      </c>
      <c r="AU373" t="s">
        <v>13818</v>
      </c>
      <c r="AV373" t="s">
        <v>14309</v>
      </c>
      <c r="AZ373" t="s">
        <v>15883</v>
      </c>
      <c r="BA373" t="s">
        <v>13818</v>
      </c>
      <c r="BB373" t="s">
        <v>14309</v>
      </c>
      <c r="BF373" t="s">
        <v>14192</v>
      </c>
      <c r="BG373" t="s">
        <v>13818</v>
      </c>
      <c r="BH373" t="s">
        <v>14309</v>
      </c>
      <c r="BL373" t="s">
        <v>19725</v>
      </c>
      <c r="BM373" t="s">
        <v>13818</v>
      </c>
      <c r="BN373" t="s">
        <v>14309</v>
      </c>
      <c r="BR373" t="s">
        <v>19726</v>
      </c>
      <c r="BT373" t="s">
        <v>13809</v>
      </c>
      <c r="BY373" t="s">
        <v>15138</v>
      </c>
      <c r="BZ373" t="s">
        <v>13818</v>
      </c>
      <c r="CA373" t="s">
        <v>16646</v>
      </c>
      <c r="CE373" t="s">
        <v>13887</v>
      </c>
      <c r="CF373" t="s">
        <v>13808</v>
      </c>
      <c r="CG373" t="s">
        <v>19727</v>
      </c>
      <c r="CL373" t="s">
        <v>13809</v>
      </c>
      <c r="CR373" t="s">
        <v>13809</v>
      </c>
      <c r="CT373" t="s">
        <v>14011</v>
      </c>
      <c r="CU373" t="s">
        <v>13909</v>
      </c>
      <c r="CV373" t="s">
        <v>13818</v>
      </c>
      <c r="DA373" t="s">
        <v>13909</v>
      </c>
      <c r="DB373" t="s">
        <v>13818</v>
      </c>
      <c r="DG373" t="s">
        <v>13909</v>
      </c>
      <c r="DH373" t="s">
        <v>13818</v>
      </c>
      <c r="DY373" t="s">
        <v>15296</v>
      </c>
      <c r="DZ373" t="s">
        <v>14274</v>
      </c>
      <c r="EA373" t="s">
        <v>16821</v>
      </c>
      <c r="EC373">
        <v>44328</v>
      </c>
      <c r="ED373" t="s">
        <v>14276</v>
      </c>
      <c r="EE373" t="s">
        <v>13606</v>
      </c>
    </row>
    <row r="374" spans="1:135">
      <c r="A374" t="s">
        <v>2606</v>
      </c>
      <c r="B374" t="s">
        <v>2926</v>
      </c>
      <c r="C374" t="s">
        <v>19728</v>
      </c>
      <c r="D374" s="24">
        <v>43579</v>
      </c>
      <c r="E374" s="24" t="s">
        <v>13555</v>
      </c>
      <c r="F374" s="24" t="s">
        <v>19729</v>
      </c>
      <c r="G374" s="24" t="s">
        <v>13808</v>
      </c>
      <c r="H374" s="24"/>
      <c r="I374" s="24" t="s">
        <v>13809</v>
      </c>
      <c r="J374" s="24"/>
      <c r="K374" s="24" t="s">
        <v>13808</v>
      </c>
      <c r="L374" s="24"/>
      <c r="M374" s="24" t="s">
        <v>13950</v>
      </c>
      <c r="N374" s="24" t="s">
        <v>13808</v>
      </c>
      <c r="O374" s="24"/>
      <c r="P374" s="24" t="s">
        <v>13808</v>
      </c>
      <c r="Q374" s="24"/>
      <c r="R374" s="24" t="s">
        <v>13808</v>
      </c>
      <c r="S374" s="24"/>
      <c r="T374" t="s">
        <v>13875</v>
      </c>
      <c r="U374" t="s">
        <v>13809</v>
      </c>
      <c r="W374" t="s">
        <v>13808</v>
      </c>
      <c r="X374" t="s">
        <v>19730</v>
      </c>
      <c r="Y374" t="s">
        <v>13808</v>
      </c>
      <c r="AA374" t="s">
        <v>13849</v>
      </c>
      <c r="AB374" t="s">
        <v>19731</v>
      </c>
      <c r="AC374" t="s">
        <v>13808</v>
      </c>
      <c r="AH374" t="s">
        <v>14839</v>
      </c>
      <c r="AI374" t="s">
        <v>13808</v>
      </c>
      <c r="AN374" t="s">
        <v>19732</v>
      </c>
      <c r="AO374" t="s">
        <v>13808</v>
      </c>
      <c r="AT374" t="s">
        <v>15529</v>
      </c>
      <c r="AU374" t="s">
        <v>13808</v>
      </c>
      <c r="AZ374" t="s">
        <v>19733</v>
      </c>
      <c r="BA374" t="s">
        <v>13808</v>
      </c>
      <c r="BF374" t="s">
        <v>19734</v>
      </c>
      <c r="BG374" t="s">
        <v>13808</v>
      </c>
      <c r="BL374" t="s">
        <v>19735</v>
      </c>
      <c r="BM374" t="s">
        <v>13808</v>
      </c>
      <c r="BR374" t="s">
        <v>19736</v>
      </c>
      <c r="BS374" t="s">
        <v>13887</v>
      </c>
      <c r="BT374" t="s">
        <v>13808</v>
      </c>
      <c r="BU374" t="s">
        <v>16499</v>
      </c>
      <c r="BY374" t="s">
        <v>14265</v>
      </c>
      <c r="BZ374" t="s">
        <v>13808</v>
      </c>
      <c r="CA374" t="s">
        <v>19737</v>
      </c>
      <c r="CE374" t="s">
        <v>13885</v>
      </c>
      <c r="CF374" t="s">
        <v>13808</v>
      </c>
      <c r="CL374" t="s">
        <v>13809</v>
      </c>
      <c r="CR374" t="s">
        <v>13809</v>
      </c>
      <c r="CT374" t="s">
        <v>19738</v>
      </c>
      <c r="CU374" t="s">
        <v>14624</v>
      </c>
      <c r="CV374" t="s">
        <v>13808</v>
      </c>
      <c r="CX374" t="s">
        <v>19739</v>
      </c>
      <c r="CY374" t="s">
        <v>13818</v>
      </c>
      <c r="DA374" t="s">
        <v>19740</v>
      </c>
      <c r="DB374" t="s">
        <v>13808</v>
      </c>
      <c r="DD374" t="s">
        <v>19741</v>
      </c>
      <c r="DE374" t="s">
        <v>13818</v>
      </c>
      <c r="DG374" t="s">
        <v>19742</v>
      </c>
      <c r="DH374" t="s">
        <v>13818</v>
      </c>
      <c r="DI374" t="s">
        <v>19743</v>
      </c>
      <c r="DM374" t="s">
        <v>19744</v>
      </c>
      <c r="DN374" t="s">
        <v>13808</v>
      </c>
      <c r="DO374" t="s">
        <v>19745</v>
      </c>
      <c r="DP374" t="s">
        <v>19734</v>
      </c>
      <c r="DQ374" t="s">
        <v>13818</v>
      </c>
      <c r="DR374" t="s">
        <v>19394</v>
      </c>
      <c r="DZ374" t="s">
        <v>13841</v>
      </c>
      <c r="EA374" t="s">
        <v>14182</v>
      </c>
      <c r="EC374">
        <v>44260</v>
      </c>
      <c r="ED374" t="s">
        <v>14501</v>
      </c>
      <c r="EE374" t="s">
        <v>7702</v>
      </c>
    </row>
    <row r="375" spans="1:135">
      <c r="A375" t="s">
        <v>2847</v>
      </c>
      <c r="B375" t="s">
        <v>2693</v>
      </c>
      <c r="C375" t="s">
        <v>19746</v>
      </c>
      <c r="D375" s="24">
        <v>43620</v>
      </c>
      <c r="E375" s="24" t="s">
        <v>13553</v>
      </c>
      <c r="F375" s="24" t="s">
        <v>19747</v>
      </c>
      <c r="G375" s="24" t="s">
        <v>13808</v>
      </c>
      <c r="H375" s="24" t="s">
        <v>19748</v>
      </c>
      <c r="I375" s="24" t="s">
        <v>13809</v>
      </c>
      <c r="J375" s="24"/>
      <c r="K375" s="24" t="s">
        <v>13808</v>
      </c>
      <c r="L375" s="24" t="s">
        <v>19749</v>
      </c>
      <c r="M375" s="24" t="s">
        <v>19016</v>
      </c>
      <c r="N375" s="24" t="s">
        <v>13808</v>
      </c>
      <c r="O375" s="24"/>
      <c r="P375" s="24" t="s">
        <v>13808</v>
      </c>
      <c r="Q375" s="24"/>
      <c r="R375" s="24" t="s">
        <v>13808</v>
      </c>
      <c r="S375" s="24"/>
      <c r="T375" t="s">
        <v>14429</v>
      </c>
      <c r="U375" t="s">
        <v>13809</v>
      </c>
      <c r="W375" t="s">
        <v>13808</v>
      </c>
      <c r="X375" t="s">
        <v>19750</v>
      </c>
      <c r="Y375" t="s">
        <v>13809</v>
      </c>
      <c r="AA375" t="s">
        <v>13877</v>
      </c>
      <c r="AB375" t="s">
        <v>15276</v>
      </c>
      <c r="AC375" t="s">
        <v>13808</v>
      </c>
      <c r="AH375" t="s">
        <v>13909</v>
      </c>
      <c r="AI375" t="s">
        <v>13808</v>
      </c>
      <c r="AN375" t="s">
        <v>19751</v>
      </c>
      <c r="AO375" t="s">
        <v>13808</v>
      </c>
      <c r="AT375" t="s">
        <v>18680</v>
      </c>
      <c r="AU375" t="s">
        <v>13808</v>
      </c>
      <c r="AZ375" t="s">
        <v>18925</v>
      </c>
      <c r="BA375" t="s">
        <v>13808</v>
      </c>
      <c r="BF375" t="s">
        <v>19752</v>
      </c>
      <c r="BG375" t="s">
        <v>13808</v>
      </c>
      <c r="BL375" t="s">
        <v>19753</v>
      </c>
      <c r="BM375" t="s">
        <v>13897</v>
      </c>
      <c r="BR375" t="s">
        <v>19754</v>
      </c>
      <c r="BT375" t="s">
        <v>13809</v>
      </c>
      <c r="BY375" t="s">
        <v>14265</v>
      </c>
      <c r="BZ375" t="s">
        <v>13808</v>
      </c>
      <c r="CA375" t="s">
        <v>13861</v>
      </c>
      <c r="CE375" t="s">
        <v>14265</v>
      </c>
      <c r="CF375" t="s">
        <v>13808</v>
      </c>
      <c r="CG375" t="s">
        <v>19755</v>
      </c>
      <c r="CK375" t="s">
        <v>14265</v>
      </c>
      <c r="CL375" t="s">
        <v>13808</v>
      </c>
      <c r="CM375" t="s">
        <v>19756</v>
      </c>
      <c r="CR375" t="s">
        <v>13809</v>
      </c>
      <c r="CT375" t="s">
        <v>19757</v>
      </c>
      <c r="CU375" t="s">
        <v>19758</v>
      </c>
      <c r="CV375" t="s">
        <v>13808</v>
      </c>
      <c r="DA375" t="s">
        <v>19759</v>
      </c>
      <c r="DB375" t="s">
        <v>13808</v>
      </c>
      <c r="DH375" t="s">
        <v>13809</v>
      </c>
      <c r="DM375" t="s">
        <v>19760</v>
      </c>
      <c r="DN375" t="s">
        <v>13808</v>
      </c>
      <c r="DO375" t="s">
        <v>19761</v>
      </c>
      <c r="DP375" t="s">
        <v>19762</v>
      </c>
      <c r="DQ375" t="s">
        <v>13818</v>
      </c>
      <c r="DR375" t="s">
        <v>19763</v>
      </c>
      <c r="DY375" t="s">
        <v>13920</v>
      </c>
      <c r="DZ375" t="s">
        <v>19764</v>
      </c>
      <c r="EA375" t="s">
        <v>19765</v>
      </c>
      <c r="EC375">
        <v>44232</v>
      </c>
      <c r="ED375" t="s">
        <v>14501</v>
      </c>
      <c r="EE375" t="s">
        <v>7483</v>
      </c>
    </row>
    <row r="376" spans="1:135">
      <c r="A376" t="s">
        <v>2306</v>
      </c>
      <c r="B376" t="s">
        <v>2232</v>
      </c>
      <c r="C376" t="s">
        <v>19766</v>
      </c>
      <c r="D376" s="24">
        <v>44294</v>
      </c>
      <c r="E376" s="24" t="s">
        <v>13560</v>
      </c>
      <c r="F376" s="24" t="s">
        <v>19767</v>
      </c>
      <c r="G376" s="24" t="s">
        <v>13808</v>
      </c>
      <c r="H376" s="24"/>
      <c r="I376" s="24" t="s">
        <v>13809</v>
      </c>
      <c r="J376" s="24"/>
      <c r="K376" s="24" t="s">
        <v>13808</v>
      </c>
      <c r="L376" s="24"/>
      <c r="M376" s="24" t="s">
        <v>19768</v>
      </c>
      <c r="N376" s="24" t="s">
        <v>13808</v>
      </c>
      <c r="O376" s="24"/>
      <c r="P376" s="24" t="s">
        <v>13808</v>
      </c>
      <c r="Q376" s="24"/>
      <c r="R376" s="24" t="s">
        <v>13808</v>
      </c>
      <c r="S376" s="24" t="s">
        <v>19769</v>
      </c>
      <c r="T376" t="s">
        <v>15300</v>
      </c>
      <c r="U376" t="s">
        <v>13809</v>
      </c>
      <c r="W376" t="s">
        <v>13808</v>
      </c>
      <c r="X376" t="s">
        <v>19770</v>
      </c>
      <c r="Y376" t="s">
        <v>13809</v>
      </c>
      <c r="AA376" t="s">
        <v>15089</v>
      </c>
      <c r="AB376" t="s">
        <v>18533</v>
      </c>
      <c r="AC376" t="s">
        <v>13808</v>
      </c>
      <c r="AH376" t="s">
        <v>13851</v>
      </c>
      <c r="AI376" t="s">
        <v>13808</v>
      </c>
      <c r="AN376" t="s">
        <v>19771</v>
      </c>
      <c r="AO376" t="s">
        <v>13808</v>
      </c>
      <c r="AT376" t="s">
        <v>19772</v>
      </c>
      <c r="AU376" t="s">
        <v>13808</v>
      </c>
      <c r="AZ376" t="s">
        <v>19773</v>
      </c>
      <c r="BA376" t="s">
        <v>13808</v>
      </c>
      <c r="BF376" t="s">
        <v>17058</v>
      </c>
      <c r="BG376" t="s">
        <v>13809</v>
      </c>
      <c r="BL376" t="s">
        <v>19774</v>
      </c>
      <c r="BM376" t="s">
        <v>13808</v>
      </c>
      <c r="BR376" t="s">
        <v>19775</v>
      </c>
      <c r="BS376" t="s">
        <v>13824</v>
      </c>
      <c r="BT376" t="s">
        <v>13808</v>
      </c>
      <c r="BU376" t="s">
        <v>14233</v>
      </c>
      <c r="BY376" t="s">
        <v>13860</v>
      </c>
      <c r="BZ376" t="s">
        <v>13808</v>
      </c>
      <c r="CA376" t="s">
        <v>13937</v>
      </c>
      <c r="CE376" t="s">
        <v>13754</v>
      </c>
      <c r="CF376" t="s">
        <v>13809</v>
      </c>
      <c r="CK376" t="s">
        <v>14581</v>
      </c>
      <c r="CL376" t="s">
        <v>13818</v>
      </c>
      <c r="CM376" t="s">
        <v>18646</v>
      </c>
      <c r="CQ376" t="s">
        <v>13766</v>
      </c>
      <c r="CR376" t="s">
        <v>13809</v>
      </c>
      <c r="CT376" t="s">
        <v>19776</v>
      </c>
      <c r="CU376" t="s">
        <v>19777</v>
      </c>
      <c r="CV376" t="s">
        <v>13808</v>
      </c>
      <c r="CW376" t="s">
        <v>19778</v>
      </c>
      <c r="CX376" t="s">
        <v>19779</v>
      </c>
      <c r="CY376" t="s">
        <v>13818</v>
      </c>
      <c r="DA376" t="s">
        <v>19780</v>
      </c>
      <c r="DB376" t="s">
        <v>13808</v>
      </c>
      <c r="DC376" t="s">
        <v>19778</v>
      </c>
      <c r="DD376" t="s">
        <v>19781</v>
      </c>
      <c r="DE376" t="s">
        <v>13818</v>
      </c>
      <c r="DG376" t="s">
        <v>14240</v>
      </c>
      <c r="DH376" t="s">
        <v>13818</v>
      </c>
      <c r="DY376" t="s">
        <v>14606</v>
      </c>
      <c r="DZ376" t="s">
        <v>13841</v>
      </c>
      <c r="EA376" t="s">
        <v>13842</v>
      </c>
      <c r="EC376">
        <v>44720</v>
      </c>
      <c r="ED376" t="s">
        <v>17062</v>
      </c>
      <c r="EE376" t="s">
        <v>6986</v>
      </c>
    </row>
    <row r="377" spans="1:135">
      <c r="A377" t="s">
        <v>2541</v>
      </c>
      <c r="B377" t="s">
        <v>2314</v>
      </c>
      <c r="C377" t="s">
        <v>19782</v>
      </c>
      <c r="D377" s="24">
        <v>42641</v>
      </c>
      <c r="E377" s="24" t="s">
        <v>13555</v>
      </c>
      <c r="F377" s="24" t="s">
        <v>19783</v>
      </c>
      <c r="G377" s="24" t="s">
        <v>13808</v>
      </c>
      <c r="H377" s="24"/>
      <c r="I377" s="24" t="s">
        <v>13809</v>
      </c>
      <c r="J377" s="24"/>
      <c r="K377" s="24" t="s">
        <v>13808</v>
      </c>
      <c r="L377" s="24"/>
      <c r="M377" s="24" t="s">
        <v>19784</v>
      </c>
      <c r="N377" s="24" t="s">
        <v>13808</v>
      </c>
      <c r="O377" s="24"/>
      <c r="P377" s="24" t="s">
        <v>13808</v>
      </c>
      <c r="Q377" s="24"/>
      <c r="R377" s="24" t="s">
        <v>13808</v>
      </c>
      <c r="S377" s="24"/>
      <c r="T377" t="s">
        <v>19785</v>
      </c>
      <c r="U377" t="s">
        <v>13809</v>
      </c>
      <c r="W377" t="s">
        <v>13808</v>
      </c>
      <c r="Y377" t="s">
        <v>13809</v>
      </c>
      <c r="AA377" t="s">
        <v>19786</v>
      </c>
      <c r="AB377" t="s">
        <v>19787</v>
      </c>
      <c r="AC377" t="s">
        <v>13808</v>
      </c>
      <c r="AH377" t="s">
        <v>19788</v>
      </c>
      <c r="AI377" t="s">
        <v>13808</v>
      </c>
      <c r="AN377" t="s">
        <v>19789</v>
      </c>
      <c r="AO377" t="s">
        <v>13808</v>
      </c>
      <c r="AT377" t="s">
        <v>14018</v>
      </c>
      <c r="AU377" t="s">
        <v>13808</v>
      </c>
      <c r="AZ377" t="s">
        <v>19790</v>
      </c>
      <c r="BA377" t="s">
        <v>13808</v>
      </c>
      <c r="BF377" t="s">
        <v>19791</v>
      </c>
      <c r="BG377" t="s">
        <v>13808</v>
      </c>
      <c r="BL377" t="s">
        <v>19792</v>
      </c>
      <c r="BM377" t="s">
        <v>13808</v>
      </c>
      <c r="BR377" t="s">
        <v>19793</v>
      </c>
      <c r="BS377" t="s">
        <v>14265</v>
      </c>
      <c r="BT377" t="s">
        <v>13808</v>
      </c>
      <c r="BY377" t="s">
        <v>13885</v>
      </c>
      <c r="BZ377" t="s">
        <v>13808</v>
      </c>
      <c r="CA377" t="s">
        <v>17218</v>
      </c>
      <c r="CF377" t="s">
        <v>13808</v>
      </c>
      <c r="CL377" t="s">
        <v>13809</v>
      </c>
      <c r="CR377" t="s">
        <v>13809</v>
      </c>
      <c r="CT377" t="s">
        <v>19794</v>
      </c>
      <c r="CU377" t="s">
        <v>13909</v>
      </c>
      <c r="CV377" t="s">
        <v>13808</v>
      </c>
      <c r="DA377" t="s">
        <v>13909</v>
      </c>
      <c r="DB377" t="s">
        <v>13808</v>
      </c>
      <c r="DG377" t="s">
        <v>13909</v>
      </c>
      <c r="DH377" t="s">
        <v>13808</v>
      </c>
      <c r="DY377" t="s">
        <v>18200</v>
      </c>
      <c r="DZ377" t="s">
        <v>19795</v>
      </c>
      <c r="EA377" t="s">
        <v>19796</v>
      </c>
      <c r="ED377" t="s">
        <v>13903</v>
      </c>
      <c r="EE377" t="s">
        <v>7225</v>
      </c>
    </row>
    <row r="378" spans="1:135">
      <c r="A378" t="s">
        <v>13607</v>
      </c>
      <c r="B378" t="s">
        <v>2314</v>
      </c>
      <c r="C378" t="s">
        <v>19797</v>
      </c>
      <c r="D378" s="24">
        <v>43863</v>
      </c>
      <c r="E378" s="24" t="s">
        <v>13561</v>
      </c>
      <c r="F378" s="24" t="s">
        <v>19798</v>
      </c>
      <c r="G378" s="24" t="s">
        <v>13808</v>
      </c>
      <c r="H378" s="24"/>
      <c r="I378" s="24" t="s">
        <v>13809</v>
      </c>
      <c r="J378" s="24"/>
      <c r="K378" s="24" t="s">
        <v>13809</v>
      </c>
      <c r="L378" s="24"/>
      <c r="M378" s="24" t="s">
        <v>18271</v>
      </c>
      <c r="N378" s="24" t="s">
        <v>13818</v>
      </c>
      <c r="O378" s="24"/>
      <c r="P378" s="24" t="s">
        <v>13818</v>
      </c>
      <c r="Q378" s="24"/>
      <c r="R378" s="24" t="s">
        <v>13818</v>
      </c>
      <c r="S378" s="24"/>
      <c r="T378" t="s">
        <v>19799</v>
      </c>
      <c r="U378" t="s">
        <v>13809</v>
      </c>
      <c r="W378" t="s">
        <v>13809</v>
      </c>
      <c r="Y378" t="s">
        <v>13809</v>
      </c>
      <c r="AA378" t="s">
        <v>14386</v>
      </c>
      <c r="AC378" t="s">
        <v>13809</v>
      </c>
      <c r="AH378" t="s">
        <v>13887</v>
      </c>
      <c r="AI378" t="s">
        <v>13818</v>
      </c>
      <c r="AO378" t="s">
        <v>13809</v>
      </c>
      <c r="AU378" t="s">
        <v>13809</v>
      </c>
      <c r="AZ378" t="s">
        <v>19800</v>
      </c>
      <c r="BA378" t="s">
        <v>13818</v>
      </c>
      <c r="BF378" t="s">
        <v>19801</v>
      </c>
      <c r="BG378" t="s">
        <v>13818</v>
      </c>
      <c r="BM378" t="s">
        <v>13809</v>
      </c>
      <c r="BR378" t="s">
        <v>19802</v>
      </c>
      <c r="BT378" t="s">
        <v>13809</v>
      </c>
      <c r="BZ378" t="s">
        <v>13809</v>
      </c>
      <c r="CF378" t="s">
        <v>13809</v>
      </c>
      <c r="CL378" t="s">
        <v>13809</v>
      </c>
      <c r="CR378" t="s">
        <v>13809</v>
      </c>
      <c r="CT378" t="s">
        <v>19803</v>
      </c>
      <c r="CX378" t="s">
        <v>19804</v>
      </c>
      <c r="CY378" t="s">
        <v>13818</v>
      </c>
      <c r="CZ378" t="s">
        <v>19805</v>
      </c>
      <c r="DD378" t="s">
        <v>19806</v>
      </c>
      <c r="DE378" t="s">
        <v>13818</v>
      </c>
      <c r="DF378" t="s">
        <v>19807</v>
      </c>
      <c r="DG378" t="s">
        <v>19808</v>
      </c>
      <c r="DH378" t="s">
        <v>13818</v>
      </c>
      <c r="DI378" t="s">
        <v>19809</v>
      </c>
      <c r="DJ378" t="s">
        <v>19810</v>
      </c>
      <c r="DK378" t="s">
        <v>13818</v>
      </c>
      <c r="DL378" t="s">
        <v>19811</v>
      </c>
      <c r="DM378" t="s">
        <v>19812</v>
      </c>
      <c r="DN378" t="s">
        <v>13818</v>
      </c>
      <c r="DO378" t="s">
        <v>19813</v>
      </c>
      <c r="DY378" t="s">
        <v>13840</v>
      </c>
      <c r="DZ378" t="s">
        <v>15160</v>
      </c>
      <c r="EA378" t="s">
        <v>18291</v>
      </c>
      <c r="EC378">
        <v>44266</v>
      </c>
      <c r="ED378" t="s">
        <v>14501</v>
      </c>
      <c r="EE378" t="s">
        <v>13608</v>
      </c>
    </row>
    <row r="379" spans="1:135">
      <c r="A379" t="s">
        <v>13609</v>
      </c>
      <c r="B379" t="s">
        <v>10870</v>
      </c>
      <c r="C379" t="s">
        <v>13903</v>
      </c>
      <c r="D379" s="24">
        <v>44461</v>
      </c>
      <c r="E379" s="24" t="s">
        <v>13561</v>
      </c>
      <c r="F379" s="24" t="s">
        <v>19814</v>
      </c>
      <c r="G379" s="24" t="s">
        <v>13818</v>
      </c>
      <c r="H379" s="24" t="s">
        <v>19037</v>
      </c>
      <c r="I379" s="24" t="s">
        <v>13809</v>
      </c>
      <c r="J379" s="24"/>
      <c r="K379" s="24" t="s">
        <v>13809</v>
      </c>
      <c r="L379" s="24"/>
      <c r="M379" s="24" t="s">
        <v>19723</v>
      </c>
      <c r="N379" s="24" t="s">
        <v>13808</v>
      </c>
      <c r="O379" s="24"/>
      <c r="P379" s="24" t="s">
        <v>13808</v>
      </c>
      <c r="Q379" s="24"/>
      <c r="R379" s="24" t="s">
        <v>13808</v>
      </c>
      <c r="S379" s="24" t="s">
        <v>19815</v>
      </c>
      <c r="T379" t="s">
        <v>18348</v>
      </c>
      <c r="U379" t="s">
        <v>13809</v>
      </c>
      <c r="W379" t="s">
        <v>13809</v>
      </c>
      <c r="X379" t="s">
        <v>19816</v>
      </c>
      <c r="Y379" t="s">
        <v>13809</v>
      </c>
      <c r="AA379" t="s">
        <v>16322</v>
      </c>
      <c r="AC379" t="s">
        <v>13809</v>
      </c>
      <c r="AH379" t="s">
        <v>13909</v>
      </c>
      <c r="AI379" t="s">
        <v>13818</v>
      </c>
      <c r="AJ379" t="s">
        <v>14309</v>
      </c>
      <c r="AO379" t="s">
        <v>13809</v>
      </c>
      <c r="AT379" t="s">
        <v>13809</v>
      </c>
      <c r="AZ379" t="s">
        <v>13887</v>
      </c>
      <c r="BA379" t="s">
        <v>13818</v>
      </c>
      <c r="BB379" t="s">
        <v>14309</v>
      </c>
      <c r="BF379" t="s">
        <v>13887</v>
      </c>
      <c r="BG379" t="s">
        <v>13818</v>
      </c>
      <c r="BH379" t="s">
        <v>14309</v>
      </c>
      <c r="BM379" t="s">
        <v>13809</v>
      </c>
      <c r="BR379" t="s">
        <v>19817</v>
      </c>
      <c r="BS379" t="s">
        <v>13887</v>
      </c>
      <c r="BT379" t="s">
        <v>13818</v>
      </c>
      <c r="BY379" t="s">
        <v>14265</v>
      </c>
      <c r="BZ379" t="s">
        <v>13818</v>
      </c>
      <c r="CA379" t="s">
        <v>16328</v>
      </c>
      <c r="CF379" t="s">
        <v>13809</v>
      </c>
      <c r="CL379" t="s">
        <v>13809</v>
      </c>
      <c r="CR379" t="s">
        <v>13809</v>
      </c>
      <c r="CT379" t="s">
        <v>14011</v>
      </c>
      <c r="CU379" t="s">
        <v>13909</v>
      </c>
      <c r="CV379" t="s">
        <v>13818</v>
      </c>
      <c r="DA379" t="s">
        <v>13909</v>
      </c>
      <c r="DB379" t="s">
        <v>13818</v>
      </c>
      <c r="DG379" t="s">
        <v>13909</v>
      </c>
      <c r="DH379" t="s">
        <v>13818</v>
      </c>
      <c r="DY379" t="s">
        <v>15296</v>
      </c>
      <c r="DZ379" t="s">
        <v>14274</v>
      </c>
      <c r="EA379" t="s">
        <v>14275</v>
      </c>
      <c r="EC379">
        <v>44482</v>
      </c>
      <c r="EE379" t="s">
        <v>13610</v>
      </c>
    </row>
    <row r="380" spans="1:135">
      <c r="A380" t="s">
        <v>3128</v>
      </c>
      <c r="B380" t="s">
        <v>3013</v>
      </c>
      <c r="C380" t="s">
        <v>19818</v>
      </c>
      <c r="D380" s="24">
        <v>44623</v>
      </c>
      <c r="E380" s="24" t="s">
        <v>13571</v>
      </c>
      <c r="F380" s="24" t="s">
        <v>19819</v>
      </c>
      <c r="G380" s="24" t="s">
        <v>13808</v>
      </c>
      <c r="H380" s="24"/>
      <c r="I380" s="24" t="s">
        <v>13809</v>
      </c>
      <c r="J380" s="24"/>
      <c r="K380" s="24" t="s">
        <v>13808</v>
      </c>
      <c r="L380" s="24"/>
      <c r="M380" s="24" t="s">
        <v>15106</v>
      </c>
      <c r="N380" s="24" t="s">
        <v>13808</v>
      </c>
      <c r="O380" s="24"/>
      <c r="P380" s="24" t="s">
        <v>13808</v>
      </c>
      <c r="Q380" s="24"/>
      <c r="R380" s="24" t="s">
        <v>13808</v>
      </c>
      <c r="S380" s="24"/>
      <c r="T380" t="s">
        <v>19820</v>
      </c>
      <c r="U380" t="s">
        <v>13809</v>
      </c>
      <c r="W380" t="s">
        <v>13808</v>
      </c>
      <c r="X380" t="s">
        <v>19821</v>
      </c>
      <c r="Y380" t="s">
        <v>13809</v>
      </c>
      <c r="AA380" t="s">
        <v>15053</v>
      </c>
      <c r="AB380" t="s">
        <v>19822</v>
      </c>
      <c r="AC380" t="s">
        <v>13808</v>
      </c>
      <c r="AN380" t="s">
        <v>13711</v>
      </c>
      <c r="AO380" t="s">
        <v>13809</v>
      </c>
      <c r="AT380" t="s">
        <v>19823</v>
      </c>
      <c r="AU380" t="s">
        <v>13808</v>
      </c>
      <c r="AZ380" t="s">
        <v>19824</v>
      </c>
      <c r="BA380" t="s">
        <v>13808</v>
      </c>
      <c r="BF380" t="s">
        <v>17138</v>
      </c>
      <c r="BG380" t="s">
        <v>13808</v>
      </c>
      <c r="BL380" t="s">
        <v>19825</v>
      </c>
      <c r="BM380" t="s">
        <v>13808</v>
      </c>
      <c r="BR380" t="s">
        <v>19826</v>
      </c>
      <c r="BS380" t="s">
        <v>13742</v>
      </c>
      <c r="BT380" t="s">
        <v>13809</v>
      </c>
      <c r="BY380" t="s">
        <v>13860</v>
      </c>
      <c r="BZ380" t="s">
        <v>13808</v>
      </c>
      <c r="CA380" t="s">
        <v>13937</v>
      </c>
      <c r="CE380" t="s">
        <v>13754</v>
      </c>
      <c r="CF380" t="s">
        <v>13809</v>
      </c>
      <c r="CK380" t="s">
        <v>18777</v>
      </c>
      <c r="CL380" t="s">
        <v>13808</v>
      </c>
      <c r="CQ380" t="s">
        <v>13766</v>
      </c>
      <c r="CR380" t="s">
        <v>13809</v>
      </c>
      <c r="CT380" t="s">
        <v>19827</v>
      </c>
      <c r="CU380" t="s">
        <v>15061</v>
      </c>
      <c r="CV380" t="s">
        <v>13808</v>
      </c>
      <c r="CX380" t="s">
        <v>13941</v>
      </c>
      <c r="CY380" t="s">
        <v>13818</v>
      </c>
      <c r="DA380" t="s">
        <v>15506</v>
      </c>
      <c r="DB380" t="s">
        <v>13808</v>
      </c>
      <c r="DD380" t="s">
        <v>13941</v>
      </c>
      <c r="DE380" t="s">
        <v>13818</v>
      </c>
      <c r="DG380" t="s">
        <v>14965</v>
      </c>
      <c r="DH380" t="s">
        <v>13808</v>
      </c>
      <c r="DM380" t="s">
        <v>19828</v>
      </c>
      <c r="DN380" t="s">
        <v>13808</v>
      </c>
      <c r="DY380" t="s">
        <v>19829</v>
      </c>
      <c r="DZ380" t="s">
        <v>19830</v>
      </c>
      <c r="EA380" t="s">
        <v>16172</v>
      </c>
      <c r="EC380">
        <v>44650</v>
      </c>
      <c r="ED380" t="s">
        <v>14667</v>
      </c>
      <c r="EE380" t="s">
        <v>7853</v>
      </c>
    </row>
    <row r="381" spans="1:135">
      <c r="A381" t="s">
        <v>2553</v>
      </c>
      <c r="B381" t="s">
        <v>2314</v>
      </c>
      <c r="C381" t="s">
        <v>19831</v>
      </c>
      <c r="D381" s="24">
        <v>45132</v>
      </c>
      <c r="E381" s="24" t="s">
        <v>13560</v>
      </c>
      <c r="F381" s="24" t="s">
        <v>19832</v>
      </c>
      <c r="G381" s="24" t="s">
        <v>13808</v>
      </c>
      <c r="H381" s="24"/>
      <c r="I381" s="24" t="s">
        <v>13809</v>
      </c>
      <c r="J381" s="24"/>
      <c r="K381" s="24" t="s">
        <v>13808</v>
      </c>
      <c r="L381" s="24" t="s">
        <v>19833</v>
      </c>
      <c r="M381" s="24" t="s">
        <v>19834</v>
      </c>
      <c r="N381" s="24" t="s">
        <v>13818</v>
      </c>
      <c r="O381" s="24" t="s">
        <v>19835</v>
      </c>
      <c r="P381" s="24" t="s">
        <v>13818</v>
      </c>
      <c r="Q381" s="24" t="s">
        <v>19835</v>
      </c>
      <c r="R381" s="24" t="s">
        <v>13808</v>
      </c>
      <c r="S381" s="24"/>
      <c r="T381" t="s">
        <v>13847</v>
      </c>
      <c r="U381" t="s">
        <v>13809</v>
      </c>
      <c r="W381" t="s">
        <v>13808</v>
      </c>
      <c r="X381" t="s">
        <v>19836</v>
      </c>
      <c r="Y381" t="s">
        <v>13808</v>
      </c>
      <c r="Z381" t="s">
        <v>19837</v>
      </c>
      <c r="AA381" t="s">
        <v>15089</v>
      </c>
      <c r="AH381" t="s">
        <v>13851</v>
      </c>
      <c r="AI381" t="s">
        <v>13808</v>
      </c>
      <c r="AN381" t="s">
        <v>19838</v>
      </c>
      <c r="AO381" t="s">
        <v>13808</v>
      </c>
      <c r="AT381" t="s">
        <v>19839</v>
      </c>
      <c r="AU381" t="s">
        <v>13808</v>
      </c>
      <c r="AZ381" t="s">
        <v>19840</v>
      </c>
      <c r="BA381" t="s">
        <v>13808</v>
      </c>
      <c r="BF381" t="s">
        <v>19841</v>
      </c>
      <c r="BG381" t="s">
        <v>13808</v>
      </c>
      <c r="BH381" t="s">
        <v>19842</v>
      </c>
      <c r="BL381" t="s">
        <v>19843</v>
      </c>
      <c r="BM381" t="s">
        <v>13818</v>
      </c>
      <c r="BR381" t="s">
        <v>19844</v>
      </c>
      <c r="BS381" t="s">
        <v>14779</v>
      </c>
      <c r="BT381" t="s">
        <v>13808</v>
      </c>
      <c r="BU381" t="s">
        <v>19845</v>
      </c>
      <c r="BY381" t="s">
        <v>19846</v>
      </c>
      <c r="BZ381" t="s">
        <v>13808</v>
      </c>
      <c r="CA381" t="s">
        <v>19847</v>
      </c>
      <c r="CE381" t="s">
        <v>19848</v>
      </c>
      <c r="CF381" t="s">
        <v>13808</v>
      </c>
      <c r="CK381" t="s">
        <v>19849</v>
      </c>
      <c r="CL381" t="s">
        <v>13808</v>
      </c>
      <c r="CT381" t="s">
        <v>19850</v>
      </c>
      <c r="CU381" t="s">
        <v>19851</v>
      </c>
      <c r="CV381" t="s">
        <v>13808</v>
      </c>
      <c r="CW381" t="s">
        <v>19852</v>
      </c>
      <c r="CX381" t="s">
        <v>19853</v>
      </c>
      <c r="CY381" t="s">
        <v>13818</v>
      </c>
      <c r="DA381" t="s">
        <v>19854</v>
      </c>
      <c r="DB381" t="s">
        <v>13808</v>
      </c>
      <c r="DC381" t="s">
        <v>19855</v>
      </c>
      <c r="DD381" t="s">
        <v>19856</v>
      </c>
      <c r="DE381" t="s">
        <v>13818</v>
      </c>
      <c r="DG381" t="s">
        <v>19857</v>
      </c>
      <c r="DH381" t="s">
        <v>13818</v>
      </c>
      <c r="DM381" t="s">
        <v>19858</v>
      </c>
      <c r="DN381" t="s">
        <v>13808</v>
      </c>
      <c r="DO381" t="s">
        <v>19859</v>
      </c>
      <c r="DP381" t="s">
        <v>19860</v>
      </c>
      <c r="DQ381" t="s">
        <v>13818</v>
      </c>
      <c r="DR381" t="s">
        <v>19861</v>
      </c>
      <c r="DY381" t="s">
        <v>15364</v>
      </c>
      <c r="DZ381" t="s">
        <v>19862</v>
      </c>
      <c r="EA381" t="s">
        <v>19863</v>
      </c>
      <c r="EC381">
        <v>45138</v>
      </c>
      <c r="ED381" t="s">
        <v>13843</v>
      </c>
      <c r="EE381" t="s">
        <v>7233</v>
      </c>
    </row>
    <row r="382" spans="1:135">
      <c r="A382" t="s">
        <v>3132</v>
      </c>
      <c r="B382" t="s">
        <v>3013</v>
      </c>
      <c r="C382" t="s">
        <v>19864</v>
      </c>
      <c r="D382" s="24">
        <v>43055</v>
      </c>
      <c r="E382" s="24" t="s">
        <v>13564</v>
      </c>
      <c r="F382" s="24" t="s">
        <v>19865</v>
      </c>
      <c r="G382" s="24" t="s">
        <v>13808</v>
      </c>
      <c r="H382" s="24"/>
      <c r="I382" s="24" t="s">
        <v>13809</v>
      </c>
      <c r="J382" s="24"/>
      <c r="K382" s="24" t="s">
        <v>13808</v>
      </c>
      <c r="L382" s="24"/>
      <c r="M382" s="24" t="s">
        <v>19866</v>
      </c>
      <c r="N382" s="24" t="s">
        <v>13808</v>
      </c>
      <c r="O382" s="24"/>
      <c r="P382" s="24" t="s">
        <v>13808</v>
      </c>
      <c r="Q382" s="24"/>
      <c r="R382" s="24" t="s">
        <v>13808</v>
      </c>
      <c r="S382" s="24"/>
      <c r="T382" t="s">
        <v>13847</v>
      </c>
      <c r="U382" t="s">
        <v>13809</v>
      </c>
      <c r="W382" t="s">
        <v>13808</v>
      </c>
      <c r="X382" t="s">
        <v>19867</v>
      </c>
      <c r="Y382" t="s">
        <v>13809</v>
      </c>
      <c r="AA382" t="s">
        <v>13928</v>
      </c>
      <c r="AB382" t="s">
        <v>15591</v>
      </c>
      <c r="AC382" t="s">
        <v>13808</v>
      </c>
      <c r="AH382" t="s">
        <v>13851</v>
      </c>
      <c r="AI382" t="s">
        <v>13808</v>
      </c>
      <c r="AN382" t="s">
        <v>19868</v>
      </c>
      <c r="AO382" t="s">
        <v>13808</v>
      </c>
      <c r="AT382" t="s">
        <v>19869</v>
      </c>
      <c r="AU382" t="s">
        <v>13808</v>
      </c>
      <c r="AZ382" t="s">
        <v>19870</v>
      </c>
      <c r="BA382" t="s">
        <v>13808</v>
      </c>
      <c r="BF382" t="s">
        <v>19871</v>
      </c>
      <c r="BG382" t="s">
        <v>13808</v>
      </c>
      <c r="BL382" t="s">
        <v>19872</v>
      </c>
      <c r="BM382" t="s">
        <v>13808</v>
      </c>
      <c r="BR382" t="s">
        <v>19873</v>
      </c>
      <c r="BS382" t="s">
        <v>13824</v>
      </c>
      <c r="BT382" t="s">
        <v>13808</v>
      </c>
      <c r="BU382" t="s">
        <v>13985</v>
      </c>
      <c r="BY382" t="s">
        <v>13826</v>
      </c>
      <c r="BZ382" t="s">
        <v>13808</v>
      </c>
      <c r="CA382" t="s">
        <v>13937</v>
      </c>
      <c r="CE382" t="s">
        <v>14215</v>
      </c>
      <c r="CF382" t="s">
        <v>13808</v>
      </c>
      <c r="CK382" t="s">
        <v>19874</v>
      </c>
      <c r="CL382" t="s">
        <v>13818</v>
      </c>
      <c r="CM382" t="s">
        <v>19875</v>
      </c>
      <c r="CQ382" t="s">
        <v>13766</v>
      </c>
      <c r="CR382" t="s">
        <v>13809</v>
      </c>
      <c r="CT382" t="s">
        <v>19876</v>
      </c>
      <c r="CU382" t="s">
        <v>14236</v>
      </c>
      <c r="CV382" t="s">
        <v>13818</v>
      </c>
      <c r="DA382" t="s">
        <v>19877</v>
      </c>
      <c r="DB382" t="s">
        <v>13808</v>
      </c>
      <c r="DE382" t="s">
        <v>13818</v>
      </c>
      <c r="DG382" t="s">
        <v>19878</v>
      </c>
      <c r="DH382" t="s">
        <v>13808</v>
      </c>
      <c r="DM382" t="s">
        <v>19879</v>
      </c>
      <c r="DN382" t="s">
        <v>13808</v>
      </c>
      <c r="DZ382" t="s">
        <v>13841</v>
      </c>
      <c r="EA382" t="s">
        <v>15744</v>
      </c>
      <c r="EC382">
        <v>44627</v>
      </c>
      <c r="ED382" t="s">
        <v>13843</v>
      </c>
      <c r="EE382" t="s">
        <v>7857</v>
      </c>
    </row>
    <row r="383" spans="1:135">
      <c r="A383" t="s">
        <v>2570</v>
      </c>
      <c r="B383" t="s">
        <v>2314</v>
      </c>
      <c r="C383" t="s">
        <v>19880</v>
      </c>
      <c r="D383" s="24">
        <v>42712</v>
      </c>
      <c r="E383" s="24" t="s">
        <v>13555</v>
      </c>
      <c r="F383" s="24" t="s">
        <v>19881</v>
      </c>
      <c r="G383" s="24" t="s">
        <v>13808</v>
      </c>
      <c r="H383" s="24" t="s">
        <v>19882</v>
      </c>
      <c r="I383" s="24" t="s">
        <v>13809</v>
      </c>
      <c r="J383" s="24"/>
      <c r="K383" s="24" t="s">
        <v>13808</v>
      </c>
      <c r="L383" s="24"/>
      <c r="M383" s="24" t="s">
        <v>19883</v>
      </c>
      <c r="N383" s="24" t="s">
        <v>13808</v>
      </c>
      <c r="O383" s="24"/>
      <c r="P383" s="24" t="s">
        <v>13808</v>
      </c>
      <c r="Q383" s="24"/>
      <c r="R383" s="24" t="s">
        <v>13808</v>
      </c>
      <c r="S383" s="24"/>
      <c r="T383" t="s">
        <v>19884</v>
      </c>
      <c r="U383" t="s">
        <v>13809</v>
      </c>
      <c r="W383" t="s">
        <v>13808</v>
      </c>
      <c r="X383" t="s">
        <v>19885</v>
      </c>
      <c r="Y383" t="s">
        <v>13808</v>
      </c>
      <c r="AA383" t="s">
        <v>19886</v>
      </c>
      <c r="AB383" t="s">
        <v>19887</v>
      </c>
      <c r="AC383" t="s">
        <v>13808</v>
      </c>
      <c r="AH383" t="s">
        <v>19888</v>
      </c>
      <c r="AI383" t="s">
        <v>13808</v>
      </c>
      <c r="AK383" t="s">
        <v>19889</v>
      </c>
      <c r="AL383" t="s">
        <v>13818</v>
      </c>
      <c r="AN383" t="s">
        <v>19890</v>
      </c>
      <c r="AO383" t="s">
        <v>13808</v>
      </c>
      <c r="AT383" t="s">
        <v>19891</v>
      </c>
      <c r="AU383" t="s">
        <v>13808</v>
      </c>
      <c r="AZ383" t="s">
        <v>19892</v>
      </c>
      <c r="BA383" t="s">
        <v>13808</v>
      </c>
      <c r="BF383" t="s">
        <v>19893</v>
      </c>
      <c r="BG383" t="s">
        <v>13808</v>
      </c>
      <c r="BL383" t="s">
        <v>19894</v>
      </c>
      <c r="BM383" t="s">
        <v>13808</v>
      </c>
      <c r="BR383" t="s">
        <v>19895</v>
      </c>
      <c r="BS383" t="s">
        <v>13824</v>
      </c>
      <c r="BT383" t="s">
        <v>13808</v>
      </c>
      <c r="BU383" t="s">
        <v>15484</v>
      </c>
      <c r="BY383" t="s">
        <v>19503</v>
      </c>
      <c r="BZ383" t="s">
        <v>13808</v>
      </c>
      <c r="CA383" t="s">
        <v>17109</v>
      </c>
      <c r="CE383" t="s">
        <v>13862</v>
      </c>
      <c r="CF383" t="s">
        <v>13808</v>
      </c>
      <c r="CG383" t="s">
        <v>19896</v>
      </c>
      <c r="CH383" t="s">
        <v>19897</v>
      </c>
      <c r="CI383" t="s">
        <v>13818</v>
      </c>
      <c r="CJ383" t="s">
        <v>13819</v>
      </c>
      <c r="CK383" t="s">
        <v>13760</v>
      </c>
      <c r="CL383" t="s">
        <v>13809</v>
      </c>
      <c r="CQ383" t="s">
        <v>16665</v>
      </c>
      <c r="CR383" t="s">
        <v>13818</v>
      </c>
      <c r="CS383" t="s">
        <v>19898</v>
      </c>
      <c r="CT383" t="s">
        <v>19899</v>
      </c>
      <c r="CU383" t="s">
        <v>19900</v>
      </c>
      <c r="CV383" t="s">
        <v>13808</v>
      </c>
      <c r="CX383" t="s">
        <v>19901</v>
      </c>
      <c r="CY383" t="s">
        <v>13818</v>
      </c>
      <c r="DA383" t="s">
        <v>19902</v>
      </c>
      <c r="DB383" t="s">
        <v>13808</v>
      </c>
      <c r="DD383" t="s">
        <v>19903</v>
      </c>
      <c r="DE383" t="s">
        <v>13818</v>
      </c>
      <c r="DG383" t="s">
        <v>19904</v>
      </c>
      <c r="DH383" t="s">
        <v>13818</v>
      </c>
      <c r="DM383" t="s">
        <v>19905</v>
      </c>
      <c r="DN383" t="s">
        <v>13808</v>
      </c>
      <c r="DZ383" t="s">
        <v>19906</v>
      </c>
      <c r="EA383" t="s">
        <v>19907</v>
      </c>
      <c r="EC383">
        <v>44911</v>
      </c>
      <c r="ED383" t="s">
        <v>14667</v>
      </c>
      <c r="EE383" t="s">
        <v>7247</v>
      </c>
    </row>
    <row r="384" spans="1:135">
      <c r="A384" t="s">
        <v>11397</v>
      </c>
      <c r="B384" t="s">
        <v>2314</v>
      </c>
      <c r="C384" t="s">
        <v>19908</v>
      </c>
      <c r="D384" s="24">
        <v>44622</v>
      </c>
      <c r="E384" s="24" t="s">
        <v>13561</v>
      </c>
      <c r="F384" s="24" t="s">
        <v>19909</v>
      </c>
      <c r="G384" s="24" t="s">
        <v>13818</v>
      </c>
      <c r="H384" s="24" t="s">
        <v>19910</v>
      </c>
      <c r="I384" s="24" t="s">
        <v>13809</v>
      </c>
      <c r="J384" s="24"/>
      <c r="K384" s="24" t="s">
        <v>13809</v>
      </c>
      <c r="L384" s="24"/>
      <c r="M384" s="24" t="s">
        <v>19161</v>
      </c>
      <c r="N384" s="24" t="s">
        <v>13808</v>
      </c>
      <c r="O384" s="24"/>
      <c r="P384" s="24" t="s">
        <v>13808</v>
      </c>
      <c r="Q384" s="24"/>
      <c r="R384" s="24" t="s">
        <v>13808</v>
      </c>
      <c r="S384" s="24" t="s">
        <v>19815</v>
      </c>
      <c r="T384" t="s">
        <v>14071</v>
      </c>
      <c r="U384" t="s">
        <v>13809</v>
      </c>
      <c r="W384" t="s">
        <v>13809</v>
      </c>
      <c r="Y384" t="s">
        <v>13809</v>
      </c>
      <c r="AA384" t="s">
        <v>17512</v>
      </c>
      <c r="AB384" t="s">
        <v>19911</v>
      </c>
      <c r="AC384" t="s">
        <v>13818</v>
      </c>
      <c r="AD384" t="s">
        <v>14309</v>
      </c>
      <c r="AH384" t="s">
        <v>13851</v>
      </c>
      <c r="AI384" t="s">
        <v>13818</v>
      </c>
      <c r="AJ384" t="s">
        <v>14309</v>
      </c>
      <c r="AN384" t="s">
        <v>19912</v>
      </c>
      <c r="AO384" t="s">
        <v>13818</v>
      </c>
      <c r="AP384" t="s">
        <v>14309</v>
      </c>
      <c r="AT384" t="s">
        <v>13717</v>
      </c>
      <c r="AU384" t="s">
        <v>13818</v>
      </c>
      <c r="AV384" t="s">
        <v>14309</v>
      </c>
      <c r="AZ384" t="s">
        <v>19913</v>
      </c>
      <c r="BA384" t="s">
        <v>13818</v>
      </c>
      <c r="BB384" t="s">
        <v>14309</v>
      </c>
      <c r="BF384" t="s">
        <v>19914</v>
      </c>
      <c r="BG384" t="s">
        <v>13818</v>
      </c>
      <c r="BH384" t="s">
        <v>14309</v>
      </c>
      <c r="BL384" t="s">
        <v>19167</v>
      </c>
      <c r="BM384" t="s">
        <v>13818</v>
      </c>
      <c r="BN384" t="s">
        <v>14309</v>
      </c>
      <c r="BR384" t="s">
        <v>19915</v>
      </c>
      <c r="BS384" t="s">
        <v>13824</v>
      </c>
      <c r="BT384" t="s">
        <v>13818</v>
      </c>
      <c r="BU384" t="s">
        <v>14309</v>
      </c>
      <c r="BY384" t="s">
        <v>13860</v>
      </c>
      <c r="BZ384" t="s">
        <v>13818</v>
      </c>
      <c r="CA384" t="s">
        <v>19916</v>
      </c>
      <c r="CE384" t="s">
        <v>13754</v>
      </c>
      <c r="CF384" t="s">
        <v>13809</v>
      </c>
      <c r="CK384" t="s">
        <v>13760</v>
      </c>
      <c r="CL384" t="s">
        <v>13809</v>
      </c>
      <c r="CQ384" t="s">
        <v>13766</v>
      </c>
      <c r="CR384" t="s">
        <v>13809</v>
      </c>
      <c r="CT384" t="s">
        <v>13830</v>
      </c>
      <c r="CU384" t="s">
        <v>15268</v>
      </c>
      <c r="CV384" t="s">
        <v>13818</v>
      </c>
      <c r="CW384" t="s">
        <v>14309</v>
      </c>
      <c r="DA384" t="s">
        <v>15063</v>
      </c>
      <c r="DB384" t="s">
        <v>13818</v>
      </c>
      <c r="DC384" t="s">
        <v>14309</v>
      </c>
      <c r="DG384" t="s">
        <v>14240</v>
      </c>
      <c r="DH384" t="s">
        <v>13818</v>
      </c>
      <c r="DI384" t="s">
        <v>14309</v>
      </c>
      <c r="DY384" t="s">
        <v>14606</v>
      </c>
      <c r="DZ384" t="s">
        <v>13841</v>
      </c>
      <c r="EA384" t="s">
        <v>13842</v>
      </c>
      <c r="EC384">
        <v>44628</v>
      </c>
      <c r="ED384" t="s">
        <v>14590</v>
      </c>
      <c r="EE384" t="s">
        <v>13611</v>
      </c>
    </row>
    <row r="385" spans="1:135">
      <c r="A385" t="s">
        <v>2574</v>
      </c>
      <c r="B385" t="s">
        <v>2314</v>
      </c>
      <c r="C385" t="s">
        <v>19917</v>
      </c>
      <c r="D385" s="24">
        <v>42712</v>
      </c>
      <c r="E385" s="24" t="s">
        <v>13559</v>
      </c>
      <c r="F385" s="24" t="s">
        <v>19918</v>
      </c>
      <c r="G385" s="24" t="s">
        <v>13808</v>
      </c>
      <c r="H385" s="24"/>
      <c r="I385" s="24" t="s">
        <v>13809</v>
      </c>
      <c r="J385" s="24"/>
      <c r="K385" s="24" t="s">
        <v>13809</v>
      </c>
      <c r="L385" s="24"/>
      <c r="M385" s="24" t="s">
        <v>13950</v>
      </c>
      <c r="N385" s="24" t="s">
        <v>13808</v>
      </c>
      <c r="O385" s="24"/>
      <c r="P385" s="24" t="s">
        <v>13808</v>
      </c>
      <c r="Q385" s="24"/>
      <c r="R385" s="24" t="s">
        <v>13808</v>
      </c>
      <c r="S385" s="24"/>
      <c r="T385" t="s">
        <v>19919</v>
      </c>
      <c r="U385" t="s">
        <v>13809</v>
      </c>
      <c r="W385" t="s">
        <v>13808</v>
      </c>
      <c r="Y385" t="s">
        <v>13818</v>
      </c>
      <c r="Z385" t="s">
        <v>19920</v>
      </c>
      <c r="AA385" t="s">
        <v>14036</v>
      </c>
      <c r="AB385" t="s">
        <v>19921</v>
      </c>
      <c r="AC385" t="s">
        <v>13808</v>
      </c>
      <c r="AH385" t="s">
        <v>19922</v>
      </c>
      <c r="AI385" t="s">
        <v>13808</v>
      </c>
      <c r="AN385" t="s">
        <v>19923</v>
      </c>
      <c r="AO385" t="s">
        <v>13808</v>
      </c>
      <c r="AT385" t="s">
        <v>19924</v>
      </c>
      <c r="AU385" t="s">
        <v>13808</v>
      </c>
      <c r="AZ385" t="s">
        <v>19925</v>
      </c>
      <c r="BA385" t="s">
        <v>13808</v>
      </c>
      <c r="BF385" t="s">
        <v>19926</v>
      </c>
      <c r="BG385" t="s">
        <v>13808</v>
      </c>
      <c r="BL385" t="s">
        <v>19927</v>
      </c>
      <c r="BM385" t="s">
        <v>13808</v>
      </c>
      <c r="BR385" t="s">
        <v>19928</v>
      </c>
      <c r="BS385" t="s">
        <v>13885</v>
      </c>
      <c r="BT385" t="s">
        <v>13808</v>
      </c>
      <c r="BU385" t="s">
        <v>13914</v>
      </c>
      <c r="BY385" t="s">
        <v>19929</v>
      </c>
      <c r="BZ385" t="s">
        <v>13808</v>
      </c>
      <c r="CA385" t="s">
        <v>17109</v>
      </c>
      <c r="CE385" t="s">
        <v>19930</v>
      </c>
      <c r="CF385" t="s">
        <v>13808</v>
      </c>
      <c r="CL385" t="s">
        <v>13809</v>
      </c>
      <c r="CR385" t="s">
        <v>13809</v>
      </c>
      <c r="CT385" t="s">
        <v>19931</v>
      </c>
      <c r="CU385" t="s">
        <v>13909</v>
      </c>
      <c r="CV385" t="s">
        <v>13818</v>
      </c>
      <c r="DA385" t="s">
        <v>13909</v>
      </c>
      <c r="DB385" t="s">
        <v>13818</v>
      </c>
      <c r="DG385" t="s">
        <v>19932</v>
      </c>
      <c r="DH385" t="s">
        <v>13808</v>
      </c>
      <c r="DJ385" t="s">
        <v>14625</v>
      </c>
      <c r="DK385" t="s">
        <v>13818</v>
      </c>
      <c r="DZ385" t="s">
        <v>19933</v>
      </c>
      <c r="EA385" t="s">
        <v>19934</v>
      </c>
      <c r="EC385">
        <v>43963</v>
      </c>
      <c r="ED385" t="s">
        <v>13903</v>
      </c>
      <c r="EE385" t="s">
        <v>7251</v>
      </c>
    </row>
    <row r="386" spans="1:135">
      <c r="A386" t="s">
        <v>2588</v>
      </c>
      <c r="B386" t="s">
        <v>2314</v>
      </c>
      <c r="C386" t="s">
        <v>19935</v>
      </c>
      <c r="D386" s="24">
        <v>42688</v>
      </c>
      <c r="E386" s="24" t="s">
        <v>13557</v>
      </c>
      <c r="F386" s="24" t="s">
        <v>19936</v>
      </c>
      <c r="G386" s="24" t="s">
        <v>13808</v>
      </c>
      <c r="H386" s="24"/>
      <c r="I386" s="24" t="s">
        <v>13809</v>
      </c>
      <c r="J386" s="24"/>
      <c r="K386" s="24" t="s">
        <v>13808</v>
      </c>
      <c r="L386" s="24"/>
      <c r="M386" s="24" t="s">
        <v>19937</v>
      </c>
      <c r="N386" s="24" t="s">
        <v>13808</v>
      </c>
      <c r="O386" s="24"/>
      <c r="P386" s="24" t="s">
        <v>13808</v>
      </c>
      <c r="Q386" s="24" t="s">
        <v>19938</v>
      </c>
      <c r="R386" s="24" t="s">
        <v>13808</v>
      </c>
      <c r="S386" s="24"/>
      <c r="T386" t="s">
        <v>19939</v>
      </c>
      <c r="U386" t="s">
        <v>13809</v>
      </c>
      <c r="W386" t="s">
        <v>13808</v>
      </c>
      <c r="X386" t="s">
        <v>19940</v>
      </c>
      <c r="Y386" t="s">
        <v>13809</v>
      </c>
      <c r="AA386" t="s">
        <v>15089</v>
      </c>
      <c r="AB386" t="s">
        <v>19941</v>
      </c>
      <c r="AC386" t="s">
        <v>13808</v>
      </c>
      <c r="AH386" t="s">
        <v>19942</v>
      </c>
      <c r="AI386" t="s">
        <v>13808</v>
      </c>
      <c r="AN386" t="s">
        <v>19943</v>
      </c>
      <c r="AO386" t="s">
        <v>13808</v>
      </c>
      <c r="AT386" t="s">
        <v>19944</v>
      </c>
      <c r="AU386" t="s">
        <v>13808</v>
      </c>
      <c r="AZ386" t="s">
        <v>19945</v>
      </c>
      <c r="BA386" t="s">
        <v>13808</v>
      </c>
      <c r="BF386" t="s">
        <v>19946</v>
      </c>
      <c r="BG386" t="s">
        <v>13808</v>
      </c>
      <c r="BL386" t="s">
        <v>19947</v>
      </c>
      <c r="BM386" t="s">
        <v>13808</v>
      </c>
      <c r="BR386" t="s">
        <v>19948</v>
      </c>
      <c r="BS386" t="s">
        <v>13885</v>
      </c>
      <c r="BT386" t="s">
        <v>13818</v>
      </c>
      <c r="BU386" t="s">
        <v>19949</v>
      </c>
      <c r="BY386" t="s">
        <v>15280</v>
      </c>
      <c r="BZ386" t="s">
        <v>13808</v>
      </c>
      <c r="CA386" t="s">
        <v>17109</v>
      </c>
      <c r="CE386" t="s">
        <v>14265</v>
      </c>
      <c r="CF386" t="s">
        <v>13818</v>
      </c>
      <c r="CG386" t="s">
        <v>14415</v>
      </c>
      <c r="CK386" t="s">
        <v>16141</v>
      </c>
      <c r="CL386" t="s">
        <v>13808</v>
      </c>
      <c r="CR386" t="s">
        <v>13809</v>
      </c>
      <c r="CT386" t="s">
        <v>19950</v>
      </c>
      <c r="CU386" t="s">
        <v>19951</v>
      </c>
      <c r="CV386" t="s">
        <v>13808</v>
      </c>
      <c r="CX386" t="s">
        <v>14004</v>
      </c>
      <c r="CY386" t="s">
        <v>13818</v>
      </c>
      <c r="DA386" t="s">
        <v>19951</v>
      </c>
      <c r="DB386" t="s">
        <v>13808</v>
      </c>
      <c r="DD386" t="s">
        <v>14004</v>
      </c>
      <c r="DE386" t="s">
        <v>13818</v>
      </c>
      <c r="DH386" t="s">
        <v>13809</v>
      </c>
      <c r="DM386" t="s">
        <v>19952</v>
      </c>
      <c r="DN386" t="s">
        <v>13808</v>
      </c>
      <c r="DZ386" t="s">
        <v>19953</v>
      </c>
      <c r="EA386" t="s">
        <v>15944</v>
      </c>
      <c r="EC386">
        <v>43480</v>
      </c>
      <c r="ED386" t="s">
        <v>13903</v>
      </c>
      <c r="EE386" t="s">
        <v>7261</v>
      </c>
    </row>
    <row r="387" spans="1:135">
      <c r="A387" t="s">
        <v>2605</v>
      </c>
      <c r="B387" t="s">
        <v>2314</v>
      </c>
      <c r="C387" t="s">
        <v>19954</v>
      </c>
      <c r="D387" s="24">
        <v>44496</v>
      </c>
      <c r="E387" s="24" t="s">
        <v>13557</v>
      </c>
      <c r="F387" s="24" t="s">
        <v>19955</v>
      </c>
      <c r="G387" s="24" t="s">
        <v>13808</v>
      </c>
      <c r="H387" s="24"/>
      <c r="I387" s="24" t="s">
        <v>13809</v>
      </c>
      <c r="J387" s="24"/>
      <c r="K387" s="24" t="s">
        <v>13808</v>
      </c>
      <c r="L387" s="24"/>
      <c r="M387" s="24" t="s">
        <v>19956</v>
      </c>
      <c r="N387" s="24" t="s">
        <v>13808</v>
      </c>
      <c r="O387" s="24"/>
      <c r="P387" s="24" t="s">
        <v>13818</v>
      </c>
      <c r="Q387" s="24"/>
      <c r="R387" s="24" t="s">
        <v>13808</v>
      </c>
      <c r="S387" s="24"/>
      <c r="T387" t="s">
        <v>17874</v>
      </c>
      <c r="U387" t="s">
        <v>13809</v>
      </c>
      <c r="W387" t="s">
        <v>13808</v>
      </c>
      <c r="X387" t="s">
        <v>19957</v>
      </c>
      <c r="Y387" t="s">
        <v>13809</v>
      </c>
      <c r="AA387" t="s">
        <v>19958</v>
      </c>
      <c r="AB387" t="s">
        <v>19959</v>
      </c>
      <c r="AC387" t="s">
        <v>13808</v>
      </c>
      <c r="AH387" t="s">
        <v>13909</v>
      </c>
      <c r="AI387" t="s">
        <v>13808</v>
      </c>
      <c r="AO387" t="s">
        <v>13809</v>
      </c>
      <c r="AT387" t="s">
        <v>19960</v>
      </c>
      <c r="AU387" t="s">
        <v>13808</v>
      </c>
      <c r="AZ387" t="s">
        <v>19961</v>
      </c>
      <c r="BA387" t="s">
        <v>13808</v>
      </c>
      <c r="BF387" t="s">
        <v>19962</v>
      </c>
      <c r="BG387" t="s">
        <v>13808</v>
      </c>
      <c r="BM387" t="s">
        <v>18960</v>
      </c>
      <c r="BR387" t="s">
        <v>19963</v>
      </c>
      <c r="BS387" t="s">
        <v>19964</v>
      </c>
      <c r="BT387" t="s">
        <v>13808</v>
      </c>
      <c r="BU387" t="s">
        <v>15304</v>
      </c>
      <c r="BY387" t="s">
        <v>13887</v>
      </c>
      <c r="BZ387" t="s">
        <v>13808</v>
      </c>
      <c r="CA387" t="s">
        <v>18268</v>
      </c>
      <c r="CE387" t="s">
        <v>13887</v>
      </c>
      <c r="CF387" t="s">
        <v>13808</v>
      </c>
      <c r="CL387" t="s">
        <v>13809</v>
      </c>
      <c r="CR387" t="s">
        <v>13809</v>
      </c>
      <c r="CT387" t="s">
        <v>19965</v>
      </c>
      <c r="CU387" t="s">
        <v>19966</v>
      </c>
      <c r="CV387" t="s">
        <v>13808</v>
      </c>
      <c r="CX387" t="s">
        <v>19967</v>
      </c>
      <c r="CY387" t="s">
        <v>13818</v>
      </c>
      <c r="DA387" t="s">
        <v>19968</v>
      </c>
      <c r="DB387" t="s">
        <v>13808</v>
      </c>
      <c r="DD387" t="s">
        <v>19969</v>
      </c>
      <c r="DE387" t="s">
        <v>14262</v>
      </c>
      <c r="DG387" t="s">
        <v>13909</v>
      </c>
      <c r="DH387" t="s">
        <v>13818</v>
      </c>
      <c r="DM387" t="s">
        <v>19970</v>
      </c>
      <c r="DN387" t="s">
        <v>13808</v>
      </c>
      <c r="DY387" t="s">
        <v>14460</v>
      </c>
      <c r="DZ387" t="s">
        <v>19971</v>
      </c>
      <c r="EA387" t="s">
        <v>14461</v>
      </c>
      <c r="EC387">
        <v>44509</v>
      </c>
      <c r="EE387" t="s">
        <v>7271</v>
      </c>
    </row>
    <row r="388" spans="1:135">
      <c r="A388" t="s">
        <v>2916</v>
      </c>
      <c r="B388" t="s">
        <v>2861</v>
      </c>
      <c r="C388" t="s">
        <v>19972</v>
      </c>
      <c r="D388" s="24">
        <v>44322</v>
      </c>
      <c r="E388" s="24" t="s">
        <v>13555</v>
      </c>
      <c r="F388" s="24" t="s">
        <v>19973</v>
      </c>
      <c r="G388" s="24" t="s">
        <v>13808</v>
      </c>
      <c r="H388" s="24"/>
      <c r="I388" s="24" t="s">
        <v>13809</v>
      </c>
      <c r="J388" s="24"/>
      <c r="K388" s="24" t="s">
        <v>13809</v>
      </c>
      <c r="L388" s="24"/>
      <c r="M388" s="24" t="s">
        <v>15805</v>
      </c>
      <c r="N388" s="24" t="s">
        <v>13808</v>
      </c>
      <c r="O388" s="24"/>
      <c r="P388" s="24" t="s">
        <v>13808</v>
      </c>
      <c r="Q388" s="24"/>
      <c r="R388" s="24" t="s">
        <v>13808</v>
      </c>
      <c r="S388" s="24"/>
      <c r="T388" t="s">
        <v>13875</v>
      </c>
      <c r="U388" t="s">
        <v>13809</v>
      </c>
      <c r="W388" t="s">
        <v>13808</v>
      </c>
      <c r="X388" t="s">
        <v>19974</v>
      </c>
      <c r="Y388" t="s">
        <v>13809</v>
      </c>
      <c r="AA388" t="s">
        <v>14971</v>
      </c>
      <c r="AC388" t="s">
        <v>13809</v>
      </c>
      <c r="AH388" t="s">
        <v>13909</v>
      </c>
      <c r="AI388" t="s">
        <v>13808</v>
      </c>
      <c r="AN388" t="s">
        <v>19975</v>
      </c>
      <c r="AO388" t="s">
        <v>13808</v>
      </c>
      <c r="AU388" t="s">
        <v>13809</v>
      </c>
      <c r="AZ388" t="s">
        <v>19744</v>
      </c>
      <c r="BA388" t="s">
        <v>13808</v>
      </c>
      <c r="BG388" t="s">
        <v>13809</v>
      </c>
      <c r="BM388" t="s">
        <v>13809</v>
      </c>
      <c r="BR388" t="s">
        <v>19976</v>
      </c>
      <c r="BT388" t="s">
        <v>13809</v>
      </c>
      <c r="BZ388" t="s">
        <v>13809</v>
      </c>
      <c r="CF388" t="s">
        <v>13809</v>
      </c>
      <c r="CK388" t="s">
        <v>13887</v>
      </c>
      <c r="CL388" t="s">
        <v>13808</v>
      </c>
      <c r="CM388" t="s">
        <v>17311</v>
      </c>
      <c r="CR388" t="s">
        <v>13809</v>
      </c>
      <c r="CT388" t="s">
        <v>19977</v>
      </c>
      <c r="CU388" t="s">
        <v>16627</v>
      </c>
      <c r="CV388" t="s">
        <v>13808</v>
      </c>
      <c r="DA388" t="s">
        <v>16627</v>
      </c>
      <c r="DB388" t="s">
        <v>13808</v>
      </c>
      <c r="DH388" t="s">
        <v>13809</v>
      </c>
      <c r="DM388" t="s">
        <v>14004</v>
      </c>
      <c r="DN388" t="s">
        <v>13808</v>
      </c>
      <c r="DY388" t="s">
        <v>15296</v>
      </c>
      <c r="DZ388" t="s">
        <v>19978</v>
      </c>
      <c r="EA388" t="s">
        <v>16821</v>
      </c>
      <c r="EC388">
        <v>44327</v>
      </c>
      <c r="ED388" t="s">
        <v>14276</v>
      </c>
      <c r="EE388" t="s">
        <v>7595</v>
      </c>
    </row>
    <row r="389" spans="1:135">
      <c r="A389" t="s">
        <v>2613</v>
      </c>
      <c r="B389" t="s">
        <v>2314</v>
      </c>
      <c r="C389" t="s">
        <v>19979</v>
      </c>
      <c r="D389" s="24">
        <v>43179</v>
      </c>
      <c r="E389" s="24" t="s">
        <v>13564</v>
      </c>
      <c r="F389" s="24" t="s">
        <v>19980</v>
      </c>
      <c r="G389" s="24" t="s">
        <v>13808</v>
      </c>
      <c r="H389" s="24"/>
      <c r="I389" s="24" t="s">
        <v>13809</v>
      </c>
      <c r="J389" s="24"/>
      <c r="K389" s="24" t="s">
        <v>13808</v>
      </c>
      <c r="L389" s="24"/>
      <c r="M389" s="24" t="s">
        <v>19981</v>
      </c>
      <c r="N389" s="24" t="s">
        <v>13808</v>
      </c>
      <c r="O389" s="24"/>
      <c r="P389" s="24" t="s">
        <v>13808</v>
      </c>
      <c r="Q389" s="24"/>
      <c r="R389" s="24" t="s">
        <v>13808</v>
      </c>
      <c r="S389" s="24"/>
      <c r="T389" t="s">
        <v>19982</v>
      </c>
      <c r="U389" t="s">
        <v>13809</v>
      </c>
      <c r="W389" t="s">
        <v>13808</v>
      </c>
      <c r="X389" t="s">
        <v>19983</v>
      </c>
      <c r="Y389" t="s">
        <v>13809</v>
      </c>
      <c r="AA389" t="s">
        <v>19958</v>
      </c>
      <c r="AB389" t="s">
        <v>15883</v>
      </c>
      <c r="AC389" t="s">
        <v>13808</v>
      </c>
      <c r="AH389" t="s">
        <v>19984</v>
      </c>
      <c r="AI389" t="s">
        <v>13808</v>
      </c>
      <c r="AN389" t="s">
        <v>14730</v>
      </c>
      <c r="AO389" t="s">
        <v>13808</v>
      </c>
      <c r="AU389" t="s">
        <v>13809</v>
      </c>
      <c r="AZ389" t="s">
        <v>13887</v>
      </c>
      <c r="BA389" t="s">
        <v>13808</v>
      </c>
      <c r="BF389" t="s">
        <v>14706</v>
      </c>
      <c r="BG389" t="s">
        <v>13808</v>
      </c>
      <c r="BL389" t="s">
        <v>19985</v>
      </c>
      <c r="BM389" t="s">
        <v>13808</v>
      </c>
      <c r="BR389" t="s">
        <v>19986</v>
      </c>
      <c r="BS389" t="s">
        <v>13885</v>
      </c>
      <c r="BT389" t="s">
        <v>13808</v>
      </c>
      <c r="BU389" t="s">
        <v>13914</v>
      </c>
      <c r="BY389" t="s">
        <v>19987</v>
      </c>
      <c r="BZ389" t="s">
        <v>13808</v>
      </c>
      <c r="CA389" t="s">
        <v>18038</v>
      </c>
      <c r="CE389" t="s">
        <v>19988</v>
      </c>
      <c r="CF389" t="s">
        <v>13808</v>
      </c>
      <c r="CL389" t="s">
        <v>13809</v>
      </c>
      <c r="CR389" t="s">
        <v>13809</v>
      </c>
      <c r="CT389" t="s">
        <v>19989</v>
      </c>
      <c r="CU389" t="s">
        <v>19026</v>
      </c>
      <c r="CV389" t="s">
        <v>13818</v>
      </c>
      <c r="CX389" t="s">
        <v>19990</v>
      </c>
      <c r="CY389" t="s">
        <v>13808</v>
      </c>
      <c r="DA389" t="s">
        <v>19991</v>
      </c>
      <c r="DB389" t="s">
        <v>13818</v>
      </c>
      <c r="DD389" t="s">
        <v>19992</v>
      </c>
      <c r="DE389" t="s">
        <v>13808</v>
      </c>
      <c r="DG389" t="s">
        <v>19993</v>
      </c>
      <c r="DH389" t="s">
        <v>13808</v>
      </c>
      <c r="DI389" t="s">
        <v>19994</v>
      </c>
      <c r="DJ389" t="s">
        <v>19995</v>
      </c>
      <c r="DK389" t="s">
        <v>13818</v>
      </c>
      <c r="DZ389" t="s">
        <v>19996</v>
      </c>
      <c r="EA389" t="s">
        <v>19997</v>
      </c>
      <c r="EC389">
        <v>43726</v>
      </c>
      <c r="ED389" t="s">
        <v>13903</v>
      </c>
      <c r="EE389" t="s">
        <v>7274</v>
      </c>
    </row>
    <row r="390" spans="1:135">
      <c r="A390" t="s">
        <v>2618</v>
      </c>
      <c r="B390" t="s">
        <v>2314</v>
      </c>
      <c r="C390" t="s">
        <v>19998</v>
      </c>
      <c r="D390" s="24">
        <v>45058</v>
      </c>
      <c r="E390" s="24" t="s">
        <v>13558</v>
      </c>
      <c r="F390" s="24" t="s">
        <v>19999</v>
      </c>
      <c r="G390" s="24" t="s">
        <v>13808</v>
      </c>
      <c r="H390" s="24"/>
      <c r="I390" s="24" t="s">
        <v>13809</v>
      </c>
      <c r="J390" s="24"/>
      <c r="K390" s="24" t="s">
        <v>13808</v>
      </c>
      <c r="L390" s="24"/>
      <c r="M390" s="24" t="s">
        <v>15106</v>
      </c>
      <c r="N390" s="24" t="s">
        <v>13808</v>
      </c>
      <c r="O390" s="24"/>
      <c r="P390" s="24" t="s">
        <v>13808</v>
      </c>
      <c r="Q390" s="24"/>
      <c r="R390" s="24" t="s">
        <v>13808</v>
      </c>
      <c r="S390" s="24"/>
      <c r="T390" t="s">
        <v>13907</v>
      </c>
      <c r="U390" t="s">
        <v>13809</v>
      </c>
      <c r="W390" t="s">
        <v>13808</v>
      </c>
      <c r="X390" t="s">
        <v>20000</v>
      </c>
      <c r="Y390" t="s">
        <v>13808</v>
      </c>
      <c r="Z390" t="s">
        <v>20001</v>
      </c>
      <c r="AA390" t="s">
        <v>15259</v>
      </c>
      <c r="AB390" t="s">
        <v>20002</v>
      </c>
      <c r="AC390" t="s">
        <v>13808</v>
      </c>
      <c r="AH390" t="s">
        <v>20003</v>
      </c>
      <c r="AI390" t="s">
        <v>13808</v>
      </c>
      <c r="AN390" t="s">
        <v>13711</v>
      </c>
      <c r="AO390" t="s">
        <v>13809</v>
      </c>
      <c r="AT390" t="s">
        <v>16982</v>
      </c>
      <c r="AU390" t="s">
        <v>13808</v>
      </c>
      <c r="AZ390" t="s">
        <v>17669</v>
      </c>
      <c r="BA390" t="s">
        <v>13808</v>
      </c>
      <c r="BF390" t="s">
        <v>17058</v>
      </c>
      <c r="BG390" t="s">
        <v>13809</v>
      </c>
      <c r="BL390" t="s">
        <v>20004</v>
      </c>
      <c r="BM390" t="s">
        <v>13808</v>
      </c>
      <c r="BR390" t="s">
        <v>20005</v>
      </c>
      <c r="BS390" t="s">
        <v>13824</v>
      </c>
      <c r="BT390" t="s">
        <v>13808</v>
      </c>
      <c r="BU390" t="s">
        <v>14233</v>
      </c>
      <c r="BY390" t="s">
        <v>20006</v>
      </c>
      <c r="BZ390" t="s">
        <v>13808</v>
      </c>
      <c r="CA390" t="s">
        <v>13937</v>
      </c>
      <c r="CE390" t="s">
        <v>14215</v>
      </c>
      <c r="CF390" t="s">
        <v>13808</v>
      </c>
      <c r="CK390" t="s">
        <v>20007</v>
      </c>
      <c r="CL390" t="s">
        <v>13818</v>
      </c>
      <c r="CM390" t="s">
        <v>15415</v>
      </c>
      <c r="CQ390" t="s">
        <v>13766</v>
      </c>
      <c r="CR390" t="s">
        <v>13809</v>
      </c>
      <c r="CT390" t="s">
        <v>20008</v>
      </c>
      <c r="CU390" t="s">
        <v>20009</v>
      </c>
      <c r="CV390" t="s">
        <v>13818</v>
      </c>
      <c r="DA390" t="s">
        <v>20010</v>
      </c>
      <c r="DB390" t="s">
        <v>13818</v>
      </c>
      <c r="DG390" t="s">
        <v>20011</v>
      </c>
      <c r="DH390" t="s">
        <v>13818</v>
      </c>
      <c r="DM390" t="s">
        <v>20012</v>
      </c>
      <c r="DN390" t="s">
        <v>13818</v>
      </c>
      <c r="DS390" t="s">
        <v>20013</v>
      </c>
      <c r="DT390" t="s">
        <v>13808</v>
      </c>
      <c r="DU390" t="s">
        <v>13819</v>
      </c>
      <c r="DY390" t="s">
        <v>14606</v>
      </c>
      <c r="DZ390" t="s">
        <v>13841</v>
      </c>
      <c r="EA390" t="s">
        <v>16821</v>
      </c>
      <c r="EC390">
        <v>45064</v>
      </c>
      <c r="ED390" t="s">
        <v>13843</v>
      </c>
      <c r="EE390" t="s">
        <v>7280</v>
      </c>
    </row>
    <row r="391" spans="1:135">
      <c r="A391" t="s">
        <v>2437</v>
      </c>
      <c r="B391" t="s">
        <v>2232</v>
      </c>
      <c r="C391" t="s">
        <v>20014</v>
      </c>
      <c r="D391" s="24">
        <v>45121</v>
      </c>
      <c r="E391" s="24" t="s">
        <v>13561</v>
      </c>
      <c r="F391" s="24" t="s">
        <v>20015</v>
      </c>
      <c r="G391" s="24" t="s">
        <v>13818</v>
      </c>
      <c r="H391" s="24" t="s">
        <v>20016</v>
      </c>
      <c r="I391" s="24" t="s">
        <v>13809</v>
      </c>
      <c r="J391" s="24"/>
      <c r="K391" s="24" t="s">
        <v>13809</v>
      </c>
      <c r="L391" s="24"/>
      <c r="M391" s="24" t="s">
        <v>15539</v>
      </c>
      <c r="N391" s="24" t="s">
        <v>13808</v>
      </c>
      <c r="O391" s="24"/>
      <c r="P391" s="24" t="s">
        <v>13808</v>
      </c>
      <c r="Q391" s="24"/>
      <c r="R391" s="24" t="s">
        <v>13808</v>
      </c>
      <c r="S391" s="24"/>
      <c r="T391" t="s">
        <v>18312</v>
      </c>
      <c r="U391" t="s">
        <v>13818</v>
      </c>
      <c r="V391" t="s">
        <v>20017</v>
      </c>
      <c r="W391" t="s">
        <v>13809</v>
      </c>
      <c r="Y391" t="s">
        <v>13809</v>
      </c>
      <c r="AA391" t="s">
        <v>14386</v>
      </c>
      <c r="AB391" t="s">
        <v>13699</v>
      </c>
      <c r="AC391" t="s">
        <v>13809</v>
      </c>
      <c r="AH391" t="s">
        <v>16902</v>
      </c>
      <c r="AI391" t="s">
        <v>13818</v>
      </c>
      <c r="AJ391" t="s">
        <v>13819</v>
      </c>
      <c r="AN391" t="s">
        <v>13711</v>
      </c>
      <c r="AO391" t="s">
        <v>13809</v>
      </c>
      <c r="AT391" t="s">
        <v>20018</v>
      </c>
      <c r="AU391" t="s">
        <v>13818</v>
      </c>
      <c r="AV391" t="s">
        <v>13819</v>
      </c>
      <c r="AZ391" t="s">
        <v>15480</v>
      </c>
      <c r="BA391" t="s">
        <v>13818</v>
      </c>
      <c r="BB391" t="s">
        <v>13819</v>
      </c>
      <c r="BF391" t="s">
        <v>20019</v>
      </c>
      <c r="BG391" t="s">
        <v>13818</v>
      </c>
      <c r="BH391" t="s">
        <v>13819</v>
      </c>
      <c r="BL391" t="s">
        <v>13735</v>
      </c>
      <c r="BM391" t="s">
        <v>13809</v>
      </c>
      <c r="BR391" t="s">
        <v>20020</v>
      </c>
      <c r="BS391" t="s">
        <v>13858</v>
      </c>
      <c r="BT391" t="s">
        <v>13818</v>
      </c>
      <c r="BU391" t="s">
        <v>20021</v>
      </c>
      <c r="BY391" t="s">
        <v>13860</v>
      </c>
      <c r="BZ391" t="s">
        <v>13808</v>
      </c>
      <c r="CA391" t="s">
        <v>13861</v>
      </c>
      <c r="CE391" t="s">
        <v>13828</v>
      </c>
      <c r="CF391" t="s">
        <v>13808</v>
      </c>
      <c r="CG391" t="s">
        <v>13863</v>
      </c>
      <c r="CK391" t="s">
        <v>20022</v>
      </c>
      <c r="CL391" t="s">
        <v>13818</v>
      </c>
      <c r="CM391" t="s">
        <v>19093</v>
      </c>
      <c r="CQ391" t="s">
        <v>13766</v>
      </c>
      <c r="CR391" t="s">
        <v>13809</v>
      </c>
      <c r="CT391" t="s">
        <v>20023</v>
      </c>
      <c r="CU391" t="s">
        <v>14961</v>
      </c>
      <c r="CV391" t="s">
        <v>13808</v>
      </c>
      <c r="CW391" t="s">
        <v>13819</v>
      </c>
      <c r="CX391" t="s">
        <v>20024</v>
      </c>
      <c r="CY391" t="s">
        <v>13818</v>
      </c>
      <c r="DA391" t="s">
        <v>20025</v>
      </c>
      <c r="DB391" t="s">
        <v>13818</v>
      </c>
      <c r="DG391" t="s">
        <v>20026</v>
      </c>
      <c r="DH391" t="s">
        <v>13808</v>
      </c>
      <c r="DI391" t="s">
        <v>13819</v>
      </c>
      <c r="DJ391" t="s">
        <v>15179</v>
      </c>
      <c r="DK391" t="s">
        <v>13818</v>
      </c>
      <c r="DM391" t="s">
        <v>20027</v>
      </c>
      <c r="DN391" t="s">
        <v>13818</v>
      </c>
      <c r="DY391" t="s">
        <v>15364</v>
      </c>
      <c r="DZ391" t="s">
        <v>14341</v>
      </c>
      <c r="EA391" t="s">
        <v>14118</v>
      </c>
      <c r="EC391">
        <v>45125</v>
      </c>
      <c r="ED391" t="s">
        <v>13843</v>
      </c>
      <c r="EE391" t="s">
        <v>13612</v>
      </c>
    </row>
    <row r="392" spans="1:135">
      <c r="A392" t="s">
        <v>2623</v>
      </c>
      <c r="B392" t="s">
        <v>2314</v>
      </c>
      <c r="C392" t="s">
        <v>20028</v>
      </c>
      <c r="D392" s="24">
        <v>42691</v>
      </c>
      <c r="E392" s="24" t="s">
        <v>13555</v>
      </c>
      <c r="F392" s="24" t="s">
        <v>20029</v>
      </c>
      <c r="G392" s="24" t="s">
        <v>13808</v>
      </c>
      <c r="H392" s="24"/>
      <c r="I392" s="24" t="s">
        <v>13809</v>
      </c>
      <c r="J392" s="24"/>
      <c r="K392" s="24" t="s">
        <v>13809</v>
      </c>
      <c r="L392" s="24"/>
      <c r="M392" s="24" t="s">
        <v>19387</v>
      </c>
      <c r="N392" s="24" t="s">
        <v>13808</v>
      </c>
      <c r="O392" s="24"/>
      <c r="P392" s="24" t="s">
        <v>13808</v>
      </c>
      <c r="Q392" s="24"/>
      <c r="R392" s="24" t="s">
        <v>13808</v>
      </c>
      <c r="S392" s="24"/>
      <c r="T392" t="s">
        <v>20030</v>
      </c>
      <c r="U392" t="s">
        <v>13809</v>
      </c>
      <c r="W392" t="s">
        <v>13808</v>
      </c>
      <c r="Y392" t="s">
        <v>13808</v>
      </c>
      <c r="Z392" t="s">
        <v>20031</v>
      </c>
      <c r="AA392" t="s">
        <v>20032</v>
      </c>
      <c r="AB392" t="s">
        <v>20033</v>
      </c>
      <c r="AC392" t="s">
        <v>13808</v>
      </c>
      <c r="AH392" t="s">
        <v>14197</v>
      </c>
      <c r="AI392" t="s">
        <v>13808</v>
      </c>
      <c r="AO392" t="s">
        <v>13809</v>
      </c>
      <c r="AU392" t="s">
        <v>13809</v>
      </c>
      <c r="AZ392" t="s">
        <v>14197</v>
      </c>
      <c r="BA392" t="s">
        <v>13808</v>
      </c>
      <c r="BG392" t="s">
        <v>13809</v>
      </c>
      <c r="BM392" t="s">
        <v>13809</v>
      </c>
      <c r="BR392" t="s">
        <v>20034</v>
      </c>
      <c r="BT392" t="s">
        <v>13809</v>
      </c>
      <c r="BY392" t="s">
        <v>14197</v>
      </c>
      <c r="BZ392" t="s">
        <v>13808</v>
      </c>
      <c r="CA392" t="s">
        <v>18038</v>
      </c>
      <c r="CF392" t="s">
        <v>13809</v>
      </c>
      <c r="CL392" t="s">
        <v>13809</v>
      </c>
      <c r="CR392" t="s">
        <v>13809</v>
      </c>
      <c r="CT392" t="s">
        <v>20035</v>
      </c>
      <c r="CU392" t="s">
        <v>14197</v>
      </c>
      <c r="CV392" t="s">
        <v>13808</v>
      </c>
      <c r="DA392" t="s">
        <v>14197</v>
      </c>
      <c r="DB392" t="s">
        <v>13808</v>
      </c>
      <c r="DG392" t="s">
        <v>14197</v>
      </c>
      <c r="DH392" t="s">
        <v>13808</v>
      </c>
      <c r="DZ392" t="s">
        <v>20036</v>
      </c>
      <c r="EA392" t="s">
        <v>20037</v>
      </c>
      <c r="EC392">
        <v>43480</v>
      </c>
      <c r="ED392" t="s">
        <v>13903</v>
      </c>
      <c r="EE392" t="s">
        <v>7284</v>
      </c>
    </row>
    <row r="393" spans="1:135">
      <c r="A393" t="s">
        <v>3136</v>
      </c>
      <c r="B393" t="s">
        <v>3013</v>
      </c>
      <c r="C393" t="s">
        <v>20038</v>
      </c>
      <c r="D393" s="24">
        <v>42691</v>
      </c>
      <c r="E393" s="24" t="s">
        <v>13560</v>
      </c>
      <c r="F393" s="24" t="s">
        <v>20039</v>
      </c>
      <c r="G393" s="24" t="s">
        <v>13808</v>
      </c>
      <c r="H393" s="24"/>
      <c r="I393" s="24" t="s">
        <v>13809</v>
      </c>
      <c r="J393" s="24"/>
      <c r="K393" s="24" t="s">
        <v>13808</v>
      </c>
      <c r="L393" s="24"/>
      <c r="M393" s="24" t="s">
        <v>20040</v>
      </c>
      <c r="N393" s="24" t="s">
        <v>13808</v>
      </c>
      <c r="O393" s="24"/>
      <c r="P393" s="24" t="s">
        <v>13808</v>
      </c>
      <c r="Q393" s="24"/>
      <c r="R393" s="24" t="s">
        <v>13808</v>
      </c>
      <c r="S393" s="24"/>
      <c r="T393" t="s">
        <v>14790</v>
      </c>
      <c r="U393" t="s">
        <v>13809</v>
      </c>
      <c r="W393" t="s">
        <v>13809</v>
      </c>
      <c r="Y393" t="s">
        <v>13809</v>
      </c>
      <c r="AA393" t="s">
        <v>20041</v>
      </c>
      <c r="AB393" t="s">
        <v>20042</v>
      </c>
      <c r="AC393" t="s">
        <v>13809</v>
      </c>
      <c r="AH393" t="s">
        <v>13816</v>
      </c>
      <c r="AI393" t="s">
        <v>13808</v>
      </c>
      <c r="AK393" t="s">
        <v>20043</v>
      </c>
      <c r="AL393" t="s">
        <v>13818</v>
      </c>
      <c r="AN393" t="s">
        <v>20044</v>
      </c>
      <c r="AO393" t="s">
        <v>13808</v>
      </c>
      <c r="AQ393" t="s">
        <v>20045</v>
      </c>
      <c r="AR393" t="s">
        <v>13818</v>
      </c>
      <c r="AT393" t="s">
        <v>20046</v>
      </c>
      <c r="AU393" t="s">
        <v>13809</v>
      </c>
      <c r="AZ393" t="s">
        <v>20047</v>
      </c>
      <c r="BA393" t="s">
        <v>13808</v>
      </c>
      <c r="BF393" t="s">
        <v>20048</v>
      </c>
      <c r="BG393" t="s">
        <v>13809</v>
      </c>
      <c r="BL393" t="s">
        <v>20049</v>
      </c>
      <c r="BM393" t="s">
        <v>13818</v>
      </c>
      <c r="BR393" t="s">
        <v>20050</v>
      </c>
      <c r="BS393" t="s">
        <v>17108</v>
      </c>
      <c r="BT393" t="s">
        <v>13809</v>
      </c>
      <c r="BY393" t="s">
        <v>20051</v>
      </c>
      <c r="BZ393" t="s">
        <v>13809</v>
      </c>
      <c r="CE393" t="s">
        <v>15249</v>
      </c>
      <c r="CF393" t="s">
        <v>13809</v>
      </c>
      <c r="CK393" t="s">
        <v>13760</v>
      </c>
      <c r="CL393" t="s">
        <v>13809</v>
      </c>
      <c r="CQ393" t="s">
        <v>13766</v>
      </c>
      <c r="CR393" t="s">
        <v>13809</v>
      </c>
      <c r="CT393" t="s">
        <v>20052</v>
      </c>
      <c r="CU393" t="s">
        <v>20053</v>
      </c>
      <c r="CV393" t="s">
        <v>13808</v>
      </c>
      <c r="CW393" t="s">
        <v>20054</v>
      </c>
      <c r="CX393" t="s">
        <v>20055</v>
      </c>
      <c r="CY393" t="s">
        <v>13818</v>
      </c>
      <c r="CZ393" t="s">
        <v>14309</v>
      </c>
      <c r="DA393" t="s">
        <v>20056</v>
      </c>
      <c r="DB393" t="s">
        <v>13808</v>
      </c>
      <c r="DC393" t="s">
        <v>20057</v>
      </c>
      <c r="DD393" t="s">
        <v>20055</v>
      </c>
      <c r="DE393" t="s">
        <v>13818</v>
      </c>
      <c r="DF393" t="s">
        <v>14309</v>
      </c>
      <c r="DG393" t="s">
        <v>20058</v>
      </c>
      <c r="DH393" t="s">
        <v>13808</v>
      </c>
      <c r="DI393" t="s">
        <v>20057</v>
      </c>
      <c r="DZ393" t="s">
        <v>20059</v>
      </c>
      <c r="EA393" t="s">
        <v>14881</v>
      </c>
      <c r="EC393">
        <v>44627</v>
      </c>
      <c r="ED393" t="s">
        <v>13843</v>
      </c>
      <c r="EE393" t="s">
        <v>7861</v>
      </c>
    </row>
    <row r="394" spans="1:135">
      <c r="A394" t="s">
        <v>3141</v>
      </c>
      <c r="B394" t="s">
        <v>3013</v>
      </c>
      <c r="C394" t="s">
        <v>20060</v>
      </c>
      <c r="D394" s="24">
        <v>43627</v>
      </c>
      <c r="E394" s="24" t="s">
        <v>13553</v>
      </c>
      <c r="F394" s="24" t="s">
        <v>20061</v>
      </c>
      <c r="G394" s="24" t="s">
        <v>13808</v>
      </c>
      <c r="H394" s="24"/>
      <c r="I394" s="24" t="s">
        <v>13809</v>
      </c>
      <c r="J394" s="24"/>
      <c r="K394" s="24" t="s">
        <v>13808</v>
      </c>
      <c r="L394" s="24" t="s">
        <v>16132</v>
      </c>
      <c r="M394" s="24" t="s">
        <v>14725</v>
      </c>
      <c r="N394" s="24" t="s">
        <v>13808</v>
      </c>
      <c r="O394" s="24"/>
      <c r="P394" s="24" t="s">
        <v>13808</v>
      </c>
      <c r="Q394" s="24"/>
      <c r="R394" s="24" t="s">
        <v>13808</v>
      </c>
      <c r="S394" s="24"/>
      <c r="T394" t="s">
        <v>20062</v>
      </c>
      <c r="U394" t="s">
        <v>13809</v>
      </c>
      <c r="W394" t="s">
        <v>13808</v>
      </c>
      <c r="X394" t="s">
        <v>20063</v>
      </c>
      <c r="Y394" t="s">
        <v>13809</v>
      </c>
      <c r="AA394" t="s">
        <v>13877</v>
      </c>
      <c r="AB394" t="s">
        <v>14703</v>
      </c>
      <c r="AC394" t="s">
        <v>13808</v>
      </c>
      <c r="AH394" t="s">
        <v>13909</v>
      </c>
      <c r="AI394" t="s">
        <v>13808</v>
      </c>
      <c r="AO394" t="s">
        <v>13809</v>
      </c>
      <c r="AT394" t="s">
        <v>14058</v>
      </c>
      <c r="AU394" t="s">
        <v>13808</v>
      </c>
      <c r="AZ394" t="s">
        <v>17435</v>
      </c>
      <c r="BA394" t="s">
        <v>13808</v>
      </c>
      <c r="BF394" t="s">
        <v>20064</v>
      </c>
      <c r="BG394" t="s">
        <v>13808</v>
      </c>
      <c r="BL394" t="s">
        <v>20065</v>
      </c>
      <c r="BM394" t="s">
        <v>13897</v>
      </c>
      <c r="BR394" t="s">
        <v>20066</v>
      </c>
      <c r="BT394" t="s">
        <v>13809</v>
      </c>
      <c r="BY394" t="s">
        <v>13887</v>
      </c>
      <c r="BZ394" t="s">
        <v>13808</v>
      </c>
      <c r="CA394" t="s">
        <v>14026</v>
      </c>
      <c r="CE394" t="s">
        <v>15138</v>
      </c>
      <c r="CF394" t="s">
        <v>13808</v>
      </c>
      <c r="CG394" t="s">
        <v>20067</v>
      </c>
      <c r="CL394" t="s">
        <v>13809</v>
      </c>
      <c r="CR394" t="s">
        <v>13809</v>
      </c>
      <c r="CT394" t="s">
        <v>20068</v>
      </c>
      <c r="CU394" t="s">
        <v>20069</v>
      </c>
      <c r="CV394" t="s">
        <v>13808</v>
      </c>
      <c r="DA394" t="s">
        <v>20070</v>
      </c>
      <c r="DB394" t="s">
        <v>13808</v>
      </c>
      <c r="DH394" t="s">
        <v>13809</v>
      </c>
      <c r="DM394" t="s">
        <v>20071</v>
      </c>
      <c r="DN394" t="s">
        <v>13808</v>
      </c>
      <c r="DO394" t="s">
        <v>20072</v>
      </c>
      <c r="DY394" t="s">
        <v>13920</v>
      </c>
      <c r="DZ394" t="s">
        <v>20073</v>
      </c>
      <c r="EA394" t="s">
        <v>20073</v>
      </c>
      <c r="EC394">
        <v>43647</v>
      </c>
      <c r="ED394" t="s">
        <v>14501</v>
      </c>
      <c r="EE394" t="s">
        <v>7865</v>
      </c>
    </row>
    <row r="395" spans="1:135">
      <c r="A395" t="s">
        <v>2628</v>
      </c>
      <c r="B395" t="s">
        <v>2314</v>
      </c>
      <c r="C395" t="s">
        <v>20074</v>
      </c>
      <c r="D395" s="24">
        <v>42696</v>
      </c>
      <c r="E395" s="24" t="s">
        <v>13555</v>
      </c>
      <c r="F395" s="24" t="s">
        <v>20075</v>
      </c>
      <c r="G395" s="24" t="s">
        <v>13808</v>
      </c>
      <c r="H395" s="24"/>
      <c r="I395" s="24" t="s">
        <v>13809</v>
      </c>
      <c r="J395" s="24"/>
      <c r="K395" s="24" t="s">
        <v>13809</v>
      </c>
      <c r="L395" s="24"/>
      <c r="M395" s="24" t="s">
        <v>20076</v>
      </c>
      <c r="N395" s="24" t="s">
        <v>13808</v>
      </c>
      <c r="O395" s="24"/>
      <c r="P395" s="24" t="s">
        <v>13808</v>
      </c>
      <c r="Q395" s="24"/>
      <c r="R395" s="24" t="s">
        <v>13808</v>
      </c>
      <c r="S395" s="24"/>
      <c r="T395" t="s">
        <v>20077</v>
      </c>
      <c r="U395" t="s">
        <v>13809</v>
      </c>
      <c r="W395" t="s">
        <v>13808</v>
      </c>
      <c r="X395" t="s">
        <v>20078</v>
      </c>
      <c r="Y395" t="s">
        <v>13809</v>
      </c>
      <c r="AA395" t="s">
        <v>19638</v>
      </c>
      <c r="AB395" t="s">
        <v>20079</v>
      </c>
      <c r="AC395" t="s">
        <v>13808</v>
      </c>
      <c r="AH395" t="s">
        <v>20080</v>
      </c>
      <c r="AI395" t="s">
        <v>13808</v>
      </c>
      <c r="AO395" t="s">
        <v>13809</v>
      </c>
      <c r="AT395" t="s">
        <v>20081</v>
      </c>
      <c r="AU395" t="s">
        <v>13808</v>
      </c>
      <c r="AZ395" t="s">
        <v>20082</v>
      </c>
      <c r="BA395" t="s">
        <v>13808</v>
      </c>
      <c r="BF395" t="s">
        <v>20083</v>
      </c>
      <c r="BG395" t="s">
        <v>13808</v>
      </c>
      <c r="BL395" t="s">
        <v>20084</v>
      </c>
      <c r="BM395" t="s">
        <v>13808</v>
      </c>
      <c r="BR395" t="s">
        <v>20085</v>
      </c>
      <c r="BT395" t="s">
        <v>13809</v>
      </c>
      <c r="BY395" t="s">
        <v>20086</v>
      </c>
      <c r="BZ395" t="s">
        <v>13808</v>
      </c>
      <c r="CA395" t="s">
        <v>13937</v>
      </c>
      <c r="CF395" t="s">
        <v>13809</v>
      </c>
      <c r="CK395" t="s">
        <v>13887</v>
      </c>
      <c r="CL395" t="s">
        <v>13808</v>
      </c>
      <c r="CR395" t="s">
        <v>13809</v>
      </c>
      <c r="CT395" t="s">
        <v>20087</v>
      </c>
      <c r="CU395" t="s">
        <v>20080</v>
      </c>
      <c r="CV395" t="s">
        <v>13808</v>
      </c>
      <c r="DA395" t="s">
        <v>20080</v>
      </c>
      <c r="DB395" t="s">
        <v>13808</v>
      </c>
      <c r="DG395" t="s">
        <v>20080</v>
      </c>
      <c r="DH395" t="s">
        <v>13808</v>
      </c>
      <c r="DZ395" t="s">
        <v>20088</v>
      </c>
      <c r="EA395" t="s">
        <v>20089</v>
      </c>
      <c r="EC395">
        <v>43480</v>
      </c>
      <c r="ED395" t="s">
        <v>13903</v>
      </c>
      <c r="EE395" t="s">
        <v>7286</v>
      </c>
    </row>
    <row r="396" spans="1:135">
      <c r="A396" t="s">
        <v>7289</v>
      </c>
      <c r="B396" t="s">
        <v>2314</v>
      </c>
      <c r="C396" t="s">
        <v>20090</v>
      </c>
      <c r="D396" s="24">
        <v>44622</v>
      </c>
      <c r="E396" s="24" t="s">
        <v>13555</v>
      </c>
      <c r="F396" s="24" t="s">
        <v>20091</v>
      </c>
      <c r="G396" s="24" t="s">
        <v>13808</v>
      </c>
      <c r="H396" s="24"/>
      <c r="I396" s="24" t="s">
        <v>13809</v>
      </c>
      <c r="J396" s="24"/>
      <c r="K396" s="24" t="s">
        <v>13809</v>
      </c>
      <c r="L396" s="24"/>
      <c r="M396" s="24" t="s">
        <v>14304</v>
      </c>
      <c r="N396" s="24" t="s">
        <v>13808</v>
      </c>
      <c r="O396" s="24"/>
      <c r="P396" s="24" t="s">
        <v>13808</v>
      </c>
      <c r="Q396" s="24"/>
      <c r="R396" s="24" t="s">
        <v>13808</v>
      </c>
      <c r="S396" s="24"/>
      <c r="T396" t="s">
        <v>13847</v>
      </c>
      <c r="U396" t="s">
        <v>13809</v>
      </c>
      <c r="W396" t="s">
        <v>13808</v>
      </c>
      <c r="X396" t="s">
        <v>20092</v>
      </c>
      <c r="Y396" t="s">
        <v>13809</v>
      </c>
      <c r="AA396" t="s">
        <v>20093</v>
      </c>
      <c r="AB396" t="s">
        <v>20094</v>
      </c>
      <c r="AC396" t="s">
        <v>13808</v>
      </c>
      <c r="AH396" t="s">
        <v>20095</v>
      </c>
      <c r="AI396" t="s">
        <v>13808</v>
      </c>
      <c r="AN396" t="s">
        <v>20096</v>
      </c>
      <c r="AO396" t="s">
        <v>13808</v>
      </c>
      <c r="AT396" t="s">
        <v>13717</v>
      </c>
      <c r="AU396" t="s">
        <v>13809</v>
      </c>
      <c r="AZ396" t="s">
        <v>20097</v>
      </c>
      <c r="BA396" t="s">
        <v>13808</v>
      </c>
      <c r="BF396" t="s">
        <v>17058</v>
      </c>
      <c r="BG396" t="s">
        <v>13809</v>
      </c>
      <c r="BL396" t="s">
        <v>13735</v>
      </c>
      <c r="BM396" t="s">
        <v>13809</v>
      </c>
      <c r="BR396" t="s">
        <v>20098</v>
      </c>
      <c r="BY396" t="s">
        <v>20099</v>
      </c>
      <c r="BZ396" t="s">
        <v>13808</v>
      </c>
      <c r="CA396" t="s">
        <v>13937</v>
      </c>
      <c r="CE396" t="s">
        <v>13754</v>
      </c>
      <c r="CF396" t="s">
        <v>13809</v>
      </c>
      <c r="CK396" t="s">
        <v>13760</v>
      </c>
      <c r="CL396" t="s">
        <v>13809</v>
      </c>
      <c r="CQ396" t="s">
        <v>13766</v>
      </c>
      <c r="CR396" t="s">
        <v>13809</v>
      </c>
      <c r="CT396" t="s">
        <v>20100</v>
      </c>
      <c r="CU396" t="s">
        <v>20101</v>
      </c>
      <c r="CV396" t="s">
        <v>13818</v>
      </c>
      <c r="DA396" t="s">
        <v>20102</v>
      </c>
      <c r="DB396" t="s">
        <v>13818</v>
      </c>
      <c r="DH396" t="s">
        <v>13818</v>
      </c>
      <c r="DM396" t="s">
        <v>20103</v>
      </c>
      <c r="DN396" t="s">
        <v>13808</v>
      </c>
      <c r="DY396" t="s">
        <v>14606</v>
      </c>
      <c r="DZ396" t="s">
        <v>13841</v>
      </c>
      <c r="EA396" t="s">
        <v>13842</v>
      </c>
      <c r="EC396">
        <v>44628</v>
      </c>
      <c r="ED396" t="s">
        <v>14590</v>
      </c>
      <c r="EE396" t="s">
        <v>7291</v>
      </c>
    </row>
    <row r="397" spans="1:135">
      <c r="A397" t="s">
        <v>2633</v>
      </c>
      <c r="B397" t="s">
        <v>2314</v>
      </c>
      <c r="C397" t="s">
        <v>20104</v>
      </c>
      <c r="D397" s="24">
        <v>45056</v>
      </c>
      <c r="E397" s="24" t="s">
        <v>13558</v>
      </c>
      <c r="F397" s="24" t="s">
        <v>20105</v>
      </c>
      <c r="G397" s="24" t="s">
        <v>13808</v>
      </c>
      <c r="H397" s="24"/>
      <c r="I397" s="24" t="s">
        <v>13809</v>
      </c>
      <c r="J397" s="24"/>
      <c r="K397" s="24" t="s">
        <v>13809</v>
      </c>
      <c r="L397" s="24"/>
      <c r="M397" s="24" t="s">
        <v>15299</v>
      </c>
      <c r="N397" s="24" t="s">
        <v>13808</v>
      </c>
      <c r="O397" s="24"/>
      <c r="P397" s="24" t="s">
        <v>13818</v>
      </c>
      <c r="Q397" s="24"/>
      <c r="R397" s="24" t="s">
        <v>13808</v>
      </c>
      <c r="S397" s="24"/>
      <c r="T397" t="s">
        <v>20106</v>
      </c>
      <c r="U397" t="s">
        <v>13809</v>
      </c>
      <c r="W397" t="s">
        <v>13808</v>
      </c>
      <c r="X397" t="s">
        <v>20107</v>
      </c>
      <c r="Y397" t="s">
        <v>13809</v>
      </c>
      <c r="AA397" t="s">
        <v>14594</v>
      </c>
      <c r="AB397" t="s">
        <v>19822</v>
      </c>
      <c r="AC397" t="s">
        <v>13808</v>
      </c>
      <c r="AH397" t="s">
        <v>13851</v>
      </c>
      <c r="AI397" t="s">
        <v>13808</v>
      </c>
      <c r="AN397" t="s">
        <v>20108</v>
      </c>
      <c r="AO397" t="s">
        <v>13808</v>
      </c>
      <c r="AT397" t="s">
        <v>20109</v>
      </c>
      <c r="AU397" t="s">
        <v>13808</v>
      </c>
      <c r="AZ397" t="s">
        <v>20110</v>
      </c>
      <c r="BA397" t="s">
        <v>13808</v>
      </c>
      <c r="BF397" t="s">
        <v>20111</v>
      </c>
      <c r="BG397" t="s">
        <v>13808</v>
      </c>
      <c r="BL397" t="s">
        <v>20112</v>
      </c>
      <c r="BM397" t="s">
        <v>13808</v>
      </c>
      <c r="BR397" t="s">
        <v>20113</v>
      </c>
      <c r="BS397" t="s">
        <v>13824</v>
      </c>
      <c r="BT397" t="s">
        <v>13808</v>
      </c>
      <c r="BU397" t="s">
        <v>13985</v>
      </c>
      <c r="BY397" t="s">
        <v>20114</v>
      </c>
      <c r="BZ397" t="s">
        <v>13808</v>
      </c>
      <c r="CA397" t="s">
        <v>13937</v>
      </c>
      <c r="CE397" t="s">
        <v>13754</v>
      </c>
      <c r="CF397" t="s">
        <v>13809</v>
      </c>
      <c r="CK397" t="s">
        <v>20115</v>
      </c>
      <c r="CL397" t="s">
        <v>13808</v>
      </c>
      <c r="CQ397" t="s">
        <v>13766</v>
      </c>
      <c r="CR397" t="s">
        <v>13809</v>
      </c>
      <c r="CT397" t="s">
        <v>20116</v>
      </c>
      <c r="CU397" t="s">
        <v>20117</v>
      </c>
      <c r="CV397" t="s">
        <v>13808</v>
      </c>
      <c r="CX397" t="s">
        <v>14997</v>
      </c>
      <c r="CY397" t="s">
        <v>13818</v>
      </c>
      <c r="CZ397" t="s">
        <v>20118</v>
      </c>
      <c r="DA397" t="s">
        <v>20119</v>
      </c>
      <c r="DB397" t="s">
        <v>13808</v>
      </c>
      <c r="DD397" t="s">
        <v>19096</v>
      </c>
      <c r="DE397" t="s">
        <v>13818</v>
      </c>
      <c r="DF397" t="s">
        <v>20118</v>
      </c>
      <c r="DG397" t="s">
        <v>14240</v>
      </c>
      <c r="DH397" t="s">
        <v>13818</v>
      </c>
      <c r="DY397" t="s">
        <v>14606</v>
      </c>
      <c r="DZ397" t="s">
        <v>13841</v>
      </c>
      <c r="EA397" t="s">
        <v>16172</v>
      </c>
      <c r="EC397">
        <v>45062</v>
      </c>
      <c r="ED397" t="s">
        <v>13843</v>
      </c>
      <c r="EE397" t="s">
        <v>7295</v>
      </c>
    </row>
    <row r="398" spans="1:135">
      <c r="A398" t="s">
        <v>2638</v>
      </c>
      <c r="B398" t="s">
        <v>2314</v>
      </c>
      <c r="C398" t="s">
        <v>20120</v>
      </c>
      <c r="D398" s="24">
        <v>45132</v>
      </c>
      <c r="E398" s="24" t="s">
        <v>13557</v>
      </c>
      <c r="F398" s="24" t="s">
        <v>20121</v>
      </c>
      <c r="G398" s="24" t="s">
        <v>13808</v>
      </c>
      <c r="H398" s="24" t="s">
        <v>20122</v>
      </c>
      <c r="I398" s="24" t="s">
        <v>13809</v>
      </c>
      <c r="J398" s="24"/>
      <c r="K398" s="24" t="s">
        <v>13808</v>
      </c>
      <c r="L398" s="24" t="s">
        <v>20123</v>
      </c>
      <c r="M398" s="24" t="s">
        <v>15539</v>
      </c>
      <c r="N398" s="24" t="s">
        <v>13808</v>
      </c>
      <c r="O398" s="24"/>
      <c r="P398" s="24" t="s">
        <v>13808</v>
      </c>
      <c r="Q398" s="24"/>
      <c r="R398" s="24" t="s">
        <v>13808</v>
      </c>
      <c r="S398" s="24"/>
      <c r="T398" t="s">
        <v>20124</v>
      </c>
      <c r="AA398" t="s">
        <v>20125</v>
      </c>
      <c r="AB398" t="s">
        <v>20126</v>
      </c>
      <c r="AC398" t="s">
        <v>13808</v>
      </c>
      <c r="AH398" t="s">
        <v>19617</v>
      </c>
      <c r="AI398" t="s">
        <v>13808</v>
      </c>
      <c r="AK398" t="s">
        <v>20127</v>
      </c>
      <c r="AL398" t="s">
        <v>13818</v>
      </c>
      <c r="AM398" t="s">
        <v>16501</v>
      </c>
      <c r="AN398" t="s">
        <v>20128</v>
      </c>
      <c r="AO398" t="s">
        <v>13808</v>
      </c>
      <c r="AT398" t="s">
        <v>20129</v>
      </c>
      <c r="AU398" t="s">
        <v>13808</v>
      </c>
      <c r="AZ398" t="s">
        <v>20130</v>
      </c>
      <c r="BA398" t="s">
        <v>13808</v>
      </c>
      <c r="BB398" t="s">
        <v>20131</v>
      </c>
      <c r="BF398" t="s">
        <v>20132</v>
      </c>
      <c r="BG398" t="s">
        <v>13808</v>
      </c>
      <c r="BL398" t="s">
        <v>20133</v>
      </c>
      <c r="BM398" t="s">
        <v>13808</v>
      </c>
      <c r="BR398" t="s">
        <v>20134</v>
      </c>
      <c r="BS398" t="s">
        <v>19523</v>
      </c>
      <c r="BT398" t="s">
        <v>13808</v>
      </c>
      <c r="BU398" t="s">
        <v>13985</v>
      </c>
      <c r="BY398" t="s">
        <v>20135</v>
      </c>
      <c r="BZ398" t="s">
        <v>13808</v>
      </c>
      <c r="CA398" t="s">
        <v>19182</v>
      </c>
      <c r="CE398" t="s">
        <v>13862</v>
      </c>
      <c r="CF398" t="s">
        <v>13808</v>
      </c>
      <c r="CK398" t="s">
        <v>20136</v>
      </c>
      <c r="CL398" t="s">
        <v>13808</v>
      </c>
      <c r="CQ398" t="s">
        <v>13766</v>
      </c>
      <c r="CR398" t="s">
        <v>13809</v>
      </c>
      <c r="CT398" t="s">
        <v>20137</v>
      </c>
      <c r="DY398" t="s">
        <v>13840</v>
      </c>
      <c r="DZ398" t="s">
        <v>20138</v>
      </c>
      <c r="EA398" t="s">
        <v>20139</v>
      </c>
      <c r="EC398">
        <v>45138</v>
      </c>
      <c r="ED398" t="s">
        <v>13843</v>
      </c>
      <c r="EE398" t="s">
        <v>7299</v>
      </c>
    </row>
    <row r="399" spans="1:135">
      <c r="A399" t="s">
        <v>2852</v>
      </c>
      <c r="B399" t="s">
        <v>2693</v>
      </c>
      <c r="C399" t="s">
        <v>20140</v>
      </c>
      <c r="D399" s="24">
        <v>43644</v>
      </c>
      <c r="E399" s="24" t="s">
        <v>13553</v>
      </c>
      <c r="F399" s="24" t="s">
        <v>20141</v>
      </c>
      <c r="G399" s="24" t="s">
        <v>13808</v>
      </c>
      <c r="H399" s="24"/>
      <c r="I399" s="24" t="s">
        <v>13809</v>
      </c>
      <c r="J399" s="24"/>
      <c r="K399" s="24" t="s">
        <v>13809</v>
      </c>
      <c r="L399" s="24"/>
      <c r="M399" s="24" t="s">
        <v>13846</v>
      </c>
      <c r="N399" s="24" t="s">
        <v>13808</v>
      </c>
      <c r="O399" s="24"/>
      <c r="P399" s="24" t="s">
        <v>13808</v>
      </c>
      <c r="Q399" s="24"/>
      <c r="R399" s="24" t="s">
        <v>13808</v>
      </c>
      <c r="S399" s="24"/>
      <c r="T399" t="s">
        <v>20142</v>
      </c>
      <c r="U399" t="s">
        <v>13809</v>
      </c>
      <c r="W399" t="s">
        <v>13808</v>
      </c>
      <c r="X399" t="s">
        <v>20143</v>
      </c>
      <c r="Y399" t="s">
        <v>13808</v>
      </c>
      <c r="Z399" t="s">
        <v>20144</v>
      </c>
      <c r="AA399" t="s">
        <v>17899</v>
      </c>
      <c r="AB399" t="s">
        <v>14005</v>
      </c>
      <c r="AC399" t="s">
        <v>13808</v>
      </c>
      <c r="AH399" t="s">
        <v>13909</v>
      </c>
      <c r="AI399" t="s">
        <v>13808</v>
      </c>
      <c r="AN399" t="s">
        <v>16214</v>
      </c>
      <c r="AO399" t="s">
        <v>13808</v>
      </c>
      <c r="AT399" t="s">
        <v>14423</v>
      </c>
      <c r="AU399" t="s">
        <v>13808</v>
      </c>
      <c r="AZ399" t="s">
        <v>15824</v>
      </c>
      <c r="BA399" t="s">
        <v>13808</v>
      </c>
      <c r="BF399" t="s">
        <v>15883</v>
      </c>
      <c r="BG399" t="s">
        <v>13808</v>
      </c>
      <c r="BL399" t="s">
        <v>20145</v>
      </c>
      <c r="BM399" t="s">
        <v>13808</v>
      </c>
      <c r="BR399" t="s">
        <v>20146</v>
      </c>
      <c r="BT399" t="s">
        <v>13809</v>
      </c>
      <c r="BY399" t="s">
        <v>13887</v>
      </c>
      <c r="BZ399" t="s">
        <v>13808</v>
      </c>
      <c r="CA399" t="s">
        <v>20147</v>
      </c>
      <c r="CE399" t="s">
        <v>13887</v>
      </c>
      <c r="CF399" t="s">
        <v>13808</v>
      </c>
      <c r="CG399" t="s">
        <v>14128</v>
      </c>
      <c r="CH399" t="s">
        <v>14265</v>
      </c>
      <c r="CI399" t="s">
        <v>13808</v>
      </c>
      <c r="CJ399" t="s">
        <v>20148</v>
      </c>
      <c r="CK399" t="s">
        <v>20149</v>
      </c>
      <c r="CL399" t="s">
        <v>13808</v>
      </c>
      <c r="CM399" t="s">
        <v>20150</v>
      </c>
      <c r="CR399" t="s">
        <v>13809</v>
      </c>
      <c r="CT399" t="s">
        <v>20151</v>
      </c>
      <c r="CU399" t="s">
        <v>20152</v>
      </c>
      <c r="CV399" t="s">
        <v>13808</v>
      </c>
      <c r="CX399" t="s">
        <v>20153</v>
      </c>
      <c r="CY399" t="s">
        <v>13818</v>
      </c>
      <c r="DA399" t="s">
        <v>20154</v>
      </c>
      <c r="DB399" t="s">
        <v>13808</v>
      </c>
      <c r="DD399" t="s">
        <v>20155</v>
      </c>
      <c r="DE399" t="s">
        <v>13818</v>
      </c>
      <c r="DM399" t="s">
        <v>20156</v>
      </c>
      <c r="DN399" t="s">
        <v>13808</v>
      </c>
      <c r="DO399" t="s">
        <v>20157</v>
      </c>
      <c r="DP399" t="s">
        <v>20158</v>
      </c>
      <c r="DQ399" t="s">
        <v>13818</v>
      </c>
      <c r="DY399" t="s">
        <v>20159</v>
      </c>
      <c r="DZ399" t="s">
        <v>20160</v>
      </c>
      <c r="EA399" t="s">
        <v>20161</v>
      </c>
      <c r="EC399">
        <v>44258</v>
      </c>
      <c r="ED399" t="s">
        <v>14501</v>
      </c>
      <c r="EE399" t="s">
        <v>7487</v>
      </c>
    </row>
    <row r="400" spans="1:135">
      <c r="A400" t="s">
        <v>2857</v>
      </c>
      <c r="B400" t="s">
        <v>2693</v>
      </c>
      <c r="C400" t="s">
        <v>20162</v>
      </c>
      <c r="D400" s="24">
        <v>44517</v>
      </c>
      <c r="E400" s="24" t="s">
        <v>13555</v>
      </c>
      <c r="F400" s="24" t="s">
        <v>20163</v>
      </c>
      <c r="G400" s="24" t="s">
        <v>13808</v>
      </c>
      <c r="H400" s="24"/>
      <c r="I400" s="24" t="s">
        <v>13809</v>
      </c>
      <c r="J400" s="24"/>
      <c r="K400" s="24" t="s">
        <v>13808</v>
      </c>
      <c r="L400" s="24"/>
      <c r="M400" s="24" t="s">
        <v>13950</v>
      </c>
      <c r="N400" s="24" t="s">
        <v>13808</v>
      </c>
      <c r="O400" s="24"/>
      <c r="P400" s="24" t="s">
        <v>13808</v>
      </c>
      <c r="Q400" s="24"/>
      <c r="R400" s="24" t="s">
        <v>13808</v>
      </c>
      <c r="S400" s="24"/>
      <c r="T400" t="s">
        <v>20164</v>
      </c>
      <c r="U400" t="s">
        <v>13809</v>
      </c>
      <c r="W400" t="s">
        <v>13808</v>
      </c>
      <c r="X400" t="s">
        <v>20165</v>
      </c>
      <c r="Y400" t="s">
        <v>13809</v>
      </c>
      <c r="AA400" t="s">
        <v>20166</v>
      </c>
      <c r="AC400" t="s">
        <v>13809</v>
      </c>
      <c r="AH400" t="s">
        <v>13909</v>
      </c>
      <c r="AI400" t="s">
        <v>13808</v>
      </c>
      <c r="AO400" t="s">
        <v>13809</v>
      </c>
      <c r="AT400" t="s">
        <v>14704</v>
      </c>
      <c r="AU400" t="s">
        <v>13808</v>
      </c>
      <c r="AZ400" t="s">
        <v>14595</v>
      </c>
      <c r="BA400" t="s">
        <v>13808</v>
      </c>
      <c r="BF400" t="s">
        <v>15008</v>
      </c>
      <c r="BG400" t="s">
        <v>13808</v>
      </c>
      <c r="BL400" t="s">
        <v>15625</v>
      </c>
      <c r="BM400" t="s">
        <v>13808</v>
      </c>
      <c r="BR400" t="s">
        <v>20167</v>
      </c>
      <c r="BS400" t="s">
        <v>13885</v>
      </c>
      <c r="BT400" t="s">
        <v>13808</v>
      </c>
      <c r="BU400" t="s">
        <v>16499</v>
      </c>
      <c r="BY400" t="s">
        <v>13887</v>
      </c>
      <c r="BZ400" t="s">
        <v>13808</v>
      </c>
      <c r="CA400" t="s">
        <v>18268</v>
      </c>
      <c r="CE400" t="s">
        <v>15138</v>
      </c>
      <c r="CF400" t="s">
        <v>13808</v>
      </c>
      <c r="CL400" t="s">
        <v>13809</v>
      </c>
      <c r="CR400" t="s">
        <v>13809</v>
      </c>
      <c r="CT400" t="s">
        <v>18039</v>
      </c>
      <c r="CU400" t="s">
        <v>20168</v>
      </c>
      <c r="CV400" t="s">
        <v>13808</v>
      </c>
      <c r="DA400" t="s">
        <v>20169</v>
      </c>
      <c r="DB400" t="s">
        <v>13808</v>
      </c>
      <c r="DM400" t="s">
        <v>20170</v>
      </c>
      <c r="DN400" t="s">
        <v>13808</v>
      </c>
      <c r="DO400" t="s">
        <v>20171</v>
      </c>
      <c r="DY400" t="s">
        <v>14460</v>
      </c>
      <c r="DZ400" t="s">
        <v>20172</v>
      </c>
      <c r="EA400" t="s">
        <v>14461</v>
      </c>
      <c r="EC400">
        <v>44537</v>
      </c>
      <c r="EE400" t="s">
        <v>7489</v>
      </c>
    </row>
    <row r="401" spans="1:135">
      <c r="A401" t="s">
        <v>7303</v>
      </c>
      <c r="B401" t="s">
        <v>2314</v>
      </c>
      <c r="C401" t="s">
        <v>20173</v>
      </c>
      <c r="D401" s="24">
        <v>44342</v>
      </c>
      <c r="E401" s="24" t="s">
        <v>13555</v>
      </c>
      <c r="F401" s="24" t="s">
        <v>20174</v>
      </c>
      <c r="G401" s="24" t="s">
        <v>13808</v>
      </c>
      <c r="H401" s="24"/>
      <c r="I401" s="24" t="s">
        <v>13809</v>
      </c>
      <c r="J401" s="24"/>
      <c r="K401" s="24" t="s">
        <v>13808</v>
      </c>
      <c r="L401" s="24"/>
      <c r="M401" s="24" t="s">
        <v>20175</v>
      </c>
      <c r="N401" s="24" t="s">
        <v>13818</v>
      </c>
      <c r="O401" s="24" t="s">
        <v>14520</v>
      </c>
      <c r="P401" s="24" t="s">
        <v>13808</v>
      </c>
      <c r="Q401" s="24"/>
      <c r="R401" s="24" t="s">
        <v>13808</v>
      </c>
      <c r="S401" s="24"/>
      <c r="T401" t="s">
        <v>13875</v>
      </c>
      <c r="U401" t="s">
        <v>13809</v>
      </c>
      <c r="W401" t="s">
        <v>13808</v>
      </c>
      <c r="X401" t="s">
        <v>20176</v>
      </c>
      <c r="Y401" t="s">
        <v>13809</v>
      </c>
      <c r="AA401" t="s">
        <v>13849</v>
      </c>
      <c r="AB401" t="s">
        <v>13809</v>
      </c>
      <c r="AH401" t="s">
        <v>15472</v>
      </c>
      <c r="AI401" t="s">
        <v>13808</v>
      </c>
      <c r="AO401" t="s">
        <v>13809</v>
      </c>
      <c r="AU401" t="s">
        <v>13809</v>
      </c>
      <c r="AZ401" t="s">
        <v>20177</v>
      </c>
      <c r="BA401" t="s">
        <v>13808</v>
      </c>
      <c r="BF401" t="s">
        <v>20178</v>
      </c>
      <c r="BG401" t="s">
        <v>13808</v>
      </c>
      <c r="BM401" t="s">
        <v>13809</v>
      </c>
      <c r="BR401" t="s">
        <v>20179</v>
      </c>
      <c r="BT401" t="s">
        <v>13809</v>
      </c>
      <c r="BU401" t="s">
        <v>20180</v>
      </c>
      <c r="BZ401" t="s">
        <v>13809</v>
      </c>
      <c r="CA401" t="s">
        <v>20180</v>
      </c>
      <c r="CF401" t="s">
        <v>13809</v>
      </c>
      <c r="CG401" t="s">
        <v>20180</v>
      </c>
      <c r="CL401" t="s">
        <v>13809</v>
      </c>
      <c r="CR401" t="s">
        <v>13809</v>
      </c>
      <c r="CT401" t="s">
        <v>20181</v>
      </c>
      <c r="DM401" t="s">
        <v>17948</v>
      </c>
      <c r="DN401" t="s">
        <v>13818</v>
      </c>
      <c r="DO401" t="s">
        <v>20182</v>
      </c>
      <c r="DP401" t="s">
        <v>20183</v>
      </c>
      <c r="DQ401" t="s">
        <v>13808</v>
      </c>
      <c r="DR401" t="s">
        <v>20184</v>
      </c>
      <c r="DY401" t="s">
        <v>13840</v>
      </c>
      <c r="DZ401" t="s">
        <v>20185</v>
      </c>
      <c r="EA401" t="s">
        <v>14500</v>
      </c>
      <c r="ED401" t="s">
        <v>13843</v>
      </c>
      <c r="EE401" t="s">
        <v>7305</v>
      </c>
    </row>
    <row r="402" spans="1:135">
      <c r="A402" t="s">
        <v>7306</v>
      </c>
      <c r="B402" t="s">
        <v>2314</v>
      </c>
      <c r="C402" t="s">
        <v>20186</v>
      </c>
      <c r="D402" s="24">
        <v>44496</v>
      </c>
      <c r="E402" s="24" t="s">
        <v>13555</v>
      </c>
      <c r="F402" s="24" t="s">
        <v>20187</v>
      </c>
      <c r="G402" s="24" t="s">
        <v>13808</v>
      </c>
      <c r="H402" s="24"/>
      <c r="I402" s="24" t="s">
        <v>13809</v>
      </c>
      <c r="J402" s="24"/>
      <c r="K402" s="24" t="s">
        <v>13809</v>
      </c>
      <c r="L402" s="24"/>
      <c r="M402" s="24" t="s">
        <v>14163</v>
      </c>
      <c r="N402" s="24" t="s">
        <v>13808</v>
      </c>
      <c r="O402" s="24"/>
      <c r="P402" s="24" t="s">
        <v>13808</v>
      </c>
      <c r="Q402" s="24"/>
      <c r="R402" s="24" t="s">
        <v>13808</v>
      </c>
      <c r="S402" s="24"/>
      <c r="T402" t="s">
        <v>14034</v>
      </c>
      <c r="U402" t="s">
        <v>13809</v>
      </c>
      <c r="W402" t="s">
        <v>13808</v>
      </c>
      <c r="X402" t="s">
        <v>20188</v>
      </c>
      <c r="Y402" t="s">
        <v>13809</v>
      </c>
      <c r="AA402" t="s">
        <v>20189</v>
      </c>
      <c r="AC402" t="s">
        <v>13809</v>
      </c>
      <c r="AH402" t="s">
        <v>20190</v>
      </c>
      <c r="AI402" t="s">
        <v>13808</v>
      </c>
      <c r="AO402" t="s">
        <v>13809</v>
      </c>
      <c r="AU402" t="s">
        <v>13809</v>
      </c>
      <c r="AZ402" t="s">
        <v>20191</v>
      </c>
      <c r="BA402" t="s">
        <v>13808</v>
      </c>
      <c r="BF402" t="s">
        <v>18959</v>
      </c>
      <c r="BG402" t="s">
        <v>13808</v>
      </c>
      <c r="BM402" t="s">
        <v>13809</v>
      </c>
      <c r="BR402" t="s">
        <v>20192</v>
      </c>
      <c r="BT402" t="s">
        <v>13809</v>
      </c>
      <c r="BY402" t="s">
        <v>14197</v>
      </c>
      <c r="BZ402" t="s">
        <v>13808</v>
      </c>
      <c r="CA402" t="s">
        <v>14026</v>
      </c>
      <c r="CF402" t="s">
        <v>13809</v>
      </c>
      <c r="CL402" t="s">
        <v>13809</v>
      </c>
      <c r="CR402" t="s">
        <v>13809</v>
      </c>
      <c r="CT402" t="s">
        <v>20193</v>
      </c>
      <c r="CU402" t="s">
        <v>20194</v>
      </c>
      <c r="CV402" t="s">
        <v>13808</v>
      </c>
      <c r="DA402" t="s">
        <v>20195</v>
      </c>
      <c r="DB402" t="s">
        <v>13808</v>
      </c>
      <c r="DG402" t="s">
        <v>15280</v>
      </c>
      <c r="DH402" t="s">
        <v>13808</v>
      </c>
      <c r="DY402" t="s">
        <v>14606</v>
      </c>
      <c r="DZ402" t="s">
        <v>13970</v>
      </c>
      <c r="EA402" t="s">
        <v>14461</v>
      </c>
      <c r="EC402">
        <v>44509</v>
      </c>
      <c r="EE402" t="s">
        <v>7308</v>
      </c>
    </row>
    <row r="403" spans="1:135">
      <c r="A403" t="s">
        <v>2646</v>
      </c>
      <c r="B403" t="s">
        <v>2314</v>
      </c>
      <c r="C403" t="s">
        <v>20196</v>
      </c>
      <c r="D403" s="24">
        <v>42636</v>
      </c>
      <c r="E403" s="24" t="s">
        <v>13557</v>
      </c>
      <c r="F403" s="24" t="s">
        <v>20197</v>
      </c>
      <c r="G403" s="24" t="s">
        <v>13808</v>
      </c>
      <c r="H403" s="24"/>
      <c r="I403" s="24" t="s">
        <v>13809</v>
      </c>
      <c r="J403" s="24"/>
      <c r="K403" s="24" t="s">
        <v>13809</v>
      </c>
      <c r="L403" s="24"/>
      <c r="M403" s="24" t="s">
        <v>20198</v>
      </c>
      <c r="N403" s="24" t="s">
        <v>13808</v>
      </c>
      <c r="O403" s="24"/>
      <c r="P403" s="24" t="s">
        <v>13808</v>
      </c>
      <c r="Q403" s="24"/>
      <c r="R403" s="24" t="s">
        <v>13818</v>
      </c>
      <c r="S403" s="24" t="s">
        <v>20199</v>
      </c>
      <c r="T403" t="s">
        <v>20200</v>
      </c>
      <c r="U403" t="s">
        <v>13808</v>
      </c>
      <c r="W403" t="s">
        <v>13808</v>
      </c>
      <c r="X403" t="s">
        <v>20201</v>
      </c>
      <c r="Y403" t="s">
        <v>13808</v>
      </c>
      <c r="AA403" t="s">
        <v>16563</v>
      </c>
      <c r="AB403" t="s">
        <v>20202</v>
      </c>
      <c r="AC403" t="s">
        <v>13808</v>
      </c>
      <c r="AH403" t="s">
        <v>15188</v>
      </c>
      <c r="AI403" t="s">
        <v>13808</v>
      </c>
      <c r="AN403" t="s">
        <v>20203</v>
      </c>
      <c r="AO403" t="s">
        <v>13808</v>
      </c>
      <c r="AT403" t="s">
        <v>20064</v>
      </c>
      <c r="AU403" t="s">
        <v>13808</v>
      </c>
      <c r="AZ403" t="s">
        <v>14490</v>
      </c>
      <c r="BA403" t="s">
        <v>13808</v>
      </c>
      <c r="BF403" t="s">
        <v>14005</v>
      </c>
      <c r="BG403" t="s">
        <v>13808</v>
      </c>
      <c r="BH403" t="s">
        <v>20204</v>
      </c>
      <c r="BL403" t="s">
        <v>20205</v>
      </c>
      <c r="BM403" t="s">
        <v>13808</v>
      </c>
      <c r="BR403" t="s">
        <v>20206</v>
      </c>
      <c r="BS403" t="s">
        <v>13887</v>
      </c>
      <c r="BT403" t="s">
        <v>13808</v>
      </c>
      <c r="BU403" t="s">
        <v>20207</v>
      </c>
      <c r="BY403" t="s">
        <v>13885</v>
      </c>
      <c r="BZ403" t="s">
        <v>13808</v>
      </c>
      <c r="CA403" t="s">
        <v>18038</v>
      </c>
      <c r="CF403" t="s">
        <v>13809</v>
      </c>
      <c r="CL403" t="s">
        <v>13809</v>
      </c>
      <c r="CR403" t="s">
        <v>13809</v>
      </c>
      <c r="CT403" t="s">
        <v>20208</v>
      </c>
      <c r="CU403" t="s">
        <v>16874</v>
      </c>
      <c r="CV403" t="s">
        <v>13808</v>
      </c>
      <c r="DA403" t="s">
        <v>16874</v>
      </c>
      <c r="DB403" t="s">
        <v>13808</v>
      </c>
      <c r="DG403" t="s">
        <v>16874</v>
      </c>
      <c r="DH403" t="s">
        <v>13808</v>
      </c>
      <c r="DZ403" t="s">
        <v>20209</v>
      </c>
      <c r="EA403" t="s">
        <v>20210</v>
      </c>
      <c r="ED403" t="s">
        <v>13903</v>
      </c>
      <c r="EE403" t="s">
        <v>7312</v>
      </c>
    </row>
    <row r="404" spans="1:135">
      <c r="A404" t="s">
        <v>2651</v>
      </c>
      <c r="B404" t="s">
        <v>2314</v>
      </c>
      <c r="C404" t="s">
        <v>20211</v>
      </c>
      <c r="D404" s="24">
        <v>43544</v>
      </c>
      <c r="E404" s="24" t="s">
        <v>13555</v>
      </c>
      <c r="F404" s="24" t="s">
        <v>20212</v>
      </c>
      <c r="G404" s="24" t="s">
        <v>13808</v>
      </c>
      <c r="H404" s="24"/>
      <c r="I404" s="24" t="s">
        <v>13809</v>
      </c>
      <c r="J404" s="24"/>
      <c r="K404" s="24" t="s">
        <v>13809</v>
      </c>
      <c r="L404" s="24"/>
      <c r="M404" s="24" t="s">
        <v>14681</v>
      </c>
      <c r="N404" s="24" t="s">
        <v>13808</v>
      </c>
      <c r="O404" s="24"/>
      <c r="P404" s="24" t="s">
        <v>13808</v>
      </c>
      <c r="Q404" s="24"/>
      <c r="R404" s="24" t="s">
        <v>13808</v>
      </c>
      <c r="S404" s="24"/>
      <c r="T404" t="s">
        <v>19261</v>
      </c>
      <c r="U404" t="s">
        <v>13809</v>
      </c>
      <c r="W404" t="s">
        <v>13808</v>
      </c>
      <c r="X404" t="s">
        <v>20213</v>
      </c>
      <c r="Y404" t="s">
        <v>13809</v>
      </c>
      <c r="AA404" t="s">
        <v>13877</v>
      </c>
      <c r="AB404" t="s">
        <v>20214</v>
      </c>
      <c r="AC404" t="s">
        <v>13808</v>
      </c>
      <c r="AH404" t="s">
        <v>13909</v>
      </c>
      <c r="AI404" t="s">
        <v>13808</v>
      </c>
      <c r="AN404" t="s">
        <v>14818</v>
      </c>
      <c r="AO404" t="s">
        <v>13808</v>
      </c>
      <c r="AP404" t="s">
        <v>20215</v>
      </c>
      <c r="AT404" t="s">
        <v>14046</v>
      </c>
      <c r="AU404" t="s">
        <v>13808</v>
      </c>
      <c r="AZ404" t="s">
        <v>20216</v>
      </c>
      <c r="BA404" t="s">
        <v>13808</v>
      </c>
      <c r="BF404" t="s">
        <v>16105</v>
      </c>
      <c r="BG404" t="s">
        <v>13897</v>
      </c>
      <c r="BL404" t="s">
        <v>20217</v>
      </c>
      <c r="BM404" t="s">
        <v>13808</v>
      </c>
      <c r="BR404" t="s">
        <v>20218</v>
      </c>
      <c r="BT404" t="s">
        <v>13809</v>
      </c>
      <c r="BY404" t="s">
        <v>15197</v>
      </c>
      <c r="BZ404" t="s">
        <v>13808</v>
      </c>
      <c r="CA404" t="s">
        <v>20219</v>
      </c>
      <c r="CE404" t="s">
        <v>14265</v>
      </c>
      <c r="CF404" t="s">
        <v>13808</v>
      </c>
      <c r="CG404" t="s">
        <v>19538</v>
      </c>
      <c r="CK404" t="s">
        <v>19993</v>
      </c>
      <c r="CL404" t="s">
        <v>13808</v>
      </c>
      <c r="CR404" t="s">
        <v>13809</v>
      </c>
      <c r="CT404" t="s">
        <v>20220</v>
      </c>
      <c r="CU404" t="s">
        <v>20221</v>
      </c>
      <c r="CV404" t="s">
        <v>13808</v>
      </c>
      <c r="DA404" t="s">
        <v>20222</v>
      </c>
      <c r="DB404" t="s">
        <v>13808</v>
      </c>
      <c r="DH404" t="s">
        <v>13809</v>
      </c>
      <c r="DM404" t="s">
        <v>20223</v>
      </c>
      <c r="DN404" t="s">
        <v>13808</v>
      </c>
      <c r="DO404" t="s">
        <v>16111</v>
      </c>
      <c r="DZ404" t="s">
        <v>20224</v>
      </c>
      <c r="EA404" t="s">
        <v>20225</v>
      </c>
      <c r="ED404" t="s">
        <v>14501</v>
      </c>
      <c r="EE404" t="s">
        <v>7314</v>
      </c>
    </row>
    <row r="405" spans="1:135">
      <c r="A405" t="s">
        <v>11455</v>
      </c>
      <c r="B405" t="s">
        <v>2314</v>
      </c>
      <c r="C405" t="s">
        <v>20226</v>
      </c>
      <c r="D405" s="24">
        <v>43648</v>
      </c>
      <c r="E405" s="24" t="s">
        <v>13561</v>
      </c>
      <c r="F405" s="24" t="s">
        <v>20227</v>
      </c>
      <c r="G405" s="24" t="s">
        <v>13818</v>
      </c>
      <c r="H405" s="24" t="s">
        <v>20228</v>
      </c>
      <c r="I405" s="24" t="s">
        <v>13809</v>
      </c>
      <c r="J405" s="24"/>
      <c r="K405" s="24" t="s">
        <v>13809</v>
      </c>
      <c r="L405" s="24"/>
      <c r="M405" s="24" t="s">
        <v>14428</v>
      </c>
      <c r="N405" s="24" t="s">
        <v>13808</v>
      </c>
      <c r="O405" s="24"/>
      <c r="P405" s="24" t="s">
        <v>13808</v>
      </c>
      <c r="Q405" s="24"/>
      <c r="R405" s="24" t="s">
        <v>13808</v>
      </c>
      <c r="S405" s="24"/>
      <c r="T405" t="s">
        <v>20229</v>
      </c>
      <c r="U405" t="s">
        <v>13808</v>
      </c>
      <c r="V405" t="s">
        <v>20230</v>
      </c>
      <c r="W405" t="s">
        <v>13809</v>
      </c>
      <c r="Y405" t="s">
        <v>13809</v>
      </c>
      <c r="AA405" t="s">
        <v>20231</v>
      </c>
      <c r="AC405" t="s">
        <v>13809</v>
      </c>
      <c r="AH405" t="s">
        <v>13909</v>
      </c>
      <c r="AI405" t="s">
        <v>13818</v>
      </c>
      <c r="AJ405" t="s">
        <v>18178</v>
      </c>
      <c r="AO405" t="s">
        <v>13809</v>
      </c>
      <c r="AU405" t="s">
        <v>13809</v>
      </c>
      <c r="BA405" t="s">
        <v>13809</v>
      </c>
      <c r="BG405" t="s">
        <v>13809</v>
      </c>
      <c r="BM405" t="s">
        <v>13809</v>
      </c>
      <c r="BR405" t="s">
        <v>20232</v>
      </c>
      <c r="BT405" t="s">
        <v>13809</v>
      </c>
      <c r="BZ405" t="s">
        <v>13809</v>
      </c>
      <c r="CF405" t="s">
        <v>13809</v>
      </c>
      <c r="CL405" t="s">
        <v>13809</v>
      </c>
      <c r="CR405" t="s">
        <v>13809</v>
      </c>
      <c r="CT405" t="s">
        <v>20233</v>
      </c>
      <c r="DM405" t="s">
        <v>20234</v>
      </c>
      <c r="DN405" t="s">
        <v>13808</v>
      </c>
      <c r="DY405" t="s">
        <v>15296</v>
      </c>
      <c r="DZ405" t="s">
        <v>13970</v>
      </c>
      <c r="EA405" t="s">
        <v>16115</v>
      </c>
      <c r="EC405">
        <v>44266</v>
      </c>
      <c r="ED405" t="s">
        <v>14501</v>
      </c>
      <c r="EE405" t="s">
        <v>13613</v>
      </c>
    </row>
    <row r="406" spans="1:135">
      <c r="A406" t="s">
        <v>11458</v>
      </c>
      <c r="B406" t="s">
        <v>2314</v>
      </c>
      <c r="C406" t="s">
        <v>20235</v>
      </c>
      <c r="D406" s="24">
        <v>44370</v>
      </c>
      <c r="E406" s="24" t="s">
        <v>13561</v>
      </c>
      <c r="F406" s="24" t="s">
        <v>20236</v>
      </c>
      <c r="G406" s="24" t="s">
        <v>13808</v>
      </c>
      <c r="H406" s="24"/>
      <c r="I406" s="24" t="s">
        <v>13809</v>
      </c>
      <c r="J406" s="24"/>
      <c r="K406" s="24" t="s">
        <v>13809</v>
      </c>
      <c r="L406" s="24"/>
      <c r="M406" s="24" t="s">
        <v>19723</v>
      </c>
      <c r="N406" s="24" t="s">
        <v>13808</v>
      </c>
      <c r="O406" s="24"/>
      <c r="P406" s="24" t="s">
        <v>13808</v>
      </c>
      <c r="Q406" s="24"/>
      <c r="R406" s="24" t="s">
        <v>13808</v>
      </c>
      <c r="S406" s="24"/>
      <c r="T406" t="s">
        <v>18348</v>
      </c>
      <c r="U406" t="s">
        <v>13808</v>
      </c>
      <c r="V406" t="s">
        <v>20237</v>
      </c>
      <c r="W406" t="s">
        <v>13809</v>
      </c>
      <c r="X406" t="s">
        <v>20238</v>
      </c>
      <c r="Y406" t="s">
        <v>13809</v>
      </c>
      <c r="AA406" t="s">
        <v>16322</v>
      </c>
      <c r="AC406" t="s">
        <v>13809</v>
      </c>
      <c r="AH406" t="s">
        <v>13909</v>
      </c>
      <c r="AI406" t="s">
        <v>14262</v>
      </c>
      <c r="AJ406" t="s">
        <v>14309</v>
      </c>
      <c r="AN406" t="s">
        <v>20239</v>
      </c>
      <c r="AO406" t="s">
        <v>14262</v>
      </c>
      <c r="AP406" t="s">
        <v>14309</v>
      </c>
      <c r="AT406" t="s">
        <v>20240</v>
      </c>
      <c r="AU406" t="s">
        <v>14262</v>
      </c>
      <c r="AV406" t="s">
        <v>14309</v>
      </c>
      <c r="AZ406" t="s">
        <v>14544</v>
      </c>
      <c r="BA406" t="s">
        <v>14262</v>
      </c>
      <c r="BB406" t="s">
        <v>14309</v>
      </c>
      <c r="BF406" t="s">
        <v>17228</v>
      </c>
      <c r="BG406" t="s">
        <v>14262</v>
      </c>
      <c r="BH406" t="s">
        <v>14309</v>
      </c>
      <c r="BL406" t="s">
        <v>20241</v>
      </c>
      <c r="BM406" t="s">
        <v>14262</v>
      </c>
      <c r="BN406" t="s">
        <v>14309</v>
      </c>
      <c r="BR406" t="s">
        <v>20242</v>
      </c>
      <c r="BT406" t="s">
        <v>13809</v>
      </c>
      <c r="BY406" t="s">
        <v>13885</v>
      </c>
      <c r="BZ406" t="s">
        <v>13818</v>
      </c>
      <c r="CF406" t="s">
        <v>13809</v>
      </c>
      <c r="CK406" t="s">
        <v>20243</v>
      </c>
      <c r="CL406" t="s">
        <v>13818</v>
      </c>
      <c r="CM406" t="s">
        <v>14309</v>
      </c>
      <c r="CR406" t="s">
        <v>13809</v>
      </c>
      <c r="CT406" t="s">
        <v>14011</v>
      </c>
      <c r="CU406" t="s">
        <v>15891</v>
      </c>
      <c r="CV406" t="s">
        <v>13818</v>
      </c>
      <c r="CW406" t="s">
        <v>14309</v>
      </c>
      <c r="DA406" t="s">
        <v>20244</v>
      </c>
      <c r="DB406" t="s">
        <v>13818</v>
      </c>
      <c r="DC406" t="s">
        <v>14309</v>
      </c>
      <c r="DM406" t="s">
        <v>20245</v>
      </c>
      <c r="DN406" t="s">
        <v>13818</v>
      </c>
      <c r="DO406" t="s">
        <v>14309</v>
      </c>
      <c r="DY406" t="s">
        <v>15296</v>
      </c>
      <c r="DZ406" t="s">
        <v>14274</v>
      </c>
      <c r="EA406" t="s">
        <v>14275</v>
      </c>
      <c r="EC406">
        <v>44426</v>
      </c>
      <c r="EE406" t="s">
        <v>13614</v>
      </c>
    </row>
    <row r="407" spans="1:135">
      <c r="A407" t="s">
        <v>2656</v>
      </c>
      <c r="B407" t="s">
        <v>2314</v>
      </c>
      <c r="C407" t="s">
        <v>20246</v>
      </c>
      <c r="D407" s="24">
        <v>42635</v>
      </c>
      <c r="E407" s="24" t="s">
        <v>13555</v>
      </c>
      <c r="F407" s="24" t="s">
        <v>20247</v>
      </c>
      <c r="G407" s="24" t="s">
        <v>13808</v>
      </c>
      <c r="H407" s="24"/>
      <c r="I407" s="24" t="s">
        <v>13809</v>
      </c>
      <c r="J407" s="24"/>
      <c r="K407" s="24" t="s">
        <v>13809</v>
      </c>
      <c r="L407" s="24"/>
      <c r="M407" s="24" t="s">
        <v>20248</v>
      </c>
      <c r="N407" s="24" t="s">
        <v>13808</v>
      </c>
      <c r="O407" s="24"/>
      <c r="P407" s="24" t="s">
        <v>13818</v>
      </c>
      <c r="Q407" s="24"/>
      <c r="R407" s="24" t="s">
        <v>13808</v>
      </c>
      <c r="S407" s="24"/>
      <c r="T407" t="s">
        <v>20249</v>
      </c>
      <c r="U407" t="s">
        <v>13809</v>
      </c>
      <c r="W407" t="s">
        <v>13808</v>
      </c>
      <c r="X407" t="s">
        <v>20250</v>
      </c>
      <c r="Y407" t="s">
        <v>13809</v>
      </c>
      <c r="AA407" t="s">
        <v>13849</v>
      </c>
      <c r="AB407" t="s">
        <v>17123</v>
      </c>
      <c r="AC407" t="s">
        <v>13808</v>
      </c>
      <c r="AH407" t="s">
        <v>15188</v>
      </c>
      <c r="AI407" t="s">
        <v>13808</v>
      </c>
      <c r="AN407" t="s">
        <v>14490</v>
      </c>
      <c r="AO407" t="s">
        <v>13808</v>
      </c>
      <c r="AP407" t="s">
        <v>20251</v>
      </c>
      <c r="AU407" t="s">
        <v>13809</v>
      </c>
      <c r="AZ407" t="s">
        <v>14046</v>
      </c>
      <c r="BA407" t="s">
        <v>13808</v>
      </c>
      <c r="BB407" t="s">
        <v>20252</v>
      </c>
      <c r="BF407" t="s">
        <v>14189</v>
      </c>
      <c r="BG407" t="s">
        <v>13808</v>
      </c>
      <c r="BH407" t="s">
        <v>20253</v>
      </c>
      <c r="BL407" t="s">
        <v>20254</v>
      </c>
      <c r="BM407" t="s">
        <v>13808</v>
      </c>
      <c r="BR407" t="s">
        <v>20255</v>
      </c>
      <c r="BT407" t="s">
        <v>13809</v>
      </c>
      <c r="BY407" t="s">
        <v>13885</v>
      </c>
      <c r="BZ407" t="s">
        <v>13808</v>
      </c>
      <c r="CA407" t="s">
        <v>18750</v>
      </c>
      <c r="CF407" t="s">
        <v>13809</v>
      </c>
      <c r="CK407" t="s">
        <v>13887</v>
      </c>
      <c r="CL407" t="s">
        <v>13808</v>
      </c>
      <c r="CR407" t="s">
        <v>13809</v>
      </c>
      <c r="CT407" t="s">
        <v>20256</v>
      </c>
      <c r="CU407" t="s">
        <v>15197</v>
      </c>
      <c r="CV407" t="s">
        <v>13808</v>
      </c>
      <c r="DA407" t="s">
        <v>20257</v>
      </c>
      <c r="DB407" t="s">
        <v>13808</v>
      </c>
      <c r="DG407" t="s">
        <v>18957</v>
      </c>
      <c r="DH407" t="s">
        <v>13808</v>
      </c>
      <c r="DZ407" t="s">
        <v>20258</v>
      </c>
      <c r="EA407" t="s">
        <v>20259</v>
      </c>
      <c r="ED407" t="s">
        <v>13903</v>
      </c>
      <c r="EE407" t="s">
        <v>7320</v>
      </c>
    </row>
    <row r="408" spans="1:135">
      <c r="A408" t="s">
        <v>7321</v>
      </c>
      <c r="B408" t="s">
        <v>2314</v>
      </c>
      <c r="C408" t="s">
        <v>20260</v>
      </c>
      <c r="D408" s="24">
        <v>45134</v>
      </c>
      <c r="E408" s="24" t="s">
        <v>13558</v>
      </c>
      <c r="F408" s="24" t="s">
        <v>20261</v>
      </c>
      <c r="G408" s="24" t="s">
        <v>13808</v>
      </c>
      <c r="H408" s="24"/>
      <c r="I408" s="24" t="s">
        <v>13809</v>
      </c>
      <c r="J408" s="24"/>
      <c r="K408" s="24" t="s">
        <v>13808</v>
      </c>
      <c r="L408" s="24" t="s">
        <v>20262</v>
      </c>
      <c r="M408" s="24" t="s">
        <v>20263</v>
      </c>
      <c r="N408" s="24" t="s">
        <v>13808</v>
      </c>
      <c r="O408" s="24"/>
      <c r="P408" s="24" t="s">
        <v>13809</v>
      </c>
      <c r="Q408" s="24"/>
      <c r="R408" s="24" t="s">
        <v>13808</v>
      </c>
      <c r="S408" s="24"/>
      <c r="T408" t="s">
        <v>18492</v>
      </c>
      <c r="U408" t="s">
        <v>13809</v>
      </c>
      <c r="W408" t="s">
        <v>13808</v>
      </c>
      <c r="X408" t="s">
        <v>20264</v>
      </c>
      <c r="Y408" t="s">
        <v>13809</v>
      </c>
      <c r="AA408" t="s">
        <v>14594</v>
      </c>
      <c r="AB408" t="s">
        <v>15348</v>
      </c>
      <c r="AC408" t="s">
        <v>13809</v>
      </c>
      <c r="AH408" t="s">
        <v>20265</v>
      </c>
      <c r="AI408" t="s">
        <v>13808</v>
      </c>
      <c r="AN408" t="s">
        <v>13711</v>
      </c>
      <c r="AO408" t="s">
        <v>13809</v>
      </c>
      <c r="AT408" t="s">
        <v>13717</v>
      </c>
      <c r="AU408" t="s">
        <v>13809</v>
      </c>
      <c r="AZ408" t="s">
        <v>20266</v>
      </c>
      <c r="BA408" t="s">
        <v>13808</v>
      </c>
      <c r="BF408" t="s">
        <v>20267</v>
      </c>
      <c r="BG408" t="s">
        <v>13808</v>
      </c>
      <c r="BL408" t="s">
        <v>13735</v>
      </c>
      <c r="BM408" t="s">
        <v>13809</v>
      </c>
      <c r="BR408" t="s">
        <v>20268</v>
      </c>
      <c r="BS408" t="s">
        <v>13742</v>
      </c>
      <c r="BT408" t="s">
        <v>13809</v>
      </c>
      <c r="BY408" t="s">
        <v>20269</v>
      </c>
      <c r="BZ408" t="s">
        <v>13808</v>
      </c>
      <c r="CA408" t="s">
        <v>18750</v>
      </c>
      <c r="CE408" t="s">
        <v>13754</v>
      </c>
      <c r="CF408" t="s">
        <v>13809</v>
      </c>
      <c r="CK408" t="s">
        <v>14216</v>
      </c>
      <c r="CL408" t="s">
        <v>13808</v>
      </c>
      <c r="CQ408" t="s">
        <v>13766</v>
      </c>
      <c r="CR408" t="s">
        <v>13809</v>
      </c>
      <c r="CT408" t="s">
        <v>13830</v>
      </c>
      <c r="CU408" t="s">
        <v>20270</v>
      </c>
      <c r="CV408" t="s">
        <v>13818</v>
      </c>
      <c r="CW408" t="s">
        <v>20271</v>
      </c>
      <c r="DA408" t="s">
        <v>19877</v>
      </c>
      <c r="DB408" t="s">
        <v>13818</v>
      </c>
      <c r="DC408" t="s">
        <v>20271</v>
      </c>
      <c r="DG408" t="s">
        <v>20272</v>
      </c>
      <c r="DH408" t="s">
        <v>13818</v>
      </c>
      <c r="DI408" t="s">
        <v>20273</v>
      </c>
      <c r="DJ408" t="s">
        <v>14965</v>
      </c>
      <c r="DK408" t="s">
        <v>13808</v>
      </c>
      <c r="DL408" t="s">
        <v>20274</v>
      </c>
      <c r="DY408" t="s">
        <v>20275</v>
      </c>
      <c r="DZ408" t="s">
        <v>20276</v>
      </c>
      <c r="EA408" t="s">
        <v>19185</v>
      </c>
      <c r="EC408">
        <v>45138</v>
      </c>
      <c r="ED408" t="s">
        <v>13843</v>
      </c>
      <c r="EE408" t="s">
        <v>7323</v>
      </c>
    </row>
    <row r="409" spans="1:135">
      <c r="A409" t="s">
        <v>3146</v>
      </c>
      <c r="B409" t="s">
        <v>3013</v>
      </c>
      <c r="C409" t="s">
        <v>20277</v>
      </c>
      <c r="D409" s="24">
        <v>43599</v>
      </c>
      <c r="E409" s="24" t="s">
        <v>13553</v>
      </c>
      <c r="F409" s="24" t="s">
        <v>20278</v>
      </c>
      <c r="G409" s="24" t="s">
        <v>13808</v>
      </c>
      <c r="H409" s="24"/>
      <c r="I409" s="24" t="s">
        <v>13809</v>
      </c>
      <c r="J409" s="24"/>
      <c r="K409" s="24" t="s">
        <v>13809</v>
      </c>
      <c r="L409" s="24"/>
      <c r="M409" s="24" t="s">
        <v>20279</v>
      </c>
      <c r="N409" s="24" t="s">
        <v>13808</v>
      </c>
      <c r="O409" s="24"/>
      <c r="P409" s="24" t="s">
        <v>13808</v>
      </c>
      <c r="Q409" s="24"/>
      <c r="R409" s="24" t="s">
        <v>13808</v>
      </c>
      <c r="S409" s="24"/>
      <c r="T409" t="s">
        <v>14016</v>
      </c>
      <c r="U409" t="s">
        <v>13809</v>
      </c>
      <c r="W409" t="s">
        <v>13808</v>
      </c>
      <c r="X409" t="s">
        <v>20280</v>
      </c>
      <c r="Y409" t="s">
        <v>13808</v>
      </c>
      <c r="AA409" t="s">
        <v>13877</v>
      </c>
      <c r="AB409" t="s">
        <v>14595</v>
      </c>
      <c r="AC409" t="s">
        <v>13808</v>
      </c>
      <c r="AH409" t="s">
        <v>13909</v>
      </c>
      <c r="AI409" t="s">
        <v>13808</v>
      </c>
      <c r="AN409" t="s">
        <v>14192</v>
      </c>
      <c r="AO409" t="s">
        <v>13808</v>
      </c>
      <c r="AT409" t="s">
        <v>14166</v>
      </c>
      <c r="AU409" t="s">
        <v>13808</v>
      </c>
      <c r="AZ409" t="s">
        <v>14416</v>
      </c>
      <c r="BA409" t="s">
        <v>13808</v>
      </c>
      <c r="BF409" t="s">
        <v>13892</v>
      </c>
      <c r="BG409" t="s">
        <v>13808</v>
      </c>
      <c r="BL409" t="s">
        <v>20281</v>
      </c>
      <c r="BM409" t="s">
        <v>13897</v>
      </c>
      <c r="BR409" t="s">
        <v>20282</v>
      </c>
      <c r="BT409" t="s">
        <v>13809</v>
      </c>
      <c r="BY409" t="s">
        <v>14265</v>
      </c>
      <c r="BZ409" t="s">
        <v>13808</v>
      </c>
      <c r="CA409" t="s">
        <v>14026</v>
      </c>
      <c r="CE409" t="s">
        <v>14693</v>
      </c>
      <c r="CF409" t="s">
        <v>13808</v>
      </c>
      <c r="CG409" t="s">
        <v>14173</v>
      </c>
      <c r="CK409" t="s">
        <v>13887</v>
      </c>
      <c r="CL409" t="s">
        <v>13808</v>
      </c>
      <c r="CM409" t="s">
        <v>20283</v>
      </c>
      <c r="CR409" t="s">
        <v>13809</v>
      </c>
      <c r="CT409" t="s">
        <v>20284</v>
      </c>
      <c r="CU409" t="s">
        <v>20285</v>
      </c>
      <c r="CV409" t="s">
        <v>13808</v>
      </c>
      <c r="DA409" t="s">
        <v>20286</v>
      </c>
      <c r="DB409" t="s">
        <v>13808</v>
      </c>
      <c r="DH409" t="s">
        <v>13809</v>
      </c>
      <c r="DM409" t="s">
        <v>20287</v>
      </c>
      <c r="DN409" t="s">
        <v>13808</v>
      </c>
      <c r="DO409" t="s">
        <v>20288</v>
      </c>
      <c r="DY409" t="s">
        <v>15828</v>
      </c>
      <c r="DZ409" t="s">
        <v>20289</v>
      </c>
      <c r="EA409" t="s">
        <v>20290</v>
      </c>
      <c r="ED409" t="s">
        <v>14501</v>
      </c>
      <c r="EE409" t="s">
        <v>7869</v>
      </c>
    </row>
    <row r="410" spans="1:135">
      <c r="A410" t="s">
        <v>2661</v>
      </c>
      <c r="B410" t="s">
        <v>2314</v>
      </c>
      <c r="C410" t="s">
        <v>20291</v>
      </c>
      <c r="D410" s="24">
        <v>43648</v>
      </c>
      <c r="E410" s="24" t="s">
        <v>13553</v>
      </c>
      <c r="F410" s="24" t="s">
        <v>20292</v>
      </c>
      <c r="G410" s="24" t="s">
        <v>13808</v>
      </c>
      <c r="H410" s="24"/>
      <c r="I410" s="24" t="s">
        <v>13809</v>
      </c>
      <c r="J410" s="24"/>
      <c r="K410" s="24" t="s">
        <v>13809</v>
      </c>
      <c r="L410" s="24"/>
      <c r="M410" s="24" t="s">
        <v>13846</v>
      </c>
      <c r="N410" s="24" t="s">
        <v>13808</v>
      </c>
      <c r="O410" s="24"/>
      <c r="P410" s="24" t="s">
        <v>13808</v>
      </c>
      <c r="Q410" s="24"/>
      <c r="R410" s="24" t="s">
        <v>13808</v>
      </c>
      <c r="S410" s="24"/>
      <c r="T410" t="s">
        <v>20293</v>
      </c>
      <c r="U410" t="s">
        <v>13809</v>
      </c>
      <c r="W410" t="s">
        <v>13808</v>
      </c>
      <c r="X410" t="s">
        <v>20294</v>
      </c>
      <c r="Y410" t="s">
        <v>13809</v>
      </c>
      <c r="AA410" t="s">
        <v>20295</v>
      </c>
      <c r="AB410" t="s">
        <v>14058</v>
      </c>
      <c r="AC410" t="s">
        <v>13808</v>
      </c>
      <c r="AH410" t="s">
        <v>13909</v>
      </c>
      <c r="AI410" t="s">
        <v>13808</v>
      </c>
      <c r="AO410" t="s">
        <v>13809</v>
      </c>
      <c r="AT410" t="s">
        <v>14166</v>
      </c>
      <c r="AU410" t="s">
        <v>13808</v>
      </c>
      <c r="AZ410" t="s">
        <v>13880</v>
      </c>
      <c r="BA410" t="s">
        <v>13808</v>
      </c>
      <c r="BF410" t="s">
        <v>14597</v>
      </c>
      <c r="BG410" t="s">
        <v>13808</v>
      </c>
      <c r="BL410" t="s">
        <v>20296</v>
      </c>
      <c r="BM410" t="s">
        <v>13808</v>
      </c>
      <c r="BR410" t="s">
        <v>20297</v>
      </c>
      <c r="BT410" t="s">
        <v>13809</v>
      </c>
      <c r="BY410" t="s">
        <v>13887</v>
      </c>
      <c r="BZ410" t="s">
        <v>13808</v>
      </c>
      <c r="CA410" t="s">
        <v>13937</v>
      </c>
      <c r="CE410" t="s">
        <v>13885</v>
      </c>
      <c r="CF410" t="s">
        <v>13808</v>
      </c>
      <c r="CL410" t="s">
        <v>13809</v>
      </c>
      <c r="CR410" t="s">
        <v>13809</v>
      </c>
      <c r="CT410" t="s">
        <v>16202</v>
      </c>
      <c r="CU410" t="s">
        <v>20298</v>
      </c>
      <c r="CV410" t="s">
        <v>13808</v>
      </c>
      <c r="DA410" t="s">
        <v>20299</v>
      </c>
      <c r="DB410" t="s">
        <v>13808</v>
      </c>
      <c r="DM410" t="s">
        <v>20300</v>
      </c>
      <c r="DN410" t="s">
        <v>13808</v>
      </c>
      <c r="DO410" t="s">
        <v>20301</v>
      </c>
      <c r="DY410" t="s">
        <v>20302</v>
      </c>
      <c r="DZ410" t="s">
        <v>20303</v>
      </c>
      <c r="EA410" t="s">
        <v>20304</v>
      </c>
      <c r="EC410">
        <v>44258</v>
      </c>
      <c r="ED410" t="s">
        <v>14501</v>
      </c>
      <c r="EE410" t="s">
        <v>7327</v>
      </c>
    </row>
    <row r="411" spans="1:135">
      <c r="A411" t="s">
        <v>11471</v>
      </c>
      <c r="B411" t="s">
        <v>3013</v>
      </c>
      <c r="C411" t="s">
        <v>20305</v>
      </c>
      <c r="D411" s="24">
        <v>44315</v>
      </c>
      <c r="E411" s="24" t="s">
        <v>13555</v>
      </c>
      <c r="F411" s="24" t="s">
        <v>20306</v>
      </c>
      <c r="G411" s="24" t="s">
        <v>13808</v>
      </c>
      <c r="H411" s="24"/>
      <c r="I411" s="24" t="s">
        <v>13809</v>
      </c>
      <c r="J411" s="24"/>
      <c r="K411" s="24" t="s">
        <v>13809</v>
      </c>
      <c r="L411" s="24"/>
      <c r="M411" s="24" t="s">
        <v>14304</v>
      </c>
      <c r="N411" s="24" t="s">
        <v>13808</v>
      </c>
      <c r="O411" s="24"/>
      <c r="P411" s="24" t="s">
        <v>13808</v>
      </c>
      <c r="Q411" s="24"/>
      <c r="R411" s="24" t="s">
        <v>13808</v>
      </c>
      <c r="S411" s="24"/>
      <c r="T411" t="s">
        <v>19402</v>
      </c>
      <c r="U411" t="s">
        <v>13809</v>
      </c>
      <c r="W411" t="s">
        <v>13809</v>
      </c>
      <c r="Y411" t="s">
        <v>13809</v>
      </c>
      <c r="AA411" t="s">
        <v>20307</v>
      </c>
      <c r="AB411" t="s">
        <v>13699</v>
      </c>
      <c r="AC411" t="s">
        <v>13809</v>
      </c>
      <c r="AH411" t="s">
        <v>13851</v>
      </c>
      <c r="AI411" t="s">
        <v>13808</v>
      </c>
      <c r="AJ411" t="s">
        <v>20308</v>
      </c>
      <c r="AN411" t="s">
        <v>13711</v>
      </c>
      <c r="AO411" t="s">
        <v>13809</v>
      </c>
      <c r="AT411" t="s">
        <v>13717</v>
      </c>
      <c r="AU411" t="s">
        <v>13809</v>
      </c>
      <c r="AZ411" t="s">
        <v>14954</v>
      </c>
      <c r="BA411" t="s">
        <v>13808</v>
      </c>
      <c r="BB411" t="s">
        <v>20308</v>
      </c>
      <c r="BF411" t="s">
        <v>18139</v>
      </c>
      <c r="BG411" t="s">
        <v>13808</v>
      </c>
      <c r="BH411" t="s">
        <v>20308</v>
      </c>
      <c r="BL411" t="s">
        <v>20309</v>
      </c>
      <c r="BM411" t="s">
        <v>13808</v>
      </c>
      <c r="BN411" t="s">
        <v>20308</v>
      </c>
      <c r="BR411" t="s">
        <v>20310</v>
      </c>
      <c r="BS411" t="s">
        <v>13824</v>
      </c>
      <c r="BT411" t="s">
        <v>13808</v>
      </c>
      <c r="BU411" t="s">
        <v>20311</v>
      </c>
      <c r="BY411" t="s">
        <v>13860</v>
      </c>
      <c r="BZ411" t="s">
        <v>13808</v>
      </c>
      <c r="CA411" t="s">
        <v>20312</v>
      </c>
      <c r="CE411" t="s">
        <v>13828</v>
      </c>
      <c r="CF411" t="s">
        <v>13808</v>
      </c>
      <c r="CK411" t="s">
        <v>13760</v>
      </c>
      <c r="CL411" t="s">
        <v>13809</v>
      </c>
      <c r="CQ411" t="s">
        <v>13766</v>
      </c>
      <c r="CR411" t="s">
        <v>13809</v>
      </c>
      <c r="CT411" t="s">
        <v>20313</v>
      </c>
      <c r="DM411" t="s">
        <v>13945</v>
      </c>
      <c r="DN411" t="s">
        <v>13808</v>
      </c>
      <c r="DY411" t="s">
        <v>13840</v>
      </c>
      <c r="DZ411" t="s">
        <v>13841</v>
      </c>
      <c r="EA411" t="s">
        <v>13842</v>
      </c>
      <c r="EC411">
        <v>44627</v>
      </c>
      <c r="ED411" t="s">
        <v>13843</v>
      </c>
      <c r="EE411" t="s">
        <v>13615</v>
      </c>
    </row>
    <row r="412" spans="1:135">
      <c r="A412" t="s">
        <v>2666</v>
      </c>
      <c r="B412" t="s">
        <v>2314</v>
      </c>
      <c r="C412" t="s">
        <v>20314</v>
      </c>
      <c r="D412" s="24">
        <v>43606</v>
      </c>
      <c r="E412" s="24" t="s">
        <v>13555</v>
      </c>
      <c r="F412" s="24" t="s">
        <v>20315</v>
      </c>
      <c r="G412" s="24" t="s">
        <v>13808</v>
      </c>
      <c r="H412" s="24"/>
      <c r="I412" s="24" t="s">
        <v>13809</v>
      </c>
      <c r="J412" s="24"/>
      <c r="K412" s="24" t="s">
        <v>13809</v>
      </c>
      <c r="L412" s="24"/>
      <c r="M412" s="24" t="s">
        <v>20316</v>
      </c>
      <c r="N412" s="24" t="s">
        <v>13808</v>
      </c>
      <c r="O412" s="24"/>
      <c r="P412" s="24" t="s">
        <v>13808</v>
      </c>
      <c r="Q412" s="24"/>
      <c r="R412" s="24" t="s">
        <v>13808</v>
      </c>
      <c r="S412" s="24"/>
      <c r="T412" t="s">
        <v>20317</v>
      </c>
      <c r="U412" t="s">
        <v>13809</v>
      </c>
      <c r="W412" t="s">
        <v>13808</v>
      </c>
      <c r="X412" t="s">
        <v>20318</v>
      </c>
      <c r="Y412" t="s">
        <v>13809</v>
      </c>
      <c r="AA412" t="s">
        <v>20319</v>
      </c>
      <c r="AB412" t="s">
        <v>20320</v>
      </c>
      <c r="AC412" t="s">
        <v>13808</v>
      </c>
      <c r="AH412" t="s">
        <v>20321</v>
      </c>
      <c r="AI412" t="s">
        <v>13808</v>
      </c>
      <c r="AN412" t="s">
        <v>14166</v>
      </c>
      <c r="AO412" t="s">
        <v>13808</v>
      </c>
      <c r="AU412" t="s">
        <v>13809</v>
      </c>
      <c r="AZ412" t="s">
        <v>20322</v>
      </c>
      <c r="BA412" t="s">
        <v>13808</v>
      </c>
      <c r="BG412" t="s">
        <v>13809</v>
      </c>
      <c r="BL412" t="s">
        <v>20323</v>
      </c>
      <c r="BM412" t="s">
        <v>13808</v>
      </c>
      <c r="BR412" t="s">
        <v>20324</v>
      </c>
      <c r="BT412" t="s">
        <v>13809</v>
      </c>
      <c r="BY412" t="s">
        <v>20325</v>
      </c>
      <c r="BZ412" t="s">
        <v>13808</v>
      </c>
      <c r="CA412" t="s">
        <v>13937</v>
      </c>
      <c r="CE412" t="s">
        <v>14265</v>
      </c>
      <c r="CF412" t="s">
        <v>13808</v>
      </c>
      <c r="CK412" t="s">
        <v>13885</v>
      </c>
      <c r="CL412" t="s">
        <v>13808</v>
      </c>
      <c r="CM412" t="s">
        <v>20326</v>
      </c>
      <c r="CR412" t="s">
        <v>13809</v>
      </c>
      <c r="CT412" t="s">
        <v>20327</v>
      </c>
      <c r="CU412" t="s">
        <v>20328</v>
      </c>
      <c r="CV412" t="s">
        <v>13818</v>
      </c>
      <c r="DA412" t="s">
        <v>20329</v>
      </c>
      <c r="DB412" t="s">
        <v>13818</v>
      </c>
      <c r="DG412" t="s">
        <v>20330</v>
      </c>
      <c r="DH412" t="s">
        <v>13808</v>
      </c>
      <c r="DY412" t="s">
        <v>18200</v>
      </c>
      <c r="DZ412" t="s">
        <v>20331</v>
      </c>
      <c r="EA412" t="s">
        <v>20332</v>
      </c>
      <c r="EC412">
        <v>44258</v>
      </c>
      <c r="ED412" t="s">
        <v>14501</v>
      </c>
      <c r="EE412" t="s">
        <v>7338</v>
      </c>
    </row>
    <row r="413" spans="1:135">
      <c r="A413" t="s">
        <v>2921</v>
      </c>
      <c r="B413" t="s">
        <v>2861</v>
      </c>
      <c r="C413" t="s">
        <v>20333</v>
      </c>
      <c r="D413" s="24">
        <v>42688</v>
      </c>
      <c r="E413" s="24" t="s">
        <v>13555</v>
      </c>
      <c r="F413" s="24" t="s">
        <v>20334</v>
      </c>
      <c r="G413" s="24" t="s">
        <v>13808</v>
      </c>
      <c r="H413" s="24"/>
      <c r="I413" s="24" t="s">
        <v>13809</v>
      </c>
      <c r="J413" s="24"/>
      <c r="K413" s="24" t="s">
        <v>13808</v>
      </c>
      <c r="L413" s="24"/>
      <c r="M413" s="24" t="s">
        <v>20335</v>
      </c>
      <c r="N413" s="24" t="s">
        <v>13808</v>
      </c>
      <c r="O413" s="24"/>
      <c r="P413" s="24" t="s">
        <v>13808</v>
      </c>
      <c r="Q413" s="24"/>
      <c r="R413" s="24" t="s">
        <v>13808</v>
      </c>
      <c r="S413" s="24"/>
      <c r="T413" t="s">
        <v>20336</v>
      </c>
      <c r="U413" t="s">
        <v>13808</v>
      </c>
      <c r="W413" t="s">
        <v>13808</v>
      </c>
      <c r="X413" t="s">
        <v>20337</v>
      </c>
      <c r="Y413" t="s">
        <v>13809</v>
      </c>
      <c r="AA413" t="s">
        <v>20338</v>
      </c>
      <c r="AB413" t="s">
        <v>20339</v>
      </c>
      <c r="AC413" t="s">
        <v>13808</v>
      </c>
      <c r="AH413" t="s">
        <v>20340</v>
      </c>
      <c r="AI413" t="s">
        <v>13808</v>
      </c>
      <c r="AO413" t="s">
        <v>13809</v>
      </c>
      <c r="AT413" t="s">
        <v>20341</v>
      </c>
      <c r="AU413" t="s">
        <v>13808</v>
      </c>
      <c r="AZ413" t="s">
        <v>20342</v>
      </c>
      <c r="BA413" t="s">
        <v>13808</v>
      </c>
      <c r="BF413" t="s">
        <v>20343</v>
      </c>
      <c r="BG413" t="s">
        <v>13818</v>
      </c>
      <c r="BH413" t="s">
        <v>20344</v>
      </c>
      <c r="BL413" t="s">
        <v>20345</v>
      </c>
      <c r="BM413" t="s">
        <v>13808</v>
      </c>
      <c r="BR413" t="s">
        <v>20346</v>
      </c>
      <c r="BT413" t="s">
        <v>13809</v>
      </c>
      <c r="BY413" t="s">
        <v>20347</v>
      </c>
      <c r="BZ413" t="s">
        <v>13808</v>
      </c>
      <c r="CA413" t="s">
        <v>20348</v>
      </c>
      <c r="CF413" t="s">
        <v>13809</v>
      </c>
      <c r="CK413" t="s">
        <v>19442</v>
      </c>
      <c r="CL413" t="s">
        <v>13808</v>
      </c>
      <c r="CR413" t="s">
        <v>13809</v>
      </c>
      <c r="CT413" t="s">
        <v>20349</v>
      </c>
      <c r="CV413" t="s">
        <v>13809</v>
      </c>
      <c r="DA413" t="s">
        <v>20350</v>
      </c>
      <c r="DB413" t="s">
        <v>13808</v>
      </c>
      <c r="DG413" t="s">
        <v>20351</v>
      </c>
      <c r="DH413" t="s">
        <v>13808</v>
      </c>
      <c r="DZ413" t="s">
        <v>18056</v>
      </c>
      <c r="EA413" t="s">
        <v>15944</v>
      </c>
      <c r="ED413" t="s">
        <v>13903</v>
      </c>
      <c r="EE413" t="s">
        <v>7602</v>
      </c>
    </row>
    <row r="414" spans="1:135">
      <c r="A414" t="s">
        <v>2429</v>
      </c>
      <c r="B414" t="s">
        <v>2314</v>
      </c>
      <c r="C414" t="s">
        <v>20352</v>
      </c>
      <c r="D414" s="24">
        <v>42634</v>
      </c>
      <c r="E414" s="24" t="s">
        <v>13564</v>
      </c>
      <c r="F414" s="24" t="s">
        <v>20353</v>
      </c>
      <c r="G414" s="24" t="s">
        <v>13808</v>
      </c>
      <c r="H414" s="24"/>
      <c r="I414" s="24" t="s">
        <v>13809</v>
      </c>
      <c r="J414" s="24"/>
      <c r="K414" s="24" t="s">
        <v>13809</v>
      </c>
      <c r="L414" s="24"/>
      <c r="M414" s="24" t="s">
        <v>20354</v>
      </c>
      <c r="N414" s="24" t="s">
        <v>13808</v>
      </c>
      <c r="O414" s="24"/>
      <c r="P414" s="24" t="s">
        <v>13809</v>
      </c>
      <c r="Q414" s="24"/>
      <c r="R414" s="24" t="s">
        <v>13808</v>
      </c>
      <c r="S414" s="24"/>
      <c r="T414" t="s">
        <v>20355</v>
      </c>
      <c r="U414" t="s">
        <v>13809</v>
      </c>
      <c r="W414" t="s">
        <v>13808</v>
      </c>
      <c r="X414" t="s">
        <v>20356</v>
      </c>
      <c r="Y414" t="s">
        <v>13809</v>
      </c>
      <c r="AA414" t="s">
        <v>15089</v>
      </c>
      <c r="AB414" t="s">
        <v>15348</v>
      </c>
      <c r="AC414" t="s">
        <v>13809</v>
      </c>
      <c r="AH414" t="s">
        <v>14310</v>
      </c>
      <c r="AI414" t="s">
        <v>13808</v>
      </c>
      <c r="AN414" t="s">
        <v>13711</v>
      </c>
      <c r="AO414" t="s">
        <v>13809</v>
      </c>
      <c r="AT414" t="s">
        <v>20357</v>
      </c>
      <c r="AU414" t="s">
        <v>13808</v>
      </c>
      <c r="AZ414" t="s">
        <v>20358</v>
      </c>
      <c r="BA414" t="s">
        <v>13808</v>
      </c>
      <c r="BF414" t="s">
        <v>17058</v>
      </c>
      <c r="BG414" t="s">
        <v>13809</v>
      </c>
      <c r="BL414" t="s">
        <v>17696</v>
      </c>
      <c r="BM414" t="s">
        <v>13808</v>
      </c>
      <c r="BR414" t="s">
        <v>20359</v>
      </c>
      <c r="BS414" t="s">
        <v>13742</v>
      </c>
      <c r="BT414" t="s">
        <v>13809</v>
      </c>
      <c r="BY414" t="s">
        <v>16927</v>
      </c>
      <c r="BZ414" t="s">
        <v>13808</v>
      </c>
      <c r="CA414" t="s">
        <v>20360</v>
      </c>
      <c r="CE414" t="s">
        <v>13754</v>
      </c>
      <c r="CF414" t="s">
        <v>13809</v>
      </c>
      <c r="CK414" t="s">
        <v>13760</v>
      </c>
      <c r="CL414" t="s">
        <v>13809</v>
      </c>
      <c r="CQ414" t="s">
        <v>13766</v>
      </c>
      <c r="CR414" t="s">
        <v>13809</v>
      </c>
      <c r="CT414" t="s">
        <v>20361</v>
      </c>
      <c r="CU414" t="s">
        <v>20362</v>
      </c>
      <c r="CV414" t="s">
        <v>13808</v>
      </c>
      <c r="DA414" t="s">
        <v>20363</v>
      </c>
      <c r="DB414" t="s">
        <v>13808</v>
      </c>
      <c r="DG414" t="s">
        <v>20364</v>
      </c>
      <c r="DH414" t="s">
        <v>13808</v>
      </c>
      <c r="DY414" t="s">
        <v>14606</v>
      </c>
      <c r="DZ414" t="s">
        <v>20365</v>
      </c>
      <c r="EA414" t="s">
        <v>19185</v>
      </c>
      <c r="EC414">
        <v>45224</v>
      </c>
      <c r="ED414" t="s">
        <v>13843</v>
      </c>
      <c r="EE414" t="s">
        <v>7344</v>
      </c>
    </row>
    <row r="415" spans="1:135">
      <c r="A415" t="s">
        <v>3151</v>
      </c>
      <c r="B415" t="s">
        <v>3013</v>
      </c>
      <c r="C415" t="s">
        <v>20366</v>
      </c>
      <c r="D415" s="24">
        <v>44315</v>
      </c>
      <c r="E415" s="24" t="s">
        <v>13555</v>
      </c>
      <c r="F415" s="24" t="s">
        <v>20367</v>
      </c>
      <c r="G415" s="24" t="s">
        <v>13808</v>
      </c>
      <c r="H415" s="24"/>
      <c r="I415" s="24" t="s">
        <v>13809</v>
      </c>
      <c r="J415" s="24"/>
      <c r="K415" s="24" t="s">
        <v>13809</v>
      </c>
      <c r="L415" s="24"/>
      <c r="M415" s="24" t="s">
        <v>19016</v>
      </c>
      <c r="N415" s="24" t="s">
        <v>13808</v>
      </c>
      <c r="O415" s="24"/>
      <c r="P415" s="24" t="s">
        <v>13808</v>
      </c>
      <c r="Q415" s="24"/>
      <c r="R415" s="24" t="s">
        <v>13808</v>
      </c>
      <c r="S415" s="24"/>
      <c r="T415" t="s">
        <v>14034</v>
      </c>
      <c r="U415" t="s">
        <v>13808</v>
      </c>
      <c r="V415" t="s">
        <v>20368</v>
      </c>
      <c r="W415" t="s">
        <v>13808</v>
      </c>
      <c r="X415" t="s">
        <v>20369</v>
      </c>
      <c r="Y415" t="s">
        <v>13809</v>
      </c>
      <c r="AA415" t="s">
        <v>14188</v>
      </c>
      <c r="AC415" t="s">
        <v>13809</v>
      </c>
      <c r="AH415" t="s">
        <v>13909</v>
      </c>
      <c r="AI415" t="s">
        <v>13808</v>
      </c>
      <c r="AO415" t="s">
        <v>13809</v>
      </c>
      <c r="AU415" t="s">
        <v>13809</v>
      </c>
      <c r="AZ415" t="s">
        <v>15820</v>
      </c>
      <c r="BA415" t="s">
        <v>13808</v>
      </c>
      <c r="BG415" t="s">
        <v>13809</v>
      </c>
      <c r="BM415" t="s">
        <v>13809</v>
      </c>
      <c r="BR415" t="s">
        <v>20370</v>
      </c>
      <c r="BS415" t="s">
        <v>13887</v>
      </c>
      <c r="BT415" t="s">
        <v>13808</v>
      </c>
      <c r="BU415" t="s">
        <v>20311</v>
      </c>
      <c r="BY415" t="s">
        <v>13887</v>
      </c>
      <c r="BZ415" t="s">
        <v>13808</v>
      </c>
      <c r="CA415" t="s">
        <v>20312</v>
      </c>
      <c r="CE415" t="s">
        <v>13887</v>
      </c>
      <c r="CF415" t="s">
        <v>13808</v>
      </c>
      <c r="CG415" t="s">
        <v>20371</v>
      </c>
      <c r="CL415" t="s">
        <v>13809</v>
      </c>
      <c r="CR415" t="s">
        <v>13809</v>
      </c>
      <c r="CT415" t="s">
        <v>20372</v>
      </c>
      <c r="CU415" t="s">
        <v>20373</v>
      </c>
      <c r="CV415" t="s">
        <v>13808</v>
      </c>
      <c r="DA415" t="s">
        <v>20374</v>
      </c>
      <c r="DB415" t="s">
        <v>13808</v>
      </c>
      <c r="DG415" t="s">
        <v>14704</v>
      </c>
      <c r="DH415" t="s">
        <v>13818</v>
      </c>
      <c r="DM415" t="s">
        <v>20375</v>
      </c>
      <c r="DN415" t="s">
        <v>13808</v>
      </c>
      <c r="DY415" t="s">
        <v>13900</v>
      </c>
      <c r="DZ415" t="s">
        <v>20376</v>
      </c>
      <c r="EA415" t="s">
        <v>20377</v>
      </c>
      <c r="EC415">
        <v>44327</v>
      </c>
      <c r="ED415" t="s">
        <v>20378</v>
      </c>
      <c r="EE415" t="s">
        <v>13616</v>
      </c>
    </row>
    <row r="416" spans="1:135">
      <c r="A416" t="s">
        <v>11480</v>
      </c>
      <c r="B416" t="s">
        <v>2314</v>
      </c>
      <c r="C416" t="s">
        <v>20379</v>
      </c>
      <c r="D416" s="24">
        <v>43390</v>
      </c>
      <c r="E416" s="24" t="s">
        <v>13550</v>
      </c>
      <c r="F416" s="24" t="s">
        <v>20380</v>
      </c>
      <c r="G416" s="24" t="s">
        <v>13808</v>
      </c>
      <c r="H416" s="24"/>
      <c r="I416" s="24" t="s">
        <v>13809</v>
      </c>
      <c r="J416" s="24"/>
      <c r="K416" s="24" t="s">
        <v>13809</v>
      </c>
      <c r="L416" s="24"/>
      <c r="M416" s="24" t="s">
        <v>20381</v>
      </c>
      <c r="N416" s="24" t="s">
        <v>13808</v>
      </c>
      <c r="O416" s="24"/>
      <c r="P416" s="24" t="s">
        <v>13808</v>
      </c>
      <c r="Q416" s="24"/>
      <c r="R416" s="24" t="s">
        <v>13808</v>
      </c>
      <c r="S416" s="24"/>
      <c r="T416" t="s">
        <v>20382</v>
      </c>
      <c r="U416" t="s">
        <v>13809</v>
      </c>
      <c r="W416" t="s">
        <v>13808</v>
      </c>
      <c r="X416" t="s">
        <v>20383</v>
      </c>
      <c r="Y416" t="s">
        <v>13809</v>
      </c>
      <c r="AA416" t="s">
        <v>20384</v>
      </c>
      <c r="AB416" t="s">
        <v>13850</v>
      </c>
      <c r="AC416" t="s">
        <v>13809</v>
      </c>
      <c r="AH416" t="s">
        <v>13851</v>
      </c>
      <c r="AI416" t="s">
        <v>13818</v>
      </c>
      <c r="AN416" t="s">
        <v>15055</v>
      </c>
      <c r="AO416" t="s">
        <v>13809</v>
      </c>
      <c r="AT416" t="s">
        <v>20385</v>
      </c>
      <c r="AU416" t="s">
        <v>13809</v>
      </c>
      <c r="AZ416" t="s">
        <v>20386</v>
      </c>
      <c r="BA416" t="s">
        <v>13818</v>
      </c>
      <c r="BF416" t="s">
        <v>17259</v>
      </c>
      <c r="BG416" t="s">
        <v>13818</v>
      </c>
      <c r="BL416" t="s">
        <v>13934</v>
      </c>
      <c r="BM416" t="s">
        <v>13818</v>
      </c>
      <c r="BR416" t="s">
        <v>20387</v>
      </c>
      <c r="BS416" t="s">
        <v>17108</v>
      </c>
      <c r="BT416" t="s">
        <v>13809</v>
      </c>
      <c r="BY416" t="s">
        <v>20388</v>
      </c>
      <c r="BZ416" t="s">
        <v>13818</v>
      </c>
      <c r="CA416" t="s">
        <v>13937</v>
      </c>
      <c r="CE416" t="s">
        <v>15249</v>
      </c>
      <c r="CF416" t="s">
        <v>13809</v>
      </c>
      <c r="CK416" t="s">
        <v>15059</v>
      </c>
      <c r="CL416" t="s">
        <v>13809</v>
      </c>
      <c r="CQ416" t="s">
        <v>13766</v>
      </c>
      <c r="CR416" t="s">
        <v>13809</v>
      </c>
      <c r="CT416" t="s">
        <v>20389</v>
      </c>
      <c r="CU416" t="s">
        <v>15268</v>
      </c>
      <c r="CV416" t="s">
        <v>13808</v>
      </c>
      <c r="CW416" t="s">
        <v>20390</v>
      </c>
      <c r="DA416" t="s">
        <v>15063</v>
      </c>
      <c r="DB416" t="s">
        <v>13808</v>
      </c>
      <c r="DC416" t="s">
        <v>20390</v>
      </c>
      <c r="DH416" t="s">
        <v>13808</v>
      </c>
      <c r="DM416" t="s">
        <v>20391</v>
      </c>
      <c r="DN416" t="s">
        <v>13808</v>
      </c>
      <c r="DO416" t="s">
        <v>20390</v>
      </c>
      <c r="DZ416" t="s">
        <v>16614</v>
      </c>
      <c r="EA416" t="s">
        <v>20392</v>
      </c>
      <c r="EC416">
        <v>44627</v>
      </c>
      <c r="ED416" t="s">
        <v>13843</v>
      </c>
      <c r="EE416" t="s">
        <v>13617</v>
      </c>
    </row>
    <row r="417" spans="1:135">
      <c r="A417" t="s">
        <v>2998</v>
      </c>
      <c r="B417" t="s">
        <v>2926</v>
      </c>
      <c r="C417" t="s">
        <v>20393</v>
      </c>
      <c r="D417" s="24">
        <v>43620</v>
      </c>
      <c r="E417" s="24" t="s">
        <v>13553</v>
      </c>
      <c r="F417" s="24" t="s">
        <v>20394</v>
      </c>
      <c r="G417" s="24" t="s">
        <v>13808</v>
      </c>
      <c r="H417" s="24"/>
      <c r="I417" s="24" t="s">
        <v>13809</v>
      </c>
      <c r="J417" s="24"/>
      <c r="K417" s="24" t="s">
        <v>13809</v>
      </c>
      <c r="L417" s="24"/>
      <c r="M417" s="24" t="s">
        <v>20395</v>
      </c>
      <c r="N417" s="24" t="s">
        <v>13897</v>
      </c>
      <c r="O417" s="24"/>
      <c r="P417" s="24" t="s">
        <v>13808</v>
      </c>
      <c r="Q417" s="24"/>
      <c r="R417" s="24" t="s">
        <v>13808</v>
      </c>
      <c r="S417" s="24"/>
      <c r="T417" t="s">
        <v>20396</v>
      </c>
      <c r="U417" t="s">
        <v>13809</v>
      </c>
      <c r="W417" t="s">
        <v>13808</v>
      </c>
      <c r="X417" t="s">
        <v>20397</v>
      </c>
      <c r="Y417" t="s">
        <v>13809</v>
      </c>
      <c r="AA417" t="s">
        <v>20319</v>
      </c>
      <c r="AB417" t="s">
        <v>20398</v>
      </c>
      <c r="AC417" t="s">
        <v>13808</v>
      </c>
      <c r="AH417" t="s">
        <v>13909</v>
      </c>
      <c r="AI417" t="s">
        <v>13808</v>
      </c>
      <c r="AO417" t="s">
        <v>13809</v>
      </c>
      <c r="AU417" t="s">
        <v>13809</v>
      </c>
      <c r="AZ417" t="s">
        <v>20399</v>
      </c>
      <c r="BA417" t="s">
        <v>13808</v>
      </c>
      <c r="BF417" t="s">
        <v>20400</v>
      </c>
      <c r="BG417" t="s">
        <v>13808</v>
      </c>
      <c r="BL417" t="s">
        <v>20401</v>
      </c>
      <c r="BM417" t="s">
        <v>13808</v>
      </c>
      <c r="BR417" t="s">
        <v>20402</v>
      </c>
      <c r="BT417" t="s">
        <v>13809</v>
      </c>
      <c r="BY417" t="s">
        <v>13887</v>
      </c>
      <c r="BZ417" t="s">
        <v>13808</v>
      </c>
      <c r="CA417" t="s">
        <v>14026</v>
      </c>
      <c r="CE417" t="s">
        <v>13887</v>
      </c>
      <c r="CF417" t="s">
        <v>13808</v>
      </c>
      <c r="CG417" t="s">
        <v>20403</v>
      </c>
      <c r="CK417" t="s">
        <v>16627</v>
      </c>
      <c r="CL417" t="s">
        <v>13808</v>
      </c>
      <c r="CR417" t="s">
        <v>13809</v>
      </c>
      <c r="CT417" t="s">
        <v>20404</v>
      </c>
      <c r="CU417" t="s">
        <v>20405</v>
      </c>
      <c r="CV417" t="s">
        <v>13808</v>
      </c>
      <c r="DA417" t="s">
        <v>20406</v>
      </c>
      <c r="DB417" t="s">
        <v>13808</v>
      </c>
      <c r="DG417" t="s">
        <v>20407</v>
      </c>
      <c r="DH417" t="s">
        <v>13808</v>
      </c>
      <c r="DM417" t="s">
        <v>20408</v>
      </c>
      <c r="DN417" t="s">
        <v>13808</v>
      </c>
      <c r="DO417" t="s">
        <v>17907</v>
      </c>
      <c r="DY417" t="s">
        <v>14975</v>
      </c>
      <c r="DZ417" t="s">
        <v>14607</v>
      </c>
      <c r="EA417" t="s">
        <v>20409</v>
      </c>
      <c r="EC417">
        <v>44258</v>
      </c>
      <c r="ED417" t="s">
        <v>14501</v>
      </c>
      <c r="EE417" t="s">
        <v>7708</v>
      </c>
    </row>
    <row r="418" spans="1:135">
      <c r="A418" t="s">
        <v>3003</v>
      </c>
      <c r="B418" t="s">
        <v>2926</v>
      </c>
      <c r="C418" t="s">
        <v>20410</v>
      </c>
      <c r="D418" s="24">
        <v>44966</v>
      </c>
      <c r="E418" s="24" t="s">
        <v>13558</v>
      </c>
      <c r="F418" s="24" t="s">
        <v>20411</v>
      </c>
      <c r="G418" s="24" t="s">
        <v>13808</v>
      </c>
      <c r="H418" s="24"/>
      <c r="I418" s="24" t="s">
        <v>13809</v>
      </c>
      <c r="J418" s="24"/>
      <c r="K418" s="24" t="s">
        <v>13808</v>
      </c>
      <c r="L418" s="24"/>
      <c r="M418" s="24" t="s">
        <v>14304</v>
      </c>
      <c r="N418" s="24" t="s">
        <v>13808</v>
      </c>
      <c r="O418" s="24"/>
      <c r="P418" s="24" t="s">
        <v>13808</v>
      </c>
      <c r="Q418" s="24"/>
      <c r="R418" s="24" t="s">
        <v>13808</v>
      </c>
      <c r="S418" s="24"/>
      <c r="T418" t="s">
        <v>13907</v>
      </c>
      <c r="U418" t="s">
        <v>13809</v>
      </c>
      <c r="W418" t="s">
        <v>13808</v>
      </c>
      <c r="X418" t="s">
        <v>20412</v>
      </c>
      <c r="Y418" t="s">
        <v>13809</v>
      </c>
      <c r="AA418" t="s">
        <v>20413</v>
      </c>
      <c r="AB418" t="s">
        <v>20414</v>
      </c>
      <c r="AC418" t="s">
        <v>13808</v>
      </c>
      <c r="AH418" t="s">
        <v>13851</v>
      </c>
      <c r="AI418" t="s">
        <v>13808</v>
      </c>
      <c r="AN418" t="s">
        <v>13711</v>
      </c>
      <c r="AO418" t="s">
        <v>13809</v>
      </c>
      <c r="AT418" t="s">
        <v>13717</v>
      </c>
      <c r="AU418" t="s">
        <v>13809</v>
      </c>
      <c r="AZ418" t="s">
        <v>20415</v>
      </c>
      <c r="BA418" t="s">
        <v>13808</v>
      </c>
      <c r="BF418" t="s">
        <v>20416</v>
      </c>
      <c r="BG418" t="s">
        <v>13808</v>
      </c>
      <c r="BL418" t="s">
        <v>20417</v>
      </c>
      <c r="BM418" t="s">
        <v>13808</v>
      </c>
      <c r="BR418" t="s">
        <v>20418</v>
      </c>
      <c r="BS418" t="s">
        <v>13742</v>
      </c>
      <c r="BT418" t="s">
        <v>13809</v>
      </c>
      <c r="BY418" t="s">
        <v>13748</v>
      </c>
      <c r="BZ418" t="s">
        <v>13809</v>
      </c>
      <c r="CA418" t="s">
        <v>13937</v>
      </c>
      <c r="CE418" t="s">
        <v>15291</v>
      </c>
      <c r="CF418" t="s">
        <v>13808</v>
      </c>
      <c r="CK418" t="s">
        <v>14581</v>
      </c>
      <c r="CL418" t="s">
        <v>13808</v>
      </c>
      <c r="CM418" t="s">
        <v>14233</v>
      </c>
      <c r="CQ418" t="s">
        <v>13766</v>
      </c>
      <c r="CR418" t="s">
        <v>13809</v>
      </c>
      <c r="CT418" t="s">
        <v>13830</v>
      </c>
      <c r="CU418" t="s">
        <v>20419</v>
      </c>
      <c r="CV418" t="s">
        <v>13818</v>
      </c>
      <c r="DA418" t="s">
        <v>20420</v>
      </c>
      <c r="DB418" t="s">
        <v>13818</v>
      </c>
      <c r="DG418" t="s">
        <v>14589</v>
      </c>
      <c r="DH418" t="s">
        <v>13818</v>
      </c>
      <c r="DI418" t="s">
        <v>14259</v>
      </c>
      <c r="DM418" t="s">
        <v>20421</v>
      </c>
      <c r="DN418" t="s">
        <v>13808</v>
      </c>
      <c r="DP418" t="s">
        <v>20422</v>
      </c>
      <c r="DQ418" t="s">
        <v>13818</v>
      </c>
      <c r="DR418" t="s">
        <v>14259</v>
      </c>
      <c r="DY418" t="s">
        <v>14606</v>
      </c>
      <c r="DZ418" t="s">
        <v>13841</v>
      </c>
      <c r="EA418" t="s">
        <v>13842</v>
      </c>
      <c r="EC418">
        <v>44967</v>
      </c>
      <c r="ED418" t="s">
        <v>13843</v>
      </c>
      <c r="EE418" t="s">
        <v>7712</v>
      </c>
    </row>
    <row r="419" spans="1:135">
      <c r="A419" t="s">
        <v>2675</v>
      </c>
      <c r="B419" t="s">
        <v>2314</v>
      </c>
      <c r="C419" t="s">
        <v>20423</v>
      </c>
      <c r="D419" s="24">
        <v>43565</v>
      </c>
      <c r="E419" s="24" t="s">
        <v>13553</v>
      </c>
      <c r="F419" s="24" t="s">
        <v>20424</v>
      </c>
      <c r="G419" s="24" t="s">
        <v>13808</v>
      </c>
      <c r="H419" s="24"/>
      <c r="I419" s="24" t="s">
        <v>13809</v>
      </c>
      <c r="J419" s="24"/>
      <c r="K419" s="24" t="s">
        <v>13809</v>
      </c>
      <c r="L419" s="24"/>
      <c r="M419" s="24" t="s">
        <v>13846</v>
      </c>
      <c r="N419" s="24" t="s">
        <v>13808</v>
      </c>
      <c r="O419" s="24"/>
      <c r="P419" s="24" t="s">
        <v>13808</v>
      </c>
      <c r="Q419" s="24"/>
      <c r="R419" s="24" t="s">
        <v>13808</v>
      </c>
      <c r="S419" s="24"/>
      <c r="T419" t="s">
        <v>13847</v>
      </c>
      <c r="U419" t="s">
        <v>13808</v>
      </c>
      <c r="W419" t="s">
        <v>13808</v>
      </c>
      <c r="X419" t="s">
        <v>20425</v>
      </c>
      <c r="Y419" t="s">
        <v>13808</v>
      </c>
      <c r="AA419" t="s">
        <v>13849</v>
      </c>
      <c r="AB419" t="s">
        <v>20426</v>
      </c>
      <c r="AC419" t="s">
        <v>13808</v>
      </c>
      <c r="AH419" t="s">
        <v>13851</v>
      </c>
      <c r="AI419" t="s">
        <v>13808</v>
      </c>
      <c r="AN419" t="s">
        <v>18521</v>
      </c>
      <c r="AO419" t="s">
        <v>13808</v>
      </c>
      <c r="AT419" t="s">
        <v>20427</v>
      </c>
      <c r="AU419" t="s">
        <v>13808</v>
      </c>
      <c r="AZ419" t="s">
        <v>20428</v>
      </c>
      <c r="BA419" t="s">
        <v>13808</v>
      </c>
      <c r="BF419" t="s">
        <v>20429</v>
      </c>
      <c r="BG419" t="s">
        <v>13808</v>
      </c>
      <c r="BL419" t="s">
        <v>20430</v>
      </c>
      <c r="BM419" t="s">
        <v>13808</v>
      </c>
      <c r="BR419" t="s">
        <v>20431</v>
      </c>
      <c r="BS419" t="s">
        <v>20432</v>
      </c>
      <c r="BT419" t="s">
        <v>13808</v>
      </c>
      <c r="BU419" t="s">
        <v>20433</v>
      </c>
      <c r="BY419" t="s">
        <v>20434</v>
      </c>
      <c r="BZ419" t="s">
        <v>13808</v>
      </c>
      <c r="CA419" t="s">
        <v>13861</v>
      </c>
      <c r="CE419" t="s">
        <v>20435</v>
      </c>
      <c r="CF419" t="s">
        <v>13808</v>
      </c>
      <c r="CG419" t="s">
        <v>13863</v>
      </c>
      <c r="CK419" t="s">
        <v>20436</v>
      </c>
      <c r="CL419" t="s">
        <v>13808</v>
      </c>
      <c r="CM419" t="s">
        <v>13863</v>
      </c>
      <c r="CQ419" t="s">
        <v>13766</v>
      </c>
      <c r="CR419" t="s">
        <v>13809</v>
      </c>
      <c r="CT419" t="s">
        <v>20437</v>
      </c>
      <c r="CU419" t="s">
        <v>20438</v>
      </c>
      <c r="CV419" t="s">
        <v>13808</v>
      </c>
      <c r="DA419" t="s">
        <v>20439</v>
      </c>
      <c r="DB419" t="s">
        <v>13808</v>
      </c>
      <c r="DM419" t="s">
        <v>20440</v>
      </c>
      <c r="DN419" t="s">
        <v>13808</v>
      </c>
      <c r="DY419" t="s">
        <v>14842</v>
      </c>
      <c r="DZ419" t="s">
        <v>20441</v>
      </c>
      <c r="EA419" t="s">
        <v>20442</v>
      </c>
      <c r="EC419">
        <v>44691</v>
      </c>
      <c r="ED419" t="s">
        <v>13843</v>
      </c>
      <c r="EE419" t="s">
        <v>7347</v>
      </c>
    </row>
    <row r="420" spans="1:135">
      <c r="A420" t="s">
        <v>11492</v>
      </c>
      <c r="B420" t="s">
        <v>2314</v>
      </c>
      <c r="C420" t="s">
        <v>20443</v>
      </c>
      <c r="D420" s="24">
        <v>43538</v>
      </c>
      <c r="E420" s="24" t="s">
        <v>13553</v>
      </c>
      <c r="F420" s="24" t="s">
        <v>20444</v>
      </c>
      <c r="G420" s="24" t="s">
        <v>13808</v>
      </c>
      <c r="H420" s="24"/>
      <c r="I420" s="24" t="s">
        <v>13809</v>
      </c>
      <c r="J420" s="24"/>
      <c r="K420" s="24" t="s">
        <v>13809</v>
      </c>
      <c r="L420" s="24"/>
      <c r="M420" s="24" t="s">
        <v>20445</v>
      </c>
      <c r="N420" s="24" t="s">
        <v>13808</v>
      </c>
      <c r="O420" s="24"/>
      <c r="P420" s="24" t="s">
        <v>13808</v>
      </c>
      <c r="Q420" s="24"/>
      <c r="R420" s="24" t="s">
        <v>13808</v>
      </c>
      <c r="S420" s="24"/>
      <c r="T420" t="s">
        <v>20446</v>
      </c>
      <c r="U420" t="s">
        <v>13809</v>
      </c>
      <c r="W420" t="s">
        <v>13808</v>
      </c>
      <c r="X420" t="s">
        <v>20447</v>
      </c>
      <c r="Y420" t="s">
        <v>13809</v>
      </c>
      <c r="AA420" t="s">
        <v>20448</v>
      </c>
      <c r="AC420" t="s">
        <v>13809</v>
      </c>
      <c r="AH420" t="s">
        <v>20086</v>
      </c>
      <c r="AI420" t="s">
        <v>13808</v>
      </c>
      <c r="AN420" t="s">
        <v>14730</v>
      </c>
      <c r="AO420" t="s">
        <v>13808</v>
      </c>
      <c r="AU420" t="s">
        <v>13809</v>
      </c>
      <c r="AZ420" t="s">
        <v>14490</v>
      </c>
      <c r="BA420" t="s">
        <v>13808</v>
      </c>
      <c r="BF420" t="s">
        <v>14192</v>
      </c>
      <c r="BG420" t="s">
        <v>13808</v>
      </c>
      <c r="BL420" t="s">
        <v>13892</v>
      </c>
      <c r="BM420" t="s">
        <v>13808</v>
      </c>
      <c r="BR420" t="s">
        <v>20449</v>
      </c>
      <c r="BT420" t="s">
        <v>13809</v>
      </c>
      <c r="BZ420" t="s">
        <v>13809</v>
      </c>
      <c r="CF420" t="s">
        <v>13809</v>
      </c>
      <c r="CK420" t="s">
        <v>20086</v>
      </c>
      <c r="CL420" t="s">
        <v>13808</v>
      </c>
      <c r="CM420" t="s">
        <v>20450</v>
      </c>
      <c r="CR420" t="s">
        <v>13809</v>
      </c>
      <c r="CT420" t="s">
        <v>20451</v>
      </c>
      <c r="CU420" t="s">
        <v>20086</v>
      </c>
      <c r="CV420" t="s">
        <v>13808</v>
      </c>
      <c r="DA420" t="s">
        <v>20086</v>
      </c>
      <c r="DB420" t="s">
        <v>13808</v>
      </c>
      <c r="DC420" t="s">
        <v>20452</v>
      </c>
      <c r="DG420" t="s">
        <v>20086</v>
      </c>
      <c r="DH420" t="s">
        <v>13808</v>
      </c>
      <c r="DI420" t="s">
        <v>15017</v>
      </c>
      <c r="DJ420" t="s">
        <v>20086</v>
      </c>
      <c r="DK420" t="s">
        <v>13818</v>
      </c>
      <c r="DL420" t="s">
        <v>15016</v>
      </c>
      <c r="DZ420" t="s">
        <v>20453</v>
      </c>
      <c r="EA420" t="s">
        <v>20454</v>
      </c>
      <c r="EC420">
        <v>43480</v>
      </c>
      <c r="ED420" t="s">
        <v>14501</v>
      </c>
      <c r="EE420" t="s">
        <v>13618</v>
      </c>
    </row>
    <row r="421" spans="1:135">
      <c r="A421" t="s">
        <v>3156</v>
      </c>
      <c r="B421" t="s">
        <v>3013</v>
      </c>
      <c r="C421" t="s">
        <v>20455</v>
      </c>
      <c r="D421" s="24">
        <v>44315</v>
      </c>
      <c r="E421" s="24" t="s">
        <v>13555</v>
      </c>
      <c r="F421" s="24" t="s">
        <v>20456</v>
      </c>
      <c r="G421" s="24" t="s">
        <v>13808</v>
      </c>
      <c r="H421" s="24"/>
      <c r="I421" s="24" t="s">
        <v>13809</v>
      </c>
      <c r="J421" s="24"/>
      <c r="K421" s="24" t="s">
        <v>13809</v>
      </c>
      <c r="L421" s="24"/>
      <c r="M421" s="24" t="s">
        <v>19016</v>
      </c>
      <c r="N421" s="24" t="s">
        <v>13808</v>
      </c>
      <c r="O421" s="24"/>
      <c r="P421" s="24" t="s">
        <v>13808</v>
      </c>
      <c r="Q421" s="24"/>
      <c r="R421" s="24" t="s">
        <v>13808</v>
      </c>
      <c r="S421" s="24"/>
      <c r="T421" t="s">
        <v>14969</v>
      </c>
      <c r="U421" t="s">
        <v>13808</v>
      </c>
      <c r="V421" t="s">
        <v>20457</v>
      </c>
      <c r="W421" t="s">
        <v>13808</v>
      </c>
      <c r="X421" t="s">
        <v>20458</v>
      </c>
      <c r="Y421" t="s">
        <v>13809</v>
      </c>
      <c r="AA421" t="s">
        <v>14188</v>
      </c>
      <c r="AC421" t="s">
        <v>13809</v>
      </c>
      <c r="AH421" t="s">
        <v>13909</v>
      </c>
      <c r="AI421" t="s">
        <v>13808</v>
      </c>
      <c r="AO421" t="s">
        <v>13809</v>
      </c>
      <c r="AT421" t="s">
        <v>20459</v>
      </c>
      <c r="AU421" t="s">
        <v>13808</v>
      </c>
      <c r="AZ421" t="s">
        <v>18691</v>
      </c>
      <c r="BA421" t="s">
        <v>13808</v>
      </c>
      <c r="BF421" t="s">
        <v>13894</v>
      </c>
      <c r="BG421" t="s">
        <v>13808</v>
      </c>
      <c r="BM421" t="s">
        <v>13809</v>
      </c>
      <c r="BR421" t="s">
        <v>20460</v>
      </c>
      <c r="BS421" t="s">
        <v>13887</v>
      </c>
      <c r="BT421" t="s">
        <v>13808</v>
      </c>
      <c r="BU421" t="s">
        <v>13985</v>
      </c>
      <c r="BY421" t="s">
        <v>13887</v>
      </c>
      <c r="BZ421" t="s">
        <v>13808</v>
      </c>
      <c r="CA421" t="s">
        <v>13888</v>
      </c>
      <c r="CE421" t="s">
        <v>13887</v>
      </c>
      <c r="CF421" t="s">
        <v>20371</v>
      </c>
      <c r="CL421" t="s">
        <v>13809</v>
      </c>
      <c r="CR421" t="s">
        <v>13809</v>
      </c>
      <c r="CT421" t="s">
        <v>14293</v>
      </c>
      <c r="CU421" t="s">
        <v>18408</v>
      </c>
      <c r="CV421" t="s">
        <v>13808</v>
      </c>
      <c r="DA421" t="s">
        <v>20461</v>
      </c>
      <c r="DB421" t="s">
        <v>13808</v>
      </c>
      <c r="DG421" t="s">
        <v>13887</v>
      </c>
      <c r="DH421" t="s">
        <v>13818</v>
      </c>
      <c r="DM421" t="s">
        <v>13909</v>
      </c>
      <c r="DN421" t="s">
        <v>13808</v>
      </c>
      <c r="DO421" t="s">
        <v>20462</v>
      </c>
      <c r="DY421" t="s">
        <v>13900</v>
      </c>
      <c r="DZ421" t="s">
        <v>20463</v>
      </c>
      <c r="EA421" t="s">
        <v>15744</v>
      </c>
      <c r="EC421">
        <v>44327</v>
      </c>
      <c r="ED421" t="s">
        <v>20378</v>
      </c>
      <c r="EE421" t="s">
        <v>13619</v>
      </c>
    </row>
    <row r="422" spans="1:135">
      <c r="A422" t="s">
        <v>2683</v>
      </c>
      <c r="B422" t="s">
        <v>2314</v>
      </c>
      <c r="C422" t="s">
        <v>20464</v>
      </c>
      <c r="D422" s="24">
        <v>44295</v>
      </c>
      <c r="E422" s="24" t="s">
        <v>13557</v>
      </c>
      <c r="F422" s="24" t="s">
        <v>20465</v>
      </c>
      <c r="G422" s="24" t="s">
        <v>13808</v>
      </c>
      <c r="H422" s="24"/>
      <c r="I422" s="24" t="s">
        <v>13809</v>
      </c>
      <c r="J422" s="24"/>
      <c r="K422" s="24" t="s">
        <v>13809</v>
      </c>
      <c r="L422" s="24"/>
      <c r="M422" s="24" t="s">
        <v>20466</v>
      </c>
      <c r="N422" s="24" t="s">
        <v>13808</v>
      </c>
      <c r="O422" s="24"/>
      <c r="P422" s="24" t="s">
        <v>13808</v>
      </c>
      <c r="Q422" s="24"/>
      <c r="R422" s="24" t="s">
        <v>13808</v>
      </c>
      <c r="S422" s="24"/>
      <c r="T422" t="s">
        <v>13875</v>
      </c>
      <c r="U422" t="s">
        <v>13809</v>
      </c>
      <c r="W422" t="s">
        <v>13808</v>
      </c>
      <c r="X422" t="s">
        <v>20467</v>
      </c>
      <c r="Y422" t="s">
        <v>13809</v>
      </c>
      <c r="AA422" t="s">
        <v>20468</v>
      </c>
      <c r="AB422" t="s">
        <v>14816</v>
      </c>
      <c r="AC422" t="s">
        <v>13808</v>
      </c>
      <c r="AH422" t="s">
        <v>13909</v>
      </c>
      <c r="AI422" t="s">
        <v>13808</v>
      </c>
      <c r="AO422" t="s">
        <v>13809</v>
      </c>
      <c r="AU422" t="s">
        <v>13809</v>
      </c>
      <c r="AZ422" t="s">
        <v>13880</v>
      </c>
      <c r="BA422" t="s">
        <v>13808</v>
      </c>
      <c r="BF422" t="s">
        <v>14596</v>
      </c>
      <c r="BG422" t="s">
        <v>13808</v>
      </c>
      <c r="BL422" t="s">
        <v>20469</v>
      </c>
      <c r="BM422" t="s">
        <v>13808</v>
      </c>
      <c r="BR422" t="s">
        <v>20470</v>
      </c>
      <c r="BT422" t="s">
        <v>13809</v>
      </c>
      <c r="BY422" t="s">
        <v>16141</v>
      </c>
      <c r="BZ422" t="s">
        <v>13808</v>
      </c>
      <c r="CF422" t="s">
        <v>13809</v>
      </c>
      <c r="CL422" t="s">
        <v>13809</v>
      </c>
      <c r="CR422" t="s">
        <v>13809</v>
      </c>
      <c r="CT422" t="s">
        <v>20471</v>
      </c>
      <c r="CU422" t="s">
        <v>13909</v>
      </c>
      <c r="CV422" t="s">
        <v>13818</v>
      </c>
      <c r="DA422" t="s">
        <v>13909</v>
      </c>
      <c r="DB422" t="s">
        <v>13818</v>
      </c>
      <c r="DG422" t="s">
        <v>13909</v>
      </c>
      <c r="DH422" t="s">
        <v>13818</v>
      </c>
      <c r="DM422" t="s">
        <v>18896</v>
      </c>
      <c r="DN422" t="s">
        <v>13808</v>
      </c>
      <c r="DO422" t="s">
        <v>20472</v>
      </c>
      <c r="DY422" t="s">
        <v>15296</v>
      </c>
      <c r="DZ422" t="s">
        <v>20473</v>
      </c>
      <c r="EA422" t="s">
        <v>16557</v>
      </c>
      <c r="EC422">
        <v>44302</v>
      </c>
      <c r="ED422" t="s">
        <v>14276</v>
      </c>
      <c r="EE422" t="s">
        <v>7353</v>
      </c>
    </row>
    <row r="423" spans="1:135">
      <c r="A423" t="s">
        <v>2859</v>
      </c>
      <c r="B423" t="s">
        <v>2693</v>
      </c>
      <c r="C423" t="s">
        <v>20474</v>
      </c>
      <c r="D423" s="24">
        <v>43413</v>
      </c>
      <c r="E423" s="24" t="s">
        <v>13564</v>
      </c>
      <c r="F423" s="24" t="s">
        <v>20475</v>
      </c>
      <c r="G423" s="24" t="s">
        <v>13808</v>
      </c>
      <c r="H423" s="24"/>
      <c r="I423" s="24" t="s">
        <v>13809</v>
      </c>
      <c r="J423" s="24"/>
      <c r="K423" s="24" t="s">
        <v>13809</v>
      </c>
      <c r="L423" s="24"/>
      <c r="M423" s="24" t="s">
        <v>20476</v>
      </c>
      <c r="N423" s="24" t="s">
        <v>13808</v>
      </c>
      <c r="O423" s="24"/>
      <c r="P423" s="24" t="s">
        <v>13808</v>
      </c>
      <c r="Q423" s="24"/>
      <c r="R423" s="24" t="s">
        <v>13808</v>
      </c>
      <c r="S423" s="24"/>
      <c r="T423" t="s">
        <v>20477</v>
      </c>
      <c r="U423" t="s">
        <v>13808</v>
      </c>
      <c r="V423" t="s">
        <v>20478</v>
      </c>
      <c r="W423" t="s">
        <v>13808</v>
      </c>
      <c r="X423" t="s">
        <v>20479</v>
      </c>
      <c r="Y423" t="s">
        <v>13808</v>
      </c>
      <c r="Z423" t="s">
        <v>20480</v>
      </c>
      <c r="AA423" t="s">
        <v>20481</v>
      </c>
      <c r="AC423" t="s">
        <v>13809</v>
      </c>
      <c r="AH423" t="s">
        <v>20482</v>
      </c>
      <c r="AI423" t="s">
        <v>13808</v>
      </c>
      <c r="AO423" t="s">
        <v>13809</v>
      </c>
      <c r="AT423" t="s">
        <v>13885</v>
      </c>
      <c r="AU423" t="s">
        <v>13808</v>
      </c>
      <c r="AZ423" t="s">
        <v>20483</v>
      </c>
      <c r="BA423" t="s">
        <v>13808</v>
      </c>
      <c r="BG423" t="s">
        <v>13809</v>
      </c>
      <c r="BM423" t="s">
        <v>13809</v>
      </c>
      <c r="BR423" t="s">
        <v>20484</v>
      </c>
      <c r="BS423" t="s">
        <v>13887</v>
      </c>
      <c r="BT423" t="s">
        <v>13808</v>
      </c>
      <c r="BU423" t="s">
        <v>20485</v>
      </c>
      <c r="BY423" t="s">
        <v>14265</v>
      </c>
      <c r="BZ423" t="s">
        <v>13808</v>
      </c>
      <c r="CA423" t="s">
        <v>13937</v>
      </c>
      <c r="CE423" t="s">
        <v>14851</v>
      </c>
      <c r="CF423" t="s">
        <v>13818</v>
      </c>
      <c r="CG423" t="s">
        <v>20486</v>
      </c>
      <c r="CL423" t="s">
        <v>13809</v>
      </c>
      <c r="CR423" t="s">
        <v>13809</v>
      </c>
      <c r="CT423" t="s">
        <v>20487</v>
      </c>
      <c r="CU423" t="s">
        <v>13909</v>
      </c>
      <c r="CV423" t="s">
        <v>13818</v>
      </c>
      <c r="DA423" t="s">
        <v>13909</v>
      </c>
      <c r="DB423" t="s">
        <v>13818</v>
      </c>
      <c r="DG423" t="s">
        <v>16141</v>
      </c>
      <c r="DH423" t="s">
        <v>13808</v>
      </c>
      <c r="DJ423" t="s">
        <v>16874</v>
      </c>
      <c r="DK423" t="s">
        <v>13818</v>
      </c>
      <c r="DM423" t="s">
        <v>20488</v>
      </c>
      <c r="DN423" t="s">
        <v>13808</v>
      </c>
      <c r="DY423" t="s">
        <v>19081</v>
      </c>
      <c r="DZ423" t="s">
        <v>14607</v>
      </c>
      <c r="EA423" t="s">
        <v>18022</v>
      </c>
      <c r="EC423">
        <v>44258</v>
      </c>
      <c r="ED423" t="s">
        <v>13903</v>
      </c>
      <c r="EE423" t="s">
        <v>7491</v>
      </c>
    </row>
    <row r="424" spans="1:135">
      <c r="A424" t="s">
        <v>3008</v>
      </c>
      <c r="B424" t="s">
        <v>2926</v>
      </c>
      <c r="C424" t="s">
        <v>20489</v>
      </c>
      <c r="D424" s="24">
        <v>43531</v>
      </c>
      <c r="E424" s="24" t="s">
        <v>13553</v>
      </c>
      <c r="F424" s="24" t="s">
        <v>20490</v>
      </c>
      <c r="G424" s="24" t="s">
        <v>13808</v>
      </c>
      <c r="H424" s="24"/>
      <c r="I424" s="24" t="s">
        <v>13809</v>
      </c>
      <c r="J424" s="24"/>
      <c r="K424" s="24" t="s">
        <v>13809</v>
      </c>
      <c r="L424" s="24"/>
      <c r="M424" s="24" t="s">
        <v>19387</v>
      </c>
      <c r="N424" s="24" t="s">
        <v>13808</v>
      </c>
      <c r="O424" s="24"/>
      <c r="P424" s="24" t="s">
        <v>13808</v>
      </c>
      <c r="Q424" s="24"/>
      <c r="R424" s="24" t="s">
        <v>13808</v>
      </c>
      <c r="S424" s="24"/>
      <c r="T424" t="s">
        <v>20491</v>
      </c>
      <c r="U424" t="s">
        <v>13809</v>
      </c>
      <c r="W424" t="s">
        <v>13808</v>
      </c>
      <c r="X424" t="s">
        <v>20492</v>
      </c>
      <c r="Y424" t="s">
        <v>13809</v>
      </c>
      <c r="AA424" t="s">
        <v>13877</v>
      </c>
      <c r="AB424" t="s">
        <v>15209</v>
      </c>
      <c r="AC424" t="s">
        <v>13808</v>
      </c>
      <c r="AH424" t="s">
        <v>13909</v>
      </c>
      <c r="AI424" t="s">
        <v>13808</v>
      </c>
      <c r="AO424" t="s">
        <v>13809</v>
      </c>
      <c r="AT424" t="s">
        <v>14852</v>
      </c>
      <c r="AU424" t="s">
        <v>13808</v>
      </c>
      <c r="AZ424" t="s">
        <v>13880</v>
      </c>
      <c r="BA424" t="s">
        <v>13808</v>
      </c>
      <c r="BF424" t="s">
        <v>20493</v>
      </c>
      <c r="BG424" t="s">
        <v>13808</v>
      </c>
      <c r="BL424" t="s">
        <v>20494</v>
      </c>
      <c r="BM424" t="s">
        <v>13808</v>
      </c>
      <c r="BR424" t="s">
        <v>20495</v>
      </c>
      <c r="BT424" t="s">
        <v>13809</v>
      </c>
      <c r="BY424" t="s">
        <v>14265</v>
      </c>
      <c r="BZ424" t="s">
        <v>13808</v>
      </c>
      <c r="CA424" t="s">
        <v>20450</v>
      </c>
      <c r="CE424" t="s">
        <v>16141</v>
      </c>
      <c r="CF424" t="s">
        <v>13808</v>
      </c>
      <c r="CL424" t="s">
        <v>13809</v>
      </c>
      <c r="CR424" t="s">
        <v>13809</v>
      </c>
      <c r="CT424" t="s">
        <v>20496</v>
      </c>
      <c r="CU424" t="s">
        <v>13909</v>
      </c>
      <c r="CV424" t="s">
        <v>13808</v>
      </c>
      <c r="DA424" t="s">
        <v>13909</v>
      </c>
      <c r="DB424" t="s">
        <v>13808</v>
      </c>
      <c r="DG424" t="s">
        <v>13909</v>
      </c>
      <c r="DH424" t="s">
        <v>13808</v>
      </c>
      <c r="DM424" t="s">
        <v>16503</v>
      </c>
      <c r="DN424" t="s">
        <v>13808</v>
      </c>
      <c r="DZ424" t="s">
        <v>20497</v>
      </c>
      <c r="EA424" t="s">
        <v>20498</v>
      </c>
      <c r="EC424">
        <v>43480</v>
      </c>
      <c r="ED424" t="s">
        <v>14501</v>
      </c>
      <c r="EE424" t="s">
        <v>7719</v>
      </c>
    </row>
    <row r="425" spans="1:135">
      <c r="A425" t="s">
        <v>2688</v>
      </c>
      <c r="B425" t="s">
        <v>2314</v>
      </c>
      <c r="C425" t="s">
        <v>20499</v>
      </c>
      <c r="D425" s="24">
        <v>43557</v>
      </c>
      <c r="E425" s="24" t="s">
        <v>13553</v>
      </c>
      <c r="F425" s="24" t="s">
        <v>20500</v>
      </c>
      <c r="G425" s="24" t="s">
        <v>13897</v>
      </c>
      <c r="H425" s="24"/>
      <c r="I425" s="24" t="s">
        <v>18960</v>
      </c>
      <c r="J425" s="24"/>
      <c r="K425" s="24" t="s">
        <v>18960</v>
      </c>
      <c r="L425" s="24"/>
      <c r="M425" s="24" t="s">
        <v>20501</v>
      </c>
      <c r="N425" s="24" t="s">
        <v>13897</v>
      </c>
      <c r="O425" s="24"/>
      <c r="P425" s="24" t="s">
        <v>19072</v>
      </c>
      <c r="Q425" s="24"/>
      <c r="R425" s="24" t="s">
        <v>13897</v>
      </c>
      <c r="S425" s="24"/>
      <c r="T425" t="s">
        <v>14016</v>
      </c>
      <c r="U425" t="s">
        <v>18960</v>
      </c>
      <c r="W425" t="s">
        <v>13808</v>
      </c>
      <c r="X425" t="s">
        <v>20502</v>
      </c>
      <c r="Y425" t="s">
        <v>13809</v>
      </c>
      <c r="AA425" t="s">
        <v>20503</v>
      </c>
      <c r="AB425" t="s">
        <v>20504</v>
      </c>
      <c r="AC425" t="s">
        <v>13808</v>
      </c>
      <c r="AH425" t="s">
        <v>13909</v>
      </c>
      <c r="AI425" t="s">
        <v>13808</v>
      </c>
      <c r="AO425" t="s">
        <v>13809</v>
      </c>
      <c r="AT425" t="s">
        <v>15625</v>
      </c>
      <c r="AU425" t="s">
        <v>13808</v>
      </c>
      <c r="AZ425" t="s">
        <v>20505</v>
      </c>
      <c r="BA425" t="s">
        <v>13808</v>
      </c>
      <c r="BF425" t="s">
        <v>20506</v>
      </c>
      <c r="BG425" t="s">
        <v>13808</v>
      </c>
      <c r="BL425" t="s">
        <v>20507</v>
      </c>
      <c r="BM425" t="s">
        <v>13808</v>
      </c>
      <c r="BR425" t="s">
        <v>20508</v>
      </c>
      <c r="BS425" t="s">
        <v>14004</v>
      </c>
      <c r="BT425" t="s">
        <v>13808</v>
      </c>
      <c r="BU425" t="s">
        <v>14336</v>
      </c>
      <c r="BY425" t="s">
        <v>13887</v>
      </c>
      <c r="BZ425" t="s">
        <v>13808</v>
      </c>
      <c r="CA425" t="s">
        <v>13937</v>
      </c>
      <c r="CE425" t="s">
        <v>20509</v>
      </c>
      <c r="CF425" t="s">
        <v>13808</v>
      </c>
      <c r="CL425" t="s">
        <v>13809</v>
      </c>
      <c r="CR425" t="s">
        <v>13809</v>
      </c>
      <c r="CT425" t="s">
        <v>20510</v>
      </c>
      <c r="CU425" t="s">
        <v>20511</v>
      </c>
      <c r="CV425" t="s">
        <v>13808</v>
      </c>
      <c r="DA425" t="s">
        <v>20512</v>
      </c>
      <c r="DB425" t="s">
        <v>13808</v>
      </c>
      <c r="DM425" t="s">
        <v>20513</v>
      </c>
      <c r="DN425" t="s">
        <v>13808</v>
      </c>
      <c r="DY425" t="s">
        <v>15828</v>
      </c>
      <c r="DZ425" t="s">
        <v>20514</v>
      </c>
      <c r="EA425" t="s">
        <v>20515</v>
      </c>
      <c r="EC425">
        <v>44258</v>
      </c>
      <c r="ED425" t="s">
        <v>14501</v>
      </c>
      <c r="EE425" t="s">
        <v>7355</v>
      </c>
    </row>
    <row r="426" spans="1:135">
      <c r="A426" t="s">
        <v>4052</v>
      </c>
      <c r="B426" t="s">
        <v>4051</v>
      </c>
      <c r="C426" t="s">
        <v>20516</v>
      </c>
      <c r="D426" s="24">
        <v>44505</v>
      </c>
      <c r="E426" s="24" t="s">
        <v>13555</v>
      </c>
      <c r="F426" s="24" t="s">
        <v>20517</v>
      </c>
      <c r="G426" s="24" t="s">
        <v>13808</v>
      </c>
      <c r="H426" s="24"/>
      <c r="I426" s="24" t="s">
        <v>13809</v>
      </c>
      <c r="J426" s="24"/>
      <c r="K426" s="24" t="s">
        <v>13808</v>
      </c>
      <c r="L426" s="24"/>
      <c r="M426" s="24" t="s">
        <v>20518</v>
      </c>
      <c r="N426" s="24" t="s">
        <v>13808</v>
      </c>
      <c r="O426" s="24"/>
      <c r="P426" s="24" t="s">
        <v>13808</v>
      </c>
      <c r="Q426" s="24" t="s">
        <v>20519</v>
      </c>
      <c r="R426" s="24" t="s">
        <v>13808</v>
      </c>
      <c r="S426" s="24"/>
      <c r="T426" t="s">
        <v>20520</v>
      </c>
      <c r="U426" t="s">
        <v>13808</v>
      </c>
      <c r="V426" t="s">
        <v>20521</v>
      </c>
      <c r="W426" t="s">
        <v>13808</v>
      </c>
      <c r="X426" t="s">
        <v>20522</v>
      </c>
      <c r="Y426" t="s">
        <v>13809</v>
      </c>
      <c r="AA426" t="s">
        <v>20523</v>
      </c>
      <c r="AB426" t="s">
        <v>20524</v>
      </c>
      <c r="AC426" t="s">
        <v>13808</v>
      </c>
      <c r="AH426" t="s">
        <v>20525</v>
      </c>
      <c r="AI426" t="s">
        <v>13808</v>
      </c>
      <c r="AK426" t="s">
        <v>20526</v>
      </c>
      <c r="AL426" t="s">
        <v>13818</v>
      </c>
      <c r="AM426" t="s">
        <v>14309</v>
      </c>
      <c r="AN426" t="s">
        <v>20527</v>
      </c>
      <c r="AO426" t="s">
        <v>13808</v>
      </c>
      <c r="AT426" t="s">
        <v>15954</v>
      </c>
      <c r="AU426" t="s">
        <v>13808</v>
      </c>
      <c r="AZ426" t="s">
        <v>20528</v>
      </c>
      <c r="BA426" t="s">
        <v>13808</v>
      </c>
      <c r="BF426" t="s">
        <v>20529</v>
      </c>
      <c r="BG426" t="s">
        <v>13808</v>
      </c>
      <c r="BL426" t="s">
        <v>18334</v>
      </c>
      <c r="BM426" t="s">
        <v>13808</v>
      </c>
      <c r="BR426" t="s">
        <v>20530</v>
      </c>
      <c r="BS426" t="s">
        <v>13742</v>
      </c>
      <c r="BT426" t="s">
        <v>13809</v>
      </c>
      <c r="BY426" t="s">
        <v>14148</v>
      </c>
      <c r="BZ426" t="s">
        <v>13808</v>
      </c>
      <c r="CA426" t="s">
        <v>13861</v>
      </c>
      <c r="CE426" t="s">
        <v>13828</v>
      </c>
      <c r="CF426" t="s">
        <v>13808</v>
      </c>
      <c r="CG426" t="s">
        <v>20531</v>
      </c>
      <c r="CK426" t="s">
        <v>13760</v>
      </c>
      <c r="CL426" t="s">
        <v>13809</v>
      </c>
      <c r="CQ426" t="s">
        <v>13766</v>
      </c>
      <c r="CR426" t="s">
        <v>13809</v>
      </c>
      <c r="CT426" t="s">
        <v>16008</v>
      </c>
      <c r="CU426" t="s">
        <v>20532</v>
      </c>
      <c r="CV426" t="s">
        <v>13818</v>
      </c>
      <c r="CX426" t="s">
        <v>20533</v>
      </c>
      <c r="CY426" t="s">
        <v>13808</v>
      </c>
      <c r="DA426" t="s">
        <v>20534</v>
      </c>
      <c r="DB426" t="s">
        <v>13818</v>
      </c>
      <c r="DD426" t="s">
        <v>20535</v>
      </c>
      <c r="DE426" t="s">
        <v>13808</v>
      </c>
      <c r="DG426" t="s">
        <v>20536</v>
      </c>
      <c r="DH426" t="s">
        <v>13818</v>
      </c>
      <c r="DJ426" t="s">
        <v>20537</v>
      </c>
      <c r="DK426" t="s">
        <v>13808</v>
      </c>
      <c r="DM426" t="s">
        <v>20538</v>
      </c>
      <c r="DN426" t="s">
        <v>13808</v>
      </c>
      <c r="DY426" t="s">
        <v>13840</v>
      </c>
      <c r="DZ426" t="s">
        <v>20539</v>
      </c>
      <c r="EA426" t="s">
        <v>20540</v>
      </c>
      <c r="EC426">
        <v>44692</v>
      </c>
      <c r="ED426" t="s">
        <v>13843</v>
      </c>
      <c r="EE426" t="s">
        <v>8895</v>
      </c>
    </row>
    <row r="427" spans="1:135">
      <c r="A427" t="s">
        <v>3809</v>
      </c>
      <c r="B427" t="s">
        <v>3808</v>
      </c>
      <c r="C427" t="s">
        <v>20541</v>
      </c>
      <c r="D427" s="24">
        <v>43993</v>
      </c>
      <c r="E427" s="24" t="s">
        <v>13553</v>
      </c>
      <c r="F427" s="24" t="s">
        <v>20542</v>
      </c>
      <c r="G427" s="24" t="s">
        <v>13808</v>
      </c>
      <c r="H427" s="24"/>
      <c r="I427" s="24" t="s">
        <v>13809</v>
      </c>
      <c r="J427" s="24"/>
      <c r="K427" s="24" t="s">
        <v>13809</v>
      </c>
      <c r="L427" s="24"/>
      <c r="M427" s="24" t="s">
        <v>13846</v>
      </c>
      <c r="N427" s="24" t="s">
        <v>13808</v>
      </c>
      <c r="O427" s="24"/>
      <c r="P427" s="24" t="s">
        <v>13808</v>
      </c>
      <c r="Q427" s="24"/>
      <c r="R427" s="24" t="s">
        <v>13808</v>
      </c>
      <c r="S427" s="24"/>
      <c r="T427" t="s">
        <v>14016</v>
      </c>
      <c r="U427" t="s">
        <v>13808</v>
      </c>
      <c r="W427" t="s">
        <v>13808</v>
      </c>
      <c r="X427" t="s">
        <v>20543</v>
      </c>
      <c r="Y427" t="s">
        <v>13809</v>
      </c>
      <c r="AA427" t="s">
        <v>13877</v>
      </c>
      <c r="AB427" t="s">
        <v>14598</v>
      </c>
      <c r="AC427" t="s">
        <v>13808</v>
      </c>
      <c r="AH427" t="s">
        <v>13909</v>
      </c>
      <c r="AI427" t="s">
        <v>13808</v>
      </c>
      <c r="AN427" t="s">
        <v>13809</v>
      </c>
      <c r="AT427" t="s">
        <v>15633</v>
      </c>
      <c r="AU427" t="s">
        <v>13808</v>
      </c>
      <c r="AZ427" t="s">
        <v>13912</v>
      </c>
      <c r="BA427" t="s">
        <v>13808</v>
      </c>
      <c r="BF427" t="s">
        <v>14972</v>
      </c>
      <c r="BG427" t="s">
        <v>13808</v>
      </c>
      <c r="BL427" t="s">
        <v>16589</v>
      </c>
      <c r="BM427" t="s">
        <v>13808</v>
      </c>
      <c r="BR427" t="s">
        <v>20544</v>
      </c>
      <c r="BS427" t="s">
        <v>13809</v>
      </c>
      <c r="BY427" t="s">
        <v>14265</v>
      </c>
      <c r="BZ427" t="s">
        <v>13808</v>
      </c>
      <c r="CA427" t="s">
        <v>14026</v>
      </c>
      <c r="CE427" t="s">
        <v>14265</v>
      </c>
      <c r="CF427" t="s">
        <v>13808</v>
      </c>
      <c r="CG427" t="s">
        <v>14291</v>
      </c>
      <c r="CK427" t="s">
        <v>13809</v>
      </c>
      <c r="CR427" t="s">
        <v>13809</v>
      </c>
      <c r="CT427" t="s">
        <v>14027</v>
      </c>
      <c r="CU427" t="s">
        <v>20545</v>
      </c>
      <c r="CV427" t="s">
        <v>13808</v>
      </c>
      <c r="DA427" t="s">
        <v>20546</v>
      </c>
      <c r="DB427" t="s">
        <v>13808</v>
      </c>
      <c r="DM427" t="s">
        <v>20547</v>
      </c>
      <c r="DN427" t="s">
        <v>13808</v>
      </c>
      <c r="DY427" t="s">
        <v>15296</v>
      </c>
      <c r="DZ427" t="s">
        <v>20548</v>
      </c>
      <c r="EA427" t="s">
        <v>14500</v>
      </c>
      <c r="EC427">
        <v>44020</v>
      </c>
      <c r="ED427" t="s">
        <v>13903</v>
      </c>
      <c r="EE427" t="s">
        <v>8607</v>
      </c>
    </row>
    <row r="428" spans="1:135">
      <c r="A428" t="s">
        <v>3163</v>
      </c>
      <c r="B428" t="s">
        <v>3161</v>
      </c>
      <c r="C428" t="s">
        <v>20549</v>
      </c>
      <c r="D428" s="24">
        <v>43759</v>
      </c>
      <c r="E428" s="24" t="s">
        <v>13553</v>
      </c>
      <c r="F428" s="24" t="s">
        <v>20550</v>
      </c>
      <c r="G428" s="24" t="s">
        <v>13808</v>
      </c>
      <c r="H428" s="24"/>
      <c r="I428" s="24" t="s">
        <v>13809</v>
      </c>
      <c r="J428" s="24"/>
      <c r="K428" s="24" t="s">
        <v>13809</v>
      </c>
      <c r="L428" s="24"/>
      <c r="M428" s="24" t="s">
        <v>14163</v>
      </c>
      <c r="N428" s="24" t="s">
        <v>13808</v>
      </c>
      <c r="O428" s="24"/>
      <c r="P428" s="24" t="s">
        <v>13808</v>
      </c>
      <c r="Q428" s="24"/>
      <c r="R428" s="24" t="s">
        <v>13808</v>
      </c>
      <c r="S428" s="24"/>
      <c r="T428" t="s">
        <v>20551</v>
      </c>
      <c r="U428" t="s">
        <v>13808</v>
      </c>
      <c r="W428" t="s">
        <v>13808</v>
      </c>
      <c r="Y428" t="s">
        <v>13809</v>
      </c>
      <c r="AA428" t="s">
        <v>13877</v>
      </c>
      <c r="AB428" t="s">
        <v>20552</v>
      </c>
      <c r="AC428" t="s">
        <v>13808</v>
      </c>
      <c r="AH428" t="s">
        <v>13909</v>
      </c>
      <c r="AI428" t="s">
        <v>13808</v>
      </c>
      <c r="AO428" t="s">
        <v>13809</v>
      </c>
      <c r="AT428" t="s">
        <v>18478</v>
      </c>
      <c r="AU428" t="s">
        <v>13808</v>
      </c>
      <c r="AZ428" t="s">
        <v>20553</v>
      </c>
      <c r="BA428" t="s">
        <v>13808</v>
      </c>
      <c r="BF428" t="s">
        <v>20554</v>
      </c>
      <c r="BG428" t="s">
        <v>13808</v>
      </c>
      <c r="BL428" t="s">
        <v>20555</v>
      </c>
      <c r="BM428" t="s">
        <v>13808</v>
      </c>
      <c r="BR428" t="s">
        <v>20556</v>
      </c>
      <c r="BS428" t="s">
        <v>14197</v>
      </c>
      <c r="BT428" t="s">
        <v>13808</v>
      </c>
      <c r="BU428" t="s">
        <v>16499</v>
      </c>
      <c r="BY428" t="s">
        <v>13887</v>
      </c>
      <c r="BZ428" t="s">
        <v>13808</v>
      </c>
      <c r="CA428" t="s">
        <v>13888</v>
      </c>
      <c r="CE428" t="s">
        <v>14197</v>
      </c>
      <c r="CF428" t="s">
        <v>13808</v>
      </c>
      <c r="CK428" t="s">
        <v>20557</v>
      </c>
      <c r="CL428" t="s">
        <v>13808</v>
      </c>
      <c r="CR428" t="s">
        <v>13809</v>
      </c>
      <c r="CT428" t="s">
        <v>20558</v>
      </c>
      <c r="CU428" t="s">
        <v>20559</v>
      </c>
      <c r="CV428" t="s">
        <v>13808</v>
      </c>
      <c r="DA428" t="s">
        <v>20560</v>
      </c>
      <c r="DB428" t="s">
        <v>13808</v>
      </c>
      <c r="DH428" t="s">
        <v>13809</v>
      </c>
      <c r="DM428" t="s">
        <v>20561</v>
      </c>
      <c r="DN428" t="s">
        <v>13808</v>
      </c>
      <c r="DP428" t="s">
        <v>20562</v>
      </c>
      <c r="DQ428" t="s">
        <v>13808</v>
      </c>
      <c r="DY428" t="s">
        <v>15828</v>
      </c>
      <c r="DZ428" t="s">
        <v>20563</v>
      </c>
      <c r="EA428" t="s">
        <v>14500</v>
      </c>
      <c r="EC428">
        <v>43790</v>
      </c>
      <c r="ED428" t="s">
        <v>13903</v>
      </c>
      <c r="EE428" t="s">
        <v>7871</v>
      </c>
    </row>
    <row r="429" spans="1:135">
      <c r="A429" t="s">
        <v>3170</v>
      </c>
      <c r="B429" t="s">
        <v>3161</v>
      </c>
      <c r="C429" t="s">
        <v>20564</v>
      </c>
      <c r="D429" s="24">
        <v>43700</v>
      </c>
      <c r="E429" s="24" t="s">
        <v>13553</v>
      </c>
      <c r="F429" s="24" t="s">
        <v>20565</v>
      </c>
      <c r="G429" s="24" t="s">
        <v>13808</v>
      </c>
      <c r="H429" s="24"/>
      <c r="I429" s="24" t="s">
        <v>13809</v>
      </c>
      <c r="J429" s="24"/>
      <c r="K429" s="24" t="s">
        <v>13809</v>
      </c>
      <c r="L429" s="24"/>
      <c r="M429" s="24" t="s">
        <v>20566</v>
      </c>
      <c r="N429" s="24" t="s">
        <v>13808</v>
      </c>
      <c r="O429" s="24"/>
      <c r="P429" s="24" t="s">
        <v>13808</v>
      </c>
      <c r="Q429" s="24"/>
      <c r="R429" s="24" t="s">
        <v>13808</v>
      </c>
      <c r="S429" s="24"/>
      <c r="T429" t="s">
        <v>20567</v>
      </c>
      <c r="U429" t="s">
        <v>13809</v>
      </c>
      <c r="W429" t="s">
        <v>13808</v>
      </c>
      <c r="X429" t="s">
        <v>20568</v>
      </c>
      <c r="Y429" t="s">
        <v>13809</v>
      </c>
      <c r="AA429" t="s">
        <v>13877</v>
      </c>
      <c r="AB429" t="s">
        <v>16510</v>
      </c>
      <c r="AC429" t="s">
        <v>13808</v>
      </c>
      <c r="AH429" t="s">
        <v>13909</v>
      </c>
      <c r="AI429" t="s">
        <v>13808</v>
      </c>
      <c r="AN429" t="s">
        <v>18506</v>
      </c>
      <c r="AO429" t="s">
        <v>13808</v>
      </c>
      <c r="AT429" t="s">
        <v>20569</v>
      </c>
      <c r="AU429" t="s">
        <v>13808</v>
      </c>
      <c r="AZ429" t="s">
        <v>20570</v>
      </c>
      <c r="BA429" t="s">
        <v>13808</v>
      </c>
      <c r="BF429" t="s">
        <v>20571</v>
      </c>
      <c r="BG429" t="s">
        <v>13808</v>
      </c>
      <c r="BM429" t="s">
        <v>13809</v>
      </c>
      <c r="BR429" t="s">
        <v>20572</v>
      </c>
      <c r="BS429" t="s">
        <v>13885</v>
      </c>
      <c r="BT429" t="s">
        <v>13808</v>
      </c>
      <c r="BU429" t="s">
        <v>16499</v>
      </c>
      <c r="BY429" t="s">
        <v>13887</v>
      </c>
      <c r="BZ429" t="s">
        <v>13808</v>
      </c>
      <c r="CA429" t="s">
        <v>13888</v>
      </c>
      <c r="CE429" t="s">
        <v>13885</v>
      </c>
      <c r="CF429" t="s">
        <v>13808</v>
      </c>
      <c r="CL429" t="s">
        <v>13809</v>
      </c>
      <c r="CR429" t="s">
        <v>13809</v>
      </c>
      <c r="CT429" t="s">
        <v>20573</v>
      </c>
      <c r="CU429" t="s">
        <v>20574</v>
      </c>
      <c r="CV429" t="s">
        <v>13808</v>
      </c>
      <c r="DA429" t="s">
        <v>20575</v>
      </c>
      <c r="DB429" t="s">
        <v>13808</v>
      </c>
      <c r="DH429" t="s">
        <v>13809</v>
      </c>
      <c r="DM429" t="s">
        <v>20576</v>
      </c>
      <c r="DN429" t="s">
        <v>13808</v>
      </c>
      <c r="DP429" t="s">
        <v>20577</v>
      </c>
      <c r="DQ429" t="s">
        <v>13808</v>
      </c>
      <c r="DY429" t="s">
        <v>15828</v>
      </c>
      <c r="DZ429" t="s">
        <v>20578</v>
      </c>
      <c r="EA429" t="s">
        <v>16557</v>
      </c>
      <c r="ED429" t="s">
        <v>13903</v>
      </c>
      <c r="EE429" t="s">
        <v>7878</v>
      </c>
    </row>
    <row r="430" spans="1:135">
      <c r="A430" t="s">
        <v>3814</v>
      </c>
      <c r="B430" t="s">
        <v>3808</v>
      </c>
      <c r="C430" t="s">
        <v>20579</v>
      </c>
      <c r="D430" s="24">
        <v>43214</v>
      </c>
      <c r="E430" s="24" t="s">
        <v>13559</v>
      </c>
      <c r="F430" s="24" t="s">
        <v>20580</v>
      </c>
      <c r="G430" s="24" t="s">
        <v>13808</v>
      </c>
      <c r="H430" s="24"/>
      <c r="I430" s="24" t="s">
        <v>13809</v>
      </c>
      <c r="J430" s="24"/>
      <c r="K430" s="24" t="s">
        <v>13809</v>
      </c>
      <c r="L430" s="24"/>
      <c r="M430" s="24" t="s">
        <v>20581</v>
      </c>
      <c r="N430" s="24" t="s">
        <v>13808</v>
      </c>
      <c r="O430" s="24"/>
      <c r="P430" s="24" t="s">
        <v>13808</v>
      </c>
      <c r="Q430" s="24"/>
      <c r="R430" s="24" t="s">
        <v>13808</v>
      </c>
      <c r="S430" s="24"/>
      <c r="T430" t="s">
        <v>14137</v>
      </c>
      <c r="U430" t="s">
        <v>13809</v>
      </c>
      <c r="W430" t="s">
        <v>13809</v>
      </c>
      <c r="Y430" t="s">
        <v>13809</v>
      </c>
      <c r="AA430" t="s">
        <v>20582</v>
      </c>
      <c r="AB430" t="s">
        <v>14059</v>
      </c>
      <c r="AC430" t="s">
        <v>13808</v>
      </c>
      <c r="AH430" t="s">
        <v>13887</v>
      </c>
      <c r="AI430" t="s">
        <v>13808</v>
      </c>
      <c r="AK430" t="s">
        <v>15309</v>
      </c>
      <c r="AL430" t="s">
        <v>13818</v>
      </c>
      <c r="AM430" t="s">
        <v>13819</v>
      </c>
      <c r="AN430" t="s">
        <v>20583</v>
      </c>
      <c r="AO430" t="s">
        <v>13818</v>
      </c>
      <c r="AP430" t="s">
        <v>13819</v>
      </c>
      <c r="AT430" t="s">
        <v>14544</v>
      </c>
      <c r="AU430" t="s">
        <v>13818</v>
      </c>
      <c r="AV430" t="s">
        <v>13819</v>
      </c>
      <c r="AZ430" t="s">
        <v>20584</v>
      </c>
      <c r="BA430" t="s">
        <v>13808</v>
      </c>
      <c r="BF430" t="s">
        <v>20585</v>
      </c>
      <c r="BG430" t="s">
        <v>13808</v>
      </c>
      <c r="BL430" t="s">
        <v>20586</v>
      </c>
      <c r="BM430" t="s">
        <v>13818</v>
      </c>
      <c r="BN430" t="s">
        <v>13819</v>
      </c>
      <c r="BR430" t="s">
        <v>20587</v>
      </c>
      <c r="BS430" t="s">
        <v>13887</v>
      </c>
      <c r="BT430" t="s">
        <v>13808</v>
      </c>
      <c r="BU430" t="s">
        <v>16499</v>
      </c>
      <c r="BY430" t="s">
        <v>14265</v>
      </c>
      <c r="BZ430" t="s">
        <v>13818</v>
      </c>
      <c r="CA430" t="s">
        <v>14780</v>
      </c>
      <c r="CE430" t="s">
        <v>13887</v>
      </c>
      <c r="CF430" t="s">
        <v>13808</v>
      </c>
      <c r="CL430" t="s">
        <v>13809</v>
      </c>
      <c r="CR430" t="s">
        <v>13809</v>
      </c>
      <c r="CT430" t="s">
        <v>20588</v>
      </c>
      <c r="CU430" t="s">
        <v>13887</v>
      </c>
      <c r="CV430" t="s">
        <v>13808</v>
      </c>
      <c r="CX430" t="s">
        <v>15309</v>
      </c>
      <c r="CY430" t="s">
        <v>13818</v>
      </c>
      <c r="DA430" t="s">
        <v>13887</v>
      </c>
      <c r="DB430" t="s">
        <v>13808</v>
      </c>
      <c r="DD430" t="s">
        <v>15309</v>
      </c>
      <c r="DE430" t="s">
        <v>13818</v>
      </c>
      <c r="DG430" t="s">
        <v>13909</v>
      </c>
      <c r="DH430" t="s">
        <v>13818</v>
      </c>
      <c r="DY430" t="s">
        <v>15296</v>
      </c>
      <c r="DZ430" t="s">
        <v>20589</v>
      </c>
      <c r="EA430" t="s">
        <v>16172</v>
      </c>
      <c r="EC430">
        <v>44168</v>
      </c>
      <c r="ED430" t="s">
        <v>13903</v>
      </c>
      <c r="EE430" t="s">
        <v>8611</v>
      </c>
    </row>
    <row r="431" spans="1:135">
      <c r="A431" t="s">
        <v>4056</v>
      </c>
      <c r="B431" t="s">
        <v>4051</v>
      </c>
      <c r="C431" t="s">
        <v>20590</v>
      </c>
      <c r="D431" s="24">
        <v>44379</v>
      </c>
      <c r="E431" s="24" t="s">
        <v>13559</v>
      </c>
      <c r="F431" s="24" t="s">
        <v>20591</v>
      </c>
      <c r="G431" s="24" t="s">
        <v>13808</v>
      </c>
      <c r="H431" s="24"/>
      <c r="I431" s="24" t="s">
        <v>13809</v>
      </c>
      <c r="J431" s="24"/>
      <c r="K431" s="24" t="s">
        <v>13808</v>
      </c>
      <c r="L431" s="24"/>
      <c r="M431" s="24" t="s">
        <v>15106</v>
      </c>
      <c r="N431" s="24" t="s">
        <v>13808</v>
      </c>
      <c r="O431" s="24"/>
      <c r="P431" s="24" t="s">
        <v>13808</v>
      </c>
      <c r="Q431" s="24"/>
      <c r="R431" s="24" t="s">
        <v>13808</v>
      </c>
      <c r="S431" s="24"/>
      <c r="T431" t="s">
        <v>13907</v>
      </c>
      <c r="U431" t="s">
        <v>13809</v>
      </c>
      <c r="W431" t="s">
        <v>13808</v>
      </c>
      <c r="X431" t="s">
        <v>20592</v>
      </c>
      <c r="Y431" t="s">
        <v>13809</v>
      </c>
      <c r="AA431" t="s">
        <v>14594</v>
      </c>
      <c r="AB431" t="s">
        <v>15898</v>
      </c>
      <c r="AC431" t="s">
        <v>13808</v>
      </c>
      <c r="AH431" t="s">
        <v>13909</v>
      </c>
      <c r="AI431" t="s">
        <v>13808</v>
      </c>
      <c r="AN431" t="s">
        <v>13809</v>
      </c>
      <c r="AT431" t="s">
        <v>14166</v>
      </c>
      <c r="AU431" t="s">
        <v>13808</v>
      </c>
      <c r="AZ431" t="s">
        <v>14169</v>
      </c>
      <c r="BA431" t="s">
        <v>13808</v>
      </c>
      <c r="BF431" t="s">
        <v>14189</v>
      </c>
      <c r="BG431" t="s">
        <v>13808</v>
      </c>
      <c r="BL431" t="s">
        <v>15625</v>
      </c>
      <c r="BM431" t="s">
        <v>13808</v>
      </c>
      <c r="BR431" t="s">
        <v>20593</v>
      </c>
      <c r="BS431" t="s">
        <v>13887</v>
      </c>
      <c r="BT431" t="s">
        <v>13808</v>
      </c>
      <c r="BU431" t="s">
        <v>14528</v>
      </c>
      <c r="BY431" t="s">
        <v>14265</v>
      </c>
      <c r="BZ431" t="s">
        <v>13808</v>
      </c>
      <c r="CA431" t="s">
        <v>13937</v>
      </c>
      <c r="CE431" t="s">
        <v>14693</v>
      </c>
      <c r="CF431" t="s">
        <v>13808</v>
      </c>
      <c r="CH431" t="s">
        <v>14197</v>
      </c>
      <c r="CI431" t="s">
        <v>13818</v>
      </c>
      <c r="CJ431" t="s">
        <v>20594</v>
      </c>
      <c r="CL431" t="s">
        <v>13809</v>
      </c>
      <c r="CR431" t="s">
        <v>13809</v>
      </c>
      <c r="CT431" t="s">
        <v>20595</v>
      </c>
      <c r="CU431" t="s">
        <v>14059</v>
      </c>
      <c r="CV431" t="s">
        <v>13808</v>
      </c>
      <c r="DA431" t="s">
        <v>16368</v>
      </c>
      <c r="DB431" t="s">
        <v>13808</v>
      </c>
      <c r="DG431" t="s">
        <v>20596</v>
      </c>
      <c r="DH431" t="s">
        <v>13818</v>
      </c>
      <c r="DY431" t="s">
        <v>13869</v>
      </c>
      <c r="DZ431" t="s">
        <v>13841</v>
      </c>
      <c r="EA431" t="s">
        <v>13842</v>
      </c>
      <c r="ED431" t="s">
        <v>17223</v>
      </c>
      <c r="EE431" t="s">
        <v>8899</v>
      </c>
    </row>
    <row r="432" spans="1:135">
      <c r="A432" t="s">
        <v>4060</v>
      </c>
      <c r="B432" t="s">
        <v>4051</v>
      </c>
      <c r="C432" t="s">
        <v>20597</v>
      </c>
      <c r="D432" s="24">
        <v>43742</v>
      </c>
      <c r="E432" s="24" t="s">
        <v>13553</v>
      </c>
      <c r="F432" s="24" t="s">
        <v>20598</v>
      </c>
      <c r="G432" s="24" t="s">
        <v>13808</v>
      </c>
      <c r="H432" s="24"/>
      <c r="I432" s="24" t="s">
        <v>13808</v>
      </c>
      <c r="J432" s="24"/>
      <c r="K432" s="24" t="s">
        <v>13808</v>
      </c>
      <c r="L432" s="24"/>
      <c r="M432" s="24" t="s">
        <v>14631</v>
      </c>
      <c r="N432" s="24" t="s">
        <v>13808</v>
      </c>
      <c r="O432" s="24"/>
      <c r="P432" s="24" t="s">
        <v>13808</v>
      </c>
      <c r="Q432" s="24"/>
      <c r="R432" s="24" t="s">
        <v>13808</v>
      </c>
      <c r="S432" s="24"/>
      <c r="T432" t="s">
        <v>20599</v>
      </c>
      <c r="U432" t="s">
        <v>13809</v>
      </c>
      <c r="W432" t="s">
        <v>13808</v>
      </c>
      <c r="X432" t="s">
        <v>20600</v>
      </c>
      <c r="Y432" t="s">
        <v>13809</v>
      </c>
      <c r="AA432" t="s">
        <v>13877</v>
      </c>
      <c r="AC432" t="s">
        <v>13809</v>
      </c>
      <c r="AH432" t="s">
        <v>13909</v>
      </c>
      <c r="AI432" t="s">
        <v>13808</v>
      </c>
      <c r="AN432" t="s">
        <v>20601</v>
      </c>
      <c r="AO432" t="s">
        <v>13808</v>
      </c>
      <c r="AT432" t="s">
        <v>18680</v>
      </c>
      <c r="AU432" t="s">
        <v>13808</v>
      </c>
      <c r="AZ432" t="s">
        <v>16234</v>
      </c>
      <c r="BA432" t="s">
        <v>13808</v>
      </c>
      <c r="BF432" t="s">
        <v>14023</v>
      </c>
      <c r="BG432" t="s">
        <v>13808</v>
      </c>
      <c r="BL432" t="s">
        <v>14020</v>
      </c>
      <c r="BM432" t="s">
        <v>13808</v>
      </c>
      <c r="BR432" t="s">
        <v>20602</v>
      </c>
      <c r="BS432" t="s">
        <v>14003</v>
      </c>
      <c r="BT432" t="s">
        <v>13808</v>
      </c>
      <c r="BU432" t="s">
        <v>14025</v>
      </c>
      <c r="BY432" t="s">
        <v>14003</v>
      </c>
      <c r="BZ432" t="s">
        <v>13808</v>
      </c>
      <c r="CA432" t="s">
        <v>14026</v>
      </c>
      <c r="CE432" t="s">
        <v>13885</v>
      </c>
      <c r="CF432" t="s">
        <v>13808</v>
      </c>
      <c r="CK432" t="s">
        <v>13887</v>
      </c>
      <c r="CL432" t="s">
        <v>13808</v>
      </c>
      <c r="CM432" t="s">
        <v>14173</v>
      </c>
      <c r="CR432" t="s">
        <v>13809</v>
      </c>
      <c r="CT432" t="s">
        <v>14293</v>
      </c>
      <c r="CU432" t="s">
        <v>20603</v>
      </c>
      <c r="CV432" t="s">
        <v>13808</v>
      </c>
      <c r="DA432" t="s">
        <v>20604</v>
      </c>
      <c r="DB432" t="s">
        <v>13808</v>
      </c>
      <c r="DH432" t="s">
        <v>13809</v>
      </c>
      <c r="DM432" t="s">
        <v>20605</v>
      </c>
      <c r="DN432" t="s">
        <v>13808</v>
      </c>
      <c r="DO432" t="s">
        <v>20606</v>
      </c>
      <c r="DY432" t="s">
        <v>13900</v>
      </c>
      <c r="DZ432" t="s">
        <v>16115</v>
      </c>
      <c r="EA432" t="s">
        <v>20607</v>
      </c>
      <c r="EC432">
        <v>43753</v>
      </c>
      <c r="ED432" t="s">
        <v>14501</v>
      </c>
      <c r="EE432" t="s">
        <v>8903</v>
      </c>
    </row>
    <row r="433" spans="1:135">
      <c r="A433" t="s">
        <v>3177</v>
      </c>
      <c r="B433" t="s">
        <v>3161</v>
      </c>
      <c r="C433" t="s">
        <v>20608</v>
      </c>
      <c r="D433" s="24">
        <v>44771</v>
      </c>
      <c r="E433" s="24" t="s">
        <v>13555</v>
      </c>
      <c r="F433" s="24" t="s">
        <v>20609</v>
      </c>
      <c r="G433" s="24" t="s">
        <v>13808</v>
      </c>
      <c r="H433" s="24"/>
      <c r="I433" s="24" t="s">
        <v>13809</v>
      </c>
      <c r="J433" s="24"/>
      <c r="K433" s="24" t="s">
        <v>13809</v>
      </c>
      <c r="L433" s="24"/>
      <c r="M433" s="24" t="s">
        <v>15106</v>
      </c>
      <c r="N433" s="24" t="s">
        <v>13808</v>
      </c>
      <c r="O433" s="24"/>
      <c r="P433" s="24" t="s">
        <v>13808</v>
      </c>
      <c r="Q433" s="24"/>
      <c r="R433" s="24" t="s">
        <v>13808</v>
      </c>
      <c r="S433" s="24"/>
      <c r="T433" t="s">
        <v>13847</v>
      </c>
      <c r="U433" t="s">
        <v>13809</v>
      </c>
      <c r="W433" t="s">
        <v>13808</v>
      </c>
      <c r="X433" t="s">
        <v>20610</v>
      </c>
      <c r="Y433" t="s">
        <v>13808</v>
      </c>
      <c r="Z433" t="s">
        <v>20611</v>
      </c>
      <c r="AA433" t="s">
        <v>14971</v>
      </c>
      <c r="AB433" t="s">
        <v>13699</v>
      </c>
      <c r="AC433" t="s">
        <v>13809</v>
      </c>
      <c r="AH433" t="s">
        <v>20612</v>
      </c>
      <c r="AI433" t="s">
        <v>13808</v>
      </c>
      <c r="AN433" t="s">
        <v>20613</v>
      </c>
      <c r="AO433" t="s">
        <v>13808</v>
      </c>
      <c r="AT433" t="s">
        <v>20614</v>
      </c>
      <c r="AU433" t="s">
        <v>13808</v>
      </c>
      <c r="AZ433" t="s">
        <v>20615</v>
      </c>
      <c r="BA433" t="s">
        <v>13808</v>
      </c>
      <c r="BF433" t="s">
        <v>14349</v>
      </c>
      <c r="BG433" t="s">
        <v>13808</v>
      </c>
      <c r="BL433" t="s">
        <v>13735</v>
      </c>
      <c r="BM433" t="s">
        <v>13809</v>
      </c>
      <c r="BR433" t="s">
        <v>20616</v>
      </c>
      <c r="BS433" t="s">
        <v>13824</v>
      </c>
      <c r="BT433" t="s">
        <v>13808</v>
      </c>
      <c r="BU433" t="s">
        <v>14233</v>
      </c>
      <c r="BY433" t="s">
        <v>13860</v>
      </c>
      <c r="BZ433" t="s">
        <v>13808</v>
      </c>
      <c r="CA433" t="s">
        <v>13937</v>
      </c>
      <c r="CE433" t="s">
        <v>13754</v>
      </c>
      <c r="CF433" t="s">
        <v>13809</v>
      </c>
      <c r="CK433" t="s">
        <v>14581</v>
      </c>
      <c r="CL433" t="s">
        <v>13808</v>
      </c>
      <c r="CQ433" t="s">
        <v>13766</v>
      </c>
      <c r="CR433" t="s">
        <v>13809</v>
      </c>
      <c r="CT433" t="s">
        <v>20617</v>
      </c>
      <c r="CU433" t="s">
        <v>20618</v>
      </c>
      <c r="CV433" t="s">
        <v>13808</v>
      </c>
      <c r="DA433" t="s">
        <v>20619</v>
      </c>
      <c r="DB433" t="s">
        <v>13808</v>
      </c>
      <c r="DD433" t="s">
        <v>20620</v>
      </c>
      <c r="DE433" t="s">
        <v>13818</v>
      </c>
      <c r="DG433" t="s">
        <v>14240</v>
      </c>
      <c r="DH433" t="s">
        <v>13818</v>
      </c>
      <c r="DM433" t="s">
        <v>20621</v>
      </c>
      <c r="DN433" t="s">
        <v>13808</v>
      </c>
      <c r="DP433" t="s">
        <v>20622</v>
      </c>
      <c r="DQ433" t="s">
        <v>13808</v>
      </c>
      <c r="DR433" t="s">
        <v>13839</v>
      </c>
      <c r="DY433" t="s">
        <v>13840</v>
      </c>
      <c r="DZ433" t="s">
        <v>20623</v>
      </c>
      <c r="EA433" t="s">
        <v>20624</v>
      </c>
      <c r="EC433">
        <v>44778</v>
      </c>
      <c r="ED433" t="s">
        <v>14298</v>
      </c>
      <c r="EE433" t="s">
        <v>7885</v>
      </c>
    </row>
    <row r="434" spans="1:135">
      <c r="A434" t="s">
        <v>3181</v>
      </c>
      <c r="B434" t="s">
        <v>3161</v>
      </c>
      <c r="C434" t="s">
        <v>20625</v>
      </c>
      <c r="D434" s="24">
        <v>43432</v>
      </c>
      <c r="E434" s="24" t="s">
        <v>13555</v>
      </c>
      <c r="F434" s="24" t="s">
        <v>20626</v>
      </c>
      <c r="G434" s="24" t="s">
        <v>13808</v>
      </c>
      <c r="H434" s="24"/>
      <c r="I434" s="24" t="s">
        <v>13809</v>
      </c>
      <c r="J434" s="24"/>
      <c r="K434" s="24" t="s">
        <v>13808</v>
      </c>
      <c r="L434" s="24"/>
      <c r="M434" s="24" t="s">
        <v>13950</v>
      </c>
      <c r="N434" s="24" t="s">
        <v>13808</v>
      </c>
      <c r="O434" s="24"/>
      <c r="P434" s="24" t="s">
        <v>13808</v>
      </c>
      <c r="Q434" s="24"/>
      <c r="R434" s="24" t="s">
        <v>13808</v>
      </c>
      <c r="S434" s="24"/>
      <c r="T434" t="s">
        <v>14429</v>
      </c>
      <c r="U434" t="s">
        <v>13808</v>
      </c>
      <c r="V434" t="s">
        <v>20627</v>
      </c>
      <c r="W434" t="s">
        <v>13808</v>
      </c>
      <c r="X434" t="s">
        <v>20628</v>
      </c>
      <c r="Y434" t="s">
        <v>13809</v>
      </c>
      <c r="AA434" t="s">
        <v>14971</v>
      </c>
      <c r="AB434" t="s">
        <v>20629</v>
      </c>
      <c r="AC434" t="s">
        <v>13808</v>
      </c>
      <c r="AH434" t="s">
        <v>13909</v>
      </c>
      <c r="AI434" t="s">
        <v>13808</v>
      </c>
      <c r="AN434" t="s">
        <v>14432</v>
      </c>
      <c r="AO434" t="s">
        <v>13808</v>
      </c>
      <c r="AT434" t="s">
        <v>14816</v>
      </c>
      <c r="AU434" t="s">
        <v>13808</v>
      </c>
      <c r="AZ434" t="s">
        <v>20630</v>
      </c>
      <c r="BA434" t="s">
        <v>13808</v>
      </c>
      <c r="BF434" t="s">
        <v>20631</v>
      </c>
      <c r="BG434" t="s">
        <v>13808</v>
      </c>
      <c r="BL434" t="s">
        <v>20632</v>
      </c>
      <c r="BM434" t="s">
        <v>13808</v>
      </c>
      <c r="BR434" t="s">
        <v>20633</v>
      </c>
      <c r="BS434" t="s">
        <v>13887</v>
      </c>
      <c r="BT434" t="s">
        <v>13808</v>
      </c>
      <c r="BU434" t="s">
        <v>13985</v>
      </c>
      <c r="BY434" t="s">
        <v>14265</v>
      </c>
      <c r="BZ434" t="s">
        <v>13808</v>
      </c>
      <c r="CA434" t="s">
        <v>13861</v>
      </c>
      <c r="CE434" t="s">
        <v>13887</v>
      </c>
      <c r="CF434" t="s">
        <v>13808</v>
      </c>
      <c r="CG434" t="s">
        <v>13863</v>
      </c>
      <c r="CH434" t="s">
        <v>13885</v>
      </c>
      <c r="CI434" t="s">
        <v>13808</v>
      </c>
      <c r="CK434" t="s">
        <v>20634</v>
      </c>
      <c r="CL434" t="s">
        <v>13808</v>
      </c>
      <c r="CR434" t="s">
        <v>13809</v>
      </c>
      <c r="CT434" t="s">
        <v>20635</v>
      </c>
      <c r="CU434" t="s">
        <v>13909</v>
      </c>
      <c r="CV434" t="s">
        <v>13808</v>
      </c>
      <c r="DA434" t="s">
        <v>13909</v>
      </c>
      <c r="DB434" t="s">
        <v>13808</v>
      </c>
      <c r="DH434" t="s">
        <v>13809</v>
      </c>
      <c r="DM434" t="s">
        <v>13909</v>
      </c>
      <c r="DN434" t="s">
        <v>13808</v>
      </c>
      <c r="DZ434" t="s">
        <v>20636</v>
      </c>
      <c r="EA434" t="s">
        <v>16821</v>
      </c>
      <c r="EC434">
        <v>44168</v>
      </c>
      <c r="ED434" t="s">
        <v>13903</v>
      </c>
      <c r="EE434" t="s">
        <v>7889</v>
      </c>
    </row>
    <row r="435" spans="1:135">
      <c r="A435" t="s">
        <v>3185</v>
      </c>
      <c r="B435" t="s">
        <v>3161</v>
      </c>
      <c r="C435" t="s">
        <v>20637</v>
      </c>
      <c r="D435" s="24">
        <v>44756</v>
      </c>
      <c r="E435" s="24" t="s">
        <v>13555</v>
      </c>
      <c r="F435" s="24" t="s">
        <v>20638</v>
      </c>
      <c r="G435" s="24" t="s">
        <v>13808</v>
      </c>
      <c r="H435" s="24"/>
      <c r="I435" s="24" t="s">
        <v>13809</v>
      </c>
      <c r="J435" s="24"/>
      <c r="K435" s="24" t="s">
        <v>13809</v>
      </c>
      <c r="L435" s="24"/>
      <c r="M435" s="24" t="s">
        <v>20639</v>
      </c>
      <c r="N435" s="24" t="s">
        <v>13808</v>
      </c>
      <c r="O435" s="24"/>
      <c r="P435" s="24" t="s">
        <v>13808</v>
      </c>
      <c r="Q435" s="24"/>
      <c r="R435" s="24" t="s">
        <v>13808</v>
      </c>
      <c r="S435" s="24"/>
      <c r="T435" t="s">
        <v>13907</v>
      </c>
      <c r="U435" t="s">
        <v>13809</v>
      </c>
      <c r="W435" t="s">
        <v>13808</v>
      </c>
      <c r="X435" t="s">
        <v>20640</v>
      </c>
      <c r="Y435" t="s">
        <v>13808</v>
      </c>
      <c r="Z435" t="s">
        <v>20641</v>
      </c>
      <c r="AA435" t="s">
        <v>14971</v>
      </c>
      <c r="AB435" t="s">
        <v>20642</v>
      </c>
      <c r="AC435" t="s">
        <v>13808</v>
      </c>
      <c r="AH435" t="s">
        <v>13851</v>
      </c>
      <c r="AI435" t="s">
        <v>13808</v>
      </c>
      <c r="AN435" t="s">
        <v>20643</v>
      </c>
      <c r="AO435" t="s">
        <v>13808</v>
      </c>
      <c r="AT435" t="s">
        <v>20644</v>
      </c>
      <c r="AU435" t="s">
        <v>13808</v>
      </c>
      <c r="AZ435" t="s">
        <v>20645</v>
      </c>
      <c r="BA435" t="s">
        <v>13808</v>
      </c>
      <c r="BF435" t="s">
        <v>20646</v>
      </c>
      <c r="BG435" t="s">
        <v>13808</v>
      </c>
      <c r="BL435" t="s">
        <v>13735</v>
      </c>
      <c r="BM435" t="s">
        <v>13809</v>
      </c>
      <c r="BR435" t="s">
        <v>20647</v>
      </c>
      <c r="BS435" t="s">
        <v>14213</v>
      </c>
      <c r="BT435" t="s">
        <v>13808</v>
      </c>
      <c r="BU435" t="s">
        <v>13985</v>
      </c>
      <c r="BY435" t="s">
        <v>13860</v>
      </c>
      <c r="BZ435" t="s">
        <v>13808</v>
      </c>
      <c r="CA435" t="s">
        <v>13937</v>
      </c>
      <c r="CE435" t="s">
        <v>14215</v>
      </c>
      <c r="CF435" t="s">
        <v>13808</v>
      </c>
      <c r="CK435" t="s">
        <v>14581</v>
      </c>
      <c r="CL435" t="s">
        <v>13808</v>
      </c>
      <c r="CM435" t="s">
        <v>20641</v>
      </c>
      <c r="CQ435" t="s">
        <v>13766</v>
      </c>
      <c r="CR435" t="s">
        <v>13809</v>
      </c>
      <c r="CT435" t="s">
        <v>20648</v>
      </c>
      <c r="CU435" t="s">
        <v>20649</v>
      </c>
      <c r="CV435" t="s">
        <v>13808</v>
      </c>
      <c r="CX435" t="s">
        <v>20650</v>
      </c>
      <c r="CY435" t="s">
        <v>13818</v>
      </c>
      <c r="DA435" t="s">
        <v>20651</v>
      </c>
      <c r="DB435" t="s">
        <v>13808</v>
      </c>
      <c r="DD435" t="s">
        <v>20652</v>
      </c>
      <c r="DE435" t="s">
        <v>13818</v>
      </c>
      <c r="DM435" t="s">
        <v>20653</v>
      </c>
      <c r="DN435" t="s">
        <v>13808</v>
      </c>
      <c r="DP435" t="s">
        <v>20654</v>
      </c>
      <c r="DQ435" t="s">
        <v>13808</v>
      </c>
      <c r="DR435" t="s">
        <v>20655</v>
      </c>
      <c r="DY435" t="s">
        <v>13840</v>
      </c>
      <c r="DZ435" t="s">
        <v>20656</v>
      </c>
      <c r="EA435" t="s">
        <v>16821</v>
      </c>
      <c r="EC435">
        <v>44761</v>
      </c>
      <c r="ED435" t="s">
        <v>14298</v>
      </c>
      <c r="EE435" t="s">
        <v>7893</v>
      </c>
    </row>
    <row r="436" spans="1:135">
      <c r="A436" t="s">
        <v>3940</v>
      </c>
      <c r="B436" t="s">
        <v>3939</v>
      </c>
      <c r="C436" t="s">
        <v>20657</v>
      </c>
      <c r="D436" s="24">
        <v>43442</v>
      </c>
      <c r="E436" s="24" t="s">
        <v>13557</v>
      </c>
      <c r="F436" s="24" t="s">
        <v>20658</v>
      </c>
      <c r="G436" s="24" t="s">
        <v>13808</v>
      </c>
      <c r="H436" s="24"/>
      <c r="I436" s="24" t="s">
        <v>13809</v>
      </c>
      <c r="J436" s="24"/>
      <c r="K436" s="24" t="s">
        <v>13809</v>
      </c>
      <c r="L436" s="24"/>
      <c r="M436" s="24" t="s">
        <v>20659</v>
      </c>
      <c r="N436" s="24" t="s">
        <v>13808</v>
      </c>
      <c r="O436" s="24"/>
      <c r="P436" s="24" t="s">
        <v>13808</v>
      </c>
      <c r="Q436" s="24"/>
      <c r="R436" s="24" t="s">
        <v>13808</v>
      </c>
      <c r="S436" s="24"/>
      <c r="T436" t="s">
        <v>13907</v>
      </c>
      <c r="U436" t="s">
        <v>13809</v>
      </c>
      <c r="W436" t="s">
        <v>13808</v>
      </c>
      <c r="X436" t="s">
        <v>20660</v>
      </c>
      <c r="Y436" t="s">
        <v>13809</v>
      </c>
      <c r="AA436" t="s">
        <v>15166</v>
      </c>
      <c r="AB436" t="s">
        <v>13699</v>
      </c>
      <c r="AC436" t="s">
        <v>13809</v>
      </c>
      <c r="AH436" t="s">
        <v>13851</v>
      </c>
      <c r="AI436" t="s">
        <v>13808</v>
      </c>
      <c r="AN436" t="s">
        <v>20661</v>
      </c>
      <c r="AO436" t="s">
        <v>13808</v>
      </c>
      <c r="AT436" t="s">
        <v>15500</v>
      </c>
      <c r="AU436" t="s">
        <v>13808</v>
      </c>
      <c r="AZ436" t="s">
        <v>18536</v>
      </c>
      <c r="BA436" t="s">
        <v>13808</v>
      </c>
      <c r="BF436" t="s">
        <v>20416</v>
      </c>
      <c r="BG436" t="s">
        <v>13808</v>
      </c>
      <c r="BL436" t="s">
        <v>15791</v>
      </c>
      <c r="BM436" t="s">
        <v>13808</v>
      </c>
      <c r="BR436" t="s">
        <v>20662</v>
      </c>
      <c r="BS436" t="s">
        <v>13824</v>
      </c>
      <c r="BT436" t="s">
        <v>13808</v>
      </c>
      <c r="BU436" t="s">
        <v>15266</v>
      </c>
      <c r="BY436" t="s">
        <v>13860</v>
      </c>
      <c r="BZ436" t="s">
        <v>13808</v>
      </c>
      <c r="CA436" t="s">
        <v>13937</v>
      </c>
      <c r="CE436" t="s">
        <v>14292</v>
      </c>
      <c r="CF436" t="s">
        <v>13808</v>
      </c>
      <c r="CK436" t="s">
        <v>13760</v>
      </c>
      <c r="CL436" t="s">
        <v>13809</v>
      </c>
      <c r="CQ436" t="s">
        <v>13766</v>
      </c>
      <c r="CR436" t="s">
        <v>13809</v>
      </c>
      <c r="CT436" t="s">
        <v>20663</v>
      </c>
      <c r="CU436" t="s">
        <v>16714</v>
      </c>
      <c r="CV436" t="s">
        <v>13808</v>
      </c>
      <c r="CX436" t="s">
        <v>15376</v>
      </c>
      <c r="CY436" t="s">
        <v>13818</v>
      </c>
      <c r="DA436" t="s">
        <v>15379</v>
      </c>
      <c r="DB436" t="s">
        <v>13808</v>
      </c>
      <c r="DD436" t="s">
        <v>15376</v>
      </c>
      <c r="DE436" t="s">
        <v>13818</v>
      </c>
      <c r="DG436" t="s">
        <v>20664</v>
      </c>
      <c r="DH436" t="s">
        <v>13808</v>
      </c>
      <c r="DM436" t="s">
        <v>20665</v>
      </c>
      <c r="DN436" t="s">
        <v>13808</v>
      </c>
      <c r="DO436" t="s">
        <v>20666</v>
      </c>
      <c r="DY436" t="s">
        <v>14606</v>
      </c>
      <c r="DZ436" t="s">
        <v>13841</v>
      </c>
      <c r="EA436" t="s">
        <v>16821</v>
      </c>
      <c r="EC436">
        <v>44629</v>
      </c>
      <c r="ED436" t="s">
        <v>13843</v>
      </c>
      <c r="EE436" t="s">
        <v>8766</v>
      </c>
    </row>
    <row r="437" spans="1:135">
      <c r="A437" t="s">
        <v>4064</v>
      </c>
      <c r="B437" t="s">
        <v>4051</v>
      </c>
      <c r="C437" t="s">
        <v>20667</v>
      </c>
      <c r="D437" s="24">
        <v>43679</v>
      </c>
      <c r="E437" s="24" t="s">
        <v>13558</v>
      </c>
      <c r="F437" s="24" t="s">
        <v>20668</v>
      </c>
      <c r="G437" s="24" t="s">
        <v>13808</v>
      </c>
      <c r="H437" s="24"/>
      <c r="I437" s="24" t="s">
        <v>13809</v>
      </c>
      <c r="J437" s="24"/>
      <c r="K437" s="24" t="s">
        <v>13808</v>
      </c>
      <c r="L437" s="24" t="s">
        <v>20669</v>
      </c>
      <c r="M437" s="24" t="s">
        <v>13874</v>
      </c>
      <c r="N437" s="24" t="s">
        <v>13808</v>
      </c>
      <c r="O437" s="24"/>
      <c r="P437" s="24" t="s">
        <v>13808</v>
      </c>
      <c r="Q437" s="24"/>
      <c r="R437" s="24" t="s">
        <v>13808</v>
      </c>
      <c r="S437" s="24"/>
      <c r="T437" t="s">
        <v>20670</v>
      </c>
      <c r="U437" t="s">
        <v>13808</v>
      </c>
      <c r="W437" t="s">
        <v>13809</v>
      </c>
      <c r="Y437" t="s">
        <v>13808</v>
      </c>
      <c r="AA437" t="s">
        <v>20671</v>
      </c>
      <c r="AC437" t="s">
        <v>13809</v>
      </c>
      <c r="AH437" t="s">
        <v>13887</v>
      </c>
      <c r="AI437" t="s">
        <v>13808</v>
      </c>
      <c r="AK437" t="s">
        <v>15934</v>
      </c>
      <c r="AL437" t="s">
        <v>13818</v>
      </c>
      <c r="AM437" t="s">
        <v>18683</v>
      </c>
      <c r="AO437" t="s">
        <v>13809</v>
      </c>
      <c r="AT437" t="s">
        <v>14597</v>
      </c>
      <c r="AU437" t="s">
        <v>13818</v>
      </c>
      <c r="AV437" t="s">
        <v>14309</v>
      </c>
      <c r="AZ437" t="s">
        <v>14490</v>
      </c>
      <c r="BA437" t="s">
        <v>13808</v>
      </c>
      <c r="BC437" t="s">
        <v>14489</v>
      </c>
      <c r="BD437" t="s">
        <v>13818</v>
      </c>
      <c r="BE437" t="s">
        <v>14309</v>
      </c>
      <c r="BF437" t="s">
        <v>19744</v>
      </c>
      <c r="BG437" t="s">
        <v>13808</v>
      </c>
      <c r="BM437" t="s">
        <v>13809</v>
      </c>
      <c r="BR437" t="s">
        <v>20672</v>
      </c>
      <c r="BS437" t="s">
        <v>13887</v>
      </c>
      <c r="BT437" t="s">
        <v>13808</v>
      </c>
      <c r="BU437" t="s">
        <v>14128</v>
      </c>
      <c r="BY437" t="s">
        <v>13887</v>
      </c>
      <c r="BZ437" t="s">
        <v>13808</v>
      </c>
      <c r="CA437" t="s">
        <v>13888</v>
      </c>
      <c r="CE437" t="s">
        <v>13887</v>
      </c>
      <c r="CF437" t="s">
        <v>13808</v>
      </c>
      <c r="CL437" t="s">
        <v>13809</v>
      </c>
      <c r="CR437" t="s">
        <v>13809</v>
      </c>
      <c r="CT437" t="s">
        <v>13962</v>
      </c>
      <c r="CU437" t="s">
        <v>20673</v>
      </c>
      <c r="CV437" t="s">
        <v>13818</v>
      </c>
      <c r="CW437" t="s">
        <v>20674</v>
      </c>
      <c r="DA437" t="s">
        <v>20675</v>
      </c>
      <c r="DB437" t="s">
        <v>13818</v>
      </c>
      <c r="DC437" t="s">
        <v>20674</v>
      </c>
      <c r="DG437" t="s">
        <v>20676</v>
      </c>
      <c r="DH437" t="s">
        <v>13818</v>
      </c>
      <c r="DI437" t="s">
        <v>20674</v>
      </c>
      <c r="DM437" t="s">
        <v>20677</v>
      </c>
      <c r="DN437" t="s">
        <v>13818</v>
      </c>
      <c r="DO437" t="s">
        <v>20678</v>
      </c>
      <c r="DY437" t="s">
        <v>13900</v>
      </c>
      <c r="DZ437" t="s">
        <v>15812</v>
      </c>
      <c r="EA437" t="s">
        <v>16270</v>
      </c>
      <c r="ED437" t="s">
        <v>14501</v>
      </c>
      <c r="EE437" t="s">
        <v>8907</v>
      </c>
    </row>
    <row r="438" spans="1:135">
      <c r="A438" t="s">
        <v>3189</v>
      </c>
      <c r="B438" t="s">
        <v>3161</v>
      </c>
      <c r="C438" t="s">
        <v>20679</v>
      </c>
      <c r="D438" s="24">
        <v>43495</v>
      </c>
      <c r="E438" s="24" t="s">
        <v>13555</v>
      </c>
      <c r="F438" s="24" t="s">
        <v>20680</v>
      </c>
      <c r="G438" s="24" t="s">
        <v>13808</v>
      </c>
      <c r="H438" s="24"/>
      <c r="I438" s="24" t="s">
        <v>13809</v>
      </c>
      <c r="J438" s="24"/>
      <c r="K438" s="24" t="s">
        <v>13809</v>
      </c>
      <c r="L438" s="24"/>
      <c r="M438" s="24" t="s">
        <v>13846</v>
      </c>
      <c r="N438" s="24" t="s">
        <v>13808</v>
      </c>
      <c r="O438" s="24"/>
      <c r="P438" s="24" t="s">
        <v>13808</v>
      </c>
      <c r="Q438" s="24"/>
      <c r="R438" s="24" t="s">
        <v>13808</v>
      </c>
      <c r="S438" s="24"/>
      <c r="T438" t="s">
        <v>14429</v>
      </c>
      <c r="U438" t="s">
        <v>13809</v>
      </c>
      <c r="W438" t="s">
        <v>13808</v>
      </c>
      <c r="X438" t="s">
        <v>20681</v>
      </c>
      <c r="Y438" t="s">
        <v>13809</v>
      </c>
      <c r="AA438" t="s">
        <v>14971</v>
      </c>
      <c r="AC438" t="s">
        <v>13809</v>
      </c>
      <c r="AH438" t="s">
        <v>13909</v>
      </c>
      <c r="AI438" t="s">
        <v>13808</v>
      </c>
      <c r="AO438" t="s">
        <v>13809</v>
      </c>
      <c r="AT438" t="s">
        <v>13885</v>
      </c>
      <c r="AU438" t="s">
        <v>13808</v>
      </c>
      <c r="AZ438" t="s">
        <v>13887</v>
      </c>
      <c r="BA438" t="s">
        <v>13808</v>
      </c>
      <c r="BF438" t="s">
        <v>13887</v>
      </c>
      <c r="BG438" t="s">
        <v>13808</v>
      </c>
      <c r="BH438" t="s">
        <v>20682</v>
      </c>
      <c r="BM438" t="s">
        <v>13809</v>
      </c>
      <c r="BR438" t="s">
        <v>20683</v>
      </c>
      <c r="BS438" t="s">
        <v>13887</v>
      </c>
      <c r="BT438" t="s">
        <v>13808</v>
      </c>
      <c r="BU438" t="s">
        <v>14641</v>
      </c>
      <c r="BY438" t="s">
        <v>13887</v>
      </c>
      <c r="BZ438" t="s">
        <v>13808</v>
      </c>
      <c r="CA438" t="s">
        <v>13861</v>
      </c>
      <c r="CE438" t="s">
        <v>13885</v>
      </c>
      <c r="CF438" t="s">
        <v>13808</v>
      </c>
      <c r="CG438" t="s">
        <v>13863</v>
      </c>
      <c r="CK438" t="s">
        <v>20684</v>
      </c>
      <c r="CL438" t="s">
        <v>13808</v>
      </c>
      <c r="CR438" t="s">
        <v>13809</v>
      </c>
      <c r="CT438" t="s">
        <v>20685</v>
      </c>
      <c r="CU438" t="s">
        <v>13909</v>
      </c>
      <c r="CV438" t="s">
        <v>13808</v>
      </c>
      <c r="DA438" t="s">
        <v>13909</v>
      </c>
      <c r="DB438" t="s">
        <v>13808</v>
      </c>
      <c r="DH438" t="s">
        <v>13809</v>
      </c>
      <c r="DM438" t="s">
        <v>13909</v>
      </c>
      <c r="DN438" t="s">
        <v>13808</v>
      </c>
      <c r="DZ438" t="s">
        <v>20686</v>
      </c>
      <c r="EA438" t="s">
        <v>14201</v>
      </c>
      <c r="EC438">
        <v>44267</v>
      </c>
      <c r="ED438" t="s">
        <v>13903</v>
      </c>
      <c r="EE438" t="s">
        <v>7897</v>
      </c>
    </row>
    <row r="439" spans="1:135">
      <c r="A439" t="s">
        <v>3400</v>
      </c>
      <c r="B439" t="s">
        <v>3399</v>
      </c>
      <c r="C439" t="s">
        <v>20687</v>
      </c>
      <c r="D439" s="24">
        <v>43193</v>
      </c>
      <c r="E439" s="24" t="s">
        <v>13555</v>
      </c>
      <c r="F439" s="24" t="s">
        <v>20688</v>
      </c>
      <c r="G439" s="24" t="s">
        <v>13808</v>
      </c>
      <c r="H439" s="24"/>
      <c r="I439" s="24" t="s">
        <v>13809</v>
      </c>
      <c r="J439" s="24"/>
      <c r="K439" s="24" t="s">
        <v>13808</v>
      </c>
      <c r="L439" s="24"/>
      <c r="M439" s="24" t="s">
        <v>17316</v>
      </c>
      <c r="N439" s="24" t="s">
        <v>13808</v>
      </c>
      <c r="O439" s="24"/>
      <c r="P439" s="24" t="s">
        <v>13808</v>
      </c>
      <c r="Q439" s="24"/>
      <c r="R439" s="24" t="s">
        <v>13808</v>
      </c>
      <c r="S439" s="24"/>
      <c r="T439" t="s">
        <v>14034</v>
      </c>
      <c r="U439" t="s">
        <v>13808</v>
      </c>
      <c r="W439" t="s">
        <v>13808</v>
      </c>
      <c r="X439" t="s">
        <v>20689</v>
      </c>
      <c r="Y439" t="s">
        <v>13809</v>
      </c>
      <c r="AA439" t="s">
        <v>14188</v>
      </c>
      <c r="AC439" t="s">
        <v>13809</v>
      </c>
      <c r="AH439" t="s">
        <v>13909</v>
      </c>
      <c r="AI439" t="s">
        <v>13808</v>
      </c>
      <c r="AN439" t="s">
        <v>20690</v>
      </c>
      <c r="AO439" t="s">
        <v>13808</v>
      </c>
      <c r="AT439" t="s">
        <v>17868</v>
      </c>
      <c r="AU439" t="s">
        <v>13808</v>
      </c>
      <c r="AZ439" t="s">
        <v>13892</v>
      </c>
      <c r="BA439" t="s">
        <v>13808</v>
      </c>
      <c r="BF439" t="s">
        <v>14192</v>
      </c>
      <c r="BG439" t="s">
        <v>13808</v>
      </c>
      <c r="BM439" t="s">
        <v>13809</v>
      </c>
      <c r="BR439" t="s">
        <v>20691</v>
      </c>
      <c r="BS439" t="s">
        <v>13887</v>
      </c>
      <c r="BT439" t="s">
        <v>13808</v>
      </c>
      <c r="BU439" t="s">
        <v>13985</v>
      </c>
      <c r="BY439" t="s">
        <v>14265</v>
      </c>
      <c r="BZ439" t="s">
        <v>13808</v>
      </c>
      <c r="CA439" t="s">
        <v>13937</v>
      </c>
      <c r="CE439" t="s">
        <v>13887</v>
      </c>
      <c r="CF439" t="s">
        <v>13808</v>
      </c>
      <c r="CL439" t="s">
        <v>13809</v>
      </c>
      <c r="CR439" t="s">
        <v>13809</v>
      </c>
      <c r="CT439" t="s">
        <v>20692</v>
      </c>
      <c r="CU439" t="s">
        <v>14265</v>
      </c>
      <c r="CV439" t="s">
        <v>13808</v>
      </c>
      <c r="CX439" t="s">
        <v>18402</v>
      </c>
      <c r="CY439" t="s">
        <v>13818</v>
      </c>
      <c r="DA439" t="s">
        <v>13909</v>
      </c>
      <c r="DB439" t="s">
        <v>13818</v>
      </c>
      <c r="DG439" t="s">
        <v>20693</v>
      </c>
      <c r="DH439" t="s">
        <v>13808</v>
      </c>
      <c r="DJ439" t="s">
        <v>20694</v>
      </c>
      <c r="DK439" t="s">
        <v>13808</v>
      </c>
      <c r="DM439" t="s">
        <v>15128</v>
      </c>
      <c r="DN439" t="s">
        <v>13808</v>
      </c>
      <c r="DY439" t="s">
        <v>13900</v>
      </c>
      <c r="DZ439" t="s">
        <v>20695</v>
      </c>
      <c r="EA439" t="s">
        <v>16821</v>
      </c>
      <c r="EC439">
        <v>44173</v>
      </c>
      <c r="ED439" t="s">
        <v>13903</v>
      </c>
      <c r="EE439" t="s">
        <v>8110</v>
      </c>
    </row>
    <row r="440" spans="1:135">
      <c r="A440" t="s">
        <v>3404</v>
      </c>
      <c r="B440" t="s">
        <v>3399</v>
      </c>
      <c r="C440" t="s">
        <v>20696</v>
      </c>
      <c r="D440" s="24">
        <v>44771</v>
      </c>
      <c r="E440" s="24" t="s">
        <v>13555</v>
      </c>
      <c r="F440" s="24" t="s">
        <v>20697</v>
      </c>
      <c r="G440" s="24" t="s">
        <v>13808</v>
      </c>
      <c r="H440" s="24"/>
      <c r="I440" s="24" t="s">
        <v>13809</v>
      </c>
      <c r="J440" s="24"/>
      <c r="K440" s="24" t="s">
        <v>13808</v>
      </c>
      <c r="L440" s="24"/>
      <c r="M440" s="24" t="s">
        <v>14304</v>
      </c>
      <c r="N440" s="24" t="s">
        <v>13808</v>
      </c>
      <c r="O440" s="24"/>
      <c r="P440" s="24" t="s">
        <v>13808</v>
      </c>
      <c r="Q440" s="24"/>
      <c r="R440" s="24" t="s">
        <v>13808</v>
      </c>
      <c r="S440" s="24"/>
      <c r="T440" t="s">
        <v>16055</v>
      </c>
      <c r="U440" t="s">
        <v>13809</v>
      </c>
      <c r="W440" t="s">
        <v>13808</v>
      </c>
      <c r="X440" t="s">
        <v>20698</v>
      </c>
      <c r="Y440" t="s">
        <v>13808</v>
      </c>
      <c r="Z440" t="s">
        <v>20699</v>
      </c>
      <c r="AA440" t="s">
        <v>14971</v>
      </c>
      <c r="AB440" t="s">
        <v>13699</v>
      </c>
      <c r="AC440" t="s">
        <v>13809</v>
      </c>
      <c r="AH440" t="s">
        <v>20700</v>
      </c>
      <c r="AI440" t="s">
        <v>13808</v>
      </c>
      <c r="AN440" t="s">
        <v>13711</v>
      </c>
      <c r="AO440" t="s">
        <v>13809</v>
      </c>
      <c r="AT440" t="s">
        <v>15849</v>
      </c>
      <c r="AU440" t="s">
        <v>13808</v>
      </c>
      <c r="AZ440" t="s">
        <v>20701</v>
      </c>
      <c r="BA440" t="s">
        <v>13808</v>
      </c>
      <c r="BF440" t="s">
        <v>20702</v>
      </c>
      <c r="BG440" t="s">
        <v>13808</v>
      </c>
      <c r="BL440" t="s">
        <v>13735</v>
      </c>
      <c r="BM440" t="s">
        <v>13809</v>
      </c>
      <c r="BR440" t="s">
        <v>20703</v>
      </c>
      <c r="BS440" t="s">
        <v>13824</v>
      </c>
      <c r="BT440" t="s">
        <v>13808</v>
      </c>
      <c r="BU440" t="s">
        <v>14291</v>
      </c>
      <c r="BY440" t="s">
        <v>13826</v>
      </c>
      <c r="BZ440" t="s">
        <v>13808</v>
      </c>
      <c r="CA440" t="s">
        <v>13937</v>
      </c>
      <c r="CE440" t="s">
        <v>13828</v>
      </c>
      <c r="CF440" t="s">
        <v>13808</v>
      </c>
      <c r="CK440" t="s">
        <v>13760</v>
      </c>
      <c r="CL440" t="s">
        <v>13809</v>
      </c>
      <c r="CQ440" t="s">
        <v>13766</v>
      </c>
      <c r="CR440" t="s">
        <v>13809</v>
      </c>
      <c r="CT440" t="s">
        <v>20704</v>
      </c>
      <c r="CU440" t="s">
        <v>20705</v>
      </c>
      <c r="CV440" t="s">
        <v>13808</v>
      </c>
      <c r="CX440" t="s">
        <v>20706</v>
      </c>
      <c r="CY440" t="s">
        <v>13818</v>
      </c>
      <c r="DA440" t="s">
        <v>20707</v>
      </c>
      <c r="DB440" t="s">
        <v>13808</v>
      </c>
      <c r="DD440" t="s">
        <v>20708</v>
      </c>
      <c r="DE440" t="s">
        <v>13818</v>
      </c>
      <c r="DG440" t="s">
        <v>14240</v>
      </c>
      <c r="DH440" t="s">
        <v>13818</v>
      </c>
      <c r="DM440" t="s">
        <v>20709</v>
      </c>
      <c r="DN440" t="s">
        <v>13808</v>
      </c>
      <c r="DP440" t="s">
        <v>20710</v>
      </c>
      <c r="DQ440" t="s">
        <v>13808</v>
      </c>
      <c r="DR440" t="s">
        <v>13839</v>
      </c>
      <c r="DY440" t="s">
        <v>14606</v>
      </c>
      <c r="DZ440" t="s">
        <v>13841</v>
      </c>
      <c r="EA440" t="s">
        <v>16821</v>
      </c>
      <c r="EC440">
        <v>44778</v>
      </c>
      <c r="ED440" t="s">
        <v>14298</v>
      </c>
      <c r="EE440" t="s">
        <v>8114</v>
      </c>
    </row>
    <row r="441" spans="1:135">
      <c r="A441" t="s">
        <v>3408</v>
      </c>
      <c r="B441" t="s">
        <v>3399</v>
      </c>
      <c r="C441" t="s">
        <v>20711</v>
      </c>
      <c r="D441" s="24">
        <v>45072</v>
      </c>
      <c r="E441" s="24" t="s">
        <v>13555</v>
      </c>
      <c r="F441" s="24" t="s">
        <v>20712</v>
      </c>
      <c r="G441" s="24" t="s">
        <v>13808</v>
      </c>
      <c r="H441" s="24"/>
      <c r="I441" s="24" t="s">
        <v>13809</v>
      </c>
      <c r="J441" s="24"/>
      <c r="K441" s="24" t="s">
        <v>13808</v>
      </c>
      <c r="L441" s="24"/>
      <c r="M441" s="24" t="s">
        <v>20713</v>
      </c>
      <c r="N441" s="24" t="s">
        <v>13808</v>
      </c>
      <c r="O441" s="24"/>
      <c r="P441" s="24" t="s">
        <v>13808</v>
      </c>
      <c r="Q441" s="24"/>
      <c r="R441" s="24" t="s">
        <v>13808</v>
      </c>
      <c r="S441" s="24"/>
      <c r="T441" t="s">
        <v>20714</v>
      </c>
      <c r="U441" t="s">
        <v>13808</v>
      </c>
      <c r="V441" t="s">
        <v>20715</v>
      </c>
      <c r="W441" t="s">
        <v>13808</v>
      </c>
      <c r="X441" t="s">
        <v>20716</v>
      </c>
      <c r="Y441" t="s">
        <v>13809</v>
      </c>
      <c r="AA441" t="s">
        <v>14971</v>
      </c>
      <c r="AB441" t="s">
        <v>20717</v>
      </c>
      <c r="AC441" t="s">
        <v>13808</v>
      </c>
      <c r="AH441" t="s">
        <v>13851</v>
      </c>
      <c r="AI441" t="s">
        <v>13808</v>
      </c>
      <c r="AN441" t="s">
        <v>20718</v>
      </c>
      <c r="AO441" t="s">
        <v>13808</v>
      </c>
      <c r="AT441" t="s">
        <v>20719</v>
      </c>
      <c r="AU441" t="s">
        <v>13808</v>
      </c>
      <c r="AZ441" t="s">
        <v>16451</v>
      </c>
      <c r="BA441" t="s">
        <v>13808</v>
      </c>
      <c r="BF441" t="s">
        <v>20720</v>
      </c>
      <c r="BG441" t="s">
        <v>13808</v>
      </c>
      <c r="BL441" t="s">
        <v>20721</v>
      </c>
      <c r="BM441" t="s">
        <v>13808</v>
      </c>
      <c r="BR441" t="s">
        <v>20722</v>
      </c>
      <c r="BS441" t="s">
        <v>13824</v>
      </c>
      <c r="BT441" t="s">
        <v>13808</v>
      </c>
      <c r="BU441" t="s">
        <v>20723</v>
      </c>
      <c r="BY441" t="s">
        <v>13826</v>
      </c>
      <c r="BZ441" t="s">
        <v>13808</v>
      </c>
      <c r="CA441" t="s">
        <v>13937</v>
      </c>
      <c r="CE441" t="s">
        <v>13862</v>
      </c>
      <c r="CF441" t="s">
        <v>13808</v>
      </c>
      <c r="CK441" t="s">
        <v>20724</v>
      </c>
      <c r="CL441" t="s">
        <v>13808</v>
      </c>
      <c r="CQ441" t="s">
        <v>13766</v>
      </c>
      <c r="CR441" t="s">
        <v>13809</v>
      </c>
      <c r="CT441" t="s">
        <v>20725</v>
      </c>
      <c r="CU441" t="s">
        <v>14236</v>
      </c>
      <c r="CV441" t="s">
        <v>13808</v>
      </c>
      <c r="DA441" t="s">
        <v>15252</v>
      </c>
      <c r="DB441" t="s">
        <v>13808</v>
      </c>
      <c r="DM441" t="s">
        <v>15253</v>
      </c>
      <c r="DN441" t="s">
        <v>13808</v>
      </c>
      <c r="DY441" t="s">
        <v>13869</v>
      </c>
      <c r="DZ441" t="s">
        <v>20726</v>
      </c>
      <c r="EA441" t="s">
        <v>16821</v>
      </c>
      <c r="EC441">
        <v>45086</v>
      </c>
      <c r="ED441" t="s">
        <v>14298</v>
      </c>
      <c r="EE441" t="s">
        <v>8123</v>
      </c>
    </row>
    <row r="442" spans="1:135">
      <c r="A442" t="s">
        <v>3412</v>
      </c>
      <c r="B442" t="s">
        <v>3399</v>
      </c>
      <c r="C442" t="s">
        <v>20727</v>
      </c>
      <c r="D442" s="24">
        <v>44862</v>
      </c>
      <c r="E442" s="24" t="s">
        <v>13555</v>
      </c>
      <c r="F442" s="24" t="s">
        <v>20728</v>
      </c>
      <c r="G442" s="24"/>
      <c r="H442" s="24"/>
      <c r="I442" s="24" t="s">
        <v>13809</v>
      </c>
      <c r="J442" s="24"/>
      <c r="K442" s="24"/>
      <c r="L442" s="24"/>
      <c r="M442" s="24" t="s">
        <v>15163</v>
      </c>
      <c r="N442" s="24" t="s">
        <v>13808</v>
      </c>
      <c r="O442" s="24"/>
      <c r="P442" s="24" t="s">
        <v>13818</v>
      </c>
      <c r="Q442" s="24" t="s">
        <v>20729</v>
      </c>
      <c r="R442" s="24" t="s">
        <v>13808</v>
      </c>
      <c r="S442" s="24"/>
      <c r="T442" t="s">
        <v>20730</v>
      </c>
      <c r="U442" t="s">
        <v>13809</v>
      </c>
      <c r="W442" t="s">
        <v>13808</v>
      </c>
      <c r="X442" t="s">
        <v>20731</v>
      </c>
      <c r="Y442" t="s">
        <v>13809</v>
      </c>
      <c r="AA442" t="s">
        <v>14865</v>
      </c>
      <c r="AB442" t="s">
        <v>20732</v>
      </c>
      <c r="AC442" t="s">
        <v>13808</v>
      </c>
      <c r="AH442" t="s">
        <v>13851</v>
      </c>
      <c r="AI442" t="s">
        <v>13808</v>
      </c>
      <c r="AN442" t="s">
        <v>20733</v>
      </c>
      <c r="AO442" t="s">
        <v>13808</v>
      </c>
      <c r="AT442" t="s">
        <v>20734</v>
      </c>
      <c r="AU442" t="s">
        <v>13808</v>
      </c>
      <c r="AZ442" t="s">
        <v>20735</v>
      </c>
      <c r="BA442" t="s">
        <v>13808</v>
      </c>
      <c r="BF442" t="s">
        <v>20736</v>
      </c>
      <c r="BG442" t="s">
        <v>13808</v>
      </c>
      <c r="BL442" t="s">
        <v>20737</v>
      </c>
      <c r="BM442" t="s">
        <v>13808</v>
      </c>
      <c r="BR442" t="s">
        <v>20738</v>
      </c>
      <c r="BS442" t="s">
        <v>14213</v>
      </c>
      <c r="BT442" t="s">
        <v>13808</v>
      </c>
      <c r="BU442" t="s">
        <v>20739</v>
      </c>
      <c r="BY442" t="s">
        <v>13826</v>
      </c>
      <c r="BZ442" t="s">
        <v>13808</v>
      </c>
      <c r="CA442" t="s">
        <v>13937</v>
      </c>
      <c r="CE442" t="s">
        <v>13938</v>
      </c>
      <c r="CF442" t="s">
        <v>13808</v>
      </c>
      <c r="CK442" t="s">
        <v>13760</v>
      </c>
      <c r="CL442" t="s">
        <v>13809</v>
      </c>
      <c r="CQ442" t="s">
        <v>13766</v>
      </c>
      <c r="CR442" t="s">
        <v>13809</v>
      </c>
      <c r="CT442" t="s">
        <v>20740</v>
      </c>
      <c r="DY442" t="s">
        <v>13840</v>
      </c>
      <c r="DZ442" t="s">
        <v>20741</v>
      </c>
      <c r="EA442" t="s">
        <v>16821</v>
      </c>
      <c r="EC442">
        <v>44910</v>
      </c>
      <c r="ED442" t="s">
        <v>14298</v>
      </c>
      <c r="EE442" t="s">
        <v>8127</v>
      </c>
    </row>
    <row r="443" spans="1:135">
      <c r="A443" t="s">
        <v>3193</v>
      </c>
      <c r="B443" t="s">
        <v>3161</v>
      </c>
      <c r="C443" t="s">
        <v>20742</v>
      </c>
      <c r="D443" s="24">
        <v>43690</v>
      </c>
      <c r="E443" s="24" t="s">
        <v>13553</v>
      </c>
      <c r="F443" s="24" t="s">
        <v>20743</v>
      </c>
      <c r="G443" s="24" t="s">
        <v>13808</v>
      </c>
      <c r="H443" s="24"/>
      <c r="I443" s="24" t="s">
        <v>13809</v>
      </c>
      <c r="J443" s="24"/>
      <c r="K443" s="24" t="s">
        <v>13809</v>
      </c>
      <c r="L443" s="24"/>
      <c r="M443" s="24" t="s">
        <v>14163</v>
      </c>
      <c r="N443" s="24" t="s">
        <v>13808</v>
      </c>
      <c r="O443" s="24"/>
      <c r="P443" s="24" t="s">
        <v>13808</v>
      </c>
      <c r="Q443" s="24"/>
      <c r="R443" s="24" t="s">
        <v>13808</v>
      </c>
      <c r="S443" s="24"/>
      <c r="T443" t="s">
        <v>14016</v>
      </c>
      <c r="U443" t="s">
        <v>13809</v>
      </c>
      <c r="W443" t="s">
        <v>13808</v>
      </c>
      <c r="X443" t="s">
        <v>20744</v>
      </c>
      <c r="Y443" t="s">
        <v>13809</v>
      </c>
      <c r="AA443" t="s">
        <v>13877</v>
      </c>
      <c r="AC443" t="s">
        <v>13809</v>
      </c>
      <c r="AH443" t="s">
        <v>13909</v>
      </c>
      <c r="AI443" t="s">
        <v>13808</v>
      </c>
      <c r="AO443" t="s">
        <v>13809</v>
      </c>
      <c r="AT443" t="s">
        <v>15973</v>
      </c>
      <c r="AU443" t="s">
        <v>13808</v>
      </c>
      <c r="AZ443" t="s">
        <v>14177</v>
      </c>
      <c r="BA443" t="s">
        <v>13808</v>
      </c>
      <c r="BF443" t="s">
        <v>14059</v>
      </c>
      <c r="BG443" t="s">
        <v>13808</v>
      </c>
      <c r="BM443" t="s">
        <v>13809</v>
      </c>
      <c r="BR443" t="s">
        <v>20745</v>
      </c>
      <c r="BT443" t="s">
        <v>13809</v>
      </c>
      <c r="BY443" t="s">
        <v>13887</v>
      </c>
      <c r="BZ443" t="s">
        <v>13808</v>
      </c>
      <c r="CA443" t="s">
        <v>13888</v>
      </c>
      <c r="CF443" t="s">
        <v>13809</v>
      </c>
      <c r="CK443" t="s">
        <v>13887</v>
      </c>
      <c r="CL443" t="s">
        <v>13808</v>
      </c>
      <c r="CR443" t="s">
        <v>13809</v>
      </c>
      <c r="CT443" t="s">
        <v>20746</v>
      </c>
      <c r="CU443" t="s">
        <v>13894</v>
      </c>
      <c r="CV443" t="s">
        <v>13897</v>
      </c>
      <c r="DA443" t="s">
        <v>13882</v>
      </c>
      <c r="DB443" t="s">
        <v>13897</v>
      </c>
      <c r="DH443" t="s">
        <v>13809</v>
      </c>
      <c r="DM443" t="s">
        <v>20747</v>
      </c>
      <c r="DN443" t="s">
        <v>13808</v>
      </c>
      <c r="DP443" t="s">
        <v>20748</v>
      </c>
      <c r="DR443" t="s">
        <v>13808</v>
      </c>
      <c r="DY443" t="s">
        <v>15828</v>
      </c>
      <c r="DZ443" t="s">
        <v>20749</v>
      </c>
      <c r="EA443" t="s">
        <v>16557</v>
      </c>
      <c r="ED443" t="s">
        <v>13903</v>
      </c>
      <c r="EE443" t="s">
        <v>7901</v>
      </c>
    </row>
    <row r="444" spans="1:135">
      <c r="A444" t="s">
        <v>3422</v>
      </c>
      <c r="B444" t="s">
        <v>3399</v>
      </c>
      <c r="C444" t="s">
        <v>20750</v>
      </c>
      <c r="D444" s="24">
        <v>43361</v>
      </c>
      <c r="E444" s="24" t="s">
        <v>13555</v>
      </c>
      <c r="F444" s="24" t="s">
        <v>20751</v>
      </c>
      <c r="G444" s="24" t="s">
        <v>13808</v>
      </c>
      <c r="H444" s="24"/>
      <c r="I444" s="24" t="s">
        <v>13809</v>
      </c>
      <c r="J444" s="24"/>
      <c r="K444" s="24" t="s">
        <v>13809</v>
      </c>
      <c r="L444" s="24"/>
      <c r="M444" s="24" t="s">
        <v>20752</v>
      </c>
      <c r="N444" s="24" t="s">
        <v>13808</v>
      </c>
      <c r="O444" s="24"/>
      <c r="P444" s="24" t="s">
        <v>13808</v>
      </c>
      <c r="Q444" s="24"/>
      <c r="R444" s="24" t="s">
        <v>13808</v>
      </c>
      <c r="S444" s="24"/>
      <c r="T444" t="s">
        <v>14016</v>
      </c>
      <c r="U444" t="s">
        <v>13808</v>
      </c>
      <c r="W444" t="s">
        <v>13808</v>
      </c>
      <c r="X444" t="s">
        <v>15879</v>
      </c>
      <c r="Y444" t="s">
        <v>13809</v>
      </c>
      <c r="AA444" t="s">
        <v>13877</v>
      </c>
      <c r="AC444" t="s">
        <v>13809</v>
      </c>
      <c r="AH444" t="s">
        <v>13909</v>
      </c>
      <c r="AI444" t="s">
        <v>13808</v>
      </c>
      <c r="AO444" t="s">
        <v>13809</v>
      </c>
      <c r="AT444" t="s">
        <v>14851</v>
      </c>
      <c r="AU444" t="s">
        <v>13808</v>
      </c>
      <c r="AZ444" t="s">
        <v>16048</v>
      </c>
      <c r="BA444" t="s">
        <v>13808</v>
      </c>
      <c r="BF444" t="s">
        <v>20753</v>
      </c>
      <c r="BG444" t="s">
        <v>13808</v>
      </c>
      <c r="BL444" t="s">
        <v>20754</v>
      </c>
      <c r="BM444" t="s">
        <v>13808</v>
      </c>
      <c r="BR444" t="s">
        <v>20755</v>
      </c>
      <c r="BS444" t="s">
        <v>13887</v>
      </c>
      <c r="BT444" t="s">
        <v>13808</v>
      </c>
      <c r="BU444" t="s">
        <v>15012</v>
      </c>
      <c r="BY444" t="s">
        <v>13887</v>
      </c>
      <c r="BZ444" t="s">
        <v>13808</v>
      </c>
      <c r="CA444" t="s">
        <v>14026</v>
      </c>
      <c r="CE444" t="s">
        <v>13887</v>
      </c>
      <c r="CF444" t="s">
        <v>13808</v>
      </c>
      <c r="CG444" t="s">
        <v>14173</v>
      </c>
      <c r="CL444" t="s">
        <v>13809</v>
      </c>
      <c r="CR444" t="s">
        <v>13809</v>
      </c>
      <c r="CT444" t="s">
        <v>20756</v>
      </c>
      <c r="CU444" t="s">
        <v>20757</v>
      </c>
      <c r="CV444" t="s">
        <v>13808</v>
      </c>
      <c r="CX444" t="s">
        <v>20758</v>
      </c>
      <c r="CY444" t="s">
        <v>13818</v>
      </c>
      <c r="DA444" t="s">
        <v>20759</v>
      </c>
      <c r="DB444" t="s">
        <v>13808</v>
      </c>
      <c r="DD444" t="s">
        <v>20760</v>
      </c>
      <c r="DE444" t="s">
        <v>13818</v>
      </c>
      <c r="DG444" t="s">
        <v>13909</v>
      </c>
      <c r="DH444" t="s">
        <v>13818</v>
      </c>
      <c r="DM444" t="s">
        <v>20753</v>
      </c>
      <c r="DN444" t="s">
        <v>13808</v>
      </c>
      <c r="DO444" t="s">
        <v>20761</v>
      </c>
      <c r="DY444" t="s">
        <v>15842</v>
      </c>
      <c r="DZ444" t="s">
        <v>20762</v>
      </c>
      <c r="EA444" t="s">
        <v>20763</v>
      </c>
      <c r="EC444">
        <v>44174</v>
      </c>
      <c r="ED444" t="s">
        <v>13903</v>
      </c>
      <c r="EE444" t="s">
        <v>8134</v>
      </c>
    </row>
    <row r="445" spans="1:135">
      <c r="A445" t="s">
        <v>3944</v>
      </c>
      <c r="B445" t="s">
        <v>3939</v>
      </c>
      <c r="C445" t="s">
        <v>20764</v>
      </c>
      <c r="D445" s="24">
        <v>43173</v>
      </c>
      <c r="E445" s="24" t="s">
        <v>13564</v>
      </c>
      <c r="F445" s="24" t="s">
        <v>20765</v>
      </c>
      <c r="G445" s="24" t="s">
        <v>13808</v>
      </c>
      <c r="H445" s="24"/>
      <c r="I445" s="24" t="s">
        <v>13809</v>
      </c>
      <c r="J445" s="24"/>
      <c r="K445" s="24" t="s">
        <v>13808</v>
      </c>
      <c r="L445" s="24"/>
      <c r="M445" s="24" t="s">
        <v>14249</v>
      </c>
      <c r="N445" s="24" t="s">
        <v>13808</v>
      </c>
      <c r="O445" s="24"/>
      <c r="P445" s="24" t="s">
        <v>13808</v>
      </c>
      <c r="Q445" s="24"/>
      <c r="R445" s="24" t="s">
        <v>13808</v>
      </c>
      <c r="S445" s="24"/>
      <c r="T445" t="s">
        <v>20766</v>
      </c>
      <c r="U445" t="s">
        <v>13809</v>
      </c>
      <c r="W445" t="s">
        <v>13808</v>
      </c>
      <c r="X445" t="s">
        <v>20767</v>
      </c>
      <c r="Y445" t="s">
        <v>13809</v>
      </c>
      <c r="AA445" t="s">
        <v>20768</v>
      </c>
      <c r="AC445" t="s">
        <v>13809</v>
      </c>
      <c r="AH445" t="s">
        <v>18381</v>
      </c>
      <c r="AI445" t="s">
        <v>13808</v>
      </c>
      <c r="AK445" t="s">
        <v>20769</v>
      </c>
      <c r="AL445" t="s">
        <v>13818</v>
      </c>
      <c r="AM445" t="s">
        <v>20770</v>
      </c>
      <c r="AN445" t="s">
        <v>20771</v>
      </c>
      <c r="AO445" t="s">
        <v>13808</v>
      </c>
      <c r="AT445" t="s">
        <v>18350</v>
      </c>
      <c r="AU445" t="s">
        <v>13818</v>
      </c>
      <c r="AV445" t="s">
        <v>14415</v>
      </c>
      <c r="AZ445" t="s">
        <v>20772</v>
      </c>
      <c r="BA445" t="s">
        <v>13808</v>
      </c>
      <c r="BF445" t="s">
        <v>16342</v>
      </c>
      <c r="BG445" t="s">
        <v>13808</v>
      </c>
      <c r="BM445" t="s">
        <v>13809</v>
      </c>
      <c r="BR445" t="s">
        <v>20773</v>
      </c>
      <c r="BS445" t="s">
        <v>13885</v>
      </c>
      <c r="BT445" t="s">
        <v>13808</v>
      </c>
      <c r="BU445" t="s">
        <v>13914</v>
      </c>
      <c r="BY445" t="s">
        <v>13887</v>
      </c>
      <c r="BZ445" t="s">
        <v>13808</v>
      </c>
      <c r="CA445" t="s">
        <v>13937</v>
      </c>
      <c r="CE445" t="s">
        <v>14197</v>
      </c>
      <c r="CF445" t="s">
        <v>13818</v>
      </c>
      <c r="CG445" t="s">
        <v>20774</v>
      </c>
      <c r="CH445" t="s">
        <v>15138</v>
      </c>
      <c r="CI445" t="s">
        <v>13818</v>
      </c>
      <c r="CJ445" t="s">
        <v>14415</v>
      </c>
      <c r="CK445" t="s">
        <v>13887</v>
      </c>
      <c r="CL445" t="s">
        <v>13808</v>
      </c>
      <c r="CR445" t="s">
        <v>13809</v>
      </c>
      <c r="CT445" t="s">
        <v>20775</v>
      </c>
      <c r="CU445" t="s">
        <v>18381</v>
      </c>
      <c r="CV445" t="s">
        <v>13808</v>
      </c>
      <c r="CX445" t="s">
        <v>20776</v>
      </c>
      <c r="CY445" t="s">
        <v>13818</v>
      </c>
      <c r="CZ445" t="s">
        <v>18683</v>
      </c>
      <c r="DA445" t="s">
        <v>18381</v>
      </c>
      <c r="DB445" t="s">
        <v>13808</v>
      </c>
      <c r="DD445" t="s">
        <v>20776</v>
      </c>
      <c r="DE445" t="s">
        <v>13818</v>
      </c>
      <c r="DF445" t="s">
        <v>18683</v>
      </c>
      <c r="DG445" t="s">
        <v>13887</v>
      </c>
      <c r="DH445" t="s">
        <v>13808</v>
      </c>
      <c r="DZ445" t="s">
        <v>13970</v>
      </c>
      <c r="EA445" t="s">
        <v>14201</v>
      </c>
      <c r="EC445">
        <v>43480</v>
      </c>
      <c r="ED445" t="s">
        <v>13903</v>
      </c>
      <c r="EE445" t="s">
        <v>8770</v>
      </c>
    </row>
    <row r="446" spans="1:135">
      <c r="A446" t="s">
        <v>3948</v>
      </c>
      <c r="B446" t="s">
        <v>3939</v>
      </c>
      <c r="C446" t="s">
        <v>20777</v>
      </c>
      <c r="D446" s="24">
        <v>43657</v>
      </c>
      <c r="E446" s="24" t="s">
        <v>13553</v>
      </c>
      <c r="F446" s="24" t="s">
        <v>20778</v>
      </c>
      <c r="G446" s="24" t="s">
        <v>13808</v>
      </c>
      <c r="H446" s="24"/>
      <c r="I446" s="24" t="s">
        <v>13809</v>
      </c>
      <c r="J446" s="24"/>
      <c r="K446" s="24" t="s">
        <v>13809</v>
      </c>
      <c r="L446" s="24"/>
      <c r="M446" s="24" t="s">
        <v>20779</v>
      </c>
      <c r="N446" s="24" t="s">
        <v>13808</v>
      </c>
      <c r="O446" s="24"/>
      <c r="P446" s="24" t="s">
        <v>13808</v>
      </c>
      <c r="Q446" s="24"/>
      <c r="R446" s="24" t="s">
        <v>13808</v>
      </c>
      <c r="S446" s="24"/>
      <c r="T446" t="s">
        <v>19261</v>
      </c>
      <c r="U446" t="s">
        <v>13808</v>
      </c>
      <c r="W446" t="s">
        <v>13808</v>
      </c>
      <c r="X446" t="s">
        <v>20780</v>
      </c>
      <c r="Y446" t="s">
        <v>13809</v>
      </c>
      <c r="AA446" t="s">
        <v>20781</v>
      </c>
      <c r="AB446" t="s">
        <v>14814</v>
      </c>
      <c r="AC446" t="s">
        <v>13808</v>
      </c>
      <c r="AH446" t="s">
        <v>13909</v>
      </c>
      <c r="AI446" t="s">
        <v>13808</v>
      </c>
      <c r="AN446" t="s">
        <v>16724</v>
      </c>
      <c r="AO446" t="s">
        <v>13808</v>
      </c>
      <c r="AT446" t="s">
        <v>14674</v>
      </c>
      <c r="AU446" t="s">
        <v>13808</v>
      </c>
      <c r="AZ446" t="s">
        <v>16048</v>
      </c>
      <c r="BA446" t="s">
        <v>13808</v>
      </c>
      <c r="BF446" t="s">
        <v>13887</v>
      </c>
      <c r="BG446" t="s">
        <v>13808</v>
      </c>
      <c r="BL446" t="s">
        <v>15209</v>
      </c>
      <c r="BM446" t="s">
        <v>13808</v>
      </c>
      <c r="BR446" t="s">
        <v>20782</v>
      </c>
      <c r="BT446" t="s">
        <v>13809</v>
      </c>
      <c r="BY446" t="s">
        <v>13887</v>
      </c>
      <c r="BZ446" t="s">
        <v>13808</v>
      </c>
      <c r="CA446" t="s">
        <v>14026</v>
      </c>
      <c r="CE446" t="s">
        <v>13887</v>
      </c>
      <c r="CF446" t="s">
        <v>13808</v>
      </c>
      <c r="CG446" t="s">
        <v>14128</v>
      </c>
      <c r="CK446" t="s">
        <v>13887</v>
      </c>
      <c r="CL446" t="s">
        <v>13808</v>
      </c>
      <c r="CR446" t="s">
        <v>13809</v>
      </c>
      <c r="CT446" t="s">
        <v>20783</v>
      </c>
      <c r="CU446" t="s">
        <v>20784</v>
      </c>
      <c r="CV446" t="s">
        <v>13897</v>
      </c>
      <c r="DA446" t="s">
        <v>20785</v>
      </c>
      <c r="DB446" t="s">
        <v>13897</v>
      </c>
      <c r="DH446" t="s">
        <v>13809</v>
      </c>
      <c r="DM446" t="s">
        <v>20786</v>
      </c>
      <c r="DN446" t="s">
        <v>13808</v>
      </c>
      <c r="DY446" t="s">
        <v>13900</v>
      </c>
      <c r="DZ446" t="s">
        <v>20787</v>
      </c>
      <c r="EA446" t="s">
        <v>20788</v>
      </c>
      <c r="ED446" t="s">
        <v>13903</v>
      </c>
      <c r="EE446" t="s">
        <v>8779</v>
      </c>
    </row>
    <row r="447" spans="1:135">
      <c r="A447" t="s">
        <v>3955</v>
      </c>
      <c r="B447" t="s">
        <v>3939</v>
      </c>
      <c r="C447" t="s">
        <v>20789</v>
      </c>
      <c r="D447" s="24">
        <v>44019</v>
      </c>
      <c r="E447" s="24" t="s">
        <v>13558</v>
      </c>
      <c r="F447" s="24" t="s">
        <v>20790</v>
      </c>
      <c r="G447" s="24" t="s">
        <v>13808</v>
      </c>
      <c r="H447" s="24"/>
      <c r="I447" s="24" t="s">
        <v>13809</v>
      </c>
      <c r="J447" s="24"/>
      <c r="K447" s="24" t="s">
        <v>13809</v>
      </c>
      <c r="L447" s="24"/>
      <c r="M447" s="24" t="s">
        <v>20791</v>
      </c>
      <c r="N447" s="24" t="s">
        <v>13808</v>
      </c>
      <c r="O447" s="24"/>
      <c r="P447" s="24" t="s">
        <v>13808</v>
      </c>
      <c r="Q447" s="24"/>
      <c r="R447" s="24" t="s">
        <v>13818</v>
      </c>
      <c r="S447" s="24" t="s">
        <v>20792</v>
      </c>
      <c r="T447" t="s">
        <v>14071</v>
      </c>
      <c r="U447" t="s">
        <v>13809</v>
      </c>
      <c r="W447" t="s">
        <v>13809</v>
      </c>
      <c r="Y447" t="s">
        <v>13809</v>
      </c>
      <c r="AA447" t="s">
        <v>20793</v>
      </c>
      <c r="AB447" t="s">
        <v>13882</v>
      </c>
      <c r="AC447" t="s">
        <v>13818</v>
      </c>
      <c r="AD447" t="s">
        <v>14309</v>
      </c>
      <c r="AH447" t="s">
        <v>14265</v>
      </c>
      <c r="AI447" t="s">
        <v>13808</v>
      </c>
      <c r="AK447" t="s">
        <v>20794</v>
      </c>
      <c r="AL447" t="s">
        <v>13818</v>
      </c>
      <c r="AM447" t="s">
        <v>14309</v>
      </c>
      <c r="AN447" t="s">
        <v>14056</v>
      </c>
      <c r="AO447" t="s">
        <v>13818</v>
      </c>
      <c r="AP447" t="s">
        <v>14309</v>
      </c>
      <c r="AT447" t="s">
        <v>20795</v>
      </c>
      <c r="AU447" t="s">
        <v>13818</v>
      </c>
      <c r="AV447" t="s">
        <v>14309</v>
      </c>
      <c r="AZ447" t="s">
        <v>20796</v>
      </c>
      <c r="BA447" t="s">
        <v>13818</v>
      </c>
      <c r="BB447" t="s">
        <v>14309</v>
      </c>
      <c r="BF447" t="s">
        <v>14260</v>
      </c>
      <c r="BG447" t="s">
        <v>13818</v>
      </c>
      <c r="BH447" t="s">
        <v>14309</v>
      </c>
      <c r="BM447" t="s">
        <v>13809</v>
      </c>
      <c r="BR447" t="s">
        <v>20797</v>
      </c>
      <c r="BS447" t="s">
        <v>13887</v>
      </c>
      <c r="BT447" t="s">
        <v>13818</v>
      </c>
      <c r="BU447" t="s">
        <v>14214</v>
      </c>
      <c r="BY447" t="s">
        <v>14265</v>
      </c>
      <c r="BZ447" t="s">
        <v>13808</v>
      </c>
      <c r="CA447" t="s">
        <v>13937</v>
      </c>
      <c r="CE447" t="s">
        <v>14197</v>
      </c>
      <c r="CF447" t="s">
        <v>13818</v>
      </c>
      <c r="CG447" t="s">
        <v>20798</v>
      </c>
      <c r="CL447" t="s">
        <v>13809</v>
      </c>
      <c r="CR447" t="s">
        <v>13809</v>
      </c>
      <c r="CT447" t="s">
        <v>13830</v>
      </c>
      <c r="CU447" t="s">
        <v>20799</v>
      </c>
      <c r="CV447" t="s">
        <v>13818</v>
      </c>
      <c r="DA447" t="s">
        <v>20800</v>
      </c>
      <c r="DB447" t="s">
        <v>13818</v>
      </c>
      <c r="DG447" t="s">
        <v>20801</v>
      </c>
      <c r="DH447" t="s">
        <v>13818</v>
      </c>
      <c r="DY447" t="s">
        <v>13840</v>
      </c>
      <c r="DZ447" t="s">
        <v>13841</v>
      </c>
      <c r="EA447" t="s">
        <v>13842</v>
      </c>
      <c r="ED447" t="s">
        <v>13903</v>
      </c>
      <c r="EE447" t="s">
        <v>8788</v>
      </c>
    </row>
    <row r="448" spans="1:135">
      <c r="A448" t="s">
        <v>3823</v>
      </c>
      <c r="B448" t="s">
        <v>3808</v>
      </c>
      <c r="C448" t="s">
        <v>20802</v>
      </c>
      <c r="D448" s="24">
        <v>44061</v>
      </c>
      <c r="E448" s="24" t="s">
        <v>13560</v>
      </c>
      <c r="F448" s="24" t="s">
        <v>20803</v>
      </c>
      <c r="G448" s="24" t="s">
        <v>13808</v>
      </c>
      <c r="H448" s="24"/>
      <c r="I448" s="24" t="s">
        <v>13809</v>
      </c>
      <c r="J448" s="24"/>
      <c r="K448" s="24" t="s">
        <v>13809</v>
      </c>
      <c r="L448" s="24"/>
      <c r="M448" s="24" t="s">
        <v>14163</v>
      </c>
      <c r="N448" s="24" t="s">
        <v>13808</v>
      </c>
      <c r="O448" s="24"/>
      <c r="P448" s="24" t="s">
        <v>13818</v>
      </c>
      <c r="Q448" s="24" t="s">
        <v>17742</v>
      </c>
      <c r="R448" s="24" t="s">
        <v>13808</v>
      </c>
      <c r="S448" s="24"/>
      <c r="T448" t="s">
        <v>14450</v>
      </c>
      <c r="U448" t="s">
        <v>13809</v>
      </c>
      <c r="W448" t="s">
        <v>13809</v>
      </c>
      <c r="Y448" t="s">
        <v>13809</v>
      </c>
      <c r="AA448" t="s">
        <v>20804</v>
      </c>
      <c r="AB448" t="s">
        <v>16346</v>
      </c>
      <c r="AC448" t="s">
        <v>13818</v>
      </c>
      <c r="AD448" t="s">
        <v>14415</v>
      </c>
      <c r="AH448" t="s">
        <v>13887</v>
      </c>
      <c r="AI448" t="s">
        <v>13808</v>
      </c>
      <c r="AK448" t="s">
        <v>14004</v>
      </c>
      <c r="AL448" t="s">
        <v>13818</v>
      </c>
      <c r="AM448" t="s">
        <v>14415</v>
      </c>
      <c r="AN448" t="s">
        <v>13809</v>
      </c>
      <c r="AT448" t="s">
        <v>14432</v>
      </c>
      <c r="AU448" t="s">
        <v>13818</v>
      </c>
      <c r="AV448" t="s">
        <v>14415</v>
      </c>
      <c r="AZ448" t="s">
        <v>15883</v>
      </c>
      <c r="BA448" t="s">
        <v>13808</v>
      </c>
      <c r="BF448" t="s">
        <v>18075</v>
      </c>
      <c r="BG448" t="s">
        <v>13808</v>
      </c>
      <c r="BL448" t="s">
        <v>15837</v>
      </c>
      <c r="BM448" t="s">
        <v>13818</v>
      </c>
      <c r="BN448" t="s">
        <v>14415</v>
      </c>
      <c r="BR448" t="s">
        <v>20805</v>
      </c>
      <c r="BS448" t="s">
        <v>13887</v>
      </c>
      <c r="BT448" t="s">
        <v>13897</v>
      </c>
      <c r="BU448" t="s">
        <v>14528</v>
      </c>
      <c r="BY448" t="s">
        <v>13887</v>
      </c>
      <c r="BZ448" t="s">
        <v>13808</v>
      </c>
      <c r="CA448" t="s">
        <v>14026</v>
      </c>
      <c r="CE448" t="s">
        <v>13887</v>
      </c>
      <c r="CF448" t="s">
        <v>13808</v>
      </c>
      <c r="CG448" t="s">
        <v>14173</v>
      </c>
      <c r="CL448" t="s">
        <v>13809</v>
      </c>
      <c r="CR448" t="s">
        <v>13809</v>
      </c>
      <c r="CT448" t="s">
        <v>20806</v>
      </c>
      <c r="CU448" t="s">
        <v>20807</v>
      </c>
      <c r="CV448" t="s">
        <v>13808</v>
      </c>
      <c r="CX448" t="s">
        <v>20808</v>
      </c>
      <c r="CY448" t="s">
        <v>13818</v>
      </c>
      <c r="CZ448" t="s">
        <v>14415</v>
      </c>
      <c r="DA448" t="s">
        <v>20809</v>
      </c>
      <c r="DB448" t="s">
        <v>13808</v>
      </c>
      <c r="DD448" t="s">
        <v>20810</v>
      </c>
      <c r="DE448" t="s">
        <v>13818</v>
      </c>
      <c r="DF448" t="s">
        <v>14309</v>
      </c>
      <c r="DG448" t="s">
        <v>13909</v>
      </c>
      <c r="DH448" t="s">
        <v>13818</v>
      </c>
      <c r="DY448" t="s">
        <v>13900</v>
      </c>
      <c r="DZ448" t="s">
        <v>13970</v>
      </c>
      <c r="EA448" t="s">
        <v>14461</v>
      </c>
      <c r="ED448" t="s">
        <v>14276</v>
      </c>
      <c r="EE448" t="s">
        <v>8619</v>
      </c>
    </row>
    <row r="449" spans="1:135">
      <c r="A449" t="s">
        <v>3585</v>
      </c>
      <c r="B449" t="s">
        <v>3506</v>
      </c>
      <c r="C449" t="s">
        <v>20811</v>
      </c>
      <c r="D449" s="24">
        <v>44547</v>
      </c>
      <c r="E449" s="24" t="s">
        <v>13550</v>
      </c>
      <c r="F449" s="24" t="s">
        <v>20812</v>
      </c>
      <c r="G449" s="24" t="s">
        <v>14699</v>
      </c>
      <c r="H449" s="24"/>
      <c r="I449" s="24" t="s">
        <v>13809</v>
      </c>
      <c r="J449" s="24"/>
      <c r="K449" s="24" t="s">
        <v>13809</v>
      </c>
      <c r="L449" s="24"/>
      <c r="M449" s="24" t="s">
        <v>15021</v>
      </c>
      <c r="N449" s="24" t="s">
        <v>13808</v>
      </c>
      <c r="O449" s="24"/>
      <c r="P449" s="24" t="s">
        <v>13808</v>
      </c>
      <c r="Q449" s="24" t="s">
        <v>14701</v>
      </c>
      <c r="R449" s="24" t="s">
        <v>13808</v>
      </c>
      <c r="S449" s="24"/>
      <c r="T449" t="s">
        <v>14450</v>
      </c>
      <c r="U449" t="s">
        <v>13809</v>
      </c>
      <c r="W449" t="s">
        <v>13809</v>
      </c>
      <c r="Y449" t="s">
        <v>13809</v>
      </c>
      <c r="AA449" t="s">
        <v>16322</v>
      </c>
      <c r="AC449" t="s">
        <v>13809</v>
      </c>
      <c r="AH449" t="s">
        <v>13909</v>
      </c>
      <c r="AI449" t="s">
        <v>13818</v>
      </c>
      <c r="AJ449" t="s">
        <v>14415</v>
      </c>
      <c r="AN449" t="s">
        <v>13910</v>
      </c>
      <c r="AO449" t="s">
        <v>13818</v>
      </c>
      <c r="AP449" t="s">
        <v>14415</v>
      </c>
      <c r="AT449" t="s">
        <v>14706</v>
      </c>
      <c r="AU449" t="s">
        <v>13818</v>
      </c>
      <c r="AV449" t="s">
        <v>14415</v>
      </c>
      <c r="AZ449" t="s">
        <v>20813</v>
      </c>
      <c r="BA449" t="s">
        <v>13818</v>
      </c>
      <c r="BB449" t="s">
        <v>14415</v>
      </c>
      <c r="BF449" t="s">
        <v>20814</v>
      </c>
      <c r="BG449" t="s">
        <v>13818</v>
      </c>
      <c r="BH449" t="s">
        <v>14415</v>
      </c>
      <c r="BM449" t="s">
        <v>13809</v>
      </c>
      <c r="BR449" t="s">
        <v>20815</v>
      </c>
      <c r="BS449" t="s">
        <v>13887</v>
      </c>
      <c r="BT449" t="s">
        <v>13818</v>
      </c>
      <c r="BU449" t="s">
        <v>15532</v>
      </c>
      <c r="BY449" t="s">
        <v>14265</v>
      </c>
      <c r="BZ449" t="s">
        <v>13808</v>
      </c>
      <c r="CA449" t="s">
        <v>13937</v>
      </c>
      <c r="CE449" t="s">
        <v>14265</v>
      </c>
      <c r="CF449" t="s">
        <v>13808</v>
      </c>
      <c r="CL449" t="s">
        <v>13809</v>
      </c>
      <c r="CR449" t="s">
        <v>13809</v>
      </c>
      <c r="CT449" t="s">
        <v>14459</v>
      </c>
      <c r="CU449" t="s">
        <v>13909</v>
      </c>
      <c r="CV449" t="s">
        <v>13818</v>
      </c>
      <c r="DA449" t="s">
        <v>13909</v>
      </c>
      <c r="DB449" t="s">
        <v>13818</v>
      </c>
      <c r="DG449" t="s">
        <v>13909</v>
      </c>
      <c r="DH449" t="s">
        <v>13818</v>
      </c>
      <c r="DY449" t="s">
        <v>13900</v>
      </c>
      <c r="DZ449" t="s">
        <v>13970</v>
      </c>
      <c r="EA449" t="s">
        <v>13842</v>
      </c>
      <c r="ED449" t="s">
        <v>14276</v>
      </c>
      <c r="EE449" t="s">
        <v>13620</v>
      </c>
    </row>
    <row r="450" spans="1:135">
      <c r="A450" t="s">
        <v>3620</v>
      </c>
      <c r="B450" t="s">
        <v>3619</v>
      </c>
      <c r="C450" t="s">
        <v>20816</v>
      </c>
      <c r="D450" s="24">
        <v>44680</v>
      </c>
      <c r="E450" s="24" t="s">
        <v>13555</v>
      </c>
      <c r="F450" s="24" t="s">
        <v>20817</v>
      </c>
      <c r="G450" s="24" t="s">
        <v>13808</v>
      </c>
      <c r="H450" s="24"/>
      <c r="I450" s="24" t="s">
        <v>13809</v>
      </c>
      <c r="J450" s="24"/>
      <c r="K450" s="24" t="s">
        <v>13808</v>
      </c>
      <c r="L450" s="24"/>
      <c r="M450" s="24" t="s">
        <v>15494</v>
      </c>
      <c r="N450" s="24" t="s">
        <v>13808</v>
      </c>
      <c r="O450" s="24"/>
      <c r="P450" s="24" t="s">
        <v>13818</v>
      </c>
      <c r="Q450" s="24" t="s">
        <v>20818</v>
      </c>
      <c r="R450" s="24" t="s">
        <v>13808</v>
      </c>
      <c r="S450" s="24"/>
      <c r="T450" t="s">
        <v>13847</v>
      </c>
      <c r="U450" t="s">
        <v>13809</v>
      </c>
      <c r="W450" t="s">
        <v>13808</v>
      </c>
      <c r="X450" t="s">
        <v>20819</v>
      </c>
      <c r="Y450" t="s">
        <v>13808</v>
      </c>
      <c r="AA450" t="s">
        <v>14971</v>
      </c>
      <c r="AB450" t="s">
        <v>20820</v>
      </c>
      <c r="AC450" t="s">
        <v>13808</v>
      </c>
      <c r="AH450" t="s">
        <v>13851</v>
      </c>
      <c r="AI450" t="s">
        <v>13808</v>
      </c>
      <c r="AN450" t="s">
        <v>20821</v>
      </c>
      <c r="AO450" t="s">
        <v>13808</v>
      </c>
      <c r="AT450" t="s">
        <v>18873</v>
      </c>
      <c r="AU450" t="s">
        <v>13808</v>
      </c>
      <c r="AZ450" t="s">
        <v>20822</v>
      </c>
      <c r="BA450" t="s">
        <v>13808</v>
      </c>
      <c r="BF450" t="s">
        <v>20823</v>
      </c>
      <c r="BG450" t="s">
        <v>13808</v>
      </c>
      <c r="BL450" t="s">
        <v>20824</v>
      </c>
      <c r="BM450" t="s">
        <v>13808</v>
      </c>
      <c r="BR450" t="s">
        <v>20825</v>
      </c>
      <c r="BS450" t="s">
        <v>13858</v>
      </c>
      <c r="BT450" t="s">
        <v>13808</v>
      </c>
      <c r="BU450" t="s">
        <v>20826</v>
      </c>
      <c r="BY450" t="s">
        <v>13860</v>
      </c>
      <c r="BZ450" t="s">
        <v>13808</v>
      </c>
      <c r="CA450" t="s">
        <v>16872</v>
      </c>
      <c r="CE450" t="s">
        <v>13862</v>
      </c>
      <c r="CF450" t="s">
        <v>13808</v>
      </c>
      <c r="CK450" t="s">
        <v>13760</v>
      </c>
      <c r="CL450" t="s">
        <v>13809</v>
      </c>
      <c r="CQ450" t="s">
        <v>13766</v>
      </c>
      <c r="CR450" t="s">
        <v>13809</v>
      </c>
      <c r="CT450" t="s">
        <v>20827</v>
      </c>
      <c r="CU450" t="s">
        <v>20828</v>
      </c>
      <c r="CV450" t="s">
        <v>13818</v>
      </c>
      <c r="DA450" t="s">
        <v>20829</v>
      </c>
      <c r="DB450" t="s">
        <v>13808</v>
      </c>
      <c r="DY450" t="s">
        <v>13869</v>
      </c>
      <c r="DZ450" t="s">
        <v>20830</v>
      </c>
      <c r="EA450" t="s">
        <v>20831</v>
      </c>
      <c r="EC450">
        <v>44685</v>
      </c>
      <c r="ED450" t="s">
        <v>14298</v>
      </c>
      <c r="EE450" t="s">
        <v>8407</v>
      </c>
    </row>
    <row r="451" spans="1:135">
      <c r="A451" t="s">
        <v>3624</v>
      </c>
      <c r="B451" t="s">
        <v>3619</v>
      </c>
      <c r="C451" t="s">
        <v>20832</v>
      </c>
      <c r="D451" s="24">
        <v>43756</v>
      </c>
      <c r="E451" s="24" t="s">
        <v>13553</v>
      </c>
      <c r="F451" s="24" t="s">
        <v>20833</v>
      </c>
      <c r="G451" s="24" t="s">
        <v>13808</v>
      </c>
      <c r="H451" s="24"/>
      <c r="I451" s="24" t="s">
        <v>13809</v>
      </c>
      <c r="J451" s="24"/>
      <c r="K451" s="24" t="s">
        <v>13808</v>
      </c>
      <c r="L451" s="24"/>
      <c r="M451" s="24" t="s">
        <v>14163</v>
      </c>
      <c r="N451" s="24" t="s">
        <v>13808</v>
      </c>
      <c r="O451" s="24"/>
      <c r="P451" s="24" t="s">
        <v>13808</v>
      </c>
      <c r="Q451" s="24"/>
      <c r="R451" s="24" t="s">
        <v>13808</v>
      </c>
      <c r="S451" s="24"/>
      <c r="T451" t="s">
        <v>20834</v>
      </c>
      <c r="U451" t="s">
        <v>13808</v>
      </c>
      <c r="W451" t="s">
        <v>13808</v>
      </c>
      <c r="X451" t="s">
        <v>20835</v>
      </c>
      <c r="Y451" t="s">
        <v>13809</v>
      </c>
      <c r="AA451" t="s">
        <v>13877</v>
      </c>
      <c r="AB451" t="s">
        <v>14023</v>
      </c>
      <c r="AC451" t="s">
        <v>13808</v>
      </c>
      <c r="AH451" t="s">
        <v>13909</v>
      </c>
      <c r="AI451" t="s">
        <v>13808</v>
      </c>
      <c r="AN451" t="s">
        <v>20836</v>
      </c>
      <c r="AO451" t="s">
        <v>13808</v>
      </c>
      <c r="AT451" t="s">
        <v>19343</v>
      </c>
      <c r="AU451" t="s">
        <v>13808</v>
      </c>
      <c r="AZ451" t="s">
        <v>20837</v>
      </c>
      <c r="BA451" t="s">
        <v>13808</v>
      </c>
      <c r="BF451" t="s">
        <v>20838</v>
      </c>
      <c r="BG451" t="s">
        <v>13808</v>
      </c>
      <c r="BL451" t="s">
        <v>14732</v>
      </c>
      <c r="BM451" t="s">
        <v>13808</v>
      </c>
      <c r="BR451" t="s">
        <v>20572</v>
      </c>
      <c r="BS451" t="s">
        <v>13885</v>
      </c>
      <c r="BT451" t="s">
        <v>13808</v>
      </c>
      <c r="BU451" t="s">
        <v>16499</v>
      </c>
      <c r="BY451" t="s">
        <v>13887</v>
      </c>
      <c r="BZ451" t="s">
        <v>13808</v>
      </c>
      <c r="CA451" t="s">
        <v>13888</v>
      </c>
      <c r="CE451" t="s">
        <v>13885</v>
      </c>
      <c r="CF451" t="s">
        <v>13808</v>
      </c>
      <c r="CL451" t="s">
        <v>13809</v>
      </c>
      <c r="CR451" t="s">
        <v>13809</v>
      </c>
      <c r="CT451" t="s">
        <v>20839</v>
      </c>
      <c r="CU451" t="s">
        <v>20840</v>
      </c>
      <c r="CV451" t="s">
        <v>13808</v>
      </c>
      <c r="DA451" t="s">
        <v>20841</v>
      </c>
      <c r="DB451" t="s">
        <v>13808</v>
      </c>
      <c r="DH451" t="s">
        <v>13809</v>
      </c>
      <c r="DM451" t="s">
        <v>20842</v>
      </c>
      <c r="DN451" t="s">
        <v>13808</v>
      </c>
      <c r="DP451" t="s">
        <v>20843</v>
      </c>
      <c r="DQ451" t="s">
        <v>13808</v>
      </c>
      <c r="DY451" t="s">
        <v>13900</v>
      </c>
      <c r="DZ451" t="s">
        <v>20844</v>
      </c>
      <c r="EA451" t="s">
        <v>14500</v>
      </c>
      <c r="EC451">
        <v>43775</v>
      </c>
      <c r="ED451" t="s">
        <v>13903</v>
      </c>
      <c r="EE451" t="s">
        <v>8410</v>
      </c>
    </row>
    <row r="452" spans="1:135">
      <c r="A452" t="s">
        <v>3507</v>
      </c>
      <c r="B452" t="s">
        <v>3506</v>
      </c>
      <c r="C452" t="s">
        <v>20845</v>
      </c>
      <c r="D452" s="24">
        <v>43220</v>
      </c>
      <c r="E452" s="24" t="s">
        <v>13565</v>
      </c>
      <c r="F452" s="24" t="s">
        <v>20846</v>
      </c>
      <c r="G452" s="24" t="s">
        <v>13808</v>
      </c>
      <c r="H452" s="24"/>
      <c r="I452" s="24" t="s">
        <v>13809</v>
      </c>
      <c r="J452" s="24"/>
      <c r="K452" s="24" t="s">
        <v>13808</v>
      </c>
      <c r="L452" s="24"/>
      <c r="M452" s="24" t="s">
        <v>14304</v>
      </c>
      <c r="N452" s="24" t="s">
        <v>13808</v>
      </c>
      <c r="O452" s="24"/>
      <c r="P452" s="24" t="s">
        <v>13808</v>
      </c>
      <c r="Q452" s="24"/>
      <c r="R452" s="24" t="s">
        <v>13808</v>
      </c>
      <c r="S452" s="24"/>
      <c r="T452" t="s">
        <v>13907</v>
      </c>
      <c r="U452" t="s">
        <v>13809</v>
      </c>
      <c r="W452" t="s">
        <v>13808</v>
      </c>
      <c r="X452" t="s">
        <v>20847</v>
      </c>
      <c r="Y452" t="s">
        <v>13809</v>
      </c>
      <c r="AA452" t="s">
        <v>13928</v>
      </c>
      <c r="AB452" t="s">
        <v>13699</v>
      </c>
      <c r="AC452" t="s">
        <v>13809</v>
      </c>
      <c r="AH452" t="s">
        <v>13851</v>
      </c>
      <c r="AI452" t="s">
        <v>13808</v>
      </c>
      <c r="AN452" t="s">
        <v>20848</v>
      </c>
      <c r="AO452" t="s">
        <v>13808</v>
      </c>
      <c r="AT452" t="s">
        <v>20849</v>
      </c>
      <c r="AU452" t="s">
        <v>13808</v>
      </c>
      <c r="AZ452" t="s">
        <v>14794</v>
      </c>
      <c r="BA452" t="s">
        <v>13808</v>
      </c>
      <c r="BF452" t="s">
        <v>19574</v>
      </c>
      <c r="BG452" t="s">
        <v>13808</v>
      </c>
      <c r="BL452" t="s">
        <v>13735</v>
      </c>
      <c r="BM452" t="s">
        <v>13809</v>
      </c>
      <c r="BR452" t="s">
        <v>14640</v>
      </c>
      <c r="BS452" t="s">
        <v>13824</v>
      </c>
      <c r="BT452" t="s">
        <v>13808</v>
      </c>
      <c r="BU452" t="s">
        <v>14291</v>
      </c>
      <c r="BY452" t="s">
        <v>13860</v>
      </c>
      <c r="BZ452" t="s">
        <v>13808</v>
      </c>
      <c r="CA452" t="s">
        <v>13937</v>
      </c>
      <c r="CE452" t="s">
        <v>13828</v>
      </c>
      <c r="CF452" t="s">
        <v>13808</v>
      </c>
      <c r="CK452" t="s">
        <v>13760</v>
      </c>
      <c r="CL452" t="s">
        <v>13809</v>
      </c>
      <c r="CQ452" t="s">
        <v>13766</v>
      </c>
      <c r="CR452" t="s">
        <v>13809</v>
      </c>
      <c r="CT452" t="s">
        <v>14561</v>
      </c>
      <c r="CU452" t="s">
        <v>20850</v>
      </c>
      <c r="CV452" t="s">
        <v>13808</v>
      </c>
      <c r="CX452" t="s">
        <v>20851</v>
      </c>
      <c r="CY452" t="s">
        <v>13818</v>
      </c>
      <c r="DA452" t="s">
        <v>20852</v>
      </c>
      <c r="DB452" t="s">
        <v>13808</v>
      </c>
      <c r="DD452" t="s">
        <v>20851</v>
      </c>
      <c r="DE452" t="s">
        <v>13818</v>
      </c>
      <c r="DG452" t="s">
        <v>14240</v>
      </c>
      <c r="DH452" t="s">
        <v>13808</v>
      </c>
      <c r="DY452" t="s">
        <v>14243</v>
      </c>
      <c r="DZ452" t="s">
        <v>20853</v>
      </c>
      <c r="EA452" t="s">
        <v>16821</v>
      </c>
      <c r="EC452">
        <v>44627</v>
      </c>
      <c r="ED452" t="s">
        <v>13843</v>
      </c>
      <c r="EE452" t="s">
        <v>8275</v>
      </c>
    </row>
    <row r="453" spans="1:135">
      <c r="A453" t="s">
        <v>3795</v>
      </c>
      <c r="B453" t="s">
        <v>10870</v>
      </c>
      <c r="C453" t="s">
        <v>13903</v>
      </c>
      <c r="D453" s="24">
        <v>43442</v>
      </c>
      <c r="E453" s="24" t="s">
        <v>13557</v>
      </c>
      <c r="F453" s="24" t="s">
        <v>20854</v>
      </c>
      <c r="G453" s="24" t="s">
        <v>13808</v>
      </c>
      <c r="H453" s="24"/>
      <c r="I453" s="24" t="s">
        <v>13809</v>
      </c>
      <c r="J453" s="24"/>
      <c r="K453" s="24" t="s">
        <v>13808</v>
      </c>
      <c r="L453" s="24"/>
      <c r="M453" s="24" t="s">
        <v>20855</v>
      </c>
      <c r="N453" s="24" t="s">
        <v>13808</v>
      </c>
      <c r="O453" s="24"/>
      <c r="P453" s="24" t="s">
        <v>13808</v>
      </c>
      <c r="Q453" s="24"/>
      <c r="R453" s="24" t="s">
        <v>13808</v>
      </c>
      <c r="S453" s="24"/>
      <c r="T453" t="s">
        <v>14034</v>
      </c>
      <c r="U453" t="s">
        <v>13809</v>
      </c>
      <c r="W453" t="s">
        <v>13808</v>
      </c>
      <c r="X453" t="s">
        <v>20856</v>
      </c>
      <c r="Y453" t="s">
        <v>13809</v>
      </c>
      <c r="AA453" t="s">
        <v>15186</v>
      </c>
      <c r="AC453" t="s">
        <v>13809</v>
      </c>
      <c r="AH453" t="s">
        <v>13909</v>
      </c>
      <c r="AI453" t="s">
        <v>13808</v>
      </c>
      <c r="AO453" t="s">
        <v>13809</v>
      </c>
      <c r="AU453" t="s">
        <v>13809</v>
      </c>
      <c r="AZ453" t="s">
        <v>14416</v>
      </c>
      <c r="BA453" t="s">
        <v>13808</v>
      </c>
      <c r="BF453" t="s">
        <v>20857</v>
      </c>
      <c r="BG453" t="s">
        <v>13808</v>
      </c>
      <c r="BL453" t="s">
        <v>13883</v>
      </c>
      <c r="BM453" t="s">
        <v>13808</v>
      </c>
      <c r="BR453" t="s">
        <v>20858</v>
      </c>
      <c r="BT453" t="s">
        <v>13809</v>
      </c>
      <c r="BY453" t="s">
        <v>13887</v>
      </c>
      <c r="BZ453" t="s">
        <v>13808</v>
      </c>
      <c r="CA453" t="s">
        <v>13937</v>
      </c>
      <c r="CF453" t="s">
        <v>13809</v>
      </c>
      <c r="CK453" t="s">
        <v>13887</v>
      </c>
      <c r="CL453" t="s">
        <v>13808</v>
      </c>
      <c r="CR453" t="s">
        <v>13809</v>
      </c>
      <c r="CT453" t="s">
        <v>20859</v>
      </c>
      <c r="CU453" t="s">
        <v>13909</v>
      </c>
      <c r="CV453" t="s">
        <v>13808</v>
      </c>
      <c r="DA453" t="s">
        <v>13909</v>
      </c>
      <c r="DB453" t="s">
        <v>13808</v>
      </c>
      <c r="DG453" t="s">
        <v>13909</v>
      </c>
      <c r="DH453" t="s">
        <v>13808</v>
      </c>
      <c r="DY453" t="s">
        <v>15842</v>
      </c>
      <c r="DZ453" t="s">
        <v>20860</v>
      </c>
      <c r="EA453" t="s">
        <v>20377</v>
      </c>
      <c r="EC453">
        <v>44180</v>
      </c>
      <c r="ED453" t="s">
        <v>13903</v>
      </c>
      <c r="EE453" t="s">
        <v>13621</v>
      </c>
    </row>
    <row r="454" spans="1:135">
      <c r="A454" t="s">
        <v>3887</v>
      </c>
      <c r="B454" t="s">
        <v>3808</v>
      </c>
      <c r="C454" t="s">
        <v>20861</v>
      </c>
      <c r="D454" s="24">
        <v>44547</v>
      </c>
      <c r="E454" s="24" t="s">
        <v>13561</v>
      </c>
      <c r="F454" s="24" t="s">
        <v>20862</v>
      </c>
      <c r="G454" s="24" t="s">
        <v>13818</v>
      </c>
      <c r="H454" s="24" t="s">
        <v>20863</v>
      </c>
      <c r="I454" s="24" t="s">
        <v>13809</v>
      </c>
      <c r="J454" s="24"/>
      <c r="K454" s="24" t="s">
        <v>13809</v>
      </c>
      <c r="L454" s="24"/>
      <c r="M454" s="24" t="s">
        <v>14670</v>
      </c>
      <c r="N454" s="24" t="s">
        <v>13808</v>
      </c>
      <c r="O454" s="24"/>
      <c r="P454" s="24" t="s">
        <v>13808</v>
      </c>
      <c r="Q454" s="24"/>
      <c r="R454" s="24" t="s">
        <v>13808</v>
      </c>
      <c r="S454" s="24"/>
      <c r="T454" t="s">
        <v>14450</v>
      </c>
      <c r="U454" t="s">
        <v>13809</v>
      </c>
      <c r="W454" t="s">
        <v>13809</v>
      </c>
      <c r="Y454" t="s">
        <v>13809</v>
      </c>
      <c r="AA454" t="s">
        <v>14451</v>
      </c>
      <c r="AC454" t="s">
        <v>13809</v>
      </c>
      <c r="AH454" t="s">
        <v>13909</v>
      </c>
      <c r="AI454" t="s">
        <v>13818</v>
      </c>
      <c r="AJ454" t="s">
        <v>14415</v>
      </c>
      <c r="AO454" t="s">
        <v>13809</v>
      </c>
      <c r="AU454" t="s">
        <v>13809</v>
      </c>
      <c r="AZ454" t="s">
        <v>13880</v>
      </c>
      <c r="BA454" t="s">
        <v>13818</v>
      </c>
      <c r="BB454" t="s">
        <v>14415</v>
      </c>
      <c r="BF454" t="s">
        <v>14731</v>
      </c>
      <c r="BG454" t="s">
        <v>13818</v>
      </c>
      <c r="BH454" t="s">
        <v>14415</v>
      </c>
      <c r="BM454" t="s">
        <v>13809</v>
      </c>
      <c r="BR454" t="s">
        <v>20864</v>
      </c>
      <c r="BT454" t="s">
        <v>13809</v>
      </c>
      <c r="BY454" t="s">
        <v>13887</v>
      </c>
      <c r="BZ454" t="s">
        <v>13818</v>
      </c>
      <c r="CA454" t="s">
        <v>13937</v>
      </c>
      <c r="CE454" t="s">
        <v>14265</v>
      </c>
      <c r="CF454" t="s">
        <v>13818</v>
      </c>
      <c r="CL454" t="s">
        <v>13809</v>
      </c>
      <c r="CR454" t="s">
        <v>13809</v>
      </c>
      <c r="CT454" t="s">
        <v>14459</v>
      </c>
      <c r="CU454" t="s">
        <v>13909</v>
      </c>
      <c r="CV454" t="s">
        <v>13818</v>
      </c>
      <c r="DA454" t="s">
        <v>13909</v>
      </c>
      <c r="DB454" t="s">
        <v>13818</v>
      </c>
      <c r="DG454" t="s">
        <v>13909</v>
      </c>
      <c r="DH454" t="s">
        <v>13818</v>
      </c>
      <c r="DY454" t="s">
        <v>13900</v>
      </c>
      <c r="DZ454" t="s">
        <v>13970</v>
      </c>
      <c r="EA454" t="s">
        <v>13842</v>
      </c>
      <c r="ED454" t="s">
        <v>14276</v>
      </c>
      <c r="EE454" t="s">
        <v>13622</v>
      </c>
    </row>
    <row r="455" spans="1:135">
      <c r="A455" t="s">
        <v>3197</v>
      </c>
      <c r="B455" t="s">
        <v>3161</v>
      </c>
      <c r="C455" t="s">
        <v>20865</v>
      </c>
      <c r="D455" s="24">
        <v>43439</v>
      </c>
      <c r="E455" s="24" t="s">
        <v>13555</v>
      </c>
      <c r="F455" s="24" t="s">
        <v>20866</v>
      </c>
      <c r="G455" s="24" t="s">
        <v>13808</v>
      </c>
      <c r="H455" s="24"/>
      <c r="I455" s="24" t="s">
        <v>13809</v>
      </c>
      <c r="J455" s="24"/>
      <c r="K455" s="24" t="s">
        <v>13809</v>
      </c>
      <c r="L455" s="24"/>
      <c r="M455" s="24" t="s">
        <v>16604</v>
      </c>
      <c r="N455" s="24" t="s">
        <v>13808</v>
      </c>
      <c r="O455" s="24"/>
      <c r="P455" s="24" t="s">
        <v>13808</v>
      </c>
      <c r="Q455" s="24"/>
      <c r="R455" s="24" t="s">
        <v>13808</v>
      </c>
      <c r="S455" s="24"/>
      <c r="T455" t="s">
        <v>20867</v>
      </c>
      <c r="U455" t="s">
        <v>13808</v>
      </c>
      <c r="W455" t="s">
        <v>13808</v>
      </c>
      <c r="X455" t="s">
        <v>20868</v>
      </c>
      <c r="Y455" t="s">
        <v>13809</v>
      </c>
      <c r="AA455" t="s">
        <v>14971</v>
      </c>
      <c r="AB455" t="s">
        <v>20033</v>
      </c>
      <c r="AC455" t="s">
        <v>13808</v>
      </c>
      <c r="AH455" t="s">
        <v>13909</v>
      </c>
      <c r="AI455" t="s">
        <v>13808</v>
      </c>
      <c r="AO455" t="s">
        <v>13809</v>
      </c>
      <c r="AT455" t="s">
        <v>15633</v>
      </c>
      <c r="AU455" t="s">
        <v>13808</v>
      </c>
      <c r="AZ455" t="s">
        <v>17167</v>
      </c>
      <c r="BA455" t="s">
        <v>13808</v>
      </c>
      <c r="BF455" t="s">
        <v>16591</v>
      </c>
      <c r="BG455" t="s">
        <v>13808</v>
      </c>
      <c r="BL455" t="s">
        <v>20869</v>
      </c>
      <c r="BM455" t="s">
        <v>13808</v>
      </c>
      <c r="BR455" t="s">
        <v>20870</v>
      </c>
      <c r="BS455" t="s">
        <v>20871</v>
      </c>
      <c r="BT455" t="s">
        <v>13808</v>
      </c>
      <c r="BU455" t="s">
        <v>13985</v>
      </c>
      <c r="BV455" t="s">
        <v>20872</v>
      </c>
      <c r="BY455" t="s">
        <v>13887</v>
      </c>
      <c r="BZ455" t="s">
        <v>13808</v>
      </c>
      <c r="CA455" t="s">
        <v>13861</v>
      </c>
      <c r="CE455" t="s">
        <v>20871</v>
      </c>
      <c r="CF455" t="s">
        <v>13808</v>
      </c>
      <c r="CG455" t="s">
        <v>20872</v>
      </c>
      <c r="CL455" t="s">
        <v>13809</v>
      </c>
      <c r="CR455" t="s">
        <v>13809</v>
      </c>
      <c r="CT455" t="s">
        <v>20873</v>
      </c>
      <c r="CU455" t="s">
        <v>13909</v>
      </c>
      <c r="CV455" t="s">
        <v>13808</v>
      </c>
      <c r="DA455" t="s">
        <v>13909</v>
      </c>
      <c r="DB455" t="s">
        <v>13808</v>
      </c>
      <c r="DG455" t="s">
        <v>13909</v>
      </c>
      <c r="DH455" t="s">
        <v>13808</v>
      </c>
      <c r="DZ455" t="s">
        <v>20874</v>
      </c>
      <c r="EA455" t="s">
        <v>14201</v>
      </c>
      <c r="EC455">
        <v>43480</v>
      </c>
      <c r="ED455" t="s">
        <v>13903</v>
      </c>
      <c r="EE455" t="s">
        <v>7905</v>
      </c>
    </row>
    <row r="456" spans="1:135">
      <c r="A456" t="s">
        <v>3830</v>
      </c>
      <c r="B456" t="s">
        <v>3808</v>
      </c>
      <c r="C456" t="s">
        <v>20875</v>
      </c>
      <c r="D456" s="24">
        <v>43587</v>
      </c>
      <c r="E456" s="24" t="s">
        <v>13555</v>
      </c>
      <c r="F456" s="24" t="s">
        <v>20876</v>
      </c>
      <c r="G456" s="24" t="s">
        <v>13808</v>
      </c>
      <c r="H456" s="24"/>
      <c r="I456" s="24" t="s">
        <v>13809</v>
      </c>
      <c r="J456" s="24"/>
      <c r="K456" s="24" t="s">
        <v>13809</v>
      </c>
      <c r="L456" s="24"/>
      <c r="M456" s="24" t="s">
        <v>17316</v>
      </c>
      <c r="N456" s="24" t="s">
        <v>13808</v>
      </c>
      <c r="O456" s="24"/>
      <c r="P456" s="24" t="s">
        <v>13808</v>
      </c>
      <c r="Q456" s="24"/>
      <c r="R456" s="24" t="s">
        <v>13808</v>
      </c>
      <c r="S456" s="24"/>
      <c r="T456" t="s">
        <v>20877</v>
      </c>
      <c r="U456" t="s">
        <v>13808</v>
      </c>
      <c r="W456" t="s">
        <v>13808</v>
      </c>
      <c r="X456" t="s">
        <v>20878</v>
      </c>
      <c r="Y456" t="s">
        <v>13809</v>
      </c>
      <c r="AA456" t="s">
        <v>13849</v>
      </c>
      <c r="AC456" t="s">
        <v>13809</v>
      </c>
      <c r="AH456" t="s">
        <v>13909</v>
      </c>
      <c r="AI456" t="s">
        <v>13808</v>
      </c>
      <c r="AN456" t="s">
        <v>16346</v>
      </c>
      <c r="AO456" t="s">
        <v>13808</v>
      </c>
      <c r="AT456" t="s">
        <v>18350</v>
      </c>
      <c r="AU456" t="s">
        <v>13808</v>
      </c>
      <c r="AZ456" t="s">
        <v>14367</v>
      </c>
      <c r="BA456" t="s">
        <v>13808</v>
      </c>
      <c r="BF456" t="s">
        <v>20879</v>
      </c>
      <c r="BG456" t="s">
        <v>13808</v>
      </c>
      <c r="BM456" t="s">
        <v>13809</v>
      </c>
      <c r="BR456" t="s">
        <v>20880</v>
      </c>
      <c r="BS456" t="s">
        <v>13885</v>
      </c>
      <c r="BT456" t="s">
        <v>13808</v>
      </c>
      <c r="BU456" t="s">
        <v>16499</v>
      </c>
      <c r="BY456" t="s">
        <v>13887</v>
      </c>
      <c r="BZ456" t="s">
        <v>13808</v>
      </c>
      <c r="CA456" t="s">
        <v>16872</v>
      </c>
      <c r="CE456" t="s">
        <v>14693</v>
      </c>
      <c r="CF456" t="s">
        <v>13808</v>
      </c>
      <c r="CG456" t="s">
        <v>20881</v>
      </c>
      <c r="CK456" t="s">
        <v>13885</v>
      </c>
      <c r="CL456" t="s">
        <v>13808</v>
      </c>
      <c r="CR456" t="s">
        <v>13809</v>
      </c>
      <c r="CT456" t="s">
        <v>20882</v>
      </c>
      <c r="CU456" t="s">
        <v>20883</v>
      </c>
      <c r="CV456" t="s">
        <v>13808</v>
      </c>
      <c r="CX456" t="s">
        <v>20884</v>
      </c>
      <c r="CY456" t="s">
        <v>13818</v>
      </c>
      <c r="DA456" t="s">
        <v>20885</v>
      </c>
      <c r="DB456" t="s">
        <v>13808</v>
      </c>
      <c r="DH456" t="s">
        <v>13809</v>
      </c>
      <c r="DM456" t="s">
        <v>20886</v>
      </c>
      <c r="DN456" t="s">
        <v>13808</v>
      </c>
      <c r="DP456" t="s">
        <v>20887</v>
      </c>
      <c r="DQ456" t="s">
        <v>13808</v>
      </c>
      <c r="DY456" t="s">
        <v>15842</v>
      </c>
      <c r="DZ456" t="s">
        <v>20888</v>
      </c>
      <c r="EA456" t="s">
        <v>20889</v>
      </c>
      <c r="EC456">
        <v>44180</v>
      </c>
      <c r="ED456" t="s">
        <v>13903</v>
      </c>
      <c r="EE456" t="s">
        <v>8625</v>
      </c>
    </row>
    <row r="457" spans="1:135">
      <c r="A457" t="s">
        <v>3631</v>
      </c>
      <c r="B457" t="s">
        <v>3619</v>
      </c>
      <c r="C457" t="s">
        <v>20890</v>
      </c>
      <c r="D457" s="24">
        <v>43756</v>
      </c>
      <c r="E457" s="24" t="s">
        <v>13553</v>
      </c>
      <c r="F457" s="24" t="s">
        <v>20891</v>
      </c>
      <c r="G457" s="24" t="s">
        <v>13808</v>
      </c>
      <c r="H457" s="24"/>
      <c r="I457" s="24" t="s">
        <v>13809</v>
      </c>
      <c r="J457" s="24"/>
      <c r="K457" s="24" t="s">
        <v>13808</v>
      </c>
      <c r="L457" s="24" t="s">
        <v>20892</v>
      </c>
      <c r="M457" s="24" t="s">
        <v>14304</v>
      </c>
      <c r="N457" s="24" t="s">
        <v>13808</v>
      </c>
      <c r="O457" s="24"/>
      <c r="P457" s="24" t="s">
        <v>13808</v>
      </c>
      <c r="Q457" s="24"/>
      <c r="R457" s="24" t="s">
        <v>13808</v>
      </c>
      <c r="S457" s="24"/>
      <c r="T457" t="s">
        <v>14034</v>
      </c>
      <c r="U457" t="s">
        <v>13809</v>
      </c>
      <c r="W457" t="s">
        <v>13808</v>
      </c>
      <c r="X457" t="s">
        <v>20893</v>
      </c>
      <c r="Y457" t="s">
        <v>13809</v>
      </c>
      <c r="AA457" t="s">
        <v>13877</v>
      </c>
      <c r="AC457" t="s">
        <v>13809</v>
      </c>
      <c r="AH457" t="s">
        <v>13909</v>
      </c>
      <c r="AI457" t="s">
        <v>13808</v>
      </c>
      <c r="AO457" t="s">
        <v>13809</v>
      </c>
      <c r="AT457" t="s">
        <v>20202</v>
      </c>
      <c r="AU457" t="s">
        <v>13808</v>
      </c>
      <c r="AZ457" t="s">
        <v>15883</v>
      </c>
      <c r="BA457" t="s">
        <v>13808</v>
      </c>
      <c r="BF457" t="s">
        <v>20894</v>
      </c>
      <c r="BG457" t="s">
        <v>13808</v>
      </c>
      <c r="BM457" t="s">
        <v>13809</v>
      </c>
      <c r="BR457" t="s">
        <v>20895</v>
      </c>
      <c r="BT457" t="s">
        <v>13809</v>
      </c>
      <c r="BZ457" t="s">
        <v>13809</v>
      </c>
      <c r="CF457" t="s">
        <v>13809</v>
      </c>
      <c r="CK457" t="s">
        <v>16201</v>
      </c>
      <c r="CL457" t="s">
        <v>13808</v>
      </c>
      <c r="CM457" t="s">
        <v>13888</v>
      </c>
      <c r="CR457" t="s">
        <v>13809</v>
      </c>
      <c r="CT457" t="s">
        <v>20896</v>
      </c>
      <c r="CU457" t="s">
        <v>20897</v>
      </c>
      <c r="CV457" t="s">
        <v>13808</v>
      </c>
      <c r="DA457" t="s">
        <v>20898</v>
      </c>
      <c r="DB457" t="s">
        <v>13808</v>
      </c>
      <c r="DH457" t="s">
        <v>13809</v>
      </c>
      <c r="DM457" t="s">
        <v>20899</v>
      </c>
      <c r="DN457" t="s">
        <v>13897</v>
      </c>
      <c r="DO457" t="s">
        <v>20900</v>
      </c>
      <c r="DP457" t="s">
        <v>20901</v>
      </c>
      <c r="DQ457" t="s">
        <v>13897</v>
      </c>
      <c r="DY457" t="s">
        <v>13900</v>
      </c>
      <c r="DZ457" t="s">
        <v>20902</v>
      </c>
      <c r="EA457" t="s">
        <v>16115</v>
      </c>
      <c r="ED457" t="s">
        <v>14501</v>
      </c>
      <c r="EE457" t="s">
        <v>8414</v>
      </c>
    </row>
    <row r="458" spans="1:135">
      <c r="A458" t="s">
        <v>3635</v>
      </c>
      <c r="B458" t="s">
        <v>3619</v>
      </c>
      <c r="C458" t="s">
        <v>20903</v>
      </c>
      <c r="D458" s="24">
        <v>43396</v>
      </c>
      <c r="E458" s="24" t="s">
        <v>13557</v>
      </c>
      <c r="F458" s="24" t="s">
        <v>20904</v>
      </c>
      <c r="G458" s="24" t="s">
        <v>13808</v>
      </c>
      <c r="H458" s="24"/>
      <c r="I458" s="24" t="s">
        <v>13809</v>
      </c>
      <c r="J458" s="24"/>
      <c r="K458" s="24" t="s">
        <v>13809</v>
      </c>
      <c r="L458" s="24"/>
      <c r="M458" s="24" t="s">
        <v>13846</v>
      </c>
      <c r="N458" s="24" t="s">
        <v>13808</v>
      </c>
      <c r="O458" s="24"/>
      <c r="P458" s="24" t="s">
        <v>13808</v>
      </c>
      <c r="Q458" s="24"/>
      <c r="R458" s="24" t="s">
        <v>13808</v>
      </c>
      <c r="S458" s="24"/>
      <c r="T458" t="s">
        <v>14969</v>
      </c>
      <c r="U458" t="s">
        <v>13808</v>
      </c>
      <c r="W458" t="s">
        <v>13808</v>
      </c>
      <c r="X458" t="s">
        <v>20905</v>
      </c>
      <c r="Y458" t="s">
        <v>13808</v>
      </c>
      <c r="AA458" t="s">
        <v>13928</v>
      </c>
      <c r="AC458" t="s">
        <v>13809</v>
      </c>
      <c r="AH458" t="s">
        <v>13909</v>
      </c>
      <c r="AI458" t="s">
        <v>13808</v>
      </c>
      <c r="AN458" t="s">
        <v>20906</v>
      </c>
      <c r="AO458" t="s">
        <v>13808</v>
      </c>
      <c r="AT458" t="s">
        <v>20907</v>
      </c>
      <c r="AU458" t="s">
        <v>13808</v>
      </c>
      <c r="AZ458" t="s">
        <v>20908</v>
      </c>
      <c r="BA458" t="s">
        <v>13808</v>
      </c>
      <c r="BF458" t="s">
        <v>13894</v>
      </c>
      <c r="BG458" t="s">
        <v>13808</v>
      </c>
      <c r="BL458" t="s">
        <v>20909</v>
      </c>
      <c r="BM458" t="s">
        <v>13808</v>
      </c>
      <c r="BR458" t="s">
        <v>20910</v>
      </c>
      <c r="BS458" t="s">
        <v>14197</v>
      </c>
      <c r="BT458" t="s">
        <v>13808</v>
      </c>
      <c r="BU458" t="s">
        <v>14291</v>
      </c>
      <c r="BY458" t="s">
        <v>13887</v>
      </c>
      <c r="BZ458" t="s">
        <v>13808</v>
      </c>
      <c r="CA458" t="s">
        <v>20911</v>
      </c>
      <c r="CE458" t="s">
        <v>13887</v>
      </c>
      <c r="CF458" t="s">
        <v>13808</v>
      </c>
      <c r="CG458" t="s">
        <v>20912</v>
      </c>
      <c r="CL458" t="s">
        <v>13809</v>
      </c>
      <c r="CR458" t="s">
        <v>13809</v>
      </c>
      <c r="CT458" t="s">
        <v>20913</v>
      </c>
      <c r="CU458" t="s">
        <v>16503</v>
      </c>
      <c r="CV458" t="s">
        <v>13808</v>
      </c>
      <c r="CX458" t="s">
        <v>15197</v>
      </c>
      <c r="CY458" t="s">
        <v>13818</v>
      </c>
      <c r="DA458" t="s">
        <v>13887</v>
      </c>
      <c r="DB458" t="s">
        <v>13808</v>
      </c>
      <c r="DD458" t="s">
        <v>15309</v>
      </c>
      <c r="DE458" t="s">
        <v>13818</v>
      </c>
      <c r="DG458" t="s">
        <v>20914</v>
      </c>
      <c r="DH458" t="s">
        <v>13808</v>
      </c>
      <c r="DM458" t="s">
        <v>15472</v>
      </c>
      <c r="DN458" t="s">
        <v>13808</v>
      </c>
      <c r="DY458" t="s">
        <v>15842</v>
      </c>
      <c r="DZ458" t="s">
        <v>20915</v>
      </c>
      <c r="EA458" t="s">
        <v>15744</v>
      </c>
      <c r="EC458">
        <v>44187</v>
      </c>
      <c r="ED458" t="s">
        <v>13903</v>
      </c>
      <c r="EE458" t="s">
        <v>8418</v>
      </c>
    </row>
    <row r="459" spans="1:135">
      <c r="A459" t="s">
        <v>3834</v>
      </c>
      <c r="B459" t="s">
        <v>3808</v>
      </c>
      <c r="C459" t="s">
        <v>20916</v>
      </c>
      <c r="D459" s="24">
        <v>44035</v>
      </c>
      <c r="E459" s="24" t="s">
        <v>13558</v>
      </c>
      <c r="F459" s="24" t="s">
        <v>20917</v>
      </c>
      <c r="G459" s="24" t="s">
        <v>13808</v>
      </c>
      <c r="H459" s="24"/>
      <c r="I459" s="24" t="s">
        <v>13809</v>
      </c>
      <c r="J459" s="24"/>
      <c r="K459" s="24" t="s">
        <v>13808</v>
      </c>
      <c r="L459" s="24"/>
      <c r="M459" s="24" t="s">
        <v>14304</v>
      </c>
      <c r="N459" s="24" t="s">
        <v>13808</v>
      </c>
      <c r="O459" s="24"/>
      <c r="P459" s="24" t="s">
        <v>13808</v>
      </c>
      <c r="Q459" s="24"/>
      <c r="R459" s="24" t="s">
        <v>13808</v>
      </c>
      <c r="S459" s="24"/>
      <c r="T459" t="s">
        <v>20918</v>
      </c>
      <c r="U459" t="s">
        <v>13809</v>
      </c>
      <c r="W459" t="s">
        <v>13809</v>
      </c>
      <c r="Y459" t="s">
        <v>13808</v>
      </c>
      <c r="AA459" t="s">
        <v>14570</v>
      </c>
      <c r="AC459" t="s">
        <v>13809</v>
      </c>
      <c r="AH459" t="s">
        <v>13887</v>
      </c>
      <c r="AI459" t="s">
        <v>13808</v>
      </c>
      <c r="AK459" t="s">
        <v>14004</v>
      </c>
      <c r="AL459" t="s">
        <v>13818</v>
      </c>
      <c r="AM459" t="s">
        <v>13819</v>
      </c>
      <c r="AN459" t="s">
        <v>17124</v>
      </c>
      <c r="AO459" t="s">
        <v>13808</v>
      </c>
      <c r="AT459" t="s">
        <v>18959</v>
      </c>
      <c r="AU459" t="s">
        <v>13818</v>
      </c>
      <c r="AV459" t="s">
        <v>13819</v>
      </c>
      <c r="AZ459" t="s">
        <v>14598</v>
      </c>
      <c r="BA459" t="s">
        <v>13818</v>
      </c>
      <c r="BB459" t="s">
        <v>14309</v>
      </c>
      <c r="BF459" t="s">
        <v>18846</v>
      </c>
      <c r="BG459" t="s">
        <v>13808</v>
      </c>
      <c r="BH459" t="s">
        <v>20919</v>
      </c>
      <c r="BM459" t="s">
        <v>13809</v>
      </c>
      <c r="BR459" t="s">
        <v>20920</v>
      </c>
      <c r="BT459" t="s">
        <v>13809</v>
      </c>
      <c r="BY459" t="s">
        <v>13887</v>
      </c>
      <c r="BZ459" t="s">
        <v>13808</v>
      </c>
      <c r="CA459" t="s">
        <v>13861</v>
      </c>
      <c r="CF459" t="s">
        <v>13809</v>
      </c>
      <c r="CK459" t="s">
        <v>16074</v>
      </c>
      <c r="CL459" t="s">
        <v>13808</v>
      </c>
      <c r="CM459" t="s">
        <v>20921</v>
      </c>
      <c r="CR459" t="s">
        <v>13809</v>
      </c>
      <c r="CT459" t="s">
        <v>13830</v>
      </c>
      <c r="CU459" t="s">
        <v>13909</v>
      </c>
      <c r="CV459" t="s">
        <v>13818</v>
      </c>
      <c r="DA459" t="s">
        <v>13909</v>
      </c>
      <c r="DB459" t="s">
        <v>13818</v>
      </c>
      <c r="DY459" t="s">
        <v>13840</v>
      </c>
      <c r="DZ459" t="s">
        <v>13841</v>
      </c>
      <c r="EA459" t="s">
        <v>13842</v>
      </c>
      <c r="ED459" t="s">
        <v>17223</v>
      </c>
      <c r="EE459" t="s">
        <v>8629</v>
      </c>
    </row>
    <row r="460" spans="1:135">
      <c r="A460" t="s">
        <v>3201</v>
      </c>
      <c r="B460" t="s">
        <v>3161</v>
      </c>
      <c r="C460" t="s">
        <v>20922</v>
      </c>
      <c r="D460" s="24">
        <v>44869</v>
      </c>
      <c r="E460" s="24" t="s">
        <v>13553</v>
      </c>
      <c r="F460" s="24" t="s">
        <v>20923</v>
      </c>
      <c r="G460" s="24" t="s">
        <v>13808</v>
      </c>
      <c r="H460" s="24"/>
      <c r="I460" s="24" t="s">
        <v>13809</v>
      </c>
      <c r="J460" s="24"/>
      <c r="K460" s="24" t="s">
        <v>13809</v>
      </c>
      <c r="L460" s="24"/>
      <c r="M460" s="24" t="s">
        <v>14304</v>
      </c>
      <c r="N460" s="24" t="s">
        <v>13808</v>
      </c>
      <c r="O460" s="24"/>
      <c r="P460" s="24" t="s">
        <v>13808</v>
      </c>
      <c r="Q460" s="24"/>
      <c r="R460" s="24" t="s">
        <v>13808</v>
      </c>
      <c r="S460" s="24"/>
      <c r="T460" t="s">
        <v>20924</v>
      </c>
      <c r="U460" t="s">
        <v>13809</v>
      </c>
      <c r="W460" t="s">
        <v>13808</v>
      </c>
      <c r="X460" t="s">
        <v>20925</v>
      </c>
      <c r="Y460" t="s">
        <v>13808</v>
      </c>
      <c r="Z460" t="s">
        <v>20926</v>
      </c>
      <c r="AA460" t="s">
        <v>13849</v>
      </c>
      <c r="AB460" t="s">
        <v>13699</v>
      </c>
      <c r="AC460" t="s">
        <v>13809</v>
      </c>
      <c r="AH460" t="s">
        <v>13851</v>
      </c>
      <c r="AI460" t="s">
        <v>13808</v>
      </c>
      <c r="AN460" t="s">
        <v>20927</v>
      </c>
      <c r="AO460" t="s">
        <v>13808</v>
      </c>
      <c r="AT460" t="s">
        <v>20928</v>
      </c>
      <c r="AU460" t="s">
        <v>13808</v>
      </c>
      <c r="AZ460" t="s">
        <v>20929</v>
      </c>
      <c r="BA460" t="s">
        <v>13808</v>
      </c>
      <c r="BF460" t="s">
        <v>20930</v>
      </c>
      <c r="BG460" t="s">
        <v>13808</v>
      </c>
      <c r="BL460" t="s">
        <v>20931</v>
      </c>
      <c r="BM460" t="s">
        <v>13808</v>
      </c>
      <c r="BR460" t="s">
        <v>20932</v>
      </c>
      <c r="BS460" t="s">
        <v>13824</v>
      </c>
      <c r="BT460" t="s">
        <v>13808</v>
      </c>
      <c r="BU460" t="s">
        <v>20933</v>
      </c>
      <c r="BY460" t="s">
        <v>20934</v>
      </c>
      <c r="BZ460" t="s">
        <v>13808</v>
      </c>
      <c r="CA460" t="s">
        <v>13937</v>
      </c>
      <c r="CB460" t="s">
        <v>16988</v>
      </c>
      <c r="CC460" t="s">
        <v>13808</v>
      </c>
      <c r="CD460" t="s">
        <v>13861</v>
      </c>
      <c r="CE460" t="s">
        <v>14292</v>
      </c>
      <c r="CF460" t="s">
        <v>13808</v>
      </c>
      <c r="CG460" t="s">
        <v>13863</v>
      </c>
      <c r="CK460" t="s">
        <v>13760</v>
      </c>
      <c r="CL460" t="s">
        <v>13809</v>
      </c>
      <c r="CQ460" t="s">
        <v>13766</v>
      </c>
      <c r="CR460" t="s">
        <v>13809</v>
      </c>
      <c r="CT460" t="s">
        <v>14293</v>
      </c>
      <c r="CU460" t="s">
        <v>20935</v>
      </c>
      <c r="CV460" t="s">
        <v>13808</v>
      </c>
      <c r="DA460" t="s">
        <v>20936</v>
      </c>
      <c r="DB460" t="s">
        <v>13808</v>
      </c>
      <c r="DM460" t="s">
        <v>20937</v>
      </c>
      <c r="DN460" t="s">
        <v>13808</v>
      </c>
      <c r="DO460" t="s">
        <v>20938</v>
      </c>
      <c r="DP460" t="s">
        <v>20939</v>
      </c>
      <c r="DQ460" t="s">
        <v>13808</v>
      </c>
      <c r="DY460" t="s">
        <v>13840</v>
      </c>
      <c r="DZ460" t="s">
        <v>20940</v>
      </c>
      <c r="EA460" t="s">
        <v>15744</v>
      </c>
      <c r="EC460">
        <v>44916</v>
      </c>
      <c r="ED460" t="s">
        <v>14298</v>
      </c>
      <c r="EE460" t="s">
        <v>7907</v>
      </c>
    </row>
    <row r="461" spans="1:135">
      <c r="A461" t="s">
        <v>3959</v>
      </c>
      <c r="B461" t="s">
        <v>3939</v>
      </c>
      <c r="C461" t="s">
        <v>20941</v>
      </c>
      <c r="D461" s="24">
        <v>43657</v>
      </c>
      <c r="E461" s="24" t="s">
        <v>13555</v>
      </c>
      <c r="F461" s="24" t="s">
        <v>20942</v>
      </c>
      <c r="G461" s="24" t="s">
        <v>13808</v>
      </c>
      <c r="H461" s="24"/>
      <c r="I461" s="24" t="s">
        <v>13809</v>
      </c>
      <c r="J461" s="24"/>
      <c r="K461" s="24" t="s">
        <v>13808</v>
      </c>
      <c r="L461" s="24"/>
      <c r="M461" s="24" t="s">
        <v>14163</v>
      </c>
      <c r="N461" s="24" t="s">
        <v>13808</v>
      </c>
      <c r="O461" s="24"/>
      <c r="P461" s="24" t="s">
        <v>13808</v>
      </c>
      <c r="Q461" s="24"/>
      <c r="R461" s="24" t="s">
        <v>13808</v>
      </c>
      <c r="S461" s="24"/>
      <c r="T461" t="s">
        <v>20943</v>
      </c>
      <c r="U461" t="s">
        <v>13808</v>
      </c>
      <c r="W461" t="s">
        <v>13808</v>
      </c>
      <c r="X461" t="s">
        <v>20944</v>
      </c>
      <c r="Y461" t="s">
        <v>13809</v>
      </c>
      <c r="AA461" t="s">
        <v>13877</v>
      </c>
      <c r="AB461" t="s">
        <v>14851</v>
      </c>
      <c r="AC461" t="s">
        <v>13808</v>
      </c>
      <c r="AH461" t="s">
        <v>13909</v>
      </c>
      <c r="AI461" t="s">
        <v>13808</v>
      </c>
      <c r="AN461" t="s">
        <v>20945</v>
      </c>
      <c r="AO461" t="s">
        <v>13808</v>
      </c>
      <c r="AU461" t="s">
        <v>13809</v>
      </c>
      <c r="AZ461" t="s">
        <v>20946</v>
      </c>
      <c r="BA461" t="s">
        <v>13808</v>
      </c>
      <c r="BF461" t="s">
        <v>14007</v>
      </c>
      <c r="BG461" t="s">
        <v>13808</v>
      </c>
      <c r="BL461" t="s">
        <v>20947</v>
      </c>
      <c r="BM461" t="s">
        <v>13808</v>
      </c>
      <c r="BR461" t="s">
        <v>20948</v>
      </c>
      <c r="BS461" t="s">
        <v>13887</v>
      </c>
      <c r="BT461" t="s">
        <v>13808</v>
      </c>
      <c r="BU461" t="s">
        <v>20949</v>
      </c>
      <c r="BY461" t="s">
        <v>14265</v>
      </c>
      <c r="BZ461" t="s">
        <v>13808</v>
      </c>
      <c r="CA461" t="s">
        <v>13888</v>
      </c>
      <c r="CE461" t="s">
        <v>13887</v>
      </c>
      <c r="CF461" t="s">
        <v>13808</v>
      </c>
      <c r="CL461" t="s">
        <v>13809</v>
      </c>
      <c r="CR461" t="s">
        <v>13809</v>
      </c>
      <c r="CT461" t="s">
        <v>20950</v>
      </c>
      <c r="CU461" t="s">
        <v>20951</v>
      </c>
      <c r="CV461" t="s">
        <v>13897</v>
      </c>
      <c r="CX461" t="s">
        <v>20952</v>
      </c>
      <c r="CY461" t="s">
        <v>13818</v>
      </c>
      <c r="DA461" t="s">
        <v>13909</v>
      </c>
      <c r="DB461" t="s">
        <v>13818</v>
      </c>
      <c r="DH461" t="s">
        <v>13809</v>
      </c>
      <c r="DM461" t="s">
        <v>20953</v>
      </c>
      <c r="DN461" t="s">
        <v>13808</v>
      </c>
      <c r="DY461" t="s">
        <v>20954</v>
      </c>
      <c r="DZ461" t="s">
        <v>15812</v>
      </c>
      <c r="EA461" t="s">
        <v>16270</v>
      </c>
      <c r="ED461" t="s">
        <v>13903</v>
      </c>
      <c r="EE461" t="s">
        <v>8792</v>
      </c>
    </row>
    <row r="462" spans="1:135">
      <c r="A462" t="s">
        <v>3645</v>
      </c>
      <c r="B462" t="s">
        <v>3619</v>
      </c>
      <c r="C462" t="s">
        <v>20955</v>
      </c>
      <c r="D462" s="24">
        <v>43396</v>
      </c>
      <c r="E462" s="24" t="s">
        <v>13560</v>
      </c>
      <c r="F462" s="24" t="s">
        <v>20956</v>
      </c>
      <c r="G462" s="24" t="s">
        <v>13808</v>
      </c>
      <c r="H462" s="24"/>
      <c r="I462" s="24" t="s">
        <v>13809</v>
      </c>
      <c r="J462" s="24"/>
      <c r="K462" s="24" t="s">
        <v>13809</v>
      </c>
      <c r="L462" s="24"/>
      <c r="M462" s="24" t="s">
        <v>14304</v>
      </c>
      <c r="N462" s="24" t="s">
        <v>13808</v>
      </c>
      <c r="O462" s="24"/>
      <c r="P462" s="24" t="s">
        <v>13808</v>
      </c>
      <c r="Q462" s="24"/>
      <c r="R462" s="24" t="s">
        <v>13808</v>
      </c>
      <c r="S462" s="24"/>
      <c r="T462" t="s">
        <v>20957</v>
      </c>
      <c r="U462" t="s">
        <v>13809</v>
      </c>
      <c r="W462" t="s">
        <v>13809</v>
      </c>
      <c r="Y462" t="s">
        <v>13809</v>
      </c>
      <c r="AA462" t="s">
        <v>20958</v>
      </c>
      <c r="AC462" t="s">
        <v>13809</v>
      </c>
      <c r="AH462" t="s">
        <v>13887</v>
      </c>
      <c r="AI462" t="s">
        <v>13808</v>
      </c>
      <c r="AK462" t="s">
        <v>20959</v>
      </c>
      <c r="AL462" t="s">
        <v>13818</v>
      </c>
      <c r="AM462" t="s">
        <v>14415</v>
      </c>
      <c r="AO462" t="s">
        <v>13809</v>
      </c>
      <c r="AT462" t="s">
        <v>17398</v>
      </c>
      <c r="AU462" t="s">
        <v>13818</v>
      </c>
      <c r="AV462" t="s">
        <v>14309</v>
      </c>
      <c r="AZ462" t="s">
        <v>15025</v>
      </c>
      <c r="BA462" t="s">
        <v>13808</v>
      </c>
      <c r="BF462" t="s">
        <v>14169</v>
      </c>
      <c r="BG462" t="s">
        <v>13818</v>
      </c>
      <c r="BH462" t="s">
        <v>20960</v>
      </c>
      <c r="BM462" t="s">
        <v>13809</v>
      </c>
      <c r="BR462" t="s">
        <v>15974</v>
      </c>
      <c r="BS462" t="s">
        <v>13887</v>
      </c>
      <c r="BT462" t="s">
        <v>13808</v>
      </c>
      <c r="BU462" t="s">
        <v>14515</v>
      </c>
      <c r="BY462" t="s">
        <v>13887</v>
      </c>
      <c r="BZ462" t="s">
        <v>13808</v>
      </c>
      <c r="CA462" t="s">
        <v>20961</v>
      </c>
      <c r="CE462" t="s">
        <v>13887</v>
      </c>
      <c r="CF462" t="s">
        <v>13808</v>
      </c>
      <c r="CL462" t="s">
        <v>13809</v>
      </c>
      <c r="CR462" t="s">
        <v>13809</v>
      </c>
      <c r="CT462" t="s">
        <v>15811</v>
      </c>
      <c r="CU462" t="s">
        <v>13887</v>
      </c>
      <c r="CV462" t="s">
        <v>13808</v>
      </c>
      <c r="CX462" t="s">
        <v>14004</v>
      </c>
      <c r="CY462" t="s">
        <v>13818</v>
      </c>
      <c r="CZ462" t="s">
        <v>14309</v>
      </c>
      <c r="DA462" t="s">
        <v>13887</v>
      </c>
      <c r="DB462" t="s">
        <v>13808</v>
      </c>
      <c r="DD462" t="s">
        <v>14004</v>
      </c>
      <c r="DE462" t="s">
        <v>13818</v>
      </c>
      <c r="DF462" t="s">
        <v>14309</v>
      </c>
      <c r="DG462" t="s">
        <v>13909</v>
      </c>
      <c r="DH462" t="s">
        <v>13818</v>
      </c>
      <c r="DY462" t="s">
        <v>15842</v>
      </c>
      <c r="DZ462" t="s">
        <v>20962</v>
      </c>
      <c r="EA462" t="s">
        <v>15744</v>
      </c>
      <c r="EC462">
        <v>44193</v>
      </c>
      <c r="ED462" t="s">
        <v>13903</v>
      </c>
      <c r="EE462" t="s">
        <v>8426</v>
      </c>
    </row>
    <row r="463" spans="1:135">
      <c r="A463" t="s">
        <v>3205</v>
      </c>
      <c r="B463" t="s">
        <v>3161</v>
      </c>
      <c r="C463" t="s">
        <v>20963</v>
      </c>
      <c r="D463" s="24">
        <v>43439</v>
      </c>
      <c r="E463" s="24" t="s">
        <v>13555</v>
      </c>
      <c r="F463" s="24" t="s">
        <v>20964</v>
      </c>
      <c r="G463" s="24" t="s">
        <v>13808</v>
      </c>
      <c r="H463" s="24"/>
      <c r="I463" s="24" t="s">
        <v>13809</v>
      </c>
      <c r="J463" s="24"/>
      <c r="K463" s="24" t="s">
        <v>13809</v>
      </c>
      <c r="L463" s="24"/>
      <c r="M463" s="24" t="s">
        <v>15805</v>
      </c>
      <c r="N463" s="24" t="s">
        <v>13808</v>
      </c>
      <c r="O463" s="24"/>
      <c r="P463" s="24" t="s">
        <v>13808</v>
      </c>
      <c r="Q463" s="24"/>
      <c r="R463" s="24" t="s">
        <v>13808</v>
      </c>
      <c r="S463" s="24"/>
      <c r="T463" t="s">
        <v>20965</v>
      </c>
      <c r="U463" t="s">
        <v>13809</v>
      </c>
      <c r="W463" t="s">
        <v>13808</v>
      </c>
      <c r="X463" t="s">
        <v>20966</v>
      </c>
      <c r="Y463" t="s">
        <v>13808</v>
      </c>
      <c r="AA463" t="s">
        <v>14188</v>
      </c>
      <c r="AB463" t="s">
        <v>20967</v>
      </c>
      <c r="AC463" t="s">
        <v>13808</v>
      </c>
      <c r="AH463" t="s">
        <v>13909</v>
      </c>
      <c r="AI463" t="s">
        <v>13808</v>
      </c>
      <c r="AN463" t="s">
        <v>20968</v>
      </c>
      <c r="AO463" t="s">
        <v>13808</v>
      </c>
      <c r="AT463" t="s">
        <v>14595</v>
      </c>
      <c r="AU463" t="s">
        <v>13808</v>
      </c>
      <c r="AZ463" t="s">
        <v>14730</v>
      </c>
      <c r="BA463" t="s">
        <v>13808</v>
      </c>
      <c r="BF463" t="s">
        <v>15883</v>
      </c>
      <c r="BG463" t="s">
        <v>13808</v>
      </c>
      <c r="BL463" t="s">
        <v>20969</v>
      </c>
      <c r="BM463" t="s">
        <v>13808</v>
      </c>
      <c r="BR463" t="s">
        <v>16022</v>
      </c>
      <c r="BS463" t="s">
        <v>13887</v>
      </c>
      <c r="BT463" t="s">
        <v>13808</v>
      </c>
      <c r="BU463" t="s">
        <v>16499</v>
      </c>
      <c r="BY463" t="s">
        <v>13887</v>
      </c>
      <c r="BZ463" t="s">
        <v>13808</v>
      </c>
      <c r="CA463" t="s">
        <v>13937</v>
      </c>
      <c r="CE463" t="s">
        <v>13887</v>
      </c>
      <c r="CF463" t="s">
        <v>13808</v>
      </c>
      <c r="CL463" t="s">
        <v>13809</v>
      </c>
      <c r="CR463" t="s">
        <v>13809</v>
      </c>
      <c r="CT463" t="s">
        <v>20970</v>
      </c>
      <c r="CU463" t="s">
        <v>15280</v>
      </c>
      <c r="CV463" t="s">
        <v>13808</v>
      </c>
      <c r="CX463" t="s">
        <v>15472</v>
      </c>
      <c r="CY463" t="s">
        <v>13818</v>
      </c>
      <c r="DA463" t="s">
        <v>15280</v>
      </c>
      <c r="DB463" t="s">
        <v>13808</v>
      </c>
      <c r="DD463" t="s">
        <v>15472</v>
      </c>
      <c r="DE463" t="s">
        <v>13818</v>
      </c>
      <c r="DH463" t="s">
        <v>13809</v>
      </c>
      <c r="DM463" t="s">
        <v>15280</v>
      </c>
      <c r="DN463" t="s">
        <v>13808</v>
      </c>
      <c r="DY463" t="s">
        <v>15842</v>
      </c>
      <c r="DZ463" t="s">
        <v>13841</v>
      </c>
      <c r="EA463" t="s">
        <v>15744</v>
      </c>
      <c r="EC463">
        <v>44193</v>
      </c>
      <c r="ED463" t="s">
        <v>13903</v>
      </c>
      <c r="EE463" t="s">
        <v>7913</v>
      </c>
    </row>
    <row r="464" spans="1:135">
      <c r="A464" t="s">
        <v>3649</v>
      </c>
      <c r="B464" t="s">
        <v>3619</v>
      </c>
      <c r="C464" t="s">
        <v>20971</v>
      </c>
      <c r="D464" s="24">
        <v>43396</v>
      </c>
      <c r="E464" s="24" t="s">
        <v>13555</v>
      </c>
      <c r="F464" s="24" t="s">
        <v>20972</v>
      </c>
      <c r="G464" s="24" t="s">
        <v>13808</v>
      </c>
      <c r="H464" s="24"/>
      <c r="I464" s="24" t="s">
        <v>13809</v>
      </c>
      <c r="J464" s="24"/>
      <c r="K464" s="24" t="s">
        <v>13808</v>
      </c>
      <c r="L464" s="24"/>
      <c r="M464" s="24" t="s">
        <v>17316</v>
      </c>
      <c r="N464" s="24" t="s">
        <v>13808</v>
      </c>
      <c r="O464" s="24"/>
      <c r="P464" s="24" t="s">
        <v>13808</v>
      </c>
      <c r="Q464" s="24"/>
      <c r="R464" s="24" t="s">
        <v>13808</v>
      </c>
      <c r="S464" s="24"/>
      <c r="T464" t="s">
        <v>14969</v>
      </c>
      <c r="U464" t="s">
        <v>13809</v>
      </c>
      <c r="W464" t="s">
        <v>13808</v>
      </c>
      <c r="X464" t="s">
        <v>19750</v>
      </c>
      <c r="Y464" t="s">
        <v>13809</v>
      </c>
      <c r="AA464" t="s">
        <v>14971</v>
      </c>
      <c r="AB464" t="s">
        <v>14852</v>
      </c>
      <c r="AC464" t="s">
        <v>13808</v>
      </c>
      <c r="AH464" t="s">
        <v>13909</v>
      </c>
      <c r="AI464" t="s">
        <v>13808</v>
      </c>
      <c r="AO464" t="s">
        <v>13809</v>
      </c>
      <c r="AT464" t="s">
        <v>20973</v>
      </c>
      <c r="AU464" t="s">
        <v>13808</v>
      </c>
      <c r="AZ464" t="s">
        <v>16234</v>
      </c>
      <c r="BA464" t="s">
        <v>13808</v>
      </c>
      <c r="BF464" t="s">
        <v>14059</v>
      </c>
      <c r="BG464" t="s">
        <v>13818</v>
      </c>
      <c r="BH464" t="s">
        <v>20974</v>
      </c>
      <c r="BM464" t="s">
        <v>13809</v>
      </c>
      <c r="BR464" t="s">
        <v>20975</v>
      </c>
      <c r="BS464" t="s">
        <v>13887</v>
      </c>
      <c r="BT464" t="s">
        <v>13808</v>
      </c>
      <c r="BU464" t="s">
        <v>14336</v>
      </c>
      <c r="BY464" t="s">
        <v>13887</v>
      </c>
      <c r="BZ464" t="s">
        <v>13808</v>
      </c>
      <c r="CA464" t="s">
        <v>13937</v>
      </c>
      <c r="CE464" t="s">
        <v>13887</v>
      </c>
      <c r="CF464" t="s">
        <v>13808</v>
      </c>
      <c r="CL464" t="s">
        <v>13809</v>
      </c>
      <c r="CR464" t="s">
        <v>13809</v>
      </c>
      <c r="CT464" t="s">
        <v>20976</v>
      </c>
      <c r="CU464" t="s">
        <v>13909</v>
      </c>
      <c r="CV464" t="s">
        <v>13808</v>
      </c>
      <c r="DA464" t="s">
        <v>13909</v>
      </c>
      <c r="DB464" t="s">
        <v>13808</v>
      </c>
      <c r="DG464" t="s">
        <v>13887</v>
      </c>
      <c r="DH464" t="s">
        <v>13808</v>
      </c>
      <c r="DI464" t="s">
        <v>20977</v>
      </c>
      <c r="DJ464" t="s">
        <v>13887</v>
      </c>
      <c r="DK464" t="s">
        <v>13808</v>
      </c>
      <c r="DL464" t="s">
        <v>16097</v>
      </c>
      <c r="DM464" t="s">
        <v>13909</v>
      </c>
      <c r="DN464" t="s">
        <v>13808</v>
      </c>
      <c r="DY464" t="s">
        <v>15842</v>
      </c>
      <c r="DZ464" t="s">
        <v>20978</v>
      </c>
      <c r="EA464" t="s">
        <v>15744</v>
      </c>
      <c r="EC464">
        <v>44193</v>
      </c>
      <c r="ED464" t="s">
        <v>13903</v>
      </c>
      <c r="EE464" t="s">
        <v>8430</v>
      </c>
    </row>
    <row r="465" spans="1:135">
      <c r="A465" t="s">
        <v>3653</v>
      </c>
      <c r="B465" t="s">
        <v>3619</v>
      </c>
      <c r="C465" t="s">
        <v>20979</v>
      </c>
      <c r="D465" s="24">
        <v>44750</v>
      </c>
      <c r="E465" s="24" t="s">
        <v>13557</v>
      </c>
      <c r="F465" s="24" t="s">
        <v>20980</v>
      </c>
      <c r="G465" s="24" t="s">
        <v>13808</v>
      </c>
      <c r="H465" s="24"/>
      <c r="I465" s="24" t="s">
        <v>13809</v>
      </c>
      <c r="J465" s="24"/>
      <c r="K465" s="24" t="s">
        <v>13809</v>
      </c>
      <c r="L465" s="24"/>
      <c r="M465" s="24" t="s">
        <v>20981</v>
      </c>
      <c r="N465" s="24" t="s">
        <v>13808</v>
      </c>
      <c r="O465" s="24"/>
      <c r="P465" s="24" t="s">
        <v>13808</v>
      </c>
      <c r="Q465" s="24"/>
      <c r="R465" s="24" t="s">
        <v>13808</v>
      </c>
      <c r="S465" s="24"/>
      <c r="T465" t="s">
        <v>20982</v>
      </c>
      <c r="U465" t="s">
        <v>13808</v>
      </c>
      <c r="W465" t="s">
        <v>13808</v>
      </c>
      <c r="X465" t="s">
        <v>20983</v>
      </c>
      <c r="Y465" t="s">
        <v>13808</v>
      </c>
      <c r="AA465" t="s">
        <v>20984</v>
      </c>
      <c r="AB465" t="s">
        <v>20985</v>
      </c>
      <c r="AC465" t="s">
        <v>13818</v>
      </c>
      <c r="AD465" t="s">
        <v>14309</v>
      </c>
      <c r="AH465" t="s">
        <v>20525</v>
      </c>
      <c r="AI465" t="s">
        <v>13808</v>
      </c>
      <c r="AK465" t="s">
        <v>20986</v>
      </c>
      <c r="AL465" t="s">
        <v>13818</v>
      </c>
      <c r="AM465" t="s">
        <v>14309</v>
      </c>
      <c r="AN465" t="s">
        <v>20987</v>
      </c>
      <c r="AO465" t="s">
        <v>13818</v>
      </c>
      <c r="AP465" t="s">
        <v>14309</v>
      </c>
      <c r="AT465" t="s">
        <v>17668</v>
      </c>
      <c r="AU465" t="s">
        <v>13808</v>
      </c>
      <c r="AZ465" t="s">
        <v>20988</v>
      </c>
      <c r="BA465" t="s">
        <v>13808</v>
      </c>
      <c r="BF465" t="s">
        <v>20989</v>
      </c>
      <c r="BG465" t="s">
        <v>13808</v>
      </c>
      <c r="BL465" t="s">
        <v>13735</v>
      </c>
      <c r="BM465" t="s">
        <v>13809</v>
      </c>
      <c r="BR465" t="s">
        <v>20990</v>
      </c>
      <c r="BS465" t="s">
        <v>13824</v>
      </c>
      <c r="BT465" t="s">
        <v>13808</v>
      </c>
      <c r="BU465" t="s">
        <v>20991</v>
      </c>
      <c r="BY465" t="s">
        <v>13860</v>
      </c>
      <c r="BZ465" t="s">
        <v>13808</v>
      </c>
      <c r="CA465" t="s">
        <v>13937</v>
      </c>
      <c r="CE465" t="s">
        <v>13828</v>
      </c>
      <c r="CF465" t="s">
        <v>13808</v>
      </c>
      <c r="CG465" t="s">
        <v>17880</v>
      </c>
      <c r="CK465" t="s">
        <v>14581</v>
      </c>
      <c r="CL465" t="s">
        <v>13808</v>
      </c>
      <c r="CQ465" t="s">
        <v>13766</v>
      </c>
      <c r="CR465" t="s">
        <v>13809</v>
      </c>
      <c r="CT465" t="s">
        <v>20992</v>
      </c>
      <c r="CU465" t="s">
        <v>20993</v>
      </c>
      <c r="CV465" t="s">
        <v>13808</v>
      </c>
      <c r="CX465" t="s">
        <v>20994</v>
      </c>
      <c r="CY465" t="s">
        <v>13818</v>
      </c>
      <c r="CZ465" t="s">
        <v>14309</v>
      </c>
      <c r="DA465" t="s">
        <v>20995</v>
      </c>
      <c r="DB465" t="s">
        <v>13808</v>
      </c>
      <c r="DD465" t="s">
        <v>20996</v>
      </c>
      <c r="DE465" t="s">
        <v>13818</v>
      </c>
      <c r="DF465" t="s">
        <v>14309</v>
      </c>
      <c r="DG465" t="s">
        <v>14965</v>
      </c>
      <c r="DH465" t="s">
        <v>13808</v>
      </c>
      <c r="DM465" t="s">
        <v>20997</v>
      </c>
      <c r="DN465" t="s">
        <v>13808</v>
      </c>
      <c r="DY465" t="s">
        <v>14665</v>
      </c>
      <c r="DZ465" t="s">
        <v>20998</v>
      </c>
      <c r="EA465" t="s">
        <v>13996</v>
      </c>
      <c r="EC465">
        <v>44754</v>
      </c>
      <c r="ED465" t="s">
        <v>14298</v>
      </c>
      <c r="EE465" t="s">
        <v>8434</v>
      </c>
    </row>
    <row r="466" spans="1:135">
      <c r="A466" t="s">
        <v>3657</v>
      </c>
      <c r="B466" t="s">
        <v>3619</v>
      </c>
      <c r="C466" t="s">
        <v>20999</v>
      </c>
      <c r="D466" s="24">
        <v>43399</v>
      </c>
      <c r="E466" s="24" t="s">
        <v>13555</v>
      </c>
      <c r="F466" s="24" t="s">
        <v>21000</v>
      </c>
      <c r="G466" s="24" t="s">
        <v>13808</v>
      </c>
      <c r="H466" s="24"/>
      <c r="I466" s="24" t="s">
        <v>13809</v>
      </c>
      <c r="J466" s="24"/>
      <c r="K466" s="24" t="s">
        <v>13809</v>
      </c>
      <c r="L466" s="24"/>
      <c r="M466" s="24" t="s">
        <v>13950</v>
      </c>
      <c r="N466" s="24" t="s">
        <v>13808</v>
      </c>
      <c r="O466" s="24"/>
      <c r="P466" s="24" t="s">
        <v>13808</v>
      </c>
      <c r="Q466" s="24"/>
      <c r="R466" s="24" t="s">
        <v>13808</v>
      </c>
      <c r="S466" s="24"/>
      <c r="T466" t="s">
        <v>14969</v>
      </c>
      <c r="U466" t="s">
        <v>13809</v>
      </c>
      <c r="W466" t="s">
        <v>13808</v>
      </c>
      <c r="X466" t="s">
        <v>21001</v>
      </c>
      <c r="Y466" t="s">
        <v>13809</v>
      </c>
      <c r="AA466" t="s">
        <v>14971</v>
      </c>
      <c r="AC466" t="s">
        <v>13809</v>
      </c>
      <c r="AH466" t="s">
        <v>13909</v>
      </c>
      <c r="AI466" t="s">
        <v>13808</v>
      </c>
      <c r="AO466" t="s">
        <v>13809</v>
      </c>
      <c r="AT466" t="s">
        <v>14197</v>
      </c>
      <c r="AU466" t="s">
        <v>13808</v>
      </c>
      <c r="AZ466" t="s">
        <v>14598</v>
      </c>
      <c r="BA466" t="s">
        <v>13808</v>
      </c>
      <c r="BF466" t="s">
        <v>21002</v>
      </c>
      <c r="BG466" t="s">
        <v>13808</v>
      </c>
      <c r="BM466" t="s">
        <v>13809</v>
      </c>
      <c r="BR466" t="s">
        <v>21003</v>
      </c>
      <c r="BS466" t="s">
        <v>13887</v>
      </c>
      <c r="BT466" t="s">
        <v>13808</v>
      </c>
      <c r="BU466" t="s">
        <v>14336</v>
      </c>
      <c r="BY466" t="s">
        <v>13887</v>
      </c>
      <c r="BZ466" t="s">
        <v>13808</v>
      </c>
      <c r="CA466" t="s">
        <v>13937</v>
      </c>
      <c r="CE466" t="s">
        <v>13885</v>
      </c>
      <c r="CF466" t="s">
        <v>13808</v>
      </c>
      <c r="CL466" t="s">
        <v>13809</v>
      </c>
      <c r="CR466" t="s">
        <v>13809</v>
      </c>
      <c r="CT466" t="s">
        <v>21004</v>
      </c>
      <c r="CU466" t="s">
        <v>21005</v>
      </c>
      <c r="CV466" t="s">
        <v>13808</v>
      </c>
      <c r="CX466" t="s">
        <v>13885</v>
      </c>
      <c r="CY466" t="s">
        <v>13818</v>
      </c>
      <c r="DA466" t="s">
        <v>21006</v>
      </c>
      <c r="DB466" t="s">
        <v>13808</v>
      </c>
      <c r="DD466" t="s">
        <v>13885</v>
      </c>
      <c r="DE466" t="s">
        <v>13818</v>
      </c>
      <c r="DH466" t="s">
        <v>13809</v>
      </c>
      <c r="DM466" t="s">
        <v>13909</v>
      </c>
      <c r="DN466" t="s">
        <v>13808</v>
      </c>
      <c r="DY466" t="s">
        <v>15296</v>
      </c>
      <c r="DZ466" t="s">
        <v>21007</v>
      </c>
      <c r="EA466" t="s">
        <v>15744</v>
      </c>
      <c r="EC466">
        <v>44193</v>
      </c>
      <c r="ED466" t="s">
        <v>13903</v>
      </c>
      <c r="EE466" t="s">
        <v>8438</v>
      </c>
    </row>
    <row r="467" spans="1:135">
      <c r="A467" t="s">
        <v>3661</v>
      </c>
      <c r="B467" t="s">
        <v>3619</v>
      </c>
      <c r="C467" t="s">
        <v>21008</v>
      </c>
      <c r="D467" s="24">
        <v>43993</v>
      </c>
      <c r="E467" s="24" t="s">
        <v>13555</v>
      </c>
      <c r="F467" s="24" t="s">
        <v>21009</v>
      </c>
      <c r="G467" s="24" t="s">
        <v>13808</v>
      </c>
      <c r="H467" s="24"/>
      <c r="I467" s="24" t="s">
        <v>13809</v>
      </c>
      <c r="J467" s="24"/>
      <c r="K467" s="24" t="s">
        <v>13808</v>
      </c>
      <c r="L467" s="24"/>
      <c r="M467" s="24" t="s">
        <v>13846</v>
      </c>
      <c r="N467" s="24" t="s">
        <v>13808</v>
      </c>
      <c r="O467" s="24"/>
      <c r="P467" s="24" t="s">
        <v>13808</v>
      </c>
      <c r="Q467" s="24"/>
      <c r="R467" s="24" t="s">
        <v>13808</v>
      </c>
      <c r="S467" s="24"/>
      <c r="T467" t="s">
        <v>21010</v>
      </c>
      <c r="U467" t="s">
        <v>13808</v>
      </c>
      <c r="V467" t="s">
        <v>21011</v>
      </c>
      <c r="W467" t="s">
        <v>13808</v>
      </c>
      <c r="X467" t="s">
        <v>21012</v>
      </c>
      <c r="Y467" t="s">
        <v>13809</v>
      </c>
      <c r="AA467" t="s">
        <v>13849</v>
      </c>
      <c r="AC467" t="s">
        <v>13809</v>
      </c>
      <c r="AH467" t="s">
        <v>13909</v>
      </c>
      <c r="AI467" t="s">
        <v>13808</v>
      </c>
      <c r="AO467" t="s">
        <v>13809</v>
      </c>
      <c r="AT467" t="s">
        <v>16343</v>
      </c>
      <c r="AU467" t="s">
        <v>13808</v>
      </c>
      <c r="AZ467" t="s">
        <v>15822</v>
      </c>
      <c r="BA467" t="s">
        <v>13808</v>
      </c>
      <c r="BF467" t="s">
        <v>14023</v>
      </c>
      <c r="BG467" t="s">
        <v>13808</v>
      </c>
      <c r="BM467" t="s">
        <v>13809</v>
      </c>
      <c r="BR467" t="s">
        <v>21013</v>
      </c>
      <c r="BS467" t="s">
        <v>14197</v>
      </c>
      <c r="BT467" t="s">
        <v>13818</v>
      </c>
      <c r="BU467" t="s">
        <v>14214</v>
      </c>
      <c r="BY467" t="s">
        <v>14265</v>
      </c>
      <c r="BZ467" t="s">
        <v>13808</v>
      </c>
      <c r="CA467" t="s">
        <v>13861</v>
      </c>
      <c r="CF467" t="s">
        <v>13809</v>
      </c>
      <c r="CK467" t="s">
        <v>14197</v>
      </c>
      <c r="CL467" t="s">
        <v>13808</v>
      </c>
      <c r="CM467" t="s">
        <v>13863</v>
      </c>
      <c r="CR467" t="s">
        <v>13809</v>
      </c>
      <c r="CT467" t="s">
        <v>21014</v>
      </c>
      <c r="CU467" t="s">
        <v>21015</v>
      </c>
      <c r="CV467" t="s">
        <v>13808</v>
      </c>
      <c r="DA467" t="s">
        <v>21016</v>
      </c>
      <c r="DB467" t="s">
        <v>13808</v>
      </c>
      <c r="DM467" t="s">
        <v>21017</v>
      </c>
      <c r="DN467" t="s">
        <v>13808</v>
      </c>
      <c r="DP467" t="s">
        <v>21018</v>
      </c>
      <c r="DQ467" t="s">
        <v>13808</v>
      </c>
      <c r="DR467" t="s">
        <v>13839</v>
      </c>
      <c r="DY467" t="s">
        <v>14606</v>
      </c>
      <c r="DZ467" t="s">
        <v>21019</v>
      </c>
      <c r="EA467" t="s">
        <v>14182</v>
      </c>
      <c r="ED467" t="s">
        <v>17223</v>
      </c>
      <c r="EE467" t="s">
        <v>8442</v>
      </c>
    </row>
    <row r="468" spans="1:135">
      <c r="A468" t="s">
        <v>3511</v>
      </c>
      <c r="B468" t="s">
        <v>3506</v>
      </c>
      <c r="C468" t="s">
        <v>21020</v>
      </c>
      <c r="D468" s="24">
        <v>44785</v>
      </c>
      <c r="E468" s="24" t="s">
        <v>13555</v>
      </c>
      <c r="F468" s="24" t="s">
        <v>21021</v>
      </c>
      <c r="G468" s="24" t="s">
        <v>13808</v>
      </c>
      <c r="H468" s="24"/>
      <c r="I468" s="24" t="s">
        <v>13809</v>
      </c>
      <c r="J468" s="24"/>
      <c r="K468" s="24" t="s">
        <v>13808</v>
      </c>
      <c r="L468" s="24"/>
      <c r="M468" s="24" t="s">
        <v>14304</v>
      </c>
      <c r="N468" s="24" t="s">
        <v>13818</v>
      </c>
      <c r="O468" s="24"/>
      <c r="P468" s="24" t="s">
        <v>13808</v>
      </c>
      <c r="Q468" s="24"/>
      <c r="R468" s="24" t="s">
        <v>13808</v>
      </c>
      <c r="S468" s="24"/>
      <c r="T468" t="s">
        <v>13907</v>
      </c>
      <c r="U468" t="s">
        <v>13809</v>
      </c>
      <c r="W468" t="s">
        <v>13808</v>
      </c>
      <c r="X468" t="s">
        <v>21022</v>
      </c>
      <c r="Y468" t="s">
        <v>13808</v>
      </c>
      <c r="Z468" t="s">
        <v>21023</v>
      </c>
      <c r="AA468" t="s">
        <v>14971</v>
      </c>
      <c r="AB468" t="s">
        <v>21024</v>
      </c>
      <c r="AC468" t="s">
        <v>13808</v>
      </c>
      <c r="AH468" t="s">
        <v>14467</v>
      </c>
      <c r="AI468" t="s">
        <v>13808</v>
      </c>
      <c r="AN468" t="s">
        <v>21025</v>
      </c>
      <c r="AO468" t="s">
        <v>13808</v>
      </c>
      <c r="AT468" t="s">
        <v>21026</v>
      </c>
      <c r="AU468" t="s">
        <v>13808</v>
      </c>
      <c r="AZ468" t="s">
        <v>21027</v>
      </c>
      <c r="BA468" t="s">
        <v>13808</v>
      </c>
      <c r="BF468" t="s">
        <v>15691</v>
      </c>
      <c r="BG468" t="s">
        <v>13808</v>
      </c>
      <c r="BL468" t="s">
        <v>13735</v>
      </c>
      <c r="BM468" t="s">
        <v>13809</v>
      </c>
      <c r="BR468" t="s">
        <v>21028</v>
      </c>
      <c r="BS468" t="s">
        <v>13824</v>
      </c>
      <c r="BT468" t="s">
        <v>13808</v>
      </c>
      <c r="BU468" t="s">
        <v>14336</v>
      </c>
      <c r="BY468" t="s">
        <v>13826</v>
      </c>
      <c r="BZ468" t="s">
        <v>13808</v>
      </c>
      <c r="CA468" t="s">
        <v>13937</v>
      </c>
      <c r="CE468" t="s">
        <v>13938</v>
      </c>
      <c r="CF468" t="s">
        <v>13808</v>
      </c>
      <c r="CK468" t="s">
        <v>13760</v>
      </c>
      <c r="CL468" t="s">
        <v>13809</v>
      </c>
      <c r="CQ468" t="s">
        <v>13766</v>
      </c>
      <c r="CR468" t="s">
        <v>13809</v>
      </c>
      <c r="CT468" t="s">
        <v>21029</v>
      </c>
      <c r="CU468" t="s">
        <v>21030</v>
      </c>
      <c r="CV468" t="s">
        <v>13808</v>
      </c>
      <c r="CX468" t="s">
        <v>21031</v>
      </c>
      <c r="CY468" t="s">
        <v>13818</v>
      </c>
      <c r="DA468" t="s">
        <v>21032</v>
      </c>
      <c r="DB468" t="s">
        <v>13808</v>
      </c>
      <c r="DD468" t="s">
        <v>21033</v>
      </c>
      <c r="DE468" t="s">
        <v>13818</v>
      </c>
      <c r="DM468" t="s">
        <v>21034</v>
      </c>
      <c r="DN468" t="s">
        <v>13808</v>
      </c>
      <c r="DY468" t="s">
        <v>14606</v>
      </c>
      <c r="DZ468" t="s">
        <v>21035</v>
      </c>
      <c r="EA468" t="s">
        <v>16821</v>
      </c>
      <c r="EC468">
        <v>44789</v>
      </c>
      <c r="ED468" t="s">
        <v>14298</v>
      </c>
      <c r="EE468" t="s">
        <v>8279</v>
      </c>
    </row>
    <row r="469" spans="1:135">
      <c r="A469" t="s">
        <v>3209</v>
      </c>
      <c r="B469" t="s">
        <v>3161</v>
      </c>
      <c r="C469" t="s">
        <v>21036</v>
      </c>
      <c r="D469" s="24">
        <v>44869</v>
      </c>
      <c r="E469" s="24" t="s">
        <v>13557</v>
      </c>
      <c r="F469" s="24" t="s">
        <v>21037</v>
      </c>
      <c r="G469" s="24" t="s">
        <v>13808</v>
      </c>
      <c r="H469" s="24"/>
      <c r="I469" s="24" t="s">
        <v>13809</v>
      </c>
      <c r="J469" s="24"/>
      <c r="K469" s="24" t="s">
        <v>13808</v>
      </c>
      <c r="L469" s="24"/>
      <c r="M469" s="24" t="s">
        <v>15106</v>
      </c>
      <c r="N469" s="24" t="s">
        <v>13808</v>
      </c>
      <c r="O469" s="24"/>
      <c r="P469" s="24" t="s">
        <v>13808</v>
      </c>
      <c r="Q469" s="24"/>
      <c r="R469" s="24" t="s">
        <v>13808</v>
      </c>
      <c r="S469" s="24"/>
      <c r="T469" t="s">
        <v>21038</v>
      </c>
      <c r="U469" t="s">
        <v>13809</v>
      </c>
      <c r="W469" t="s">
        <v>13808</v>
      </c>
      <c r="X469" t="s">
        <v>21039</v>
      </c>
      <c r="Y469" t="s">
        <v>13808</v>
      </c>
      <c r="Z469" t="s">
        <v>21040</v>
      </c>
      <c r="AA469" t="s">
        <v>21041</v>
      </c>
      <c r="AB469" t="s">
        <v>13699</v>
      </c>
      <c r="AC469" t="s">
        <v>13809</v>
      </c>
      <c r="AH469" t="s">
        <v>21042</v>
      </c>
      <c r="AI469" t="s">
        <v>13808</v>
      </c>
      <c r="AK469" t="s">
        <v>21043</v>
      </c>
      <c r="AL469" t="s">
        <v>13818</v>
      </c>
      <c r="AM469" t="s">
        <v>13819</v>
      </c>
      <c r="AN469" t="s">
        <v>15593</v>
      </c>
      <c r="AO469" t="s">
        <v>13818</v>
      </c>
      <c r="AP469" t="s">
        <v>13819</v>
      </c>
      <c r="AT469" t="s">
        <v>14891</v>
      </c>
      <c r="AU469" t="s">
        <v>13808</v>
      </c>
      <c r="AZ469" t="s">
        <v>21044</v>
      </c>
      <c r="BA469" t="s">
        <v>13808</v>
      </c>
      <c r="BF469" t="s">
        <v>21045</v>
      </c>
      <c r="BG469" t="s">
        <v>13808</v>
      </c>
      <c r="BL469" t="s">
        <v>13735</v>
      </c>
      <c r="BM469" t="s">
        <v>13809</v>
      </c>
      <c r="BR469" t="s">
        <v>21046</v>
      </c>
      <c r="BS469" t="s">
        <v>13824</v>
      </c>
      <c r="BT469" t="s">
        <v>13808</v>
      </c>
      <c r="BU469" t="s">
        <v>14291</v>
      </c>
      <c r="BY469" t="s">
        <v>13826</v>
      </c>
      <c r="BZ469" t="s">
        <v>13808</v>
      </c>
      <c r="CA469" t="s">
        <v>13937</v>
      </c>
      <c r="CE469" t="s">
        <v>13754</v>
      </c>
      <c r="CF469" t="s">
        <v>13809</v>
      </c>
      <c r="CK469" t="s">
        <v>13760</v>
      </c>
      <c r="CL469" t="s">
        <v>13809</v>
      </c>
      <c r="CQ469" t="s">
        <v>13766</v>
      </c>
      <c r="CR469" t="s">
        <v>13809</v>
      </c>
      <c r="CT469" t="s">
        <v>21047</v>
      </c>
      <c r="CU469" t="s">
        <v>21048</v>
      </c>
      <c r="CV469" t="s">
        <v>13808</v>
      </c>
      <c r="CX469" t="s">
        <v>21049</v>
      </c>
      <c r="CY469" t="s">
        <v>13818</v>
      </c>
      <c r="DA469" t="s">
        <v>21050</v>
      </c>
      <c r="DB469" t="s">
        <v>13808</v>
      </c>
      <c r="DD469" t="s">
        <v>21051</v>
      </c>
      <c r="DE469" t="s">
        <v>13818</v>
      </c>
      <c r="DM469" t="s">
        <v>21052</v>
      </c>
      <c r="DN469" t="s">
        <v>13808</v>
      </c>
      <c r="DY469" t="s">
        <v>14606</v>
      </c>
      <c r="DZ469" t="s">
        <v>13841</v>
      </c>
      <c r="EA469" t="s">
        <v>16821</v>
      </c>
      <c r="EC469">
        <v>44929</v>
      </c>
      <c r="ED469" t="s">
        <v>14298</v>
      </c>
      <c r="EE469" t="s">
        <v>7917</v>
      </c>
    </row>
    <row r="470" spans="1:135">
      <c r="A470" t="s">
        <v>4071</v>
      </c>
      <c r="B470" t="s">
        <v>4051</v>
      </c>
      <c r="C470" t="s">
        <v>21053</v>
      </c>
      <c r="D470" s="24">
        <v>44748</v>
      </c>
      <c r="E470" s="24" t="s">
        <v>13555</v>
      </c>
      <c r="F470" s="24" t="s">
        <v>21054</v>
      </c>
      <c r="G470" s="24" t="s">
        <v>13808</v>
      </c>
      <c r="H470" s="24"/>
      <c r="I470" s="24" t="s">
        <v>13809</v>
      </c>
      <c r="J470" s="24"/>
      <c r="K470" s="24" t="s">
        <v>13809</v>
      </c>
      <c r="L470" s="24"/>
      <c r="M470" s="24" t="s">
        <v>15494</v>
      </c>
      <c r="N470" s="24" t="s">
        <v>13808</v>
      </c>
      <c r="O470" s="24"/>
      <c r="P470" s="24" t="s">
        <v>13808</v>
      </c>
      <c r="Q470" s="24"/>
      <c r="R470" s="24" t="s">
        <v>13808</v>
      </c>
      <c r="S470" s="24"/>
      <c r="T470" t="s">
        <v>13847</v>
      </c>
      <c r="U470" t="s">
        <v>13809</v>
      </c>
      <c r="W470" t="s">
        <v>13808</v>
      </c>
      <c r="X470" t="s">
        <v>21055</v>
      </c>
      <c r="Y470" t="s">
        <v>13808</v>
      </c>
      <c r="AA470" t="s">
        <v>21056</v>
      </c>
      <c r="AB470" t="s">
        <v>21057</v>
      </c>
      <c r="AC470" t="s">
        <v>13808</v>
      </c>
      <c r="AH470" t="s">
        <v>13851</v>
      </c>
      <c r="AI470" t="s">
        <v>13808</v>
      </c>
      <c r="AN470" t="s">
        <v>15349</v>
      </c>
      <c r="AO470" t="s">
        <v>13808</v>
      </c>
      <c r="AT470" t="s">
        <v>15350</v>
      </c>
      <c r="AU470" t="s">
        <v>13808</v>
      </c>
      <c r="AZ470" t="s">
        <v>16437</v>
      </c>
      <c r="BA470" t="s">
        <v>13808</v>
      </c>
      <c r="BF470" t="s">
        <v>21058</v>
      </c>
      <c r="BG470" t="s">
        <v>13808</v>
      </c>
      <c r="BL470" t="s">
        <v>13735</v>
      </c>
      <c r="BM470" t="s">
        <v>13809</v>
      </c>
      <c r="BR470" t="s">
        <v>21059</v>
      </c>
      <c r="BS470" t="s">
        <v>14213</v>
      </c>
      <c r="BT470" t="s">
        <v>13808</v>
      </c>
      <c r="BU470" t="s">
        <v>14147</v>
      </c>
      <c r="BY470" t="s">
        <v>13860</v>
      </c>
      <c r="BZ470" t="s">
        <v>13808</v>
      </c>
      <c r="CA470" t="s">
        <v>13937</v>
      </c>
      <c r="CE470" t="s">
        <v>13862</v>
      </c>
      <c r="CF470" t="s">
        <v>13808</v>
      </c>
      <c r="CG470" t="s">
        <v>13863</v>
      </c>
      <c r="CK470" t="s">
        <v>13760</v>
      </c>
      <c r="CL470" t="s">
        <v>13809</v>
      </c>
      <c r="CQ470" t="s">
        <v>13766</v>
      </c>
      <c r="CR470" t="s">
        <v>13809</v>
      </c>
      <c r="CT470" t="s">
        <v>19704</v>
      </c>
      <c r="DG470" t="s">
        <v>14562</v>
      </c>
      <c r="DH470" t="s">
        <v>21060</v>
      </c>
      <c r="DY470" t="s">
        <v>14243</v>
      </c>
      <c r="DZ470" t="s">
        <v>14923</v>
      </c>
      <c r="EA470" t="s">
        <v>13842</v>
      </c>
      <c r="EC470">
        <v>44748</v>
      </c>
      <c r="ED470" t="s">
        <v>17062</v>
      </c>
      <c r="EE470" t="s">
        <v>8913</v>
      </c>
    </row>
    <row r="471" spans="1:135">
      <c r="A471" t="s">
        <v>4075</v>
      </c>
      <c r="B471" t="s">
        <v>4051</v>
      </c>
      <c r="C471" t="s">
        <v>21061</v>
      </c>
      <c r="D471" s="24">
        <v>43424</v>
      </c>
      <c r="E471" s="24" t="s">
        <v>13555</v>
      </c>
      <c r="F471" s="24" t="s">
        <v>21062</v>
      </c>
      <c r="G471" s="24" t="s">
        <v>13808</v>
      </c>
      <c r="H471" s="24"/>
      <c r="I471" s="24" t="s">
        <v>13809</v>
      </c>
      <c r="J471" s="24"/>
      <c r="K471" s="24" t="s">
        <v>13808</v>
      </c>
      <c r="L471" s="24"/>
      <c r="M471" s="24" t="s">
        <v>13846</v>
      </c>
      <c r="N471" s="24" t="s">
        <v>13808</v>
      </c>
      <c r="O471" s="24"/>
      <c r="P471" s="24" t="s">
        <v>13808</v>
      </c>
      <c r="Q471" s="24"/>
      <c r="R471" s="24" t="s">
        <v>13808</v>
      </c>
      <c r="S471" s="24"/>
      <c r="T471" t="s">
        <v>14429</v>
      </c>
      <c r="U471" t="s">
        <v>13809</v>
      </c>
      <c r="W471" t="s">
        <v>13808</v>
      </c>
      <c r="X471" t="s">
        <v>21063</v>
      </c>
      <c r="Y471" t="s">
        <v>13809</v>
      </c>
      <c r="AA471" t="s">
        <v>14971</v>
      </c>
      <c r="AB471" t="s">
        <v>21064</v>
      </c>
      <c r="AC471" t="s">
        <v>13808</v>
      </c>
      <c r="AH471" t="s">
        <v>13909</v>
      </c>
      <c r="AI471" t="s">
        <v>13808</v>
      </c>
      <c r="AO471" t="s">
        <v>13809</v>
      </c>
      <c r="AT471" t="s">
        <v>15834</v>
      </c>
      <c r="AU471" t="s">
        <v>13808</v>
      </c>
      <c r="AZ471" t="s">
        <v>19244</v>
      </c>
      <c r="BA471" t="s">
        <v>13808</v>
      </c>
      <c r="BF471" t="s">
        <v>14596</v>
      </c>
      <c r="BG471" t="s">
        <v>13808</v>
      </c>
      <c r="BL471" t="s">
        <v>19390</v>
      </c>
      <c r="BM471" t="s">
        <v>13808</v>
      </c>
      <c r="BR471" t="s">
        <v>21065</v>
      </c>
      <c r="BS471" t="s">
        <v>13885</v>
      </c>
      <c r="BT471" t="s">
        <v>13808</v>
      </c>
      <c r="BU471" t="s">
        <v>13985</v>
      </c>
      <c r="BY471" t="s">
        <v>13887</v>
      </c>
      <c r="BZ471" t="s">
        <v>13808</v>
      </c>
      <c r="CA471" t="s">
        <v>13861</v>
      </c>
      <c r="CE471" t="s">
        <v>14265</v>
      </c>
      <c r="CF471" t="s">
        <v>13808</v>
      </c>
      <c r="CG471" t="s">
        <v>13863</v>
      </c>
      <c r="CK471" t="s">
        <v>13887</v>
      </c>
      <c r="CL471" t="s">
        <v>13808</v>
      </c>
      <c r="CR471" t="s">
        <v>13809</v>
      </c>
      <c r="CT471" t="s">
        <v>20635</v>
      </c>
      <c r="CU471" t="s">
        <v>13909</v>
      </c>
      <c r="CV471" t="s">
        <v>13808</v>
      </c>
      <c r="DA471" t="s">
        <v>13909</v>
      </c>
      <c r="DB471" t="s">
        <v>13808</v>
      </c>
      <c r="DH471" t="s">
        <v>13809</v>
      </c>
      <c r="DM471" t="s">
        <v>13909</v>
      </c>
      <c r="DN471" t="s">
        <v>13808</v>
      </c>
      <c r="DY471" t="s">
        <v>15842</v>
      </c>
      <c r="DZ471" t="s">
        <v>21066</v>
      </c>
      <c r="EA471" t="s">
        <v>15744</v>
      </c>
      <c r="EC471">
        <v>43834</v>
      </c>
      <c r="ED471" t="s">
        <v>13903</v>
      </c>
      <c r="EE471" t="s">
        <v>8915</v>
      </c>
    </row>
    <row r="472" spans="1:135">
      <c r="A472" t="s">
        <v>3213</v>
      </c>
      <c r="B472" t="s">
        <v>3161</v>
      </c>
      <c r="C472" t="s">
        <v>21067</v>
      </c>
      <c r="D472" s="24">
        <v>44750</v>
      </c>
      <c r="E472" s="24" t="s">
        <v>13558</v>
      </c>
      <c r="F472" s="24" t="s">
        <v>21068</v>
      </c>
      <c r="G472" s="24" t="s">
        <v>13808</v>
      </c>
      <c r="H472" s="24"/>
      <c r="I472" s="24" t="s">
        <v>13809</v>
      </c>
      <c r="J472" s="24"/>
      <c r="K472" s="24" t="s">
        <v>13808</v>
      </c>
      <c r="L472" s="24"/>
      <c r="M472" s="24" t="s">
        <v>15106</v>
      </c>
      <c r="N472" s="24" t="s">
        <v>13818</v>
      </c>
      <c r="O472" s="24" t="s">
        <v>17742</v>
      </c>
      <c r="P472" s="24" t="s">
        <v>13808</v>
      </c>
      <c r="Q472" s="24"/>
      <c r="R472" s="24" t="s">
        <v>13808</v>
      </c>
      <c r="S472" s="24"/>
      <c r="T472" t="s">
        <v>14071</v>
      </c>
      <c r="U472" t="s">
        <v>13809</v>
      </c>
      <c r="W472" t="s">
        <v>13809</v>
      </c>
      <c r="Y472" t="s">
        <v>13809</v>
      </c>
      <c r="AA472" t="s">
        <v>14551</v>
      </c>
      <c r="AB472" t="s">
        <v>13699</v>
      </c>
      <c r="AC472" t="s">
        <v>13809</v>
      </c>
      <c r="AH472" t="s">
        <v>14073</v>
      </c>
      <c r="AI472" t="s">
        <v>13808</v>
      </c>
      <c r="AK472" t="s">
        <v>15592</v>
      </c>
      <c r="AL472" t="s">
        <v>13818</v>
      </c>
      <c r="AM472" t="s">
        <v>14309</v>
      </c>
      <c r="AN472" t="s">
        <v>21069</v>
      </c>
      <c r="AO472" t="s">
        <v>13818</v>
      </c>
      <c r="AP472" t="s">
        <v>14309</v>
      </c>
      <c r="AT472" t="s">
        <v>13717</v>
      </c>
      <c r="AU472" t="s">
        <v>13809</v>
      </c>
      <c r="AZ472" t="s">
        <v>14101</v>
      </c>
      <c r="BA472" t="s">
        <v>13808</v>
      </c>
      <c r="BF472" t="s">
        <v>21070</v>
      </c>
      <c r="BG472" t="s">
        <v>13818</v>
      </c>
      <c r="BH472" t="s">
        <v>14309</v>
      </c>
      <c r="BL472" t="s">
        <v>13735</v>
      </c>
      <c r="BM472" t="s">
        <v>13809</v>
      </c>
      <c r="BR472" t="s">
        <v>21071</v>
      </c>
      <c r="BS472" t="s">
        <v>13824</v>
      </c>
      <c r="BT472" t="s">
        <v>13808</v>
      </c>
      <c r="BU472" t="s">
        <v>14233</v>
      </c>
      <c r="BY472" t="s">
        <v>13860</v>
      </c>
      <c r="BZ472" t="s">
        <v>13808</v>
      </c>
      <c r="CA472" t="s">
        <v>13937</v>
      </c>
      <c r="CE472" t="s">
        <v>13754</v>
      </c>
      <c r="CF472" t="s">
        <v>13809</v>
      </c>
      <c r="CK472" t="s">
        <v>13760</v>
      </c>
      <c r="CL472" t="s">
        <v>13809</v>
      </c>
      <c r="CQ472" t="s">
        <v>13766</v>
      </c>
      <c r="CR472" t="s">
        <v>13809</v>
      </c>
      <c r="CT472" t="s">
        <v>21072</v>
      </c>
      <c r="CU472" t="s">
        <v>21073</v>
      </c>
      <c r="CV472" t="s">
        <v>13808</v>
      </c>
      <c r="CX472" t="s">
        <v>21074</v>
      </c>
      <c r="CY472" t="s">
        <v>13818</v>
      </c>
      <c r="DA472" t="s">
        <v>15063</v>
      </c>
      <c r="DB472" t="s">
        <v>13818</v>
      </c>
      <c r="DG472" t="s">
        <v>14240</v>
      </c>
      <c r="DH472" t="s">
        <v>13818</v>
      </c>
      <c r="DY472" t="s">
        <v>13869</v>
      </c>
      <c r="DZ472" t="s">
        <v>14406</v>
      </c>
      <c r="EA472" t="s">
        <v>13842</v>
      </c>
      <c r="EC472">
        <v>44754</v>
      </c>
      <c r="ED472" t="s">
        <v>14298</v>
      </c>
      <c r="EE472" t="s">
        <v>7921</v>
      </c>
    </row>
    <row r="473" spans="1:135">
      <c r="A473" t="s">
        <v>3838</v>
      </c>
      <c r="B473" t="s">
        <v>3808</v>
      </c>
      <c r="C473" t="s">
        <v>21075</v>
      </c>
      <c r="D473" s="24">
        <v>44755</v>
      </c>
      <c r="E473" s="24" t="s">
        <v>13555</v>
      </c>
      <c r="F473" s="24" t="s">
        <v>21076</v>
      </c>
      <c r="G473" s="24" t="s">
        <v>13808</v>
      </c>
      <c r="H473" s="24"/>
      <c r="I473" s="24" t="s">
        <v>13809</v>
      </c>
      <c r="J473" s="24"/>
      <c r="K473" s="24" t="s">
        <v>13809</v>
      </c>
      <c r="L473" s="24"/>
      <c r="M473" s="24" t="s">
        <v>15494</v>
      </c>
      <c r="N473" s="24" t="s">
        <v>13808</v>
      </c>
      <c r="O473" s="24"/>
      <c r="P473" s="24" t="s">
        <v>13808</v>
      </c>
      <c r="Q473" s="24"/>
      <c r="R473" s="24" t="s">
        <v>13808</v>
      </c>
      <c r="S473" s="24"/>
      <c r="T473" t="s">
        <v>15051</v>
      </c>
      <c r="U473" t="s">
        <v>13809</v>
      </c>
      <c r="Y473" t="s">
        <v>13809</v>
      </c>
      <c r="AA473" t="s">
        <v>14971</v>
      </c>
      <c r="AB473" t="s">
        <v>21077</v>
      </c>
      <c r="AC473" t="s">
        <v>13808</v>
      </c>
      <c r="AH473" t="s">
        <v>13851</v>
      </c>
      <c r="AI473" t="s">
        <v>13808</v>
      </c>
      <c r="AN473" t="s">
        <v>19101</v>
      </c>
      <c r="AO473" t="s">
        <v>13808</v>
      </c>
      <c r="AT473" t="s">
        <v>21026</v>
      </c>
      <c r="AU473" t="s">
        <v>13808</v>
      </c>
      <c r="AZ473" t="s">
        <v>21078</v>
      </c>
      <c r="BA473" t="s">
        <v>13808</v>
      </c>
      <c r="BF473" t="s">
        <v>16452</v>
      </c>
      <c r="BG473" t="s">
        <v>13808</v>
      </c>
      <c r="BL473" t="s">
        <v>21079</v>
      </c>
      <c r="BM473" t="s">
        <v>13808</v>
      </c>
      <c r="BR473" t="s">
        <v>21080</v>
      </c>
      <c r="BS473" t="s">
        <v>13824</v>
      </c>
      <c r="BT473" t="s">
        <v>13808</v>
      </c>
      <c r="BU473" t="s">
        <v>21081</v>
      </c>
      <c r="BY473" t="s">
        <v>13860</v>
      </c>
      <c r="BZ473" t="s">
        <v>13808</v>
      </c>
      <c r="CA473" t="s">
        <v>21082</v>
      </c>
      <c r="CE473" t="s">
        <v>13828</v>
      </c>
      <c r="CF473" t="s">
        <v>13808</v>
      </c>
      <c r="CK473" t="s">
        <v>13760</v>
      </c>
      <c r="CL473" t="s">
        <v>13809</v>
      </c>
      <c r="CQ473" t="s">
        <v>13766</v>
      </c>
      <c r="CR473" t="s">
        <v>13809</v>
      </c>
      <c r="CT473" t="s">
        <v>21083</v>
      </c>
      <c r="DG473" t="s">
        <v>21084</v>
      </c>
      <c r="DH473" t="s">
        <v>13808</v>
      </c>
      <c r="DY473" t="s">
        <v>13869</v>
      </c>
      <c r="DZ473" t="s">
        <v>13841</v>
      </c>
      <c r="EA473" t="s">
        <v>13842</v>
      </c>
      <c r="EC473">
        <v>44952</v>
      </c>
      <c r="ED473" t="s">
        <v>14298</v>
      </c>
      <c r="EE473" t="s">
        <v>8633</v>
      </c>
    </row>
    <row r="474" spans="1:135">
      <c r="A474" t="s">
        <v>3217</v>
      </c>
      <c r="B474" t="s">
        <v>3161</v>
      </c>
      <c r="C474" t="s">
        <v>21085</v>
      </c>
      <c r="D474" s="24">
        <v>43439</v>
      </c>
      <c r="E474" s="24" t="s">
        <v>13565</v>
      </c>
      <c r="F474" s="24" t="s">
        <v>21086</v>
      </c>
      <c r="G474" s="24" t="s">
        <v>13808</v>
      </c>
      <c r="H474" s="24"/>
      <c r="I474" s="24" t="s">
        <v>13809</v>
      </c>
      <c r="J474" s="24"/>
      <c r="K474" s="24" t="s">
        <v>13808</v>
      </c>
      <c r="L474" s="24"/>
      <c r="M474" s="24" t="s">
        <v>21087</v>
      </c>
      <c r="N474" s="24" t="s">
        <v>13818</v>
      </c>
      <c r="O474" s="24"/>
      <c r="P474" s="24" t="s">
        <v>13808</v>
      </c>
      <c r="Q474" s="24"/>
      <c r="R474" s="24" t="s">
        <v>13808</v>
      </c>
      <c r="S474" s="24"/>
      <c r="T474" t="s">
        <v>21088</v>
      </c>
      <c r="U474" t="s">
        <v>13809</v>
      </c>
      <c r="W474" t="s">
        <v>13808</v>
      </c>
      <c r="X474" t="s">
        <v>21089</v>
      </c>
      <c r="Y474" t="s">
        <v>13809</v>
      </c>
      <c r="AA474" t="s">
        <v>21090</v>
      </c>
      <c r="AB474" t="s">
        <v>13850</v>
      </c>
      <c r="AC474" t="s">
        <v>13809</v>
      </c>
      <c r="AH474" t="s">
        <v>21091</v>
      </c>
      <c r="AI474" t="s">
        <v>13808</v>
      </c>
      <c r="AK474" t="s">
        <v>21092</v>
      </c>
      <c r="AL474" t="s">
        <v>13808</v>
      </c>
      <c r="AN474" t="s">
        <v>15388</v>
      </c>
      <c r="AO474" t="s">
        <v>13818</v>
      </c>
      <c r="AT474" t="s">
        <v>15674</v>
      </c>
      <c r="AU474" t="s">
        <v>13818</v>
      </c>
      <c r="AZ474" t="s">
        <v>21093</v>
      </c>
      <c r="BA474" t="s">
        <v>13818</v>
      </c>
      <c r="BF474" t="s">
        <v>21094</v>
      </c>
      <c r="BG474" t="s">
        <v>13818</v>
      </c>
      <c r="BL474" t="s">
        <v>21095</v>
      </c>
      <c r="BM474" t="s">
        <v>13818</v>
      </c>
      <c r="BR474" t="s">
        <v>21096</v>
      </c>
      <c r="BS474" t="s">
        <v>13824</v>
      </c>
      <c r="BT474" t="s">
        <v>13808</v>
      </c>
      <c r="BU474" t="s">
        <v>14147</v>
      </c>
      <c r="BY474" t="s">
        <v>13986</v>
      </c>
      <c r="BZ474" t="s">
        <v>13808</v>
      </c>
      <c r="CA474" t="s">
        <v>13937</v>
      </c>
      <c r="CE474" t="s">
        <v>13862</v>
      </c>
      <c r="CF474" t="s">
        <v>13818</v>
      </c>
      <c r="CG474" t="s">
        <v>21097</v>
      </c>
      <c r="CH474" t="s">
        <v>14215</v>
      </c>
      <c r="CI474" t="s">
        <v>13818</v>
      </c>
      <c r="CJ474" t="s">
        <v>21098</v>
      </c>
      <c r="CK474" t="s">
        <v>13760</v>
      </c>
      <c r="CL474" t="s">
        <v>13809</v>
      </c>
      <c r="CQ474" t="s">
        <v>13766</v>
      </c>
      <c r="CR474" t="s">
        <v>13809</v>
      </c>
      <c r="CT474" t="s">
        <v>21099</v>
      </c>
      <c r="CU474" t="s">
        <v>21100</v>
      </c>
      <c r="CV474" t="s">
        <v>13808</v>
      </c>
      <c r="CX474" t="s">
        <v>21101</v>
      </c>
      <c r="CY474" t="s">
        <v>13818</v>
      </c>
      <c r="DA474" t="s">
        <v>21102</v>
      </c>
      <c r="DB474" t="s">
        <v>13808</v>
      </c>
      <c r="DD474" t="s">
        <v>21103</v>
      </c>
      <c r="DE474" t="s">
        <v>13818</v>
      </c>
      <c r="DM474" t="s">
        <v>21104</v>
      </c>
      <c r="DN474" t="s">
        <v>13808</v>
      </c>
      <c r="DY474" t="s">
        <v>21105</v>
      </c>
      <c r="DZ474" t="s">
        <v>19693</v>
      </c>
      <c r="EA474" t="s">
        <v>14201</v>
      </c>
      <c r="EC474">
        <v>44721</v>
      </c>
      <c r="ED474" t="s">
        <v>17062</v>
      </c>
      <c r="EE474" t="s">
        <v>7927</v>
      </c>
    </row>
    <row r="475" spans="1:135">
      <c r="A475" t="s">
        <v>3515</v>
      </c>
      <c r="B475" t="s">
        <v>3506</v>
      </c>
      <c r="C475" t="s">
        <v>21106</v>
      </c>
      <c r="D475" s="24">
        <v>43220</v>
      </c>
      <c r="E475" s="24" t="s">
        <v>13555</v>
      </c>
      <c r="F475" s="24" t="s">
        <v>21107</v>
      </c>
      <c r="G475" s="24" t="s">
        <v>13808</v>
      </c>
      <c r="H475" s="24"/>
      <c r="I475" s="24" t="s">
        <v>13809</v>
      </c>
      <c r="J475" s="24"/>
      <c r="K475" s="24" t="s">
        <v>13808</v>
      </c>
      <c r="L475" s="24"/>
      <c r="M475" s="24" t="s">
        <v>13846</v>
      </c>
      <c r="N475" s="24" t="s">
        <v>13808</v>
      </c>
      <c r="O475" s="24"/>
      <c r="P475" s="24" t="s">
        <v>13808</v>
      </c>
      <c r="Q475" s="24"/>
      <c r="R475" s="24" t="s">
        <v>13808</v>
      </c>
      <c r="S475" s="24"/>
      <c r="T475" t="s">
        <v>14034</v>
      </c>
      <c r="U475" t="s">
        <v>13809</v>
      </c>
      <c r="W475" t="s">
        <v>13808</v>
      </c>
      <c r="X475" t="s">
        <v>21108</v>
      </c>
      <c r="Y475" t="s">
        <v>13809</v>
      </c>
      <c r="AA475" t="s">
        <v>15461</v>
      </c>
      <c r="AB475" t="s">
        <v>21109</v>
      </c>
      <c r="AC475" t="s">
        <v>13808</v>
      </c>
      <c r="AH475" t="s">
        <v>13909</v>
      </c>
      <c r="AI475" t="s">
        <v>13808</v>
      </c>
      <c r="AN475" t="s">
        <v>21110</v>
      </c>
      <c r="AO475" t="s">
        <v>13808</v>
      </c>
      <c r="AT475" t="s">
        <v>17398</v>
      </c>
      <c r="AU475" t="s">
        <v>13808</v>
      </c>
      <c r="AZ475" t="s">
        <v>14260</v>
      </c>
      <c r="BA475" t="s">
        <v>13808</v>
      </c>
      <c r="BF475" t="s">
        <v>16048</v>
      </c>
      <c r="BG475" t="s">
        <v>13808</v>
      </c>
      <c r="BM475" t="s">
        <v>13809</v>
      </c>
      <c r="BR475" t="s">
        <v>21111</v>
      </c>
      <c r="BS475" t="s">
        <v>13887</v>
      </c>
      <c r="BT475" t="s">
        <v>13808</v>
      </c>
      <c r="BU475" t="s">
        <v>21112</v>
      </c>
      <c r="BY475" t="s">
        <v>14265</v>
      </c>
      <c r="BZ475" t="s">
        <v>13808</v>
      </c>
      <c r="CA475" t="s">
        <v>13937</v>
      </c>
      <c r="CE475" t="s">
        <v>14265</v>
      </c>
      <c r="CF475" t="s">
        <v>13808</v>
      </c>
      <c r="CL475" t="s">
        <v>13809</v>
      </c>
      <c r="CR475" t="s">
        <v>13809</v>
      </c>
      <c r="CT475" t="s">
        <v>21113</v>
      </c>
      <c r="CU475" t="s">
        <v>16943</v>
      </c>
      <c r="CV475" t="s">
        <v>13808</v>
      </c>
      <c r="CX475" t="s">
        <v>13885</v>
      </c>
      <c r="CY475" t="s">
        <v>13818</v>
      </c>
      <c r="DA475" t="s">
        <v>16943</v>
      </c>
      <c r="DB475" t="s">
        <v>13808</v>
      </c>
      <c r="DD475" t="s">
        <v>13885</v>
      </c>
      <c r="DE475" t="s">
        <v>13818</v>
      </c>
      <c r="DG475" t="s">
        <v>13885</v>
      </c>
      <c r="DH475" t="s">
        <v>13808</v>
      </c>
      <c r="DZ475" t="s">
        <v>21113</v>
      </c>
      <c r="EA475" t="s">
        <v>21114</v>
      </c>
      <c r="EC475">
        <v>43963</v>
      </c>
      <c r="ED475" t="s">
        <v>13903</v>
      </c>
      <c r="EE475" t="s">
        <v>8283</v>
      </c>
    </row>
    <row r="476" spans="1:135">
      <c r="A476" t="s">
        <v>3238</v>
      </c>
      <c r="B476" t="s">
        <v>3161</v>
      </c>
      <c r="C476" t="s">
        <v>21115</v>
      </c>
      <c r="D476" s="24">
        <v>43746</v>
      </c>
      <c r="E476" s="24" t="s">
        <v>13561</v>
      </c>
      <c r="F476" s="24" t="s">
        <v>21116</v>
      </c>
      <c r="G476" s="24" t="s">
        <v>13818</v>
      </c>
      <c r="H476" s="24" t="s">
        <v>21117</v>
      </c>
      <c r="I476" s="24" t="s">
        <v>13809</v>
      </c>
      <c r="J476" s="24"/>
      <c r="K476" s="24" t="s">
        <v>13808</v>
      </c>
      <c r="L476" s="24" t="s">
        <v>21118</v>
      </c>
      <c r="M476" s="24" t="s">
        <v>21119</v>
      </c>
      <c r="N476" s="24" t="s">
        <v>13808</v>
      </c>
      <c r="O476" s="24"/>
      <c r="P476" s="24" t="s">
        <v>13818</v>
      </c>
      <c r="Q476" s="24" t="s">
        <v>21120</v>
      </c>
      <c r="R476" s="24" t="s">
        <v>13808</v>
      </c>
      <c r="S476" s="24"/>
      <c r="T476" t="s">
        <v>14034</v>
      </c>
      <c r="U476" t="s">
        <v>13809</v>
      </c>
      <c r="W476" t="s">
        <v>13808</v>
      </c>
      <c r="X476" t="s">
        <v>21121</v>
      </c>
      <c r="Y476" t="s">
        <v>13808</v>
      </c>
      <c r="Z476" t="s">
        <v>21122</v>
      </c>
      <c r="AA476" t="s">
        <v>21123</v>
      </c>
      <c r="AB476" t="s">
        <v>14192</v>
      </c>
      <c r="AC476" t="s">
        <v>13818</v>
      </c>
      <c r="AD476" t="s">
        <v>14415</v>
      </c>
      <c r="AH476" t="s">
        <v>13909</v>
      </c>
      <c r="AI476" t="s">
        <v>13818</v>
      </c>
      <c r="AJ476" t="s">
        <v>14415</v>
      </c>
      <c r="AN476" t="s">
        <v>14367</v>
      </c>
      <c r="AO476" t="s">
        <v>13818</v>
      </c>
      <c r="AP476" t="s">
        <v>14414</v>
      </c>
      <c r="AT476" t="s">
        <v>14598</v>
      </c>
      <c r="AU476" t="s">
        <v>13818</v>
      </c>
      <c r="AV476" t="s">
        <v>14414</v>
      </c>
      <c r="AZ476" t="s">
        <v>14597</v>
      </c>
      <c r="BA476" t="s">
        <v>13818</v>
      </c>
      <c r="BB476" t="s">
        <v>14414</v>
      </c>
      <c r="BF476" t="s">
        <v>14816</v>
      </c>
      <c r="BG476" t="s">
        <v>13818</v>
      </c>
      <c r="BH476" t="s">
        <v>14414</v>
      </c>
      <c r="BM476" t="s">
        <v>13809</v>
      </c>
      <c r="BR476" t="s">
        <v>21124</v>
      </c>
      <c r="BS476" t="s">
        <v>13887</v>
      </c>
      <c r="BT476" t="s">
        <v>13818</v>
      </c>
      <c r="BU476" t="s">
        <v>15643</v>
      </c>
      <c r="BY476" t="s">
        <v>13887</v>
      </c>
      <c r="BZ476" t="s">
        <v>13818</v>
      </c>
      <c r="CA476" t="s">
        <v>16328</v>
      </c>
      <c r="CE476" t="s">
        <v>13887</v>
      </c>
      <c r="CF476" t="s">
        <v>13818</v>
      </c>
      <c r="CG476" t="s">
        <v>21125</v>
      </c>
      <c r="CL476" t="s">
        <v>13809</v>
      </c>
      <c r="CR476" t="s">
        <v>13809</v>
      </c>
      <c r="CT476" t="s">
        <v>21126</v>
      </c>
      <c r="CU476" t="s">
        <v>21127</v>
      </c>
      <c r="CV476" t="s">
        <v>13818</v>
      </c>
      <c r="CW476" t="s">
        <v>21128</v>
      </c>
      <c r="DA476" t="s">
        <v>14433</v>
      </c>
      <c r="DB476" t="s">
        <v>13818</v>
      </c>
      <c r="DC476" t="s">
        <v>21128</v>
      </c>
      <c r="DH476" t="s">
        <v>13809</v>
      </c>
      <c r="DM476" t="s">
        <v>21129</v>
      </c>
      <c r="DN476" t="s">
        <v>13818</v>
      </c>
      <c r="DO476" t="s">
        <v>21130</v>
      </c>
      <c r="DY476" t="s">
        <v>17547</v>
      </c>
      <c r="DZ476" t="s">
        <v>21131</v>
      </c>
      <c r="EA476" t="s">
        <v>14049</v>
      </c>
      <c r="EC476">
        <v>43789</v>
      </c>
      <c r="ED476" t="s">
        <v>14501</v>
      </c>
      <c r="EE476" t="s">
        <v>13623</v>
      </c>
    </row>
    <row r="477" spans="1:135">
      <c r="A477" t="s">
        <v>4079</v>
      </c>
      <c r="B477" t="s">
        <v>4051</v>
      </c>
      <c r="C477" t="s">
        <v>21132</v>
      </c>
      <c r="D477" s="24">
        <v>44295</v>
      </c>
      <c r="E477" s="24" t="s">
        <v>13560</v>
      </c>
      <c r="F477" s="24" t="s">
        <v>21133</v>
      </c>
      <c r="G477" s="24" t="s">
        <v>13808</v>
      </c>
      <c r="H477" s="24"/>
      <c r="I477" s="24" t="s">
        <v>13809</v>
      </c>
      <c r="J477" s="24"/>
      <c r="K477" s="24" t="s">
        <v>13808</v>
      </c>
      <c r="L477" s="24"/>
      <c r="M477" s="24" t="s">
        <v>15106</v>
      </c>
      <c r="N477" s="24" t="s">
        <v>13808</v>
      </c>
      <c r="O477" s="24"/>
      <c r="P477" s="24" t="s">
        <v>13808</v>
      </c>
      <c r="Q477" s="24"/>
      <c r="R477" s="24" t="s">
        <v>13808</v>
      </c>
      <c r="S477" s="24"/>
      <c r="T477" t="s">
        <v>21134</v>
      </c>
      <c r="U477" t="s">
        <v>13809</v>
      </c>
      <c r="W477" t="s">
        <v>13809</v>
      </c>
      <c r="Y477" t="s">
        <v>13809</v>
      </c>
      <c r="AA477" t="s">
        <v>14551</v>
      </c>
      <c r="AB477" t="s">
        <v>13882</v>
      </c>
      <c r="AC477" t="s">
        <v>13808</v>
      </c>
      <c r="AH477" t="s">
        <v>13887</v>
      </c>
      <c r="AI477" t="s">
        <v>13808</v>
      </c>
      <c r="AK477" t="s">
        <v>14004</v>
      </c>
      <c r="AL477" t="s">
        <v>13818</v>
      </c>
      <c r="AM477" t="s">
        <v>14259</v>
      </c>
      <c r="AN477" t="s">
        <v>15833</v>
      </c>
      <c r="AO477" t="s">
        <v>13818</v>
      </c>
      <c r="AP477" t="s">
        <v>14259</v>
      </c>
      <c r="AT477" t="s">
        <v>14433</v>
      </c>
      <c r="AU477" t="s">
        <v>13818</v>
      </c>
      <c r="AV477" t="s">
        <v>14259</v>
      </c>
      <c r="AZ477" t="s">
        <v>21135</v>
      </c>
      <c r="BA477" t="s">
        <v>13808</v>
      </c>
      <c r="BC477" t="s">
        <v>21136</v>
      </c>
      <c r="BD477" t="s">
        <v>13808</v>
      </c>
      <c r="BF477" t="s">
        <v>16048</v>
      </c>
      <c r="BG477" t="s">
        <v>13808</v>
      </c>
      <c r="BM477" t="s">
        <v>13809</v>
      </c>
      <c r="BR477" t="s">
        <v>15692</v>
      </c>
      <c r="BS477" t="s">
        <v>13887</v>
      </c>
      <c r="BT477" t="s">
        <v>13808</v>
      </c>
      <c r="BU477" t="s">
        <v>14233</v>
      </c>
      <c r="BY477" t="s">
        <v>13887</v>
      </c>
      <c r="BZ477" t="s">
        <v>13808</v>
      </c>
      <c r="CA477" t="s">
        <v>13937</v>
      </c>
      <c r="CE477" t="s">
        <v>13887</v>
      </c>
      <c r="CF477" t="s">
        <v>13808</v>
      </c>
      <c r="CL477" t="s">
        <v>13809</v>
      </c>
      <c r="CR477" t="s">
        <v>13809</v>
      </c>
      <c r="CT477" t="s">
        <v>21137</v>
      </c>
      <c r="CU477" t="s">
        <v>14059</v>
      </c>
      <c r="CV477" t="s">
        <v>13808</v>
      </c>
      <c r="CX477" t="s">
        <v>21138</v>
      </c>
      <c r="CY477" t="s">
        <v>13818</v>
      </c>
      <c r="CZ477" t="s">
        <v>14259</v>
      </c>
      <c r="DA477" t="s">
        <v>14022</v>
      </c>
      <c r="DB477" t="s">
        <v>13808</v>
      </c>
      <c r="DD477" t="s">
        <v>21139</v>
      </c>
      <c r="DE477" t="s">
        <v>13818</v>
      </c>
      <c r="DF477" t="s">
        <v>14259</v>
      </c>
      <c r="DG477" t="s">
        <v>21140</v>
      </c>
      <c r="DH477" t="s">
        <v>13818</v>
      </c>
      <c r="DY477" t="s">
        <v>13869</v>
      </c>
      <c r="DZ477" t="s">
        <v>13841</v>
      </c>
      <c r="EA477" t="s">
        <v>13842</v>
      </c>
      <c r="ED477" t="s">
        <v>17223</v>
      </c>
      <c r="EE477" t="s">
        <v>8920</v>
      </c>
    </row>
    <row r="478" spans="1:135">
      <c r="A478" t="s">
        <v>3426</v>
      </c>
      <c r="B478" t="s">
        <v>3399</v>
      </c>
      <c r="C478" t="s">
        <v>21141</v>
      </c>
      <c r="D478" s="24">
        <v>43193</v>
      </c>
      <c r="E478" s="24" t="s">
        <v>13558</v>
      </c>
      <c r="F478" s="24" t="s">
        <v>21142</v>
      </c>
      <c r="G478" s="24" t="s">
        <v>13808</v>
      </c>
      <c r="H478" s="24"/>
      <c r="I478" s="24" t="s">
        <v>13809</v>
      </c>
      <c r="J478" s="24"/>
      <c r="K478" s="24" t="s">
        <v>13808</v>
      </c>
      <c r="L478" s="24"/>
      <c r="M478" s="24" t="s">
        <v>21143</v>
      </c>
      <c r="N478" s="24" t="s">
        <v>13808</v>
      </c>
      <c r="O478" s="24"/>
      <c r="P478" s="24" t="s">
        <v>13808</v>
      </c>
      <c r="Q478" s="24"/>
      <c r="R478" s="24" t="s">
        <v>13808</v>
      </c>
      <c r="S478" s="24" t="s">
        <v>21144</v>
      </c>
      <c r="T478" t="s">
        <v>13875</v>
      </c>
      <c r="U478" t="s">
        <v>13808</v>
      </c>
      <c r="W478" t="s">
        <v>13808</v>
      </c>
      <c r="X478" t="s">
        <v>21145</v>
      </c>
      <c r="Y478" t="s">
        <v>13809</v>
      </c>
      <c r="AA478" t="s">
        <v>16482</v>
      </c>
      <c r="AB478" t="s">
        <v>16048</v>
      </c>
      <c r="AC478" t="s">
        <v>13808</v>
      </c>
      <c r="AH478" t="s">
        <v>13909</v>
      </c>
      <c r="AI478" t="s">
        <v>13808</v>
      </c>
      <c r="AN478" t="s">
        <v>21146</v>
      </c>
      <c r="AO478" t="s">
        <v>13808</v>
      </c>
      <c r="AT478" t="s">
        <v>14816</v>
      </c>
      <c r="AU478" t="s">
        <v>13808</v>
      </c>
      <c r="AZ478" t="s">
        <v>14192</v>
      </c>
      <c r="BA478" t="s">
        <v>13808</v>
      </c>
      <c r="BF478" t="s">
        <v>14367</v>
      </c>
      <c r="BG478" t="s">
        <v>13808</v>
      </c>
      <c r="BM478" t="s">
        <v>13809</v>
      </c>
      <c r="BR478" t="s">
        <v>21147</v>
      </c>
      <c r="BS478" t="s">
        <v>13887</v>
      </c>
      <c r="BT478" t="s">
        <v>13808</v>
      </c>
      <c r="BU478" t="s">
        <v>14010</v>
      </c>
      <c r="BY478" t="s">
        <v>13887</v>
      </c>
      <c r="BZ478" t="s">
        <v>13808</v>
      </c>
      <c r="CA478" t="s">
        <v>13937</v>
      </c>
      <c r="CE478" t="s">
        <v>13885</v>
      </c>
      <c r="CF478" t="s">
        <v>13808</v>
      </c>
      <c r="CL478" t="s">
        <v>13809</v>
      </c>
      <c r="CR478" t="s">
        <v>13809</v>
      </c>
      <c r="CT478" t="s">
        <v>21148</v>
      </c>
      <c r="CU478" t="s">
        <v>13909</v>
      </c>
      <c r="CV478" t="s">
        <v>13818</v>
      </c>
      <c r="DA478" t="s">
        <v>13909</v>
      </c>
      <c r="DB478" t="s">
        <v>13818</v>
      </c>
      <c r="DG478" t="s">
        <v>13909</v>
      </c>
      <c r="DH478" t="s">
        <v>13818</v>
      </c>
      <c r="DZ478" t="s">
        <v>15812</v>
      </c>
      <c r="EA478" t="s">
        <v>14201</v>
      </c>
      <c r="EC478">
        <v>43480</v>
      </c>
      <c r="ED478" t="s">
        <v>13903</v>
      </c>
      <c r="EE478" t="s">
        <v>8143</v>
      </c>
    </row>
    <row r="479" spans="1:135">
      <c r="A479" t="s">
        <v>3844</v>
      </c>
      <c r="B479" t="s">
        <v>3808</v>
      </c>
      <c r="C479" t="s">
        <v>21149</v>
      </c>
      <c r="D479" s="24">
        <v>43318</v>
      </c>
      <c r="E479" s="24" t="s">
        <v>13563</v>
      </c>
      <c r="F479" s="24" t="s">
        <v>21150</v>
      </c>
      <c r="G479" s="24" t="s">
        <v>13808</v>
      </c>
      <c r="H479" s="24"/>
      <c r="I479" s="24" t="s">
        <v>13809</v>
      </c>
      <c r="J479" s="24"/>
      <c r="K479" s="24" t="s">
        <v>13808</v>
      </c>
      <c r="L479" s="24"/>
      <c r="M479" s="24" t="s">
        <v>14449</v>
      </c>
      <c r="N479" s="24" t="s">
        <v>13818</v>
      </c>
      <c r="O479" s="24" t="s">
        <v>15815</v>
      </c>
      <c r="P479" s="24" t="s">
        <v>13808</v>
      </c>
      <c r="Q479" s="24"/>
      <c r="R479" s="24" t="s">
        <v>13808</v>
      </c>
      <c r="S479" s="24"/>
      <c r="T479" t="s">
        <v>14034</v>
      </c>
      <c r="U479" t="s">
        <v>13809</v>
      </c>
      <c r="W479" t="s">
        <v>13808</v>
      </c>
      <c r="X479" t="s">
        <v>21151</v>
      </c>
      <c r="Y479" t="s">
        <v>13809</v>
      </c>
      <c r="AA479" t="s">
        <v>15624</v>
      </c>
      <c r="AB479" t="s">
        <v>21152</v>
      </c>
      <c r="AC479" t="s">
        <v>13808</v>
      </c>
      <c r="AH479" t="s">
        <v>13909</v>
      </c>
      <c r="AI479" t="s">
        <v>13808</v>
      </c>
      <c r="AN479" t="s">
        <v>20907</v>
      </c>
      <c r="AO479" t="s">
        <v>13808</v>
      </c>
      <c r="AT479" t="s">
        <v>13880</v>
      </c>
      <c r="AU479" t="s">
        <v>13808</v>
      </c>
      <c r="AZ479" t="s">
        <v>13894</v>
      </c>
      <c r="BA479" t="s">
        <v>13808</v>
      </c>
      <c r="BF479" t="s">
        <v>16510</v>
      </c>
      <c r="BG479" t="s">
        <v>13897</v>
      </c>
      <c r="BL479" t="s">
        <v>19941</v>
      </c>
      <c r="BM479" t="s">
        <v>13808</v>
      </c>
      <c r="BR479" t="s">
        <v>21153</v>
      </c>
      <c r="BS479" t="s">
        <v>13887</v>
      </c>
      <c r="BT479" t="s">
        <v>13808</v>
      </c>
      <c r="BU479" t="s">
        <v>21154</v>
      </c>
      <c r="BY479" t="s">
        <v>13887</v>
      </c>
      <c r="BZ479" t="s">
        <v>13808</v>
      </c>
      <c r="CA479" t="s">
        <v>13888</v>
      </c>
      <c r="CE479" t="s">
        <v>13887</v>
      </c>
      <c r="CF479" t="s">
        <v>13808</v>
      </c>
      <c r="CL479" t="s">
        <v>13809</v>
      </c>
      <c r="CR479" t="s">
        <v>13809</v>
      </c>
      <c r="CT479" t="s">
        <v>21155</v>
      </c>
      <c r="CU479" t="s">
        <v>21156</v>
      </c>
      <c r="CV479" t="s">
        <v>13818</v>
      </c>
      <c r="DA479" t="s">
        <v>21157</v>
      </c>
      <c r="DB479" t="s">
        <v>13808</v>
      </c>
      <c r="DG479" t="s">
        <v>13909</v>
      </c>
      <c r="DH479" t="s">
        <v>13818</v>
      </c>
      <c r="DN479" t="s">
        <v>13809</v>
      </c>
      <c r="DY479" t="s">
        <v>13900</v>
      </c>
      <c r="DZ479" t="s">
        <v>21158</v>
      </c>
      <c r="EA479" t="s">
        <v>15419</v>
      </c>
      <c r="EC479">
        <v>44202</v>
      </c>
      <c r="ED479" t="s">
        <v>13903</v>
      </c>
      <c r="EE479" t="s">
        <v>8639</v>
      </c>
    </row>
    <row r="480" spans="1:135">
      <c r="A480" t="s">
        <v>3848</v>
      </c>
      <c r="B480" t="s">
        <v>3808</v>
      </c>
      <c r="C480" t="s">
        <v>21159</v>
      </c>
      <c r="D480" s="24">
        <v>43587</v>
      </c>
      <c r="E480" s="24" t="s">
        <v>13555</v>
      </c>
      <c r="F480" s="24" t="s">
        <v>21160</v>
      </c>
      <c r="G480" s="24" t="s">
        <v>13808</v>
      </c>
      <c r="H480" s="24"/>
      <c r="I480" s="24" t="s">
        <v>13809</v>
      </c>
      <c r="J480" s="24"/>
      <c r="K480" s="24" t="s">
        <v>13808</v>
      </c>
      <c r="L480" s="24"/>
      <c r="M480" s="24" t="s">
        <v>17316</v>
      </c>
      <c r="N480" s="24" t="s">
        <v>13808</v>
      </c>
      <c r="O480" s="24"/>
      <c r="P480" s="24" t="s">
        <v>13808</v>
      </c>
      <c r="Q480" s="24"/>
      <c r="R480" s="24" t="s">
        <v>13808</v>
      </c>
      <c r="S480" s="24"/>
      <c r="T480" t="s">
        <v>21161</v>
      </c>
      <c r="U480" t="s">
        <v>13809</v>
      </c>
      <c r="W480" t="s">
        <v>13808</v>
      </c>
      <c r="X480" t="s">
        <v>21162</v>
      </c>
      <c r="Y480" t="s">
        <v>13808</v>
      </c>
      <c r="AA480" t="s">
        <v>13849</v>
      </c>
      <c r="AB480" t="s">
        <v>19731</v>
      </c>
      <c r="AC480" t="s">
        <v>13808</v>
      </c>
      <c r="AH480" t="s">
        <v>13887</v>
      </c>
      <c r="AI480" t="s">
        <v>13808</v>
      </c>
      <c r="AN480" t="s">
        <v>14433</v>
      </c>
      <c r="AO480" t="s">
        <v>13808</v>
      </c>
      <c r="AT480" t="s">
        <v>14544</v>
      </c>
      <c r="AU480" t="s">
        <v>13808</v>
      </c>
      <c r="AZ480" t="s">
        <v>14046</v>
      </c>
      <c r="BA480" t="s">
        <v>13808</v>
      </c>
      <c r="BF480" t="s">
        <v>14490</v>
      </c>
      <c r="BG480" t="s">
        <v>13808</v>
      </c>
      <c r="BM480" t="s">
        <v>13809</v>
      </c>
      <c r="BR480" t="s">
        <v>21163</v>
      </c>
      <c r="BS480" t="s">
        <v>14265</v>
      </c>
      <c r="BT480" t="s">
        <v>13808</v>
      </c>
      <c r="BU480" t="s">
        <v>15266</v>
      </c>
      <c r="BY480" t="s">
        <v>14265</v>
      </c>
      <c r="BZ480" t="s">
        <v>13808</v>
      </c>
      <c r="CA480" t="s">
        <v>13937</v>
      </c>
      <c r="CE480" t="s">
        <v>13887</v>
      </c>
      <c r="CF480" t="s">
        <v>13808</v>
      </c>
      <c r="CL480" t="s">
        <v>13809</v>
      </c>
      <c r="CR480" t="s">
        <v>13809</v>
      </c>
      <c r="CT480" t="s">
        <v>21164</v>
      </c>
      <c r="CU480" t="s">
        <v>21165</v>
      </c>
      <c r="CV480" t="s">
        <v>13808</v>
      </c>
      <c r="CX480" t="s">
        <v>14704</v>
      </c>
      <c r="CY480" t="s">
        <v>13818</v>
      </c>
      <c r="DA480" t="s">
        <v>21166</v>
      </c>
      <c r="DB480" t="s">
        <v>13808</v>
      </c>
      <c r="DD480" t="s">
        <v>14006</v>
      </c>
      <c r="DE480" t="s">
        <v>13818</v>
      </c>
      <c r="DH480" t="s">
        <v>13809</v>
      </c>
      <c r="DM480" t="s">
        <v>21167</v>
      </c>
      <c r="DN480" t="s">
        <v>13808</v>
      </c>
      <c r="DY480" t="s">
        <v>15296</v>
      </c>
      <c r="DZ480" t="s">
        <v>21168</v>
      </c>
      <c r="EA480" t="s">
        <v>15744</v>
      </c>
      <c r="ED480" t="s">
        <v>13903</v>
      </c>
      <c r="EE480" t="s">
        <v>8643</v>
      </c>
    </row>
    <row r="481" spans="1:135">
      <c r="A481" t="s">
        <v>3221</v>
      </c>
      <c r="B481" t="s">
        <v>3161</v>
      </c>
      <c r="C481" t="s">
        <v>21169</v>
      </c>
      <c r="D481" s="24">
        <v>43749</v>
      </c>
      <c r="E481" s="24" t="s">
        <v>13555</v>
      </c>
      <c r="F481" s="24" t="s">
        <v>21170</v>
      </c>
      <c r="G481" s="24" t="s">
        <v>13808</v>
      </c>
      <c r="H481" s="24"/>
      <c r="I481" s="24" t="s">
        <v>13809</v>
      </c>
      <c r="J481" s="24"/>
      <c r="K481" s="24" t="s">
        <v>13808</v>
      </c>
      <c r="L481" s="24" t="s">
        <v>21171</v>
      </c>
      <c r="M481" s="24" t="s">
        <v>21172</v>
      </c>
      <c r="N481" s="24" t="s">
        <v>13808</v>
      </c>
      <c r="O481" s="24"/>
      <c r="P481" s="24" t="s">
        <v>13808</v>
      </c>
      <c r="Q481" s="24"/>
      <c r="R481" s="24" t="s">
        <v>13808</v>
      </c>
      <c r="S481" s="24"/>
      <c r="T481" t="s">
        <v>14034</v>
      </c>
      <c r="U481" t="s">
        <v>13809</v>
      </c>
      <c r="W481" t="s">
        <v>13808</v>
      </c>
      <c r="X481" t="s">
        <v>21173</v>
      </c>
      <c r="Y481" t="s">
        <v>13897</v>
      </c>
      <c r="AA481" t="s">
        <v>13877</v>
      </c>
      <c r="AB481" t="s">
        <v>14597</v>
      </c>
      <c r="AC481" t="s">
        <v>13808</v>
      </c>
      <c r="AH481" t="s">
        <v>13909</v>
      </c>
      <c r="AI481" t="s">
        <v>13808</v>
      </c>
      <c r="AN481" t="s">
        <v>16346</v>
      </c>
      <c r="AO481" t="s">
        <v>13808</v>
      </c>
      <c r="AT481" t="s">
        <v>20202</v>
      </c>
      <c r="AU481" t="s">
        <v>13808</v>
      </c>
      <c r="AZ481" t="s">
        <v>21174</v>
      </c>
      <c r="BA481" t="s">
        <v>13808</v>
      </c>
      <c r="BF481" t="s">
        <v>17084</v>
      </c>
      <c r="BG481" t="s">
        <v>13808</v>
      </c>
      <c r="BL481" t="s">
        <v>14166</v>
      </c>
      <c r="BM481" t="s">
        <v>13808</v>
      </c>
      <c r="BR481" t="s">
        <v>21175</v>
      </c>
      <c r="BS481" t="s">
        <v>14197</v>
      </c>
      <c r="BT481" t="s">
        <v>13808</v>
      </c>
      <c r="BU481" t="s">
        <v>16568</v>
      </c>
      <c r="BY481" t="s">
        <v>14265</v>
      </c>
      <c r="BZ481" t="s">
        <v>13808</v>
      </c>
      <c r="CA481" t="s">
        <v>14026</v>
      </c>
      <c r="CE481" t="s">
        <v>14265</v>
      </c>
      <c r="CF481" t="s">
        <v>13808</v>
      </c>
      <c r="CK481" t="s">
        <v>14265</v>
      </c>
      <c r="CL481" t="s">
        <v>13808</v>
      </c>
      <c r="CM481" t="s">
        <v>14173</v>
      </c>
      <c r="CR481" t="s">
        <v>13809</v>
      </c>
      <c r="CT481" t="s">
        <v>21176</v>
      </c>
      <c r="CU481" t="s">
        <v>21177</v>
      </c>
      <c r="CV481" t="s">
        <v>13808</v>
      </c>
      <c r="CX481" t="s">
        <v>21178</v>
      </c>
      <c r="CY481" t="s">
        <v>14262</v>
      </c>
      <c r="CZ481" t="s">
        <v>21179</v>
      </c>
      <c r="DA481" t="s">
        <v>21180</v>
      </c>
      <c r="DB481" t="s">
        <v>13808</v>
      </c>
      <c r="DD481" t="s">
        <v>21181</v>
      </c>
      <c r="DE481" t="s">
        <v>13818</v>
      </c>
      <c r="DF481" t="s">
        <v>21179</v>
      </c>
      <c r="DH481" t="s">
        <v>13809</v>
      </c>
      <c r="DM481" t="s">
        <v>21182</v>
      </c>
      <c r="DN481" t="s">
        <v>13808</v>
      </c>
      <c r="DO481" t="s">
        <v>21183</v>
      </c>
      <c r="DP481" t="s">
        <v>21184</v>
      </c>
      <c r="DQ481" t="s">
        <v>13818</v>
      </c>
      <c r="DR481" t="s">
        <v>21185</v>
      </c>
      <c r="DY481" t="s">
        <v>13900</v>
      </c>
      <c r="DZ481" t="s">
        <v>21186</v>
      </c>
      <c r="EA481" t="s">
        <v>21187</v>
      </c>
      <c r="ED481" t="s">
        <v>14501</v>
      </c>
      <c r="EE481" t="s">
        <v>7936</v>
      </c>
    </row>
    <row r="482" spans="1:135">
      <c r="A482" t="s">
        <v>3225</v>
      </c>
      <c r="B482" t="s">
        <v>3161</v>
      </c>
      <c r="C482" t="s">
        <v>21188</v>
      </c>
      <c r="D482" s="24">
        <v>43439</v>
      </c>
      <c r="E482" s="24" t="s">
        <v>13571</v>
      </c>
      <c r="F482" s="24" t="s">
        <v>21189</v>
      </c>
      <c r="G482" s="24" t="s">
        <v>13808</v>
      </c>
      <c r="H482" s="24"/>
      <c r="I482" s="24" t="s">
        <v>13809</v>
      </c>
      <c r="J482" s="24"/>
      <c r="K482" s="24" t="s">
        <v>13808</v>
      </c>
      <c r="L482" s="24"/>
      <c r="M482" s="24" t="s">
        <v>16604</v>
      </c>
      <c r="N482" s="24" t="s">
        <v>13808</v>
      </c>
      <c r="O482" s="24"/>
      <c r="P482" s="24" t="s">
        <v>13808</v>
      </c>
      <c r="Q482" s="24"/>
      <c r="R482" s="24" t="s">
        <v>13808</v>
      </c>
      <c r="S482" s="24"/>
      <c r="T482" t="s">
        <v>16997</v>
      </c>
      <c r="U482" t="s">
        <v>13809</v>
      </c>
      <c r="W482" t="s">
        <v>13808</v>
      </c>
      <c r="X482" t="s">
        <v>21190</v>
      </c>
      <c r="Y482" t="s">
        <v>13809</v>
      </c>
      <c r="AA482" t="s">
        <v>13928</v>
      </c>
      <c r="AC482" t="s">
        <v>13809</v>
      </c>
      <c r="AH482" t="s">
        <v>13909</v>
      </c>
      <c r="AI482" t="s">
        <v>13808</v>
      </c>
      <c r="AO482" t="s">
        <v>13809</v>
      </c>
      <c r="AT482" t="s">
        <v>14705</v>
      </c>
      <c r="AU482" t="s">
        <v>13808</v>
      </c>
      <c r="AZ482" t="s">
        <v>14972</v>
      </c>
      <c r="BA482" t="s">
        <v>13808</v>
      </c>
      <c r="BF482" t="s">
        <v>16591</v>
      </c>
      <c r="BG482" t="s">
        <v>13808</v>
      </c>
      <c r="BM482" t="s">
        <v>13809</v>
      </c>
      <c r="BR482" t="s">
        <v>21191</v>
      </c>
      <c r="BS482" t="s">
        <v>13887</v>
      </c>
      <c r="BT482" t="s">
        <v>13808</v>
      </c>
      <c r="BU482" t="s">
        <v>14128</v>
      </c>
      <c r="BY482" t="s">
        <v>14003</v>
      </c>
      <c r="BZ482" t="s">
        <v>13808</v>
      </c>
      <c r="CA482" t="s">
        <v>13937</v>
      </c>
      <c r="CE482" t="s">
        <v>13887</v>
      </c>
      <c r="CF482" t="s">
        <v>13808</v>
      </c>
      <c r="CL482" t="s">
        <v>13809</v>
      </c>
      <c r="CR482" t="s">
        <v>13809</v>
      </c>
      <c r="CT482" t="s">
        <v>21192</v>
      </c>
      <c r="CU482" t="s">
        <v>21193</v>
      </c>
      <c r="CV482" t="s">
        <v>13808</v>
      </c>
      <c r="CX482" t="s">
        <v>19026</v>
      </c>
      <c r="CY482" t="s">
        <v>13818</v>
      </c>
      <c r="DA482" t="s">
        <v>21194</v>
      </c>
      <c r="DB482" t="s">
        <v>13808</v>
      </c>
      <c r="DD482" t="s">
        <v>15934</v>
      </c>
      <c r="DE482" t="s">
        <v>13818</v>
      </c>
      <c r="DH482" t="s">
        <v>13809</v>
      </c>
      <c r="DM482" t="s">
        <v>21195</v>
      </c>
      <c r="DN482" t="s">
        <v>13808</v>
      </c>
      <c r="DZ482" t="s">
        <v>14341</v>
      </c>
      <c r="EA482" t="s">
        <v>14201</v>
      </c>
      <c r="EC482">
        <v>43480</v>
      </c>
      <c r="ED482" t="s">
        <v>13903</v>
      </c>
      <c r="EE482" t="s">
        <v>7940</v>
      </c>
    </row>
    <row r="483" spans="1:135">
      <c r="A483" t="s">
        <v>3229</v>
      </c>
      <c r="B483" t="s">
        <v>3161</v>
      </c>
      <c r="C483" t="s">
        <v>21196</v>
      </c>
      <c r="D483" s="24">
        <v>44785</v>
      </c>
      <c r="E483" s="24" t="s">
        <v>13555</v>
      </c>
      <c r="F483" s="24" t="s">
        <v>21197</v>
      </c>
      <c r="G483" s="24" t="s">
        <v>13808</v>
      </c>
      <c r="H483" s="24"/>
      <c r="I483" s="24" t="s">
        <v>13809</v>
      </c>
      <c r="J483" s="24"/>
      <c r="K483" s="24" t="s">
        <v>13808</v>
      </c>
      <c r="L483" s="24"/>
      <c r="M483" s="24" t="s">
        <v>15106</v>
      </c>
      <c r="N483" s="24" t="s">
        <v>13808</v>
      </c>
      <c r="O483" s="24"/>
      <c r="P483" s="24" t="s">
        <v>13808</v>
      </c>
      <c r="Q483" s="24"/>
      <c r="R483" s="24" t="s">
        <v>13808</v>
      </c>
      <c r="S483" s="24"/>
      <c r="T483" t="s">
        <v>21198</v>
      </c>
      <c r="U483" t="s">
        <v>13809</v>
      </c>
      <c r="W483" t="s">
        <v>13808</v>
      </c>
      <c r="X483" t="s">
        <v>21199</v>
      </c>
      <c r="Y483" t="s">
        <v>13809</v>
      </c>
      <c r="AA483" t="s">
        <v>14971</v>
      </c>
      <c r="AB483" t="s">
        <v>13699</v>
      </c>
      <c r="AC483" t="s">
        <v>13809</v>
      </c>
      <c r="AH483" t="s">
        <v>13851</v>
      </c>
      <c r="AI483" t="s">
        <v>13808</v>
      </c>
      <c r="AN483" t="s">
        <v>13711</v>
      </c>
      <c r="AO483" t="s">
        <v>13809</v>
      </c>
      <c r="AT483" t="s">
        <v>21200</v>
      </c>
      <c r="AU483" t="s">
        <v>13808</v>
      </c>
      <c r="AZ483" t="s">
        <v>15092</v>
      </c>
      <c r="BA483" t="s">
        <v>13808</v>
      </c>
      <c r="BF483" t="s">
        <v>21201</v>
      </c>
      <c r="BG483" t="s">
        <v>13808</v>
      </c>
      <c r="BL483" t="s">
        <v>13735</v>
      </c>
      <c r="BM483" t="s">
        <v>13809</v>
      </c>
      <c r="BR483" t="s">
        <v>21202</v>
      </c>
      <c r="BS483" t="s">
        <v>14290</v>
      </c>
      <c r="BT483" t="s">
        <v>13808</v>
      </c>
      <c r="BU483" t="s">
        <v>14233</v>
      </c>
      <c r="BY483" t="s">
        <v>17070</v>
      </c>
      <c r="BZ483" t="s">
        <v>13808</v>
      </c>
      <c r="CA483" t="s">
        <v>13937</v>
      </c>
      <c r="CE483" t="s">
        <v>13754</v>
      </c>
      <c r="CF483" t="s">
        <v>13809</v>
      </c>
      <c r="CK483" t="s">
        <v>15775</v>
      </c>
      <c r="CL483" t="s">
        <v>13808</v>
      </c>
      <c r="CQ483" t="s">
        <v>13766</v>
      </c>
      <c r="CR483" t="s">
        <v>13809</v>
      </c>
      <c r="CT483" t="s">
        <v>21203</v>
      </c>
      <c r="CU483" t="s">
        <v>21204</v>
      </c>
      <c r="CV483" t="s">
        <v>13808</v>
      </c>
      <c r="CX483" t="s">
        <v>21205</v>
      </c>
      <c r="CY483" t="s">
        <v>13818</v>
      </c>
      <c r="DA483" t="s">
        <v>21206</v>
      </c>
      <c r="DB483" t="s">
        <v>13808</v>
      </c>
      <c r="DD483" t="s">
        <v>21207</v>
      </c>
      <c r="DE483" t="s">
        <v>13818</v>
      </c>
      <c r="DM483" t="s">
        <v>21208</v>
      </c>
      <c r="DN483" t="s">
        <v>13808</v>
      </c>
      <c r="DO483" t="s">
        <v>13839</v>
      </c>
      <c r="DY483" t="s">
        <v>21209</v>
      </c>
      <c r="DZ483" t="s">
        <v>19693</v>
      </c>
      <c r="EA483" t="s">
        <v>16821</v>
      </c>
      <c r="EC483">
        <v>44796</v>
      </c>
      <c r="ED483" t="s">
        <v>14298</v>
      </c>
      <c r="EE483" t="s">
        <v>7944</v>
      </c>
    </row>
    <row r="484" spans="1:135">
      <c r="A484" t="s">
        <v>11690</v>
      </c>
      <c r="B484" t="s">
        <v>3619</v>
      </c>
      <c r="C484" t="s">
        <v>21210</v>
      </c>
      <c r="D484" s="24">
        <v>44476</v>
      </c>
      <c r="E484" s="24" t="s">
        <v>13561</v>
      </c>
      <c r="F484" s="24" t="s">
        <v>21211</v>
      </c>
      <c r="G484" s="24" t="s">
        <v>13818</v>
      </c>
      <c r="H484" s="24" t="s">
        <v>21212</v>
      </c>
      <c r="I484" s="24" t="s">
        <v>13809</v>
      </c>
      <c r="J484" s="24"/>
      <c r="K484" s="24" t="s">
        <v>13808</v>
      </c>
      <c r="L484" s="24" t="s">
        <v>21213</v>
      </c>
      <c r="M484" s="24" t="s">
        <v>15106</v>
      </c>
      <c r="N484" s="24" t="s">
        <v>13808</v>
      </c>
      <c r="O484" s="24"/>
      <c r="P484" s="24" t="s">
        <v>13808</v>
      </c>
      <c r="Q484" s="24"/>
      <c r="R484" s="24" t="s">
        <v>13808</v>
      </c>
      <c r="S484" s="24"/>
      <c r="T484" t="s">
        <v>21214</v>
      </c>
      <c r="U484" t="s">
        <v>13809</v>
      </c>
      <c r="W484" t="s">
        <v>13809</v>
      </c>
      <c r="Y484" t="s">
        <v>13818</v>
      </c>
      <c r="Z484" t="s">
        <v>21215</v>
      </c>
      <c r="AA484" t="s">
        <v>21216</v>
      </c>
      <c r="AB484" t="s">
        <v>21217</v>
      </c>
      <c r="AC484" t="s">
        <v>13818</v>
      </c>
      <c r="AD484" t="s">
        <v>13819</v>
      </c>
      <c r="AH484" t="s">
        <v>13909</v>
      </c>
      <c r="AI484" t="s">
        <v>13818</v>
      </c>
      <c r="AJ484" t="s">
        <v>13819</v>
      </c>
      <c r="AN484" t="s">
        <v>13809</v>
      </c>
      <c r="AT484" t="s">
        <v>15209</v>
      </c>
      <c r="AU484" t="s">
        <v>13818</v>
      </c>
      <c r="AV484" t="s">
        <v>13819</v>
      </c>
      <c r="AZ484" t="s">
        <v>14046</v>
      </c>
      <c r="BA484" t="s">
        <v>13818</v>
      </c>
      <c r="BB484" t="s">
        <v>13819</v>
      </c>
      <c r="BF484" t="s">
        <v>16591</v>
      </c>
      <c r="BG484" t="s">
        <v>13818</v>
      </c>
      <c r="BH484" t="s">
        <v>13819</v>
      </c>
      <c r="BM484" t="s">
        <v>13809</v>
      </c>
      <c r="BR484" t="s">
        <v>21218</v>
      </c>
      <c r="BS484" t="s">
        <v>14265</v>
      </c>
      <c r="BT484" t="s">
        <v>13818</v>
      </c>
      <c r="BU484" t="s">
        <v>21219</v>
      </c>
      <c r="BY484" t="s">
        <v>14265</v>
      </c>
      <c r="BZ484" t="s">
        <v>13818</v>
      </c>
      <c r="CA484" t="s">
        <v>21220</v>
      </c>
      <c r="CF484" t="s">
        <v>13809</v>
      </c>
      <c r="CL484" t="s">
        <v>13809</v>
      </c>
      <c r="CR484" t="s">
        <v>13809</v>
      </c>
      <c r="CT484" t="s">
        <v>13830</v>
      </c>
      <c r="CU484" t="s">
        <v>13909</v>
      </c>
      <c r="CV484" t="s">
        <v>13818</v>
      </c>
      <c r="DA484" t="s">
        <v>13909</v>
      </c>
      <c r="DB484" t="s">
        <v>13818</v>
      </c>
      <c r="DG484" t="s">
        <v>13909</v>
      </c>
      <c r="DH484" t="s">
        <v>13818</v>
      </c>
      <c r="DY484" t="s">
        <v>13869</v>
      </c>
      <c r="DZ484" t="s">
        <v>21221</v>
      </c>
      <c r="EA484" t="s">
        <v>13842</v>
      </c>
      <c r="ED484" t="s">
        <v>17223</v>
      </c>
      <c r="EE484" t="s">
        <v>13624</v>
      </c>
    </row>
    <row r="485" spans="1:135">
      <c r="A485" t="s">
        <v>3233</v>
      </c>
      <c r="B485" t="s">
        <v>3161</v>
      </c>
      <c r="C485" t="s">
        <v>21222</v>
      </c>
      <c r="D485" s="24">
        <v>43749</v>
      </c>
      <c r="E485" s="24" t="s">
        <v>13555</v>
      </c>
      <c r="F485" s="24" t="s">
        <v>21223</v>
      </c>
      <c r="G485" s="24" t="s">
        <v>13808</v>
      </c>
      <c r="H485" s="24"/>
      <c r="I485" s="24" t="s">
        <v>13809</v>
      </c>
      <c r="J485" s="24"/>
      <c r="K485" s="24" t="s">
        <v>13808</v>
      </c>
      <c r="L485" s="24"/>
      <c r="M485" s="24" t="s">
        <v>13874</v>
      </c>
      <c r="N485" s="24" t="s">
        <v>13808</v>
      </c>
      <c r="O485" s="24"/>
      <c r="P485" s="24" t="s">
        <v>13808</v>
      </c>
      <c r="Q485" s="24"/>
      <c r="R485" s="24" t="s">
        <v>13808</v>
      </c>
      <c r="S485" s="24"/>
      <c r="T485" t="s">
        <v>16194</v>
      </c>
      <c r="U485" t="s">
        <v>13809</v>
      </c>
      <c r="W485" t="s">
        <v>13808</v>
      </c>
      <c r="X485" t="s">
        <v>21224</v>
      </c>
      <c r="Y485" t="s">
        <v>13809</v>
      </c>
      <c r="AA485" t="s">
        <v>13877</v>
      </c>
      <c r="AB485" t="s">
        <v>21225</v>
      </c>
      <c r="AC485" t="s">
        <v>13808</v>
      </c>
      <c r="AH485" t="s">
        <v>13909</v>
      </c>
      <c r="AI485" t="s">
        <v>13808</v>
      </c>
      <c r="AN485" t="s">
        <v>21226</v>
      </c>
      <c r="AO485" t="s">
        <v>13808</v>
      </c>
      <c r="AT485" t="s">
        <v>14851</v>
      </c>
      <c r="AU485" t="s">
        <v>13808</v>
      </c>
      <c r="AZ485" t="s">
        <v>14816</v>
      </c>
      <c r="BA485" t="s">
        <v>13808</v>
      </c>
      <c r="BF485" t="s">
        <v>18418</v>
      </c>
      <c r="BG485" t="s">
        <v>13808</v>
      </c>
      <c r="BM485" t="s">
        <v>13809</v>
      </c>
      <c r="BR485" t="s">
        <v>21227</v>
      </c>
      <c r="BS485" t="s">
        <v>13885</v>
      </c>
      <c r="BT485" t="s">
        <v>13808</v>
      </c>
      <c r="BU485" t="s">
        <v>16568</v>
      </c>
      <c r="BY485" t="s">
        <v>13887</v>
      </c>
      <c r="BZ485" t="s">
        <v>13808</v>
      </c>
      <c r="CA485" t="s">
        <v>18268</v>
      </c>
      <c r="CE485" t="s">
        <v>13887</v>
      </c>
      <c r="CF485" t="s">
        <v>13808</v>
      </c>
      <c r="CL485" t="s">
        <v>13809</v>
      </c>
      <c r="CR485" t="s">
        <v>13809</v>
      </c>
      <c r="CT485" t="s">
        <v>21228</v>
      </c>
      <c r="CU485" t="s">
        <v>15973</v>
      </c>
      <c r="CV485" t="s">
        <v>13808</v>
      </c>
      <c r="CX485" t="s">
        <v>21229</v>
      </c>
      <c r="CY485" t="s">
        <v>14262</v>
      </c>
      <c r="CZ485" t="s">
        <v>21230</v>
      </c>
      <c r="DA485" t="s">
        <v>15822</v>
      </c>
      <c r="DB485" t="s">
        <v>13808</v>
      </c>
      <c r="DD485" t="s">
        <v>21231</v>
      </c>
      <c r="DE485" t="s">
        <v>13818</v>
      </c>
      <c r="DF485" t="s">
        <v>21230</v>
      </c>
      <c r="DH485" t="s">
        <v>13809</v>
      </c>
      <c r="DM485" t="s">
        <v>21232</v>
      </c>
      <c r="DN485" t="s">
        <v>13808</v>
      </c>
      <c r="DP485" t="s">
        <v>21233</v>
      </c>
      <c r="DQ485" t="s">
        <v>13818</v>
      </c>
      <c r="DR485" t="s">
        <v>21234</v>
      </c>
      <c r="DY485" t="s">
        <v>15828</v>
      </c>
      <c r="DZ485" t="s">
        <v>21235</v>
      </c>
      <c r="EA485" t="s">
        <v>21187</v>
      </c>
      <c r="ED485" t="s">
        <v>14501</v>
      </c>
      <c r="EE485" t="s">
        <v>7948</v>
      </c>
    </row>
    <row r="486" spans="1:135">
      <c r="A486" t="s">
        <v>3237</v>
      </c>
      <c r="B486" t="s">
        <v>3161</v>
      </c>
      <c r="C486" t="s">
        <v>21236</v>
      </c>
      <c r="D486" s="24">
        <v>42975</v>
      </c>
      <c r="E486" s="24" t="s">
        <v>13565</v>
      </c>
      <c r="F486" s="24" t="s">
        <v>21237</v>
      </c>
      <c r="G486" s="24" t="s">
        <v>13808</v>
      </c>
      <c r="H486" s="24"/>
      <c r="I486" s="24" t="s">
        <v>13809</v>
      </c>
      <c r="J486" s="24"/>
      <c r="K486" s="24" t="s">
        <v>13808</v>
      </c>
      <c r="L486" s="24"/>
      <c r="M486" s="24" t="s">
        <v>21238</v>
      </c>
      <c r="N486" s="24" t="s">
        <v>13808</v>
      </c>
      <c r="O486" s="24"/>
      <c r="P486" s="24" t="s">
        <v>13808</v>
      </c>
      <c r="Q486" s="24"/>
      <c r="R486" s="24" t="s">
        <v>13818</v>
      </c>
      <c r="S486" s="24"/>
      <c r="T486" t="s">
        <v>21239</v>
      </c>
      <c r="U486" t="s">
        <v>13809</v>
      </c>
      <c r="W486" t="s">
        <v>13808</v>
      </c>
      <c r="X486" t="s">
        <v>21240</v>
      </c>
      <c r="Y486" t="s">
        <v>13809</v>
      </c>
      <c r="AA486" t="s">
        <v>21241</v>
      </c>
      <c r="AB486" t="s">
        <v>21242</v>
      </c>
      <c r="AC486" t="s">
        <v>13818</v>
      </c>
      <c r="AH486" t="s">
        <v>21243</v>
      </c>
      <c r="AI486" t="s">
        <v>13808</v>
      </c>
      <c r="AO486" t="s">
        <v>13809</v>
      </c>
      <c r="AT486" t="s">
        <v>21244</v>
      </c>
      <c r="AU486" t="s">
        <v>13818</v>
      </c>
      <c r="AZ486" t="s">
        <v>21245</v>
      </c>
      <c r="BA486" t="s">
        <v>13818</v>
      </c>
      <c r="BF486" t="s">
        <v>21246</v>
      </c>
      <c r="BG486" t="s">
        <v>13818</v>
      </c>
      <c r="BM486" t="s">
        <v>13809</v>
      </c>
      <c r="BR486" t="s">
        <v>21247</v>
      </c>
      <c r="BS486" t="s">
        <v>21248</v>
      </c>
      <c r="BT486" t="s">
        <v>13818</v>
      </c>
      <c r="BU486" t="s">
        <v>14415</v>
      </c>
      <c r="BY486" t="s">
        <v>21249</v>
      </c>
      <c r="BZ486" t="s">
        <v>13818</v>
      </c>
      <c r="CA486" t="s">
        <v>14415</v>
      </c>
      <c r="CE486" t="s">
        <v>21250</v>
      </c>
      <c r="CF486" t="s">
        <v>13818</v>
      </c>
      <c r="CG486" t="s">
        <v>14415</v>
      </c>
      <c r="CL486" t="s">
        <v>13809</v>
      </c>
      <c r="CR486" t="s">
        <v>13809</v>
      </c>
      <c r="CT486" t="s">
        <v>21251</v>
      </c>
      <c r="CU486" t="s">
        <v>21252</v>
      </c>
      <c r="CV486" t="s">
        <v>13808</v>
      </c>
      <c r="CX486" t="s">
        <v>21253</v>
      </c>
      <c r="CY486" t="s">
        <v>13818</v>
      </c>
      <c r="DA486" t="s">
        <v>21252</v>
      </c>
      <c r="DB486" t="s">
        <v>13808</v>
      </c>
      <c r="DD486" t="s">
        <v>21253</v>
      </c>
      <c r="DE486" t="s">
        <v>13818</v>
      </c>
      <c r="DG486" t="s">
        <v>21252</v>
      </c>
      <c r="DH486" t="s">
        <v>13808</v>
      </c>
      <c r="DY486" t="s">
        <v>15296</v>
      </c>
      <c r="DZ486" t="s">
        <v>21254</v>
      </c>
      <c r="EA486" t="s">
        <v>14275</v>
      </c>
      <c r="EC486">
        <v>44210</v>
      </c>
      <c r="ED486" t="s">
        <v>13903</v>
      </c>
      <c r="EE486" t="s">
        <v>7950</v>
      </c>
    </row>
    <row r="487" spans="1:135">
      <c r="A487" t="s">
        <v>3519</v>
      </c>
      <c r="B487" t="s">
        <v>3506</v>
      </c>
      <c r="C487" t="s">
        <v>21255</v>
      </c>
      <c r="D487" s="24">
        <v>44595</v>
      </c>
      <c r="E487" s="24" t="s">
        <v>13558</v>
      </c>
      <c r="F487" s="24" t="s">
        <v>21256</v>
      </c>
      <c r="G487" s="24" t="s">
        <v>13808</v>
      </c>
      <c r="H487" s="24"/>
      <c r="I487" s="24" t="s">
        <v>13809</v>
      </c>
      <c r="J487" s="24"/>
      <c r="K487" s="24" t="s">
        <v>13808</v>
      </c>
      <c r="L487" s="24"/>
      <c r="M487" s="24" t="s">
        <v>14304</v>
      </c>
      <c r="N487" s="24" t="s">
        <v>13808</v>
      </c>
      <c r="O487" s="24"/>
      <c r="P487" s="24" t="s">
        <v>13818</v>
      </c>
      <c r="Q487" s="24" t="s">
        <v>14305</v>
      </c>
      <c r="R487" s="24" t="s">
        <v>13808</v>
      </c>
      <c r="S487" s="24"/>
      <c r="T487" t="s">
        <v>14137</v>
      </c>
      <c r="U487" t="s">
        <v>13809</v>
      </c>
      <c r="W487" t="s">
        <v>13809</v>
      </c>
      <c r="Y487" t="s">
        <v>13809</v>
      </c>
      <c r="AA487" t="s">
        <v>14770</v>
      </c>
      <c r="AB487" t="s">
        <v>15348</v>
      </c>
      <c r="AC487" t="s">
        <v>13809</v>
      </c>
      <c r="AH487" t="s">
        <v>13851</v>
      </c>
      <c r="AI487" t="s">
        <v>13818</v>
      </c>
      <c r="AJ487" t="s">
        <v>14309</v>
      </c>
      <c r="AN487" t="s">
        <v>17667</v>
      </c>
      <c r="AO487" t="s">
        <v>13818</v>
      </c>
      <c r="AP487" t="s">
        <v>14309</v>
      </c>
      <c r="AT487" t="s">
        <v>13717</v>
      </c>
      <c r="AU487" t="s">
        <v>13809</v>
      </c>
      <c r="AZ487" t="s">
        <v>21257</v>
      </c>
      <c r="BA487" t="s">
        <v>13818</v>
      </c>
      <c r="BB487" t="s">
        <v>14309</v>
      </c>
      <c r="BF487" t="s">
        <v>21258</v>
      </c>
      <c r="BG487" t="s">
        <v>13818</v>
      </c>
      <c r="BH487" t="s">
        <v>14309</v>
      </c>
      <c r="BL487" t="s">
        <v>13735</v>
      </c>
      <c r="BM487" t="s">
        <v>13809</v>
      </c>
      <c r="BR487" t="s">
        <v>21259</v>
      </c>
      <c r="BS487" t="s">
        <v>13824</v>
      </c>
      <c r="BT487" t="s">
        <v>13818</v>
      </c>
      <c r="BU487" t="s">
        <v>18247</v>
      </c>
      <c r="BY487" t="s">
        <v>15097</v>
      </c>
      <c r="BZ487" t="s">
        <v>13818</v>
      </c>
      <c r="CA487" t="s">
        <v>21260</v>
      </c>
      <c r="CE487" t="s">
        <v>18910</v>
      </c>
      <c r="CF487" t="s">
        <v>13808</v>
      </c>
      <c r="CK487" t="s">
        <v>21261</v>
      </c>
      <c r="CL487" t="s">
        <v>13808</v>
      </c>
      <c r="CQ487" t="s">
        <v>13766</v>
      </c>
      <c r="CR487" t="s">
        <v>13809</v>
      </c>
      <c r="CT487" t="s">
        <v>21262</v>
      </c>
      <c r="CU487" t="s">
        <v>21263</v>
      </c>
      <c r="CV487" t="s">
        <v>13818</v>
      </c>
      <c r="CW487" t="s">
        <v>21264</v>
      </c>
      <c r="DA487" t="s">
        <v>21265</v>
      </c>
      <c r="DB487" t="s">
        <v>13808</v>
      </c>
      <c r="DE487" t="s">
        <v>13818</v>
      </c>
      <c r="DG487" t="s">
        <v>20664</v>
      </c>
      <c r="DH487" t="s">
        <v>13808</v>
      </c>
      <c r="DM487" t="s">
        <v>21266</v>
      </c>
      <c r="DN487" t="s">
        <v>13818</v>
      </c>
      <c r="DO487" t="s">
        <v>21267</v>
      </c>
      <c r="DY487" t="s">
        <v>13840</v>
      </c>
      <c r="DZ487" t="s">
        <v>13841</v>
      </c>
      <c r="EA487" t="s">
        <v>13842</v>
      </c>
      <c r="EC487">
        <v>44600</v>
      </c>
      <c r="ED487" t="s">
        <v>14667</v>
      </c>
      <c r="EE487" t="s">
        <v>8287</v>
      </c>
    </row>
    <row r="488" spans="1:135">
      <c r="A488" t="s">
        <v>3665</v>
      </c>
      <c r="B488" t="s">
        <v>3619</v>
      </c>
      <c r="C488" t="s">
        <v>21268</v>
      </c>
      <c r="D488" s="24">
        <v>43406</v>
      </c>
      <c r="E488" s="24" t="s">
        <v>13557</v>
      </c>
      <c r="F488" s="24" t="s">
        <v>21269</v>
      </c>
      <c r="G488" s="24" t="s">
        <v>13808</v>
      </c>
      <c r="H488" s="24"/>
      <c r="I488" s="24" t="s">
        <v>13809</v>
      </c>
      <c r="J488" s="24"/>
      <c r="K488" s="24" t="s">
        <v>13808</v>
      </c>
      <c r="L488" s="24"/>
      <c r="M488" s="24" t="s">
        <v>19016</v>
      </c>
      <c r="N488" s="24" t="s">
        <v>13808</v>
      </c>
      <c r="O488" s="24"/>
      <c r="P488" s="24" t="s">
        <v>13808</v>
      </c>
      <c r="Q488" s="24"/>
      <c r="R488" s="24" t="s">
        <v>13818</v>
      </c>
      <c r="S488" s="24" t="s">
        <v>21270</v>
      </c>
      <c r="T488" t="s">
        <v>21271</v>
      </c>
      <c r="U488" t="s">
        <v>13809</v>
      </c>
      <c r="W488" t="s">
        <v>13808</v>
      </c>
      <c r="X488" t="s">
        <v>21272</v>
      </c>
      <c r="Y488" t="s">
        <v>13809</v>
      </c>
      <c r="AA488" t="s">
        <v>21273</v>
      </c>
      <c r="AB488" t="s">
        <v>16326</v>
      </c>
      <c r="AC488" t="s">
        <v>13818</v>
      </c>
      <c r="AH488" t="s">
        <v>21274</v>
      </c>
      <c r="AI488" t="s">
        <v>13808</v>
      </c>
      <c r="AK488" t="s">
        <v>21275</v>
      </c>
      <c r="AL488" t="s">
        <v>13818</v>
      </c>
      <c r="AM488" t="s">
        <v>21276</v>
      </c>
      <c r="AO488" t="s">
        <v>13809</v>
      </c>
      <c r="AT488" t="s">
        <v>15023</v>
      </c>
      <c r="AU488" t="s">
        <v>13818</v>
      </c>
      <c r="AZ488" t="s">
        <v>15008</v>
      </c>
      <c r="BA488" t="s">
        <v>13808</v>
      </c>
      <c r="BF488" t="s">
        <v>14416</v>
      </c>
      <c r="BG488" t="s">
        <v>13808</v>
      </c>
      <c r="BM488" t="s">
        <v>13809</v>
      </c>
      <c r="BR488" t="s">
        <v>21277</v>
      </c>
      <c r="BS488" t="s">
        <v>13885</v>
      </c>
      <c r="BT488" t="s">
        <v>13808</v>
      </c>
      <c r="BU488" t="s">
        <v>21278</v>
      </c>
      <c r="BY488" t="s">
        <v>13887</v>
      </c>
      <c r="BZ488" t="s">
        <v>13808</v>
      </c>
      <c r="CA488" t="s">
        <v>13861</v>
      </c>
      <c r="CF488" t="s">
        <v>13809</v>
      </c>
      <c r="CK488" t="s">
        <v>13887</v>
      </c>
      <c r="CL488" t="s">
        <v>13808</v>
      </c>
      <c r="CR488" t="s">
        <v>13809</v>
      </c>
      <c r="CT488" t="s">
        <v>21279</v>
      </c>
      <c r="CU488" t="s">
        <v>21280</v>
      </c>
      <c r="CV488" t="s">
        <v>13808</v>
      </c>
      <c r="CX488" t="s">
        <v>21281</v>
      </c>
      <c r="CY488" t="s">
        <v>13818</v>
      </c>
      <c r="DA488" t="s">
        <v>21280</v>
      </c>
      <c r="DB488" t="s">
        <v>13808</v>
      </c>
      <c r="DD488" t="s">
        <v>21281</v>
      </c>
      <c r="DE488" t="s">
        <v>13818</v>
      </c>
      <c r="DH488" t="s">
        <v>13809</v>
      </c>
      <c r="DZ488" t="s">
        <v>15812</v>
      </c>
      <c r="EA488" t="s">
        <v>14201</v>
      </c>
      <c r="EC488">
        <v>43480</v>
      </c>
      <c r="ED488" t="s">
        <v>13903</v>
      </c>
      <c r="EE488" t="s">
        <v>8451</v>
      </c>
    </row>
    <row r="489" spans="1:135">
      <c r="A489" t="s">
        <v>3669</v>
      </c>
      <c r="B489" t="s">
        <v>3619</v>
      </c>
      <c r="C489" t="s">
        <v>21282</v>
      </c>
      <c r="D489" s="24">
        <v>43406</v>
      </c>
      <c r="E489" s="24" t="s">
        <v>13555</v>
      </c>
      <c r="F489" s="24" t="s">
        <v>21283</v>
      </c>
      <c r="G489" s="24" t="s">
        <v>13808</v>
      </c>
      <c r="H489" s="24"/>
      <c r="I489" s="24" t="s">
        <v>13809</v>
      </c>
      <c r="J489" s="24"/>
      <c r="K489" s="24" t="s">
        <v>13808</v>
      </c>
      <c r="L489" s="24"/>
      <c r="M489" s="24" t="s">
        <v>13846</v>
      </c>
      <c r="N489" s="24" t="s">
        <v>13808</v>
      </c>
      <c r="O489" s="24"/>
      <c r="P489" s="24" t="s">
        <v>13808</v>
      </c>
      <c r="Q489" s="24"/>
      <c r="R489" s="24" t="s">
        <v>13808</v>
      </c>
      <c r="S489" s="24"/>
      <c r="T489" t="s">
        <v>18721</v>
      </c>
      <c r="U489" t="s">
        <v>13809</v>
      </c>
      <c r="W489" t="s">
        <v>13808</v>
      </c>
      <c r="X489" t="s">
        <v>21284</v>
      </c>
      <c r="Y489" t="s">
        <v>13808</v>
      </c>
      <c r="AA489" t="s">
        <v>14971</v>
      </c>
      <c r="AB489" t="s">
        <v>14169</v>
      </c>
      <c r="AC489" t="s">
        <v>13808</v>
      </c>
      <c r="AH489" t="s">
        <v>13909</v>
      </c>
      <c r="AI489" t="s">
        <v>13808</v>
      </c>
      <c r="AO489" t="s">
        <v>13809</v>
      </c>
      <c r="AT489" t="s">
        <v>15212</v>
      </c>
      <c r="AU489" t="s">
        <v>13808</v>
      </c>
      <c r="AZ489" t="s">
        <v>15936</v>
      </c>
      <c r="BA489" t="s">
        <v>13808</v>
      </c>
      <c r="BF489" t="s">
        <v>14706</v>
      </c>
      <c r="BG489" t="s">
        <v>13808</v>
      </c>
      <c r="BM489" t="s">
        <v>13809</v>
      </c>
      <c r="BR489" t="s">
        <v>21285</v>
      </c>
      <c r="BS489" t="s">
        <v>13887</v>
      </c>
      <c r="BT489" t="s">
        <v>13808</v>
      </c>
      <c r="BU489" t="s">
        <v>21286</v>
      </c>
      <c r="BY489" t="s">
        <v>13887</v>
      </c>
      <c r="BZ489" t="s">
        <v>13808</v>
      </c>
      <c r="CA489" t="s">
        <v>13861</v>
      </c>
      <c r="CE489" t="s">
        <v>14197</v>
      </c>
      <c r="CF489" t="s">
        <v>13808</v>
      </c>
      <c r="CG489" t="s">
        <v>21287</v>
      </c>
      <c r="CK489" t="s">
        <v>13887</v>
      </c>
      <c r="CL489" t="s">
        <v>13808</v>
      </c>
      <c r="CR489" t="s">
        <v>13809</v>
      </c>
      <c r="CT489" t="s">
        <v>21288</v>
      </c>
      <c r="CU489" t="s">
        <v>21289</v>
      </c>
      <c r="CV489" t="s">
        <v>13808</v>
      </c>
      <c r="CX489" t="s">
        <v>14693</v>
      </c>
      <c r="CY489" t="s">
        <v>13818</v>
      </c>
      <c r="DA489" t="s">
        <v>21290</v>
      </c>
      <c r="DB489" t="s">
        <v>13808</v>
      </c>
      <c r="DD489" t="s">
        <v>14693</v>
      </c>
      <c r="DE489" t="s">
        <v>13818</v>
      </c>
      <c r="DH489" t="s">
        <v>13809</v>
      </c>
      <c r="DM489" t="s">
        <v>14004</v>
      </c>
      <c r="DN489" t="s">
        <v>13808</v>
      </c>
      <c r="DZ489" t="s">
        <v>21291</v>
      </c>
      <c r="EA489" t="s">
        <v>14201</v>
      </c>
      <c r="EC489">
        <v>43965</v>
      </c>
      <c r="ED489" t="s">
        <v>13903</v>
      </c>
      <c r="EE489" t="s">
        <v>8455</v>
      </c>
    </row>
    <row r="490" spans="1:135">
      <c r="A490" t="s">
        <v>3244</v>
      </c>
      <c r="B490" t="s">
        <v>3161</v>
      </c>
      <c r="C490" t="s">
        <v>21292</v>
      </c>
      <c r="D490" s="24">
        <v>43461</v>
      </c>
      <c r="E490" s="24" t="s">
        <v>13555</v>
      </c>
      <c r="F490" s="24" t="s">
        <v>21293</v>
      </c>
      <c r="G490" s="24" t="s">
        <v>13808</v>
      </c>
      <c r="H490" s="24"/>
      <c r="I490" s="24" t="s">
        <v>13809</v>
      </c>
      <c r="J490" s="24"/>
      <c r="K490" s="24" t="s">
        <v>13808</v>
      </c>
      <c r="L490" s="24"/>
      <c r="M490" s="24" t="s">
        <v>17316</v>
      </c>
      <c r="N490" s="24" t="s">
        <v>13808</v>
      </c>
      <c r="O490" s="24"/>
      <c r="P490" s="24" t="s">
        <v>13808</v>
      </c>
      <c r="Q490" s="24"/>
      <c r="R490" s="24" t="s">
        <v>13808</v>
      </c>
      <c r="S490" s="24"/>
      <c r="T490" t="s">
        <v>14016</v>
      </c>
      <c r="U490" t="s">
        <v>13808</v>
      </c>
      <c r="W490" t="s">
        <v>13808</v>
      </c>
      <c r="X490" t="s">
        <v>21294</v>
      </c>
      <c r="Y490" t="s">
        <v>13809</v>
      </c>
      <c r="AA490" t="s">
        <v>14188</v>
      </c>
      <c r="AB490" t="s">
        <v>21295</v>
      </c>
      <c r="AC490" t="s">
        <v>13808</v>
      </c>
      <c r="AH490" t="s">
        <v>13909</v>
      </c>
      <c r="AI490" t="s">
        <v>13808</v>
      </c>
      <c r="AN490" t="s">
        <v>18417</v>
      </c>
      <c r="AO490" t="s">
        <v>13808</v>
      </c>
      <c r="AT490" t="s">
        <v>15824</v>
      </c>
      <c r="AU490" t="s">
        <v>13808</v>
      </c>
      <c r="AZ490" t="s">
        <v>13912</v>
      </c>
      <c r="BA490" t="s">
        <v>13808</v>
      </c>
      <c r="BF490" t="s">
        <v>16368</v>
      </c>
      <c r="BG490" t="s">
        <v>13808</v>
      </c>
      <c r="BL490" t="s">
        <v>21296</v>
      </c>
      <c r="BM490" t="s">
        <v>13808</v>
      </c>
      <c r="BR490" t="s">
        <v>21297</v>
      </c>
      <c r="BS490" t="s">
        <v>13885</v>
      </c>
      <c r="BT490" t="s">
        <v>13808</v>
      </c>
      <c r="BU490" t="s">
        <v>16499</v>
      </c>
      <c r="BY490" t="s">
        <v>14265</v>
      </c>
      <c r="BZ490" t="s">
        <v>13808</v>
      </c>
      <c r="CA490" t="s">
        <v>14026</v>
      </c>
      <c r="CE490" t="s">
        <v>14265</v>
      </c>
      <c r="CF490" t="s">
        <v>13808</v>
      </c>
      <c r="CG490" t="s">
        <v>14173</v>
      </c>
      <c r="CK490" t="s">
        <v>13887</v>
      </c>
      <c r="CL490" t="s">
        <v>13808</v>
      </c>
      <c r="CR490" t="s">
        <v>13809</v>
      </c>
      <c r="CT490" t="s">
        <v>21298</v>
      </c>
      <c r="CU490" t="s">
        <v>13909</v>
      </c>
      <c r="CV490" t="s">
        <v>13808</v>
      </c>
      <c r="DA490" t="s">
        <v>13909</v>
      </c>
      <c r="DB490" t="s">
        <v>13808</v>
      </c>
      <c r="DH490" t="s">
        <v>13809</v>
      </c>
      <c r="DM490" t="s">
        <v>15280</v>
      </c>
      <c r="DN490" t="s">
        <v>13808</v>
      </c>
      <c r="DY490" t="s">
        <v>15828</v>
      </c>
      <c r="DZ490" t="s">
        <v>21299</v>
      </c>
      <c r="EA490" t="s">
        <v>15744</v>
      </c>
      <c r="EC490">
        <v>44210</v>
      </c>
      <c r="ED490" t="s">
        <v>13903</v>
      </c>
      <c r="EE490" t="s">
        <v>7956</v>
      </c>
    </row>
    <row r="491" spans="1:135">
      <c r="A491" t="s">
        <v>3430</v>
      </c>
      <c r="B491" t="s">
        <v>3399</v>
      </c>
      <c r="C491" t="s">
        <v>21300</v>
      </c>
      <c r="D491" s="24">
        <v>43522</v>
      </c>
      <c r="E491" s="24" t="s">
        <v>13555</v>
      </c>
      <c r="F491" s="24" t="s">
        <v>21301</v>
      </c>
      <c r="G491" s="24" t="s">
        <v>13808</v>
      </c>
      <c r="H491" s="24"/>
      <c r="I491" s="24" t="s">
        <v>13809</v>
      </c>
      <c r="J491" s="24"/>
      <c r="K491" s="24" t="s">
        <v>13808</v>
      </c>
      <c r="L491" s="24"/>
      <c r="M491" s="24" t="s">
        <v>15434</v>
      </c>
      <c r="N491" s="24" t="s">
        <v>13808</v>
      </c>
      <c r="O491" s="24"/>
      <c r="P491" s="24" t="s">
        <v>13808</v>
      </c>
      <c r="Q491" s="24"/>
      <c r="R491" s="24" t="s">
        <v>13808</v>
      </c>
      <c r="S491" s="24"/>
      <c r="T491" t="s">
        <v>21302</v>
      </c>
      <c r="U491" t="s">
        <v>13808</v>
      </c>
      <c r="W491" t="s">
        <v>13808</v>
      </c>
      <c r="X491" t="s">
        <v>21303</v>
      </c>
      <c r="Y491" t="s">
        <v>13808</v>
      </c>
      <c r="AA491" t="s">
        <v>21304</v>
      </c>
      <c r="AB491" t="s">
        <v>14046</v>
      </c>
      <c r="AC491" t="s">
        <v>13808</v>
      </c>
      <c r="AH491" t="s">
        <v>16874</v>
      </c>
      <c r="AI491" t="s">
        <v>13808</v>
      </c>
      <c r="AN491" t="s">
        <v>15076</v>
      </c>
      <c r="AO491" t="s">
        <v>13808</v>
      </c>
      <c r="AT491" t="s">
        <v>14852</v>
      </c>
      <c r="AU491" t="s">
        <v>13808</v>
      </c>
      <c r="AZ491" t="s">
        <v>21305</v>
      </c>
      <c r="BA491" t="s">
        <v>13808</v>
      </c>
      <c r="BF491" t="s">
        <v>21306</v>
      </c>
      <c r="BG491" t="s">
        <v>13808</v>
      </c>
      <c r="BL491" t="s">
        <v>16048</v>
      </c>
      <c r="BM491" t="s">
        <v>13808</v>
      </c>
      <c r="BR491" t="s">
        <v>21307</v>
      </c>
      <c r="BS491" t="s">
        <v>13885</v>
      </c>
      <c r="BT491" t="s">
        <v>13808</v>
      </c>
      <c r="BU491" t="s">
        <v>18446</v>
      </c>
      <c r="BY491" t="s">
        <v>13887</v>
      </c>
      <c r="BZ491" t="s">
        <v>13808</v>
      </c>
      <c r="CA491" t="s">
        <v>21308</v>
      </c>
      <c r="CE491" t="s">
        <v>13887</v>
      </c>
      <c r="CF491" t="s">
        <v>13808</v>
      </c>
      <c r="CG491" t="s">
        <v>21309</v>
      </c>
      <c r="CK491" t="s">
        <v>13887</v>
      </c>
      <c r="CL491" t="s">
        <v>13808</v>
      </c>
      <c r="CM491" t="s">
        <v>14173</v>
      </c>
      <c r="CR491" t="s">
        <v>13809</v>
      </c>
      <c r="CT491" t="s">
        <v>21310</v>
      </c>
      <c r="CU491" t="s">
        <v>18644</v>
      </c>
      <c r="CV491" t="s">
        <v>13808</v>
      </c>
      <c r="DA491" t="s">
        <v>18644</v>
      </c>
      <c r="DB491" t="s">
        <v>13808</v>
      </c>
      <c r="DD491" t="s">
        <v>13885</v>
      </c>
      <c r="DE491" t="s">
        <v>13818</v>
      </c>
      <c r="DF491" t="s">
        <v>21311</v>
      </c>
      <c r="DG491" t="s">
        <v>13887</v>
      </c>
      <c r="DH491" t="s">
        <v>13808</v>
      </c>
      <c r="DJ491" t="s">
        <v>13885</v>
      </c>
      <c r="DK491" t="s">
        <v>13818</v>
      </c>
      <c r="DL491" t="s">
        <v>21311</v>
      </c>
      <c r="DY491" t="s">
        <v>15828</v>
      </c>
      <c r="DZ491" t="s">
        <v>21312</v>
      </c>
      <c r="EA491" t="s">
        <v>14275</v>
      </c>
      <c r="EC491">
        <v>44215</v>
      </c>
      <c r="ED491" t="s">
        <v>14501</v>
      </c>
      <c r="EE491" t="s">
        <v>8147</v>
      </c>
    </row>
    <row r="492" spans="1:135">
      <c r="A492" t="s">
        <v>3673</v>
      </c>
      <c r="B492" t="s">
        <v>3619</v>
      </c>
      <c r="C492" t="s">
        <v>21313</v>
      </c>
      <c r="D492" s="24">
        <v>43406</v>
      </c>
      <c r="E492" s="24" t="s">
        <v>13557</v>
      </c>
      <c r="F492" s="24" t="s">
        <v>21314</v>
      </c>
      <c r="G492" s="24" t="s">
        <v>13808</v>
      </c>
      <c r="H492" s="24"/>
      <c r="I492" s="24" t="s">
        <v>13809</v>
      </c>
      <c r="J492" s="24"/>
      <c r="K492" s="24" t="s">
        <v>13808</v>
      </c>
      <c r="L492" s="24"/>
      <c r="M492" s="24" t="s">
        <v>21315</v>
      </c>
      <c r="N492" s="24" t="s">
        <v>13808</v>
      </c>
      <c r="O492" s="24"/>
      <c r="P492" s="24" t="s">
        <v>13808</v>
      </c>
      <c r="Q492" s="24"/>
      <c r="R492" s="24" t="s">
        <v>13808</v>
      </c>
      <c r="S492" s="24" t="s">
        <v>21316</v>
      </c>
      <c r="T492" t="s">
        <v>15317</v>
      </c>
      <c r="U492" t="s">
        <v>13809</v>
      </c>
      <c r="W492" t="s">
        <v>13808</v>
      </c>
      <c r="X492" t="s">
        <v>21317</v>
      </c>
      <c r="Y492" t="s">
        <v>13809</v>
      </c>
      <c r="AA492" t="s">
        <v>13928</v>
      </c>
      <c r="AB492" t="s">
        <v>18625</v>
      </c>
      <c r="AC492" t="s">
        <v>13808</v>
      </c>
      <c r="AH492" t="s">
        <v>13909</v>
      </c>
      <c r="AI492" t="s">
        <v>13808</v>
      </c>
      <c r="AN492" t="s">
        <v>21318</v>
      </c>
      <c r="AO492" t="s">
        <v>13808</v>
      </c>
      <c r="AT492" t="s">
        <v>14852</v>
      </c>
      <c r="AU492" t="s">
        <v>13808</v>
      </c>
      <c r="AZ492" t="s">
        <v>14598</v>
      </c>
      <c r="BA492" t="s">
        <v>13808</v>
      </c>
      <c r="BF492" t="s">
        <v>17041</v>
      </c>
      <c r="BG492" t="s">
        <v>13808</v>
      </c>
      <c r="BM492" t="s">
        <v>13809</v>
      </c>
      <c r="BR492" t="s">
        <v>21319</v>
      </c>
      <c r="BS492" t="s">
        <v>13885</v>
      </c>
      <c r="BT492" t="s">
        <v>13808</v>
      </c>
      <c r="BU492" t="s">
        <v>14010</v>
      </c>
      <c r="BY492" t="s">
        <v>13887</v>
      </c>
      <c r="BZ492" t="s">
        <v>13808</v>
      </c>
      <c r="CA492" t="s">
        <v>13861</v>
      </c>
      <c r="CE492" t="s">
        <v>14265</v>
      </c>
      <c r="CF492" t="s">
        <v>13818</v>
      </c>
      <c r="CG492" t="s">
        <v>21320</v>
      </c>
      <c r="CK492" t="s">
        <v>13887</v>
      </c>
      <c r="CL492" t="s">
        <v>13808</v>
      </c>
      <c r="CR492" t="s">
        <v>13809</v>
      </c>
      <c r="CT492" t="s">
        <v>21321</v>
      </c>
      <c r="CU492" t="s">
        <v>13887</v>
      </c>
      <c r="CV492" t="s">
        <v>13808</v>
      </c>
      <c r="CX492" t="s">
        <v>15309</v>
      </c>
      <c r="CY492" t="s">
        <v>13818</v>
      </c>
      <c r="DA492" t="s">
        <v>13887</v>
      </c>
      <c r="DB492" t="s">
        <v>13808</v>
      </c>
      <c r="DD492" t="s">
        <v>15309</v>
      </c>
      <c r="DE492" t="s">
        <v>13818</v>
      </c>
      <c r="DH492" t="s">
        <v>13809</v>
      </c>
      <c r="DM492" t="s">
        <v>15472</v>
      </c>
      <c r="DN492" t="s">
        <v>13808</v>
      </c>
      <c r="DP492" t="s">
        <v>15309</v>
      </c>
      <c r="DQ492" t="s">
        <v>13808</v>
      </c>
      <c r="DR492" t="s">
        <v>21322</v>
      </c>
      <c r="DY492" t="s">
        <v>21323</v>
      </c>
      <c r="DZ492" t="s">
        <v>21324</v>
      </c>
      <c r="EA492" t="s">
        <v>15744</v>
      </c>
      <c r="EC492">
        <v>44215</v>
      </c>
      <c r="ED492" t="s">
        <v>13903</v>
      </c>
      <c r="EE492" t="s">
        <v>8459</v>
      </c>
    </row>
    <row r="493" spans="1:135">
      <c r="A493" t="s">
        <v>4083</v>
      </c>
      <c r="B493" t="s">
        <v>4051</v>
      </c>
      <c r="C493" t="s">
        <v>21325</v>
      </c>
      <c r="D493" s="24">
        <v>42977</v>
      </c>
      <c r="E493" s="24" t="s">
        <v>13557</v>
      </c>
      <c r="F493" s="24" t="s">
        <v>21326</v>
      </c>
      <c r="G493" s="24" t="s">
        <v>13808</v>
      </c>
      <c r="H493" s="24"/>
      <c r="I493" s="24" t="s">
        <v>13809</v>
      </c>
      <c r="J493" s="24"/>
      <c r="K493" s="24" t="s">
        <v>13808</v>
      </c>
      <c r="L493" s="24"/>
      <c r="M493" s="24" t="s">
        <v>21327</v>
      </c>
      <c r="N493" s="24" t="s">
        <v>13808</v>
      </c>
      <c r="O493" s="24"/>
      <c r="P493" s="24" t="s">
        <v>13808</v>
      </c>
      <c r="Q493" s="24"/>
      <c r="R493" s="24" t="s">
        <v>13808</v>
      </c>
      <c r="S493" s="24"/>
      <c r="T493" t="s">
        <v>21328</v>
      </c>
      <c r="U493" t="s">
        <v>13808</v>
      </c>
      <c r="W493" t="s">
        <v>13808</v>
      </c>
      <c r="X493" t="s">
        <v>21329</v>
      </c>
      <c r="Y493" t="s">
        <v>13809</v>
      </c>
      <c r="AA493" t="s">
        <v>13928</v>
      </c>
      <c r="AB493" t="s">
        <v>14170</v>
      </c>
      <c r="AC493" t="s">
        <v>13808</v>
      </c>
      <c r="AH493" t="s">
        <v>13909</v>
      </c>
      <c r="AI493" t="s">
        <v>13808</v>
      </c>
      <c r="AN493" t="s">
        <v>14816</v>
      </c>
      <c r="AO493" t="s">
        <v>13808</v>
      </c>
      <c r="AT493" t="s">
        <v>17877</v>
      </c>
      <c r="AU493" t="s">
        <v>13808</v>
      </c>
      <c r="AZ493" t="s">
        <v>14008</v>
      </c>
      <c r="BA493" t="s">
        <v>13808</v>
      </c>
      <c r="BF493" t="s">
        <v>13892</v>
      </c>
      <c r="BG493" t="s">
        <v>13808</v>
      </c>
      <c r="BM493" t="s">
        <v>13809</v>
      </c>
      <c r="BR493" t="s">
        <v>21330</v>
      </c>
      <c r="BS493" t="s">
        <v>13887</v>
      </c>
      <c r="BT493" t="s">
        <v>13808</v>
      </c>
      <c r="BU493" t="s">
        <v>13985</v>
      </c>
      <c r="BY493" t="s">
        <v>13887</v>
      </c>
      <c r="BZ493" t="s">
        <v>13808</v>
      </c>
      <c r="CA493" t="s">
        <v>21331</v>
      </c>
      <c r="CE493" t="s">
        <v>13887</v>
      </c>
      <c r="CF493" t="s">
        <v>13808</v>
      </c>
      <c r="CL493" t="s">
        <v>13809</v>
      </c>
      <c r="CR493" t="s">
        <v>13809</v>
      </c>
      <c r="CT493" t="s">
        <v>21332</v>
      </c>
      <c r="CU493" t="s">
        <v>21333</v>
      </c>
      <c r="CV493" t="s">
        <v>13808</v>
      </c>
      <c r="CX493" t="s">
        <v>13885</v>
      </c>
      <c r="CY493" t="s">
        <v>13818</v>
      </c>
      <c r="DA493" t="s">
        <v>16503</v>
      </c>
      <c r="DB493" t="s">
        <v>13808</v>
      </c>
      <c r="DD493" t="s">
        <v>13885</v>
      </c>
      <c r="DE493" t="s">
        <v>13818</v>
      </c>
      <c r="DG493" t="s">
        <v>13909</v>
      </c>
      <c r="DH493" t="s">
        <v>13818</v>
      </c>
      <c r="DM493" t="s">
        <v>16608</v>
      </c>
      <c r="DN493" t="s">
        <v>13808</v>
      </c>
      <c r="DZ493" t="s">
        <v>21334</v>
      </c>
      <c r="EA493" t="s">
        <v>18501</v>
      </c>
      <c r="EC493">
        <v>43480</v>
      </c>
      <c r="ED493" t="s">
        <v>13903</v>
      </c>
      <c r="EE493" t="s">
        <v>8929</v>
      </c>
    </row>
    <row r="494" spans="1:135">
      <c r="A494" t="s">
        <v>3248</v>
      </c>
      <c r="B494" t="s">
        <v>3161</v>
      </c>
      <c r="C494" t="s">
        <v>21335</v>
      </c>
      <c r="D494" s="24">
        <v>43461</v>
      </c>
      <c r="E494" s="24" t="s">
        <v>13555</v>
      </c>
      <c r="F494" s="24" t="s">
        <v>21336</v>
      </c>
      <c r="G494" s="24" t="s">
        <v>13808</v>
      </c>
      <c r="H494" s="24"/>
      <c r="I494" s="24" t="s">
        <v>13809</v>
      </c>
      <c r="J494" s="24"/>
      <c r="K494" s="24" t="s">
        <v>13808</v>
      </c>
      <c r="L494" s="24"/>
      <c r="M494" s="24" t="s">
        <v>13846</v>
      </c>
      <c r="N494" s="24" t="s">
        <v>13808</v>
      </c>
      <c r="O494" s="24"/>
      <c r="P494" s="24" t="s">
        <v>13808</v>
      </c>
      <c r="Q494" s="24"/>
      <c r="R494" s="24" t="s">
        <v>13808</v>
      </c>
      <c r="S494" s="24"/>
      <c r="T494" t="s">
        <v>14429</v>
      </c>
      <c r="U494" t="s">
        <v>13809</v>
      </c>
      <c r="W494" t="s">
        <v>13808</v>
      </c>
      <c r="X494" t="s">
        <v>21337</v>
      </c>
      <c r="Y494" t="s">
        <v>13809</v>
      </c>
      <c r="AA494" t="s">
        <v>14971</v>
      </c>
      <c r="AB494" t="s">
        <v>15025</v>
      </c>
      <c r="AC494" t="s">
        <v>13808</v>
      </c>
      <c r="AH494" t="s">
        <v>13909</v>
      </c>
      <c r="AI494" t="s">
        <v>13808</v>
      </c>
      <c r="AO494" t="s">
        <v>13809</v>
      </c>
      <c r="AT494" t="s">
        <v>15824</v>
      </c>
      <c r="AU494" t="s">
        <v>13808</v>
      </c>
      <c r="AZ494" t="s">
        <v>15883</v>
      </c>
      <c r="BA494" t="s">
        <v>13808</v>
      </c>
      <c r="BF494" t="s">
        <v>17780</v>
      </c>
      <c r="BG494" t="s">
        <v>13808</v>
      </c>
      <c r="BH494" t="s">
        <v>21338</v>
      </c>
      <c r="BL494" t="s">
        <v>21339</v>
      </c>
      <c r="BM494" t="s">
        <v>13808</v>
      </c>
      <c r="BR494" t="s">
        <v>21340</v>
      </c>
      <c r="BT494" t="s">
        <v>13809</v>
      </c>
      <c r="BY494" t="s">
        <v>14003</v>
      </c>
      <c r="BZ494" t="s">
        <v>13808</v>
      </c>
      <c r="CA494" t="s">
        <v>14026</v>
      </c>
      <c r="CE494" t="s">
        <v>14003</v>
      </c>
      <c r="CF494" t="s">
        <v>13808</v>
      </c>
      <c r="CG494" t="s">
        <v>14173</v>
      </c>
      <c r="CK494" t="s">
        <v>13885</v>
      </c>
      <c r="CL494" t="s">
        <v>13808</v>
      </c>
      <c r="CM494" t="s">
        <v>21341</v>
      </c>
      <c r="CR494" t="s">
        <v>13809</v>
      </c>
      <c r="CT494" t="s">
        <v>21342</v>
      </c>
      <c r="CU494" t="s">
        <v>21343</v>
      </c>
      <c r="CV494" t="s">
        <v>13808</v>
      </c>
      <c r="CX494" t="s">
        <v>14197</v>
      </c>
      <c r="CY494" t="s">
        <v>13818</v>
      </c>
      <c r="DA494" t="s">
        <v>21343</v>
      </c>
      <c r="DB494" t="s">
        <v>13808</v>
      </c>
      <c r="DD494" t="s">
        <v>14197</v>
      </c>
      <c r="DE494" t="s">
        <v>13818</v>
      </c>
      <c r="DH494" t="s">
        <v>13809</v>
      </c>
      <c r="DM494" t="s">
        <v>13909</v>
      </c>
      <c r="DN494" t="s">
        <v>13808</v>
      </c>
      <c r="DY494" t="s">
        <v>15828</v>
      </c>
      <c r="DZ494" t="s">
        <v>21344</v>
      </c>
      <c r="EA494" t="s">
        <v>15744</v>
      </c>
      <c r="EC494">
        <v>44215</v>
      </c>
      <c r="ED494" t="s">
        <v>13903</v>
      </c>
      <c r="EE494" t="s">
        <v>7960</v>
      </c>
    </row>
    <row r="495" spans="1:135">
      <c r="A495" t="s">
        <v>3677</v>
      </c>
      <c r="B495" t="s">
        <v>3619</v>
      </c>
      <c r="C495" t="s">
        <v>21345</v>
      </c>
      <c r="D495" s="24">
        <v>43406</v>
      </c>
      <c r="E495" s="24" t="s">
        <v>13558</v>
      </c>
      <c r="F495" s="24" t="s">
        <v>21346</v>
      </c>
      <c r="G495" s="24" t="s">
        <v>13808</v>
      </c>
      <c r="H495" s="24"/>
      <c r="I495" s="24" t="s">
        <v>13809</v>
      </c>
      <c r="J495" s="24"/>
      <c r="K495" s="24" t="s">
        <v>13808</v>
      </c>
      <c r="L495" s="24"/>
      <c r="M495" s="24" t="s">
        <v>21347</v>
      </c>
      <c r="N495" s="24" t="s">
        <v>13808</v>
      </c>
      <c r="O495" s="24"/>
      <c r="P495" s="24" t="s">
        <v>13808</v>
      </c>
      <c r="Q495" s="24"/>
      <c r="R495" s="24" t="s">
        <v>13808</v>
      </c>
      <c r="S495" s="24"/>
      <c r="T495" t="s">
        <v>14034</v>
      </c>
      <c r="U495" t="s">
        <v>13808</v>
      </c>
      <c r="W495" t="s">
        <v>13808</v>
      </c>
      <c r="X495" t="s">
        <v>21348</v>
      </c>
      <c r="Y495" t="s">
        <v>13809</v>
      </c>
      <c r="AA495" t="s">
        <v>21349</v>
      </c>
      <c r="AB495" t="s">
        <v>14189</v>
      </c>
      <c r="AC495" t="s">
        <v>13808</v>
      </c>
      <c r="AH495" t="s">
        <v>13909</v>
      </c>
      <c r="AI495" t="s">
        <v>13808</v>
      </c>
      <c r="AN495" t="s">
        <v>14730</v>
      </c>
      <c r="AO495" t="s">
        <v>13808</v>
      </c>
      <c r="AT495" t="s">
        <v>14687</v>
      </c>
      <c r="AU495" t="s">
        <v>13808</v>
      </c>
      <c r="AZ495" t="s">
        <v>17167</v>
      </c>
      <c r="BA495" t="s">
        <v>13808</v>
      </c>
      <c r="BF495" t="s">
        <v>16341</v>
      </c>
      <c r="BG495" t="s">
        <v>13808</v>
      </c>
      <c r="BL495" t="s">
        <v>15076</v>
      </c>
      <c r="BM495" t="s">
        <v>13808</v>
      </c>
      <c r="BR495" t="s">
        <v>21350</v>
      </c>
      <c r="BS495" t="s">
        <v>13887</v>
      </c>
      <c r="BT495" t="s">
        <v>13808</v>
      </c>
      <c r="BU495" t="s">
        <v>19538</v>
      </c>
      <c r="BY495" t="s">
        <v>13887</v>
      </c>
      <c r="BZ495" t="s">
        <v>13808</v>
      </c>
      <c r="CA495" t="s">
        <v>13937</v>
      </c>
      <c r="CE495" t="s">
        <v>13887</v>
      </c>
      <c r="CF495" t="s">
        <v>13808</v>
      </c>
      <c r="CL495" t="s">
        <v>13809</v>
      </c>
      <c r="CR495" t="s">
        <v>13809</v>
      </c>
      <c r="CT495" t="s">
        <v>21351</v>
      </c>
      <c r="CU495" t="s">
        <v>13909</v>
      </c>
      <c r="CV495" t="s">
        <v>13818</v>
      </c>
      <c r="CW495" t="s">
        <v>21352</v>
      </c>
      <c r="DA495" t="s">
        <v>13909</v>
      </c>
      <c r="DB495" t="s">
        <v>13818</v>
      </c>
      <c r="DC495" t="s">
        <v>21352</v>
      </c>
      <c r="DH495" t="s">
        <v>13809</v>
      </c>
      <c r="DM495" t="s">
        <v>14197</v>
      </c>
      <c r="DN495" t="s">
        <v>13808</v>
      </c>
      <c r="DZ495" t="s">
        <v>21353</v>
      </c>
      <c r="EA495" t="s">
        <v>14201</v>
      </c>
      <c r="EC495">
        <v>43480</v>
      </c>
      <c r="ED495" t="s">
        <v>13903</v>
      </c>
      <c r="EE495" t="s">
        <v>8463</v>
      </c>
    </row>
    <row r="496" spans="1:135">
      <c r="A496" t="s">
        <v>3523</v>
      </c>
      <c r="B496" t="s">
        <v>3506</v>
      </c>
      <c r="C496" t="s">
        <v>21354</v>
      </c>
      <c r="D496" s="24">
        <v>43220</v>
      </c>
      <c r="E496" s="24" t="s">
        <v>13560</v>
      </c>
      <c r="F496" s="24" t="s">
        <v>21355</v>
      </c>
      <c r="G496" s="24" t="s">
        <v>13808</v>
      </c>
      <c r="H496" s="24"/>
      <c r="I496" s="24" t="s">
        <v>13809</v>
      </c>
      <c r="J496" s="24"/>
      <c r="K496" s="24" t="s">
        <v>21356</v>
      </c>
      <c r="L496" s="24" t="s">
        <v>21357</v>
      </c>
      <c r="M496" s="24" t="s">
        <v>14304</v>
      </c>
      <c r="N496" s="24" t="s">
        <v>13808</v>
      </c>
      <c r="O496" s="24"/>
      <c r="P496" s="24" t="s">
        <v>13808</v>
      </c>
      <c r="Q496" s="24"/>
      <c r="R496" s="24" t="s">
        <v>13808</v>
      </c>
      <c r="S496" s="24"/>
      <c r="T496" t="s">
        <v>14071</v>
      </c>
      <c r="U496" t="s">
        <v>13809</v>
      </c>
      <c r="W496" t="s">
        <v>13809</v>
      </c>
      <c r="Y496" t="s">
        <v>13809</v>
      </c>
      <c r="AA496" t="s">
        <v>21358</v>
      </c>
      <c r="AB496" t="s">
        <v>21359</v>
      </c>
      <c r="AC496" t="s">
        <v>13808</v>
      </c>
      <c r="AH496" t="s">
        <v>14073</v>
      </c>
      <c r="AI496" t="s">
        <v>13808</v>
      </c>
      <c r="AK496" t="s">
        <v>14310</v>
      </c>
      <c r="AL496" t="s">
        <v>13818</v>
      </c>
      <c r="AM496" t="s">
        <v>14309</v>
      </c>
      <c r="AN496" t="s">
        <v>15168</v>
      </c>
      <c r="AO496" t="s">
        <v>13818</v>
      </c>
      <c r="AP496" t="s">
        <v>14309</v>
      </c>
      <c r="AT496" t="s">
        <v>21360</v>
      </c>
      <c r="AU496" t="s">
        <v>13808</v>
      </c>
      <c r="AZ496" t="s">
        <v>14638</v>
      </c>
      <c r="BA496" t="s">
        <v>13808</v>
      </c>
      <c r="BF496" t="s">
        <v>21361</v>
      </c>
      <c r="BG496" t="s">
        <v>13808</v>
      </c>
      <c r="BL496" t="s">
        <v>13735</v>
      </c>
      <c r="BM496" t="s">
        <v>13809</v>
      </c>
      <c r="BR496" t="s">
        <v>18496</v>
      </c>
      <c r="BS496" t="s">
        <v>13824</v>
      </c>
      <c r="BT496" t="s">
        <v>13808</v>
      </c>
      <c r="BU496" t="s">
        <v>14233</v>
      </c>
      <c r="BY496" t="s">
        <v>13860</v>
      </c>
      <c r="BZ496" t="s">
        <v>13808</v>
      </c>
      <c r="CA496" t="s">
        <v>13937</v>
      </c>
      <c r="CE496" t="s">
        <v>13828</v>
      </c>
      <c r="CF496" t="s">
        <v>13808</v>
      </c>
      <c r="CK496" t="s">
        <v>13760</v>
      </c>
      <c r="CL496" t="s">
        <v>13809</v>
      </c>
      <c r="CQ496" t="s">
        <v>13766</v>
      </c>
      <c r="CR496" t="s">
        <v>13809</v>
      </c>
      <c r="CT496" t="s">
        <v>21362</v>
      </c>
      <c r="CU496" t="s">
        <v>21363</v>
      </c>
      <c r="CV496" t="s">
        <v>13808</v>
      </c>
      <c r="CX496" t="s">
        <v>15706</v>
      </c>
      <c r="CY496" t="s">
        <v>13818</v>
      </c>
      <c r="DA496" t="s">
        <v>21364</v>
      </c>
      <c r="DB496" t="s">
        <v>13808</v>
      </c>
      <c r="DD496" t="s">
        <v>15706</v>
      </c>
      <c r="DE496" t="s">
        <v>13818</v>
      </c>
      <c r="DG496" t="s">
        <v>14240</v>
      </c>
      <c r="DH496" t="s">
        <v>13808</v>
      </c>
      <c r="DY496" t="s">
        <v>13869</v>
      </c>
      <c r="DZ496" t="s">
        <v>21365</v>
      </c>
      <c r="EA496" t="s">
        <v>16821</v>
      </c>
      <c r="EC496">
        <v>44627</v>
      </c>
      <c r="ED496" t="s">
        <v>13843</v>
      </c>
      <c r="EE496" t="s">
        <v>8296</v>
      </c>
    </row>
    <row r="497" spans="1:135">
      <c r="A497" t="s">
        <v>3852</v>
      </c>
      <c r="B497" t="s">
        <v>3808</v>
      </c>
      <c r="C497" t="s">
        <v>21366</v>
      </c>
      <c r="D497" s="24">
        <v>44755</v>
      </c>
      <c r="E497" s="24" t="s">
        <v>13555</v>
      </c>
      <c r="F497" s="24" t="s">
        <v>21367</v>
      </c>
      <c r="G497" s="24" t="s">
        <v>13808</v>
      </c>
      <c r="H497" s="24"/>
      <c r="I497" s="24" t="s">
        <v>13809</v>
      </c>
      <c r="J497" s="24"/>
      <c r="K497" s="24" t="s">
        <v>13808</v>
      </c>
      <c r="L497" s="24"/>
      <c r="M497" s="24" t="s">
        <v>21368</v>
      </c>
      <c r="N497" s="24" t="s">
        <v>13808</v>
      </c>
      <c r="O497" s="24"/>
      <c r="P497" s="24" t="s">
        <v>13808</v>
      </c>
      <c r="Q497" s="24"/>
      <c r="R497" s="24" t="s">
        <v>13808</v>
      </c>
      <c r="S497" s="24"/>
      <c r="T497" t="s">
        <v>13907</v>
      </c>
      <c r="U497" t="s">
        <v>13808</v>
      </c>
      <c r="V497" t="s">
        <v>21369</v>
      </c>
      <c r="W497" t="s">
        <v>13808</v>
      </c>
      <c r="X497" t="s">
        <v>21370</v>
      </c>
      <c r="Y497" t="s">
        <v>13809</v>
      </c>
      <c r="AA497" t="s">
        <v>14971</v>
      </c>
      <c r="AB497" t="s">
        <v>21371</v>
      </c>
      <c r="AC497" t="s">
        <v>13808</v>
      </c>
      <c r="AH497" t="s">
        <v>13851</v>
      </c>
      <c r="AI497" t="s">
        <v>13808</v>
      </c>
      <c r="AN497" t="s">
        <v>18101</v>
      </c>
      <c r="AO497" t="s">
        <v>13808</v>
      </c>
      <c r="AT497" t="s">
        <v>15350</v>
      </c>
      <c r="AU497" t="s">
        <v>13808</v>
      </c>
      <c r="AZ497" t="s">
        <v>21372</v>
      </c>
      <c r="BA497" t="s">
        <v>13808</v>
      </c>
      <c r="BF497" t="s">
        <v>21373</v>
      </c>
      <c r="BG497" t="s">
        <v>13808</v>
      </c>
      <c r="BL497" t="s">
        <v>13735</v>
      </c>
      <c r="BM497" t="s">
        <v>13809</v>
      </c>
      <c r="BR497" t="s">
        <v>21374</v>
      </c>
      <c r="BS497" t="s">
        <v>13824</v>
      </c>
      <c r="BT497" t="s">
        <v>13808</v>
      </c>
      <c r="BU497" t="s">
        <v>19121</v>
      </c>
      <c r="BY497" t="s">
        <v>14148</v>
      </c>
      <c r="BZ497" t="s">
        <v>13808</v>
      </c>
      <c r="CA497" t="s">
        <v>13937</v>
      </c>
      <c r="CE497" t="s">
        <v>13862</v>
      </c>
      <c r="CF497" t="s">
        <v>13808</v>
      </c>
      <c r="CG497" t="s">
        <v>21375</v>
      </c>
      <c r="CK497" t="s">
        <v>13760</v>
      </c>
      <c r="CL497" t="s">
        <v>13809</v>
      </c>
      <c r="CQ497" t="s">
        <v>13766</v>
      </c>
      <c r="CR497" t="s">
        <v>13809</v>
      </c>
      <c r="CT497" t="s">
        <v>21376</v>
      </c>
      <c r="CU497" t="s">
        <v>21377</v>
      </c>
      <c r="CV497" t="s">
        <v>13808</v>
      </c>
      <c r="DA497" t="s">
        <v>21378</v>
      </c>
      <c r="DB497" t="s">
        <v>13808</v>
      </c>
      <c r="DG497" t="s">
        <v>21379</v>
      </c>
      <c r="DH497" t="s">
        <v>13808</v>
      </c>
      <c r="DM497" t="s">
        <v>21380</v>
      </c>
      <c r="DN497" t="s">
        <v>13808</v>
      </c>
      <c r="DP497" t="s">
        <v>21381</v>
      </c>
      <c r="DQ497" t="s">
        <v>13808</v>
      </c>
      <c r="DR497" t="s">
        <v>13839</v>
      </c>
      <c r="DY497" t="s">
        <v>21382</v>
      </c>
      <c r="DZ497" t="s">
        <v>13841</v>
      </c>
      <c r="EA497" t="s">
        <v>14201</v>
      </c>
      <c r="EC497">
        <v>44762</v>
      </c>
      <c r="ED497" t="s">
        <v>14298</v>
      </c>
      <c r="EE497" t="s">
        <v>8652</v>
      </c>
    </row>
    <row r="498" spans="1:135">
      <c r="A498" t="s">
        <v>3966</v>
      </c>
      <c r="B498" t="s">
        <v>3939</v>
      </c>
      <c r="C498" t="s">
        <v>21383</v>
      </c>
      <c r="D498" s="24">
        <v>44687</v>
      </c>
      <c r="E498" s="24" t="s">
        <v>13560</v>
      </c>
      <c r="F498" s="24" t="s">
        <v>21384</v>
      </c>
      <c r="G498" s="24" t="s">
        <v>13808</v>
      </c>
      <c r="H498" s="24"/>
      <c r="I498" s="24" t="s">
        <v>13809</v>
      </c>
      <c r="J498" s="24"/>
      <c r="K498" s="24" t="s">
        <v>13808</v>
      </c>
      <c r="L498" s="24"/>
      <c r="M498" s="24" t="s">
        <v>15106</v>
      </c>
      <c r="N498" s="24" t="s">
        <v>13808</v>
      </c>
      <c r="O498" s="24"/>
      <c r="P498" s="24" t="s">
        <v>13818</v>
      </c>
      <c r="Q498" s="24" t="s">
        <v>21385</v>
      </c>
      <c r="R498" s="24" t="s">
        <v>13808</v>
      </c>
      <c r="S498" s="24"/>
      <c r="T498" t="s">
        <v>14306</v>
      </c>
      <c r="U498" t="s">
        <v>13809</v>
      </c>
      <c r="W498" t="s">
        <v>13809</v>
      </c>
      <c r="Y498" t="s">
        <v>13809</v>
      </c>
      <c r="AA498" t="s">
        <v>14412</v>
      </c>
      <c r="AB498" t="s">
        <v>15348</v>
      </c>
      <c r="AC498" t="s">
        <v>13809</v>
      </c>
      <c r="AH498" t="s">
        <v>14073</v>
      </c>
      <c r="AI498" t="s">
        <v>13808</v>
      </c>
      <c r="AK498" t="s">
        <v>14310</v>
      </c>
      <c r="AL498" t="s">
        <v>13818</v>
      </c>
      <c r="AM498" t="s">
        <v>13819</v>
      </c>
      <c r="AN498" t="s">
        <v>21386</v>
      </c>
      <c r="AO498" t="s">
        <v>13818</v>
      </c>
      <c r="AP498" t="s">
        <v>13819</v>
      </c>
      <c r="AT498" t="s">
        <v>21387</v>
      </c>
      <c r="AU498" t="s">
        <v>13818</v>
      </c>
      <c r="AV498" t="s">
        <v>13819</v>
      </c>
      <c r="AZ498" t="s">
        <v>21388</v>
      </c>
      <c r="BA498" t="s">
        <v>13818</v>
      </c>
      <c r="BB498" t="s">
        <v>13819</v>
      </c>
      <c r="BF498" t="s">
        <v>21389</v>
      </c>
      <c r="BG498" t="s">
        <v>13818</v>
      </c>
      <c r="BH498" t="s">
        <v>13819</v>
      </c>
      <c r="BL498" t="s">
        <v>16453</v>
      </c>
      <c r="BM498" t="s">
        <v>13818</v>
      </c>
      <c r="BN498" t="s">
        <v>13819</v>
      </c>
      <c r="BR498" t="s">
        <v>21390</v>
      </c>
      <c r="BS498" t="s">
        <v>13824</v>
      </c>
      <c r="BT498" t="s">
        <v>13808</v>
      </c>
      <c r="BU498" t="s">
        <v>17630</v>
      </c>
      <c r="BY498" t="s">
        <v>13860</v>
      </c>
      <c r="BZ498" t="s">
        <v>13808</v>
      </c>
      <c r="CA498" t="s">
        <v>13861</v>
      </c>
      <c r="CE498" t="s">
        <v>13862</v>
      </c>
      <c r="CF498" t="s">
        <v>13818</v>
      </c>
      <c r="CG498" t="s">
        <v>13819</v>
      </c>
      <c r="CK498" t="s">
        <v>13760</v>
      </c>
      <c r="CL498" t="s">
        <v>13809</v>
      </c>
      <c r="CQ498" t="s">
        <v>13766</v>
      </c>
      <c r="CR498" t="s">
        <v>13809</v>
      </c>
      <c r="CT498" t="s">
        <v>15599</v>
      </c>
      <c r="CU498" t="s">
        <v>21391</v>
      </c>
      <c r="CV498" t="s">
        <v>13808</v>
      </c>
      <c r="CX498" t="s">
        <v>21392</v>
      </c>
      <c r="CY498" t="s">
        <v>13818</v>
      </c>
      <c r="DA498" t="s">
        <v>21393</v>
      </c>
      <c r="DB498" t="s">
        <v>13808</v>
      </c>
      <c r="DD498" t="s">
        <v>21394</v>
      </c>
      <c r="DE498" t="s">
        <v>13818</v>
      </c>
      <c r="DG498" t="s">
        <v>21395</v>
      </c>
      <c r="DH498" t="s">
        <v>13818</v>
      </c>
      <c r="DM498" t="s">
        <v>21396</v>
      </c>
      <c r="DN498" t="s">
        <v>13818</v>
      </c>
      <c r="DP498" t="s">
        <v>21397</v>
      </c>
      <c r="DQ498" t="s">
        <v>13818</v>
      </c>
      <c r="DR498" t="s">
        <v>13839</v>
      </c>
      <c r="DY498" t="s">
        <v>21398</v>
      </c>
      <c r="DZ498" t="s">
        <v>13841</v>
      </c>
      <c r="EA498" t="s">
        <v>13842</v>
      </c>
      <c r="EC498">
        <v>44768</v>
      </c>
      <c r="ED498" t="s">
        <v>14298</v>
      </c>
      <c r="EE498" t="s">
        <v>8802</v>
      </c>
    </row>
    <row r="499" spans="1:135">
      <c r="A499" t="s">
        <v>3252</v>
      </c>
      <c r="B499" t="s">
        <v>3161</v>
      </c>
      <c r="C499" t="s">
        <v>21399</v>
      </c>
      <c r="D499" s="24">
        <v>43461</v>
      </c>
      <c r="E499" s="24" t="s">
        <v>13555</v>
      </c>
      <c r="F499" s="24" t="s">
        <v>21400</v>
      </c>
      <c r="G499" s="24" t="s">
        <v>13808</v>
      </c>
      <c r="H499" s="24"/>
      <c r="I499" s="24" t="s">
        <v>13809</v>
      </c>
      <c r="J499" s="24"/>
      <c r="K499" s="24" t="s">
        <v>13808</v>
      </c>
      <c r="L499" s="24"/>
      <c r="M499" s="24" t="s">
        <v>13950</v>
      </c>
      <c r="N499" s="24" t="s">
        <v>13808</v>
      </c>
      <c r="O499" s="24"/>
      <c r="P499" s="24" t="s">
        <v>13808</v>
      </c>
      <c r="Q499" s="24"/>
      <c r="R499" s="24" t="s">
        <v>13808</v>
      </c>
      <c r="S499" s="24"/>
      <c r="T499" t="s">
        <v>16997</v>
      </c>
      <c r="U499" t="s">
        <v>13808</v>
      </c>
      <c r="W499" t="s">
        <v>13808</v>
      </c>
      <c r="X499" t="s">
        <v>21401</v>
      </c>
      <c r="Y499" t="s">
        <v>13809</v>
      </c>
      <c r="AA499" t="s">
        <v>14971</v>
      </c>
      <c r="AB499" t="s">
        <v>14816</v>
      </c>
      <c r="AC499" t="s">
        <v>13808</v>
      </c>
      <c r="AH499" t="s">
        <v>13909</v>
      </c>
      <c r="AI499" t="s">
        <v>13808</v>
      </c>
      <c r="AN499" t="s">
        <v>21402</v>
      </c>
      <c r="AO499" t="s">
        <v>13808</v>
      </c>
      <c r="AT499" t="s">
        <v>14192</v>
      </c>
      <c r="AU499" t="s">
        <v>13808</v>
      </c>
      <c r="AZ499" t="s">
        <v>14706</v>
      </c>
      <c r="BA499" t="s">
        <v>13808</v>
      </c>
      <c r="BF499" t="s">
        <v>18382</v>
      </c>
      <c r="BG499" t="s">
        <v>13808</v>
      </c>
      <c r="BL499" t="s">
        <v>21403</v>
      </c>
      <c r="BM499" t="s">
        <v>13808</v>
      </c>
      <c r="BR499" t="s">
        <v>21404</v>
      </c>
      <c r="BS499" t="s">
        <v>13887</v>
      </c>
      <c r="BT499" t="s">
        <v>13808</v>
      </c>
      <c r="BU499" t="s">
        <v>16499</v>
      </c>
      <c r="BY499" t="s">
        <v>13887</v>
      </c>
      <c r="BZ499" t="s">
        <v>13808</v>
      </c>
      <c r="CA499" t="s">
        <v>13937</v>
      </c>
      <c r="CE499" t="s">
        <v>14197</v>
      </c>
      <c r="CF499" t="s">
        <v>13808</v>
      </c>
      <c r="CG499" t="s">
        <v>21405</v>
      </c>
      <c r="CH499" t="s">
        <v>14693</v>
      </c>
      <c r="CI499" t="s">
        <v>13808</v>
      </c>
      <c r="CL499" t="s">
        <v>13809</v>
      </c>
      <c r="CR499" t="s">
        <v>13809</v>
      </c>
      <c r="CT499" t="s">
        <v>21406</v>
      </c>
      <c r="CU499" t="s">
        <v>16627</v>
      </c>
      <c r="CV499" t="s">
        <v>13808</v>
      </c>
      <c r="CW499" t="s">
        <v>21407</v>
      </c>
      <c r="CX499" t="s">
        <v>13909</v>
      </c>
      <c r="CY499" t="s">
        <v>13808</v>
      </c>
      <c r="CZ499" t="s">
        <v>21408</v>
      </c>
      <c r="DA499" t="s">
        <v>14840</v>
      </c>
      <c r="DB499" t="s">
        <v>13808</v>
      </c>
      <c r="DC499" t="s">
        <v>21407</v>
      </c>
      <c r="DD499" t="s">
        <v>13909</v>
      </c>
      <c r="DE499" t="s">
        <v>13808</v>
      </c>
      <c r="DF499" t="s">
        <v>21408</v>
      </c>
      <c r="DH499" t="s">
        <v>13809</v>
      </c>
      <c r="DM499" t="s">
        <v>13909</v>
      </c>
      <c r="DN499" t="s">
        <v>13808</v>
      </c>
      <c r="DO499" t="s">
        <v>21407</v>
      </c>
      <c r="DP499" t="s">
        <v>13909</v>
      </c>
      <c r="DQ499" t="s">
        <v>13808</v>
      </c>
      <c r="DR499" t="s">
        <v>21408</v>
      </c>
      <c r="DY499" t="s">
        <v>15828</v>
      </c>
      <c r="DZ499" t="s">
        <v>14274</v>
      </c>
      <c r="EA499" t="s">
        <v>15744</v>
      </c>
      <c r="EC499">
        <v>44215</v>
      </c>
      <c r="ED499" t="s">
        <v>13903</v>
      </c>
      <c r="EE499" t="s">
        <v>7964</v>
      </c>
    </row>
    <row r="500" spans="1:135">
      <c r="A500" t="s">
        <v>3434</v>
      </c>
      <c r="B500" t="s">
        <v>3399</v>
      </c>
      <c r="C500" t="s">
        <v>21409</v>
      </c>
      <c r="D500" s="24">
        <v>43388</v>
      </c>
      <c r="E500" s="24" t="s">
        <v>13571</v>
      </c>
      <c r="F500" s="24" t="s">
        <v>21410</v>
      </c>
      <c r="G500" s="24" t="s">
        <v>13808</v>
      </c>
      <c r="H500" s="24"/>
      <c r="I500" s="24" t="s">
        <v>13809</v>
      </c>
      <c r="J500" s="24"/>
      <c r="K500" s="24" t="s">
        <v>13808</v>
      </c>
      <c r="L500" s="24"/>
      <c r="M500" s="24" t="s">
        <v>21411</v>
      </c>
      <c r="N500" s="24" t="s">
        <v>13808</v>
      </c>
      <c r="O500" s="24"/>
      <c r="P500" s="24" t="s">
        <v>13808</v>
      </c>
      <c r="Q500" s="24"/>
      <c r="R500" s="24" t="s">
        <v>13818</v>
      </c>
      <c r="S500" s="24" t="s">
        <v>21412</v>
      </c>
      <c r="T500" t="s">
        <v>14969</v>
      </c>
      <c r="U500" t="s">
        <v>13809</v>
      </c>
      <c r="W500" t="s">
        <v>13808</v>
      </c>
      <c r="X500" t="s">
        <v>21413</v>
      </c>
      <c r="Y500" t="s">
        <v>13809</v>
      </c>
      <c r="AA500" t="s">
        <v>13928</v>
      </c>
      <c r="AC500" t="s">
        <v>13809</v>
      </c>
      <c r="AH500" t="s">
        <v>13909</v>
      </c>
      <c r="AI500" t="s">
        <v>13808</v>
      </c>
      <c r="AN500" t="s">
        <v>16495</v>
      </c>
      <c r="AO500" t="s">
        <v>13808</v>
      </c>
      <c r="AT500" t="s">
        <v>15833</v>
      </c>
      <c r="AU500" t="s">
        <v>13808</v>
      </c>
      <c r="AZ500" t="s">
        <v>14598</v>
      </c>
      <c r="BA500" t="s">
        <v>13808</v>
      </c>
      <c r="BF500" t="s">
        <v>13892</v>
      </c>
      <c r="BG500" t="s">
        <v>13808</v>
      </c>
      <c r="BM500" t="s">
        <v>13809</v>
      </c>
      <c r="BR500" t="s">
        <v>21414</v>
      </c>
      <c r="BS500" t="s">
        <v>13887</v>
      </c>
      <c r="BT500" t="s">
        <v>13818</v>
      </c>
      <c r="BU500" t="s">
        <v>21415</v>
      </c>
      <c r="BY500" t="s">
        <v>13887</v>
      </c>
      <c r="BZ500" t="s">
        <v>13808</v>
      </c>
      <c r="CA500" t="s">
        <v>13937</v>
      </c>
      <c r="CE500" t="s">
        <v>21416</v>
      </c>
      <c r="CF500" t="s">
        <v>13818</v>
      </c>
      <c r="CG500" t="s">
        <v>21417</v>
      </c>
      <c r="CL500" t="s">
        <v>13809</v>
      </c>
      <c r="CR500" t="s">
        <v>13809</v>
      </c>
      <c r="CT500" t="s">
        <v>21418</v>
      </c>
      <c r="CU500" t="s">
        <v>13909</v>
      </c>
      <c r="CV500" t="s">
        <v>13808</v>
      </c>
      <c r="DA500" t="s">
        <v>13909</v>
      </c>
      <c r="DB500" t="s">
        <v>13808</v>
      </c>
      <c r="DH500" t="s">
        <v>13809</v>
      </c>
      <c r="DM500" t="s">
        <v>13909</v>
      </c>
      <c r="DN500" t="s">
        <v>13808</v>
      </c>
      <c r="DY500" t="s">
        <v>15828</v>
      </c>
      <c r="DZ500" t="s">
        <v>14274</v>
      </c>
      <c r="EA500" t="s">
        <v>15744</v>
      </c>
      <c r="EC500">
        <v>44215</v>
      </c>
      <c r="ED500" t="s">
        <v>13903</v>
      </c>
      <c r="EE500" t="s">
        <v>8151</v>
      </c>
    </row>
    <row r="501" spans="1:135">
      <c r="A501" t="s">
        <v>11768</v>
      </c>
      <c r="B501" t="s">
        <v>3619</v>
      </c>
      <c r="C501" t="s">
        <v>21419</v>
      </c>
      <c r="D501" s="24">
        <v>44806</v>
      </c>
      <c r="E501" s="24" t="s">
        <v>13561</v>
      </c>
      <c r="F501" s="24" t="s">
        <v>21420</v>
      </c>
      <c r="G501" s="24" t="s">
        <v>13818</v>
      </c>
      <c r="H501" s="24"/>
      <c r="I501" s="24" t="s">
        <v>13809</v>
      </c>
      <c r="J501" s="24"/>
      <c r="K501" s="24" t="s">
        <v>13809</v>
      </c>
      <c r="L501" s="24"/>
      <c r="M501" s="24" t="s">
        <v>14304</v>
      </c>
      <c r="N501" s="24" t="s">
        <v>13818</v>
      </c>
      <c r="O501" s="24"/>
      <c r="P501" s="24" t="s">
        <v>13818</v>
      </c>
      <c r="Q501" s="24"/>
      <c r="R501" s="24" t="s">
        <v>13818</v>
      </c>
      <c r="S501" s="24"/>
      <c r="T501" t="s">
        <v>14071</v>
      </c>
      <c r="U501" t="s">
        <v>13809</v>
      </c>
      <c r="W501" t="s">
        <v>13809</v>
      </c>
      <c r="Y501" t="s">
        <v>13809</v>
      </c>
      <c r="AA501" t="s">
        <v>14466</v>
      </c>
      <c r="AB501" t="s">
        <v>21421</v>
      </c>
      <c r="AC501" t="s">
        <v>13818</v>
      </c>
      <c r="AD501" t="s">
        <v>14888</v>
      </c>
      <c r="AH501" t="s">
        <v>13851</v>
      </c>
      <c r="AI501" t="s">
        <v>13818</v>
      </c>
      <c r="AJ501" t="s">
        <v>14888</v>
      </c>
      <c r="AN501" t="s">
        <v>13711</v>
      </c>
      <c r="AO501" t="s">
        <v>13809</v>
      </c>
      <c r="AT501" t="s">
        <v>15594</v>
      </c>
      <c r="AU501" t="s">
        <v>13818</v>
      </c>
      <c r="AV501" t="s">
        <v>14888</v>
      </c>
      <c r="AZ501" t="s">
        <v>19892</v>
      </c>
      <c r="BA501" t="s">
        <v>13818</v>
      </c>
      <c r="BB501" t="s">
        <v>14888</v>
      </c>
      <c r="BF501" t="s">
        <v>21422</v>
      </c>
      <c r="BG501" t="s">
        <v>13818</v>
      </c>
      <c r="BH501" t="s">
        <v>14888</v>
      </c>
      <c r="BL501" t="s">
        <v>13735</v>
      </c>
      <c r="BM501" t="s">
        <v>13809</v>
      </c>
      <c r="BR501" t="s">
        <v>21423</v>
      </c>
      <c r="BS501" t="s">
        <v>13824</v>
      </c>
      <c r="BT501" t="s">
        <v>13818</v>
      </c>
      <c r="BU501" t="s">
        <v>17630</v>
      </c>
      <c r="BY501" t="s">
        <v>13860</v>
      </c>
      <c r="BZ501" t="s">
        <v>13818</v>
      </c>
      <c r="CA501" t="s">
        <v>13937</v>
      </c>
      <c r="CE501" t="s">
        <v>13862</v>
      </c>
      <c r="CF501" t="s">
        <v>13818</v>
      </c>
      <c r="CK501" t="s">
        <v>13760</v>
      </c>
      <c r="CL501" t="s">
        <v>13809</v>
      </c>
      <c r="CQ501" t="s">
        <v>13766</v>
      </c>
      <c r="CR501" t="s">
        <v>13809</v>
      </c>
      <c r="CT501" t="s">
        <v>21424</v>
      </c>
      <c r="CU501" t="s">
        <v>21425</v>
      </c>
      <c r="CV501" t="s">
        <v>13808</v>
      </c>
      <c r="CW501" t="s">
        <v>14309</v>
      </c>
      <c r="CX501" t="s">
        <v>21426</v>
      </c>
      <c r="CY501" t="s">
        <v>13818</v>
      </c>
      <c r="DA501" t="s">
        <v>21427</v>
      </c>
      <c r="DB501" t="s">
        <v>13808</v>
      </c>
      <c r="DC501" t="s">
        <v>14309</v>
      </c>
      <c r="DG501" t="s">
        <v>21428</v>
      </c>
      <c r="DH501" t="s">
        <v>13818</v>
      </c>
      <c r="DM501" t="s">
        <v>21429</v>
      </c>
      <c r="DN501" t="s">
        <v>13808</v>
      </c>
      <c r="DO501" t="s">
        <v>14309</v>
      </c>
      <c r="DY501" t="s">
        <v>14606</v>
      </c>
      <c r="DZ501" t="s">
        <v>21430</v>
      </c>
      <c r="EA501" t="s">
        <v>13842</v>
      </c>
      <c r="EC501">
        <v>44830</v>
      </c>
      <c r="ED501" t="s">
        <v>14298</v>
      </c>
      <c r="EE501" t="s">
        <v>13625</v>
      </c>
    </row>
    <row r="502" spans="1:135">
      <c r="A502" t="s">
        <v>3681</v>
      </c>
      <c r="B502" t="s">
        <v>3619</v>
      </c>
      <c r="C502" t="s">
        <v>21431</v>
      </c>
      <c r="D502" s="24">
        <v>43406</v>
      </c>
      <c r="E502" s="24" t="s">
        <v>13557</v>
      </c>
      <c r="F502" s="24" t="s">
        <v>21432</v>
      </c>
      <c r="G502" s="24" t="s">
        <v>13808</v>
      </c>
      <c r="H502" s="24"/>
      <c r="I502" s="24" t="s">
        <v>13809</v>
      </c>
      <c r="J502" s="24"/>
      <c r="K502" s="24" t="s">
        <v>13808</v>
      </c>
      <c r="L502" s="24"/>
      <c r="M502" s="24" t="s">
        <v>13950</v>
      </c>
      <c r="N502" s="24" t="s">
        <v>13808</v>
      </c>
      <c r="O502" s="24"/>
      <c r="P502" s="24" t="s">
        <v>13808</v>
      </c>
      <c r="Q502" s="24"/>
      <c r="R502" s="24" t="s">
        <v>13808</v>
      </c>
      <c r="S502" s="24"/>
      <c r="T502" t="s">
        <v>13907</v>
      </c>
      <c r="U502" t="s">
        <v>13809</v>
      </c>
      <c r="W502" t="s">
        <v>13808</v>
      </c>
      <c r="X502" t="s">
        <v>21433</v>
      </c>
      <c r="Y502" t="s">
        <v>13809</v>
      </c>
      <c r="AA502" t="s">
        <v>21434</v>
      </c>
      <c r="AB502" t="s">
        <v>14851</v>
      </c>
      <c r="AC502" t="s">
        <v>13808</v>
      </c>
      <c r="AH502" t="s">
        <v>13909</v>
      </c>
      <c r="AI502" t="s">
        <v>13808</v>
      </c>
      <c r="AK502" t="s">
        <v>21435</v>
      </c>
      <c r="AL502" t="s">
        <v>13818</v>
      </c>
      <c r="AM502" t="s">
        <v>21436</v>
      </c>
      <c r="AO502" t="s">
        <v>13809</v>
      </c>
      <c r="AU502" t="s">
        <v>13809</v>
      </c>
      <c r="AZ502" t="s">
        <v>21437</v>
      </c>
      <c r="BA502" t="s">
        <v>13808</v>
      </c>
      <c r="BF502" t="s">
        <v>15529</v>
      </c>
      <c r="BG502" t="s">
        <v>13808</v>
      </c>
      <c r="BL502" t="s">
        <v>19343</v>
      </c>
      <c r="BM502" t="s">
        <v>13808</v>
      </c>
      <c r="BR502" t="s">
        <v>21438</v>
      </c>
      <c r="BS502" t="s">
        <v>13887</v>
      </c>
      <c r="BT502" t="s">
        <v>13808</v>
      </c>
      <c r="BU502" t="s">
        <v>21286</v>
      </c>
      <c r="BY502" t="s">
        <v>13887</v>
      </c>
      <c r="BZ502" t="s">
        <v>13808</v>
      </c>
      <c r="CA502" t="s">
        <v>13937</v>
      </c>
      <c r="CE502" t="s">
        <v>14693</v>
      </c>
      <c r="CF502" t="s">
        <v>13808</v>
      </c>
      <c r="CG502" t="s">
        <v>14173</v>
      </c>
      <c r="CL502" t="s">
        <v>13809</v>
      </c>
      <c r="CR502" t="s">
        <v>13809</v>
      </c>
      <c r="CT502" t="s">
        <v>21439</v>
      </c>
      <c r="CU502" t="s">
        <v>15280</v>
      </c>
      <c r="CV502" t="s">
        <v>13808</v>
      </c>
      <c r="CX502" t="s">
        <v>15472</v>
      </c>
      <c r="CY502" t="s">
        <v>13818</v>
      </c>
      <c r="DA502" t="s">
        <v>15280</v>
      </c>
      <c r="DB502" t="s">
        <v>13808</v>
      </c>
      <c r="DD502" t="s">
        <v>15472</v>
      </c>
      <c r="DE502" t="s">
        <v>13818</v>
      </c>
      <c r="DH502" t="s">
        <v>13809</v>
      </c>
      <c r="DM502" t="s">
        <v>15280</v>
      </c>
      <c r="DN502" t="s">
        <v>13808</v>
      </c>
      <c r="DY502" t="s">
        <v>15828</v>
      </c>
      <c r="DZ502" t="s">
        <v>21440</v>
      </c>
      <c r="EA502" t="s">
        <v>15744</v>
      </c>
      <c r="EC502">
        <v>44217</v>
      </c>
      <c r="ED502" t="s">
        <v>13903</v>
      </c>
      <c r="EE502" t="s">
        <v>8467</v>
      </c>
    </row>
    <row r="503" spans="1:135">
      <c r="A503" t="s">
        <v>3256</v>
      </c>
      <c r="B503" t="s">
        <v>3161</v>
      </c>
      <c r="C503" t="s">
        <v>21441</v>
      </c>
      <c r="D503" s="24">
        <v>43461</v>
      </c>
      <c r="E503" s="24" t="s">
        <v>13555</v>
      </c>
      <c r="F503" s="24" t="s">
        <v>21442</v>
      </c>
      <c r="G503" s="24" t="s">
        <v>13808</v>
      </c>
      <c r="H503" s="24"/>
      <c r="I503" s="24" t="s">
        <v>13809</v>
      </c>
      <c r="J503" s="24"/>
      <c r="K503" s="24" t="s">
        <v>13808</v>
      </c>
      <c r="L503" s="24"/>
      <c r="M503" s="24" t="s">
        <v>13846</v>
      </c>
      <c r="N503" s="24" t="s">
        <v>13808</v>
      </c>
      <c r="O503" s="24"/>
      <c r="P503" s="24" t="s">
        <v>13808</v>
      </c>
      <c r="Q503" s="24"/>
      <c r="R503" s="24" t="s">
        <v>13808</v>
      </c>
      <c r="S503" s="24"/>
      <c r="T503" t="s">
        <v>14429</v>
      </c>
      <c r="U503" t="s">
        <v>13808</v>
      </c>
      <c r="W503" t="s">
        <v>13808</v>
      </c>
      <c r="X503" t="s">
        <v>21443</v>
      </c>
      <c r="Y503" t="s">
        <v>13809</v>
      </c>
      <c r="AA503" t="s">
        <v>14971</v>
      </c>
      <c r="AB503" t="s">
        <v>21444</v>
      </c>
      <c r="AC503" t="s">
        <v>13808</v>
      </c>
      <c r="AH503" t="s">
        <v>13909</v>
      </c>
      <c r="AI503" t="s">
        <v>13808</v>
      </c>
      <c r="AO503" t="s">
        <v>13809</v>
      </c>
      <c r="AT503" t="s">
        <v>21226</v>
      </c>
      <c r="AU503" t="s">
        <v>13808</v>
      </c>
      <c r="AZ503" t="s">
        <v>20202</v>
      </c>
      <c r="BA503" t="s">
        <v>13808</v>
      </c>
      <c r="BF503" t="s">
        <v>21445</v>
      </c>
      <c r="BG503" t="s">
        <v>13808</v>
      </c>
      <c r="BL503" t="s">
        <v>21446</v>
      </c>
      <c r="BM503" t="s">
        <v>13808</v>
      </c>
      <c r="BR503" t="s">
        <v>21447</v>
      </c>
      <c r="BS503" t="s">
        <v>13887</v>
      </c>
      <c r="BT503" t="s">
        <v>13808</v>
      </c>
      <c r="BU503" t="s">
        <v>19538</v>
      </c>
      <c r="BY503" t="s">
        <v>13887</v>
      </c>
      <c r="BZ503" t="s">
        <v>13808</v>
      </c>
      <c r="CA503" t="s">
        <v>14026</v>
      </c>
      <c r="CE503" t="s">
        <v>14197</v>
      </c>
      <c r="CF503" t="s">
        <v>13808</v>
      </c>
      <c r="CH503" t="s">
        <v>15138</v>
      </c>
      <c r="CI503" t="s">
        <v>13808</v>
      </c>
      <c r="CK503" t="s">
        <v>21448</v>
      </c>
      <c r="CL503" t="s">
        <v>13808</v>
      </c>
      <c r="CM503" t="s">
        <v>14173</v>
      </c>
      <c r="CR503" t="s">
        <v>13809</v>
      </c>
      <c r="CT503" t="s">
        <v>21449</v>
      </c>
      <c r="CU503" t="s">
        <v>13909</v>
      </c>
      <c r="CV503" t="s">
        <v>13808</v>
      </c>
      <c r="DA503" t="s">
        <v>13909</v>
      </c>
      <c r="DB503" t="s">
        <v>13808</v>
      </c>
      <c r="DH503" t="s">
        <v>13809</v>
      </c>
      <c r="DM503" t="s">
        <v>13909</v>
      </c>
      <c r="DN503" t="s">
        <v>13808</v>
      </c>
      <c r="DZ503" t="s">
        <v>21450</v>
      </c>
      <c r="EA503" t="s">
        <v>14627</v>
      </c>
      <c r="EC503">
        <v>43726</v>
      </c>
      <c r="ED503" t="s">
        <v>13903</v>
      </c>
      <c r="EE503" t="s">
        <v>7968</v>
      </c>
    </row>
    <row r="504" spans="1:135">
      <c r="A504" t="s">
        <v>3438</v>
      </c>
      <c r="B504" t="s">
        <v>3399</v>
      </c>
      <c r="C504" t="s">
        <v>21451</v>
      </c>
      <c r="D504" s="24">
        <v>44232</v>
      </c>
      <c r="E504" s="24" t="s">
        <v>13555</v>
      </c>
      <c r="F504" s="24" t="s">
        <v>21452</v>
      </c>
      <c r="G504" s="24" t="s">
        <v>13808</v>
      </c>
      <c r="H504" s="24"/>
      <c r="I504" s="24" t="s">
        <v>13809</v>
      </c>
      <c r="J504" s="24"/>
      <c r="K504" s="24" t="s">
        <v>13808</v>
      </c>
      <c r="L504" s="24"/>
      <c r="M504" s="24" t="s">
        <v>21453</v>
      </c>
      <c r="N504" s="24" t="s">
        <v>13808</v>
      </c>
      <c r="O504" s="24"/>
      <c r="P504" s="24" t="s">
        <v>13808</v>
      </c>
      <c r="Q504" s="24"/>
      <c r="R504" s="24" t="s">
        <v>13818</v>
      </c>
      <c r="S504" s="24" t="s">
        <v>21454</v>
      </c>
      <c r="T504" t="s">
        <v>21455</v>
      </c>
      <c r="U504" t="s">
        <v>13809</v>
      </c>
      <c r="W504" t="s">
        <v>13808</v>
      </c>
      <c r="X504" t="s">
        <v>21456</v>
      </c>
      <c r="Y504" t="s">
        <v>13809</v>
      </c>
      <c r="AA504" t="s">
        <v>14971</v>
      </c>
      <c r="AC504" t="s">
        <v>13809</v>
      </c>
      <c r="AH504" t="s">
        <v>13909</v>
      </c>
      <c r="AI504" t="s">
        <v>13808</v>
      </c>
      <c r="AO504" t="s">
        <v>13809</v>
      </c>
      <c r="AT504" t="s">
        <v>14706</v>
      </c>
      <c r="AU504" t="s">
        <v>13808</v>
      </c>
      <c r="AZ504" t="s">
        <v>20630</v>
      </c>
      <c r="BA504" t="s">
        <v>13808</v>
      </c>
      <c r="BF504" t="s">
        <v>21457</v>
      </c>
      <c r="BG504" t="s">
        <v>13808</v>
      </c>
      <c r="BL504" t="s">
        <v>13880</v>
      </c>
      <c r="BM504" t="s">
        <v>13808</v>
      </c>
      <c r="BR504" t="s">
        <v>21458</v>
      </c>
      <c r="BS504" t="s">
        <v>13887</v>
      </c>
      <c r="BT504" t="s">
        <v>13808</v>
      </c>
      <c r="BU504" t="s">
        <v>21286</v>
      </c>
      <c r="BY504" t="s">
        <v>13887</v>
      </c>
      <c r="BZ504" t="s">
        <v>13808</v>
      </c>
      <c r="CA504" t="s">
        <v>13937</v>
      </c>
      <c r="CE504" t="s">
        <v>14197</v>
      </c>
      <c r="CF504" t="s">
        <v>13818</v>
      </c>
      <c r="CG504" t="s">
        <v>21415</v>
      </c>
      <c r="CK504" t="s">
        <v>13887</v>
      </c>
      <c r="CL504" t="s">
        <v>13808</v>
      </c>
      <c r="CR504" t="s">
        <v>13809</v>
      </c>
      <c r="CT504" t="s">
        <v>21459</v>
      </c>
      <c r="CU504" t="s">
        <v>21460</v>
      </c>
      <c r="CV504" t="s">
        <v>13808</v>
      </c>
      <c r="DA504" t="s">
        <v>21461</v>
      </c>
      <c r="DB504" t="s">
        <v>13808</v>
      </c>
      <c r="DH504" t="s">
        <v>13809</v>
      </c>
      <c r="DM504" t="s">
        <v>21462</v>
      </c>
      <c r="DN504" t="s">
        <v>13808</v>
      </c>
      <c r="DP504" t="s">
        <v>21463</v>
      </c>
      <c r="DQ504" t="s">
        <v>13808</v>
      </c>
      <c r="DY504" t="s">
        <v>13869</v>
      </c>
      <c r="DZ504" t="s">
        <v>20656</v>
      </c>
      <c r="EA504" t="s">
        <v>15744</v>
      </c>
      <c r="EC504">
        <v>44256</v>
      </c>
      <c r="ED504" t="s">
        <v>17223</v>
      </c>
      <c r="EE504" t="s">
        <v>8155</v>
      </c>
    </row>
    <row r="505" spans="1:135">
      <c r="A505" t="s">
        <v>3527</v>
      </c>
      <c r="B505" t="s">
        <v>3506</v>
      </c>
      <c r="C505" t="s">
        <v>21464</v>
      </c>
      <c r="D505" s="24">
        <v>43227</v>
      </c>
      <c r="E505" s="24" t="s">
        <v>13560</v>
      </c>
      <c r="F505" s="24" t="s">
        <v>21465</v>
      </c>
      <c r="G505" s="24" t="s">
        <v>13808</v>
      </c>
      <c r="H505" s="24"/>
      <c r="I505" s="24" t="s">
        <v>13809</v>
      </c>
      <c r="J505" s="24"/>
      <c r="K505" s="24" t="s">
        <v>13808</v>
      </c>
      <c r="L505" s="24"/>
      <c r="M505" s="24" t="s">
        <v>21466</v>
      </c>
      <c r="N505" s="24" t="s">
        <v>13808</v>
      </c>
      <c r="O505" s="24"/>
      <c r="P505" s="24" t="s">
        <v>13808</v>
      </c>
      <c r="Q505" s="24"/>
      <c r="R505" s="24" t="s">
        <v>13808</v>
      </c>
      <c r="S505" s="24"/>
      <c r="T505" t="s">
        <v>21467</v>
      </c>
      <c r="U505" t="s">
        <v>13809</v>
      </c>
      <c r="W505" t="s">
        <v>13809</v>
      </c>
      <c r="Y505" t="s">
        <v>13809</v>
      </c>
      <c r="AA505" t="s">
        <v>21468</v>
      </c>
      <c r="AC505" t="s">
        <v>13809</v>
      </c>
      <c r="AH505" t="s">
        <v>13887</v>
      </c>
      <c r="AI505" t="s">
        <v>13808</v>
      </c>
      <c r="AK505" t="s">
        <v>21469</v>
      </c>
      <c r="AL505" t="s">
        <v>13818</v>
      </c>
      <c r="AM505" t="s">
        <v>21470</v>
      </c>
      <c r="AN505" t="s">
        <v>15209</v>
      </c>
      <c r="AO505" t="s">
        <v>13818</v>
      </c>
      <c r="AP505" t="s">
        <v>14415</v>
      </c>
      <c r="AU505" t="s">
        <v>13809</v>
      </c>
      <c r="AZ505" t="s">
        <v>21471</v>
      </c>
      <c r="BA505" t="s">
        <v>13808</v>
      </c>
      <c r="BC505" t="s">
        <v>21472</v>
      </c>
      <c r="BD505" t="s">
        <v>13818</v>
      </c>
      <c r="BE505" t="s">
        <v>14415</v>
      </c>
      <c r="BF505" t="s">
        <v>14192</v>
      </c>
      <c r="BG505" t="s">
        <v>13808</v>
      </c>
      <c r="BI505" t="s">
        <v>14056</v>
      </c>
      <c r="BJ505" t="s">
        <v>13818</v>
      </c>
      <c r="BK505" t="s">
        <v>14415</v>
      </c>
      <c r="BL505" t="s">
        <v>14689</v>
      </c>
      <c r="BM505" t="s">
        <v>13818</v>
      </c>
      <c r="BN505" t="s">
        <v>14415</v>
      </c>
      <c r="BR505" t="s">
        <v>21473</v>
      </c>
      <c r="BT505" t="s">
        <v>13809</v>
      </c>
      <c r="BY505" t="s">
        <v>14265</v>
      </c>
      <c r="BZ505" t="s">
        <v>13818</v>
      </c>
      <c r="CA505" t="s">
        <v>14309</v>
      </c>
      <c r="CB505" t="s">
        <v>13887</v>
      </c>
      <c r="CC505" t="s">
        <v>13808</v>
      </c>
      <c r="CD505" t="s">
        <v>13937</v>
      </c>
      <c r="CE505" t="s">
        <v>13887</v>
      </c>
      <c r="CF505" t="s">
        <v>13808</v>
      </c>
      <c r="CH505" t="s">
        <v>14197</v>
      </c>
      <c r="CI505" t="s">
        <v>13818</v>
      </c>
      <c r="CJ505" t="s">
        <v>14414</v>
      </c>
      <c r="CK505" t="s">
        <v>13887</v>
      </c>
      <c r="CL505" t="s">
        <v>13808</v>
      </c>
      <c r="CR505" t="s">
        <v>13809</v>
      </c>
      <c r="CT505" t="s">
        <v>21474</v>
      </c>
      <c r="CU505" t="s">
        <v>13909</v>
      </c>
      <c r="CV505" t="s">
        <v>13818</v>
      </c>
      <c r="DA505" t="s">
        <v>13909</v>
      </c>
      <c r="DB505" t="s">
        <v>13818</v>
      </c>
      <c r="DG505" t="s">
        <v>13909</v>
      </c>
      <c r="DH505" t="s">
        <v>13818</v>
      </c>
      <c r="DM505" t="s">
        <v>21475</v>
      </c>
      <c r="DN505" t="s">
        <v>13808</v>
      </c>
      <c r="DO505" t="s">
        <v>14499</v>
      </c>
      <c r="DZ505" t="s">
        <v>13841</v>
      </c>
      <c r="EA505" t="s">
        <v>14201</v>
      </c>
      <c r="EC505">
        <v>43726</v>
      </c>
      <c r="ED505" t="s">
        <v>13903</v>
      </c>
      <c r="EE505" t="s">
        <v>8299</v>
      </c>
    </row>
    <row r="506" spans="1:135">
      <c r="A506" t="s">
        <v>3970</v>
      </c>
      <c r="B506" t="s">
        <v>3939</v>
      </c>
      <c r="C506" t="s">
        <v>21476</v>
      </c>
      <c r="D506" s="24">
        <v>44820</v>
      </c>
      <c r="E506" s="24" t="s">
        <v>13555</v>
      </c>
      <c r="F506" s="24" t="s">
        <v>21477</v>
      </c>
      <c r="G506" s="24" t="s">
        <v>13808</v>
      </c>
      <c r="H506" s="24"/>
      <c r="I506" s="24" t="s">
        <v>13809</v>
      </c>
      <c r="J506" s="24"/>
      <c r="K506" s="24" t="s">
        <v>13808</v>
      </c>
      <c r="L506" s="24"/>
      <c r="M506" s="24" t="s">
        <v>21478</v>
      </c>
      <c r="N506" s="24" t="s">
        <v>13808</v>
      </c>
      <c r="O506" s="24"/>
      <c r="P506" s="24" t="s">
        <v>13808</v>
      </c>
      <c r="Q506" s="24"/>
      <c r="R506" s="24" t="s">
        <v>13808</v>
      </c>
      <c r="S506" s="24"/>
      <c r="T506" t="s">
        <v>16463</v>
      </c>
      <c r="U506" t="s">
        <v>13809</v>
      </c>
      <c r="W506" t="s">
        <v>13808</v>
      </c>
      <c r="X506" t="s">
        <v>21479</v>
      </c>
      <c r="Y506" t="s">
        <v>13809</v>
      </c>
      <c r="AA506" t="s">
        <v>14971</v>
      </c>
      <c r="AB506" t="s">
        <v>13699</v>
      </c>
      <c r="AC506" t="s">
        <v>13809</v>
      </c>
      <c r="AH506" t="s">
        <v>21480</v>
      </c>
      <c r="AI506" t="s">
        <v>13808</v>
      </c>
      <c r="AN506" t="s">
        <v>21481</v>
      </c>
      <c r="AO506" t="s">
        <v>13808</v>
      </c>
      <c r="AT506" t="s">
        <v>13717</v>
      </c>
      <c r="AU506" t="s">
        <v>13809</v>
      </c>
      <c r="AZ506" t="s">
        <v>21482</v>
      </c>
      <c r="BA506" t="s">
        <v>13808</v>
      </c>
      <c r="BF506" t="s">
        <v>21483</v>
      </c>
      <c r="BG506" t="s">
        <v>13808</v>
      </c>
      <c r="BL506" t="s">
        <v>21484</v>
      </c>
      <c r="BM506" t="s">
        <v>13808</v>
      </c>
      <c r="BR506" t="s">
        <v>21485</v>
      </c>
      <c r="BS506" t="s">
        <v>14779</v>
      </c>
      <c r="BT506" t="s">
        <v>13808</v>
      </c>
      <c r="BU506" t="s">
        <v>14233</v>
      </c>
      <c r="BY506" t="s">
        <v>21486</v>
      </c>
      <c r="BZ506" t="s">
        <v>13808</v>
      </c>
      <c r="CA506" t="s">
        <v>13861</v>
      </c>
      <c r="CE506" t="s">
        <v>18910</v>
      </c>
      <c r="CF506" t="s">
        <v>13808</v>
      </c>
      <c r="CG506" t="s">
        <v>13863</v>
      </c>
      <c r="CK506" t="s">
        <v>13760</v>
      </c>
      <c r="CL506" t="s">
        <v>13809</v>
      </c>
      <c r="CQ506" t="s">
        <v>13766</v>
      </c>
      <c r="CR506" t="s">
        <v>13809</v>
      </c>
      <c r="CT506" t="s">
        <v>14293</v>
      </c>
      <c r="CU506" t="s">
        <v>21487</v>
      </c>
      <c r="CV506" t="s">
        <v>13808</v>
      </c>
      <c r="DA506" t="s">
        <v>21488</v>
      </c>
      <c r="DB506" t="s">
        <v>13808</v>
      </c>
      <c r="DM506" t="s">
        <v>21489</v>
      </c>
      <c r="DN506" t="s">
        <v>13808</v>
      </c>
      <c r="DO506" t="s">
        <v>21490</v>
      </c>
      <c r="DP506" t="s">
        <v>21491</v>
      </c>
      <c r="DQ506" t="s">
        <v>13808</v>
      </c>
      <c r="DR506" t="s">
        <v>13839</v>
      </c>
      <c r="DZ506" t="s">
        <v>21492</v>
      </c>
      <c r="EA506" t="s">
        <v>21493</v>
      </c>
      <c r="EC506">
        <v>44826</v>
      </c>
      <c r="ED506" t="s">
        <v>14298</v>
      </c>
      <c r="EE506" t="s">
        <v>8806</v>
      </c>
    </row>
    <row r="507" spans="1:135">
      <c r="A507" t="s">
        <v>3974</v>
      </c>
      <c r="B507" t="s">
        <v>3939</v>
      </c>
      <c r="C507" t="s">
        <v>21494</v>
      </c>
      <c r="D507" s="24">
        <v>44027</v>
      </c>
      <c r="E507" s="24" t="s">
        <v>13559</v>
      </c>
      <c r="F507" s="24" t="s">
        <v>21495</v>
      </c>
      <c r="G507" s="24" t="s">
        <v>13808</v>
      </c>
      <c r="H507" s="24"/>
      <c r="I507" s="24" t="s">
        <v>13809</v>
      </c>
      <c r="J507" s="24"/>
      <c r="K507" s="24" t="s">
        <v>13808</v>
      </c>
      <c r="L507" s="24" t="s">
        <v>21496</v>
      </c>
      <c r="M507" s="24" t="s">
        <v>21497</v>
      </c>
      <c r="N507" s="24" t="s">
        <v>13808</v>
      </c>
      <c r="O507" s="24"/>
      <c r="P507" s="24" t="s">
        <v>13808</v>
      </c>
      <c r="Q507" s="24"/>
      <c r="R507" s="24" t="s">
        <v>13818</v>
      </c>
      <c r="S507" s="24" t="s">
        <v>21498</v>
      </c>
      <c r="T507" t="s">
        <v>14071</v>
      </c>
      <c r="U507" t="s">
        <v>13809</v>
      </c>
      <c r="W507" t="s">
        <v>13809</v>
      </c>
      <c r="Y507" t="s">
        <v>13809</v>
      </c>
      <c r="AA507" t="s">
        <v>21499</v>
      </c>
      <c r="AB507" t="s">
        <v>15833</v>
      </c>
      <c r="AC507" t="s">
        <v>13818</v>
      </c>
      <c r="AD507" t="s">
        <v>14309</v>
      </c>
      <c r="AH507" t="s">
        <v>13887</v>
      </c>
      <c r="AI507" t="s">
        <v>13808</v>
      </c>
      <c r="AK507" t="s">
        <v>14378</v>
      </c>
      <c r="AL507" t="s">
        <v>13818</v>
      </c>
      <c r="AM507" t="s">
        <v>14309</v>
      </c>
      <c r="AN507" t="s">
        <v>14705</v>
      </c>
      <c r="AO507" t="s">
        <v>13818</v>
      </c>
      <c r="AP507" t="s">
        <v>14309</v>
      </c>
      <c r="AT507" t="s">
        <v>18725</v>
      </c>
      <c r="AU507" t="s">
        <v>13818</v>
      </c>
      <c r="AV507" t="s">
        <v>14415</v>
      </c>
      <c r="AZ507" t="s">
        <v>21500</v>
      </c>
      <c r="BA507" t="s">
        <v>13818</v>
      </c>
      <c r="BB507" t="s">
        <v>14309</v>
      </c>
      <c r="BF507" t="s">
        <v>15530</v>
      </c>
      <c r="BG507" t="s">
        <v>13818</v>
      </c>
      <c r="BH507" t="s">
        <v>14309</v>
      </c>
      <c r="BM507" t="s">
        <v>13809</v>
      </c>
      <c r="BR507" t="s">
        <v>21501</v>
      </c>
      <c r="BS507" t="s">
        <v>13887</v>
      </c>
      <c r="BT507" t="s">
        <v>13808</v>
      </c>
      <c r="BU507" t="s">
        <v>14233</v>
      </c>
      <c r="BY507" t="s">
        <v>13887</v>
      </c>
      <c r="BZ507" t="s">
        <v>13808</v>
      </c>
      <c r="CA507" t="s">
        <v>13937</v>
      </c>
      <c r="CE507" t="s">
        <v>14197</v>
      </c>
      <c r="CF507" t="s">
        <v>13818</v>
      </c>
      <c r="CG507" t="s">
        <v>18355</v>
      </c>
      <c r="CL507" t="s">
        <v>13809</v>
      </c>
      <c r="CR507" t="s">
        <v>21502</v>
      </c>
      <c r="CT507" t="s">
        <v>18436</v>
      </c>
      <c r="CU507" t="s">
        <v>14177</v>
      </c>
      <c r="CV507" t="s">
        <v>13808</v>
      </c>
      <c r="CX507" t="s">
        <v>21503</v>
      </c>
      <c r="CY507" t="s">
        <v>13818</v>
      </c>
      <c r="DA507" t="s">
        <v>17167</v>
      </c>
      <c r="DB507" t="s">
        <v>13808</v>
      </c>
      <c r="DD507" t="s">
        <v>19246</v>
      </c>
      <c r="DE507" t="s">
        <v>13818</v>
      </c>
      <c r="DG507" t="s">
        <v>21504</v>
      </c>
      <c r="DH507" t="s">
        <v>13818</v>
      </c>
      <c r="DY507" t="s">
        <v>13840</v>
      </c>
      <c r="DZ507" t="s">
        <v>13841</v>
      </c>
      <c r="EA507" t="s">
        <v>13842</v>
      </c>
      <c r="ED507" t="s">
        <v>13903</v>
      </c>
      <c r="EE507" t="s">
        <v>8810</v>
      </c>
    </row>
    <row r="508" spans="1:135">
      <c r="A508" t="s">
        <v>3978</v>
      </c>
      <c r="B508" t="s">
        <v>3939</v>
      </c>
      <c r="C508" t="s">
        <v>21505</v>
      </c>
      <c r="D508" s="24">
        <v>43178</v>
      </c>
      <c r="E508" s="24" t="s">
        <v>13557</v>
      </c>
      <c r="F508" s="24" t="s">
        <v>21506</v>
      </c>
      <c r="G508" s="24" t="s">
        <v>13808</v>
      </c>
      <c r="H508" s="24"/>
      <c r="I508" s="24" t="s">
        <v>13809</v>
      </c>
      <c r="J508" s="24"/>
      <c r="K508" s="24" t="s">
        <v>13808</v>
      </c>
      <c r="L508" s="24"/>
      <c r="M508" s="24" t="s">
        <v>14410</v>
      </c>
      <c r="N508" s="24"/>
      <c r="O508" s="24"/>
      <c r="P508" s="24"/>
      <c r="Q508" s="24"/>
      <c r="R508" s="24"/>
      <c r="S508" s="24"/>
      <c r="T508" t="s">
        <v>21507</v>
      </c>
      <c r="U508" t="s">
        <v>13809</v>
      </c>
      <c r="W508" t="s">
        <v>13808</v>
      </c>
      <c r="X508" t="s">
        <v>21508</v>
      </c>
      <c r="Y508" t="s">
        <v>13808</v>
      </c>
      <c r="AA508" t="s">
        <v>13928</v>
      </c>
      <c r="AB508" t="s">
        <v>18533</v>
      </c>
      <c r="AC508" t="s">
        <v>13808</v>
      </c>
      <c r="AH508" t="s">
        <v>13851</v>
      </c>
      <c r="AI508" t="s">
        <v>13808</v>
      </c>
      <c r="AN508" t="s">
        <v>21509</v>
      </c>
      <c r="AO508" t="s">
        <v>13808</v>
      </c>
      <c r="AT508" t="s">
        <v>16807</v>
      </c>
      <c r="AU508" t="s">
        <v>13808</v>
      </c>
      <c r="AZ508" t="s">
        <v>19824</v>
      </c>
      <c r="BA508" t="s">
        <v>13808</v>
      </c>
      <c r="BF508" t="s">
        <v>17068</v>
      </c>
      <c r="BG508" t="s">
        <v>13808</v>
      </c>
      <c r="BL508" t="s">
        <v>13735</v>
      </c>
      <c r="BM508" t="s">
        <v>13809</v>
      </c>
      <c r="BR508" t="s">
        <v>21510</v>
      </c>
      <c r="BS508" t="s">
        <v>13824</v>
      </c>
      <c r="BT508" t="s">
        <v>13808</v>
      </c>
      <c r="BU508" t="s">
        <v>14336</v>
      </c>
      <c r="BY508" t="s">
        <v>13860</v>
      </c>
      <c r="BZ508" t="s">
        <v>13808</v>
      </c>
      <c r="CA508" t="s">
        <v>13937</v>
      </c>
      <c r="CE508" t="s">
        <v>13828</v>
      </c>
      <c r="CF508" t="s">
        <v>13808</v>
      </c>
      <c r="CK508" t="s">
        <v>13760</v>
      </c>
      <c r="CL508" t="s">
        <v>13809</v>
      </c>
      <c r="CQ508" t="s">
        <v>13766</v>
      </c>
      <c r="CR508" t="s">
        <v>13809</v>
      </c>
      <c r="CT508" t="s">
        <v>21511</v>
      </c>
      <c r="CU508" t="s">
        <v>21512</v>
      </c>
      <c r="CV508" t="s">
        <v>13808</v>
      </c>
      <c r="CX508" t="s">
        <v>15061</v>
      </c>
      <c r="CY508" t="s">
        <v>13818</v>
      </c>
      <c r="DA508" t="s">
        <v>21513</v>
      </c>
      <c r="DB508" t="s">
        <v>13808</v>
      </c>
      <c r="DD508" t="s">
        <v>15061</v>
      </c>
      <c r="DE508" t="s">
        <v>13818</v>
      </c>
      <c r="DG508" t="s">
        <v>14240</v>
      </c>
      <c r="DH508" t="s">
        <v>13808</v>
      </c>
      <c r="DY508" t="s">
        <v>14606</v>
      </c>
      <c r="DZ508" t="s">
        <v>13841</v>
      </c>
      <c r="EA508" t="s">
        <v>16821</v>
      </c>
      <c r="EC508">
        <v>44627</v>
      </c>
      <c r="ED508" t="s">
        <v>13843</v>
      </c>
      <c r="EE508" t="s">
        <v>8814</v>
      </c>
    </row>
    <row r="509" spans="1:135">
      <c r="A509" t="s">
        <v>3685</v>
      </c>
      <c r="B509" t="s">
        <v>3619</v>
      </c>
      <c r="C509" t="s">
        <v>21514</v>
      </c>
      <c r="D509" s="24">
        <v>43704</v>
      </c>
      <c r="E509" s="24" t="s">
        <v>13553</v>
      </c>
      <c r="F509" s="24" t="s">
        <v>21515</v>
      </c>
      <c r="G509" s="24" t="s">
        <v>13808</v>
      </c>
      <c r="H509" s="24"/>
      <c r="I509" s="24" t="s">
        <v>13809</v>
      </c>
      <c r="J509" s="24"/>
      <c r="K509" s="24" t="s">
        <v>13808</v>
      </c>
      <c r="L509" s="24"/>
      <c r="M509" s="24" t="s">
        <v>13874</v>
      </c>
      <c r="N509" s="24" t="s">
        <v>13808</v>
      </c>
      <c r="O509" s="24"/>
      <c r="P509" s="24" t="s">
        <v>13808</v>
      </c>
      <c r="Q509" s="24"/>
      <c r="R509" s="24" t="s">
        <v>13808</v>
      </c>
      <c r="S509" s="24"/>
      <c r="T509" t="s">
        <v>14016</v>
      </c>
      <c r="U509" t="s">
        <v>13809</v>
      </c>
      <c r="W509" t="s">
        <v>13808</v>
      </c>
      <c r="X509" t="s">
        <v>21516</v>
      </c>
      <c r="Y509" t="s">
        <v>13809</v>
      </c>
      <c r="AA509" t="s">
        <v>13877</v>
      </c>
      <c r="AB509" t="s">
        <v>21517</v>
      </c>
      <c r="AC509" t="s">
        <v>13808</v>
      </c>
      <c r="AH509" t="s">
        <v>13909</v>
      </c>
      <c r="AI509" t="s">
        <v>13808</v>
      </c>
      <c r="AN509" t="s">
        <v>21518</v>
      </c>
      <c r="AO509" t="s">
        <v>13808</v>
      </c>
      <c r="AT509" t="s">
        <v>15212</v>
      </c>
      <c r="AU509" t="s">
        <v>13808</v>
      </c>
      <c r="AZ509" t="s">
        <v>14177</v>
      </c>
      <c r="BA509" t="s">
        <v>13808</v>
      </c>
      <c r="BF509" t="s">
        <v>14022</v>
      </c>
      <c r="BG509" t="s">
        <v>13808</v>
      </c>
      <c r="BL509" t="s">
        <v>21519</v>
      </c>
      <c r="BM509" t="s">
        <v>13808</v>
      </c>
      <c r="BR509" t="s">
        <v>21520</v>
      </c>
      <c r="BS509" t="s">
        <v>13887</v>
      </c>
      <c r="BT509" t="s">
        <v>13808</v>
      </c>
      <c r="BU509" t="s">
        <v>21521</v>
      </c>
      <c r="BY509" t="s">
        <v>13887</v>
      </c>
      <c r="BZ509" t="s">
        <v>13808</v>
      </c>
      <c r="CA509" t="s">
        <v>21522</v>
      </c>
      <c r="CE509" t="s">
        <v>13885</v>
      </c>
      <c r="CF509" t="s">
        <v>13808</v>
      </c>
      <c r="CG509" t="s">
        <v>21523</v>
      </c>
      <c r="CL509" t="s">
        <v>13809</v>
      </c>
      <c r="CR509" t="s">
        <v>13809</v>
      </c>
      <c r="CT509" t="s">
        <v>21524</v>
      </c>
      <c r="CU509" t="s">
        <v>21525</v>
      </c>
      <c r="CV509" t="s">
        <v>13808</v>
      </c>
      <c r="DA509" t="s">
        <v>21526</v>
      </c>
      <c r="DB509" t="s">
        <v>13808</v>
      </c>
      <c r="DG509" t="s">
        <v>15822</v>
      </c>
      <c r="DH509" t="s">
        <v>13808</v>
      </c>
      <c r="DI509" t="s">
        <v>13893</v>
      </c>
      <c r="DJ509" t="s">
        <v>14260</v>
      </c>
      <c r="DK509" t="s">
        <v>13808</v>
      </c>
      <c r="DL509" t="s">
        <v>13895</v>
      </c>
      <c r="DM509" t="s">
        <v>21527</v>
      </c>
      <c r="DN509" t="s">
        <v>13808</v>
      </c>
      <c r="DY509" t="s">
        <v>15144</v>
      </c>
      <c r="DZ509" t="s">
        <v>21528</v>
      </c>
      <c r="EA509" t="s">
        <v>13922</v>
      </c>
      <c r="ED509" t="s">
        <v>13903</v>
      </c>
      <c r="EE509" t="s">
        <v>8471</v>
      </c>
    </row>
    <row r="510" spans="1:135">
      <c r="A510" t="s">
        <v>3982</v>
      </c>
      <c r="B510" t="s">
        <v>3939</v>
      </c>
      <c r="C510" t="s">
        <v>21529</v>
      </c>
      <c r="D510" s="24">
        <v>43178</v>
      </c>
      <c r="E510" s="24" t="s">
        <v>13571</v>
      </c>
      <c r="F510" s="24" t="s">
        <v>21530</v>
      </c>
      <c r="G510" s="24" t="s">
        <v>13808</v>
      </c>
      <c r="H510" s="24"/>
      <c r="I510" s="24" t="s">
        <v>13809</v>
      </c>
      <c r="J510" s="24"/>
      <c r="K510" s="24" t="s">
        <v>13809</v>
      </c>
      <c r="L510" s="24"/>
      <c r="M510" s="24" t="s">
        <v>13846</v>
      </c>
      <c r="N510" s="24" t="s">
        <v>13808</v>
      </c>
      <c r="O510" s="24"/>
      <c r="P510" s="24" t="s">
        <v>13808</v>
      </c>
      <c r="Q510" s="24"/>
      <c r="R510" s="24" t="s">
        <v>13808</v>
      </c>
      <c r="S510" s="24"/>
      <c r="T510" t="s">
        <v>14034</v>
      </c>
      <c r="U510" t="s">
        <v>13809</v>
      </c>
      <c r="W510" t="s">
        <v>13808</v>
      </c>
      <c r="X510" t="s">
        <v>21531</v>
      </c>
      <c r="Y510" t="s">
        <v>13809</v>
      </c>
      <c r="AA510" t="s">
        <v>14055</v>
      </c>
      <c r="AB510" t="s">
        <v>21532</v>
      </c>
      <c r="AC510" t="s">
        <v>13808</v>
      </c>
      <c r="AH510" t="s">
        <v>13909</v>
      </c>
      <c r="AI510" t="s">
        <v>13808</v>
      </c>
      <c r="AN510" t="s">
        <v>21533</v>
      </c>
      <c r="AO510" t="s">
        <v>13808</v>
      </c>
      <c r="AT510" t="s">
        <v>14816</v>
      </c>
      <c r="AU510" t="s">
        <v>13808</v>
      </c>
      <c r="AZ510" t="s">
        <v>21500</v>
      </c>
      <c r="BA510" t="s">
        <v>13808</v>
      </c>
      <c r="BF510" t="s">
        <v>15025</v>
      </c>
      <c r="BG510" t="s">
        <v>13808</v>
      </c>
      <c r="BH510" t="s">
        <v>21534</v>
      </c>
      <c r="BL510" t="s">
        <v>20239</v>
      </c>
      <c r="BM510" t="s">
        <v>13808</v>
      </c>
      <c r="BR510" t="s">
        <v>21535</v>
      </c>
      <c r="BS510" t="s">
        <v>13887</v>
      </c>
      <c r="BT510" t="s">
        <v>13808</v>
      </c>
      <c r="BU510" t="s">
        <v>15304</v>
      </c>
      <c r="BY510" t="s">
        <v>13887</v>
      </c>
      <c r="BZ510" t="s">
        <v>13808</v>
      </c>
      <c r="CA510" t="s">
        <v>13937</v>
      </c>
      <c r="CE510" t="s">
        <v>14197</v>
      </c>
      <c r="CF510" t="s">
        <v>13818</v>
      </c>
      <c r="CG510" t="s">
        <v>15631</v>
      </c>
      <c r="CK510" t="s">
        <v>13887</v>
      </c>
      <c r="CL510" t="s">
        <v>13808</v>
      </c>
      <c r="CR510" t="s">
        <v>13809</v>
      </c>
      <c r="CT510" t="s">
        <v>21536</v>
      </c>
      <c r="CU510" t="s">
        <v>18402</v>
      </c>
      <c r="CV510" t="s">
        <v>13808</v>
      </c>
      <c r="DA510" t="s">
        <v>18402</v>
      </c>
      <c r="DB510" t="s">
        <v>13808</v>
      </c>
      <c r="DH510" t="s">
        <v>13809</v>
      </c>
      <c r="DM510" t="s">
        <v>14004</v>
      </c>
      <c r="DN510" t="s">
        <v>13808</v>
      </c>
      <c r="DY510" t="s">
        <v>15828</v>
      </c>
      <c r="DZ510" t="s">
        <v>14274</v>
      </c>
      <c r="EA510" t="s">
        <v>21537</v>
      </c>
      <c r="EC510">
        <v>44217</v>
      </c>
      <c r="ED510" t="s">
        <v>13903</v>
      </c>
      <c r="EE510" t="s">
        <v>8821</v>
      </c>
    </row>
    <row r="511" spans="1:135">
      <c r="A511" t="s">
        <v>3856</v>
      </c>
      <c r="B511" t="s">
        <v>3808</v>
      </c>
      <c r="C511" t="s">
        <v>21538</v>
      </c>
      <c r="D511" s="24">
        <v>43318</v>
      </c>
      <c r="E511" s="24" t="s">
        <v>13571</v>
      </c>
      <c r="F511" s="24" t="s">
        <v>21539</v>
      </c>
      <c r="G511" s="24" t="s">
        <v>13808</v>
      </c>
      <c r="H511" s="24"/>
      <c r="I511" s="24" t="s">
        <v>13809</v>
      </c>
      <c r="J511" s="24"/>
      <c r="K511" s="24" t="s">
        <v>13809</v>
      </c>
      <c r="L511" s="24"/>
      <c r="M511" s="24" t="s">
        <v>17316</v>
      </c>
      <c r="N511" s="24" t="s">
        <v>13808</v>
      </c>
      <c r="O511" s="24"/>
      <c r="P511" s="24" t="s">
        <v>13808</v>
      </c>
      <c r="Q511" s="24"/>
      <c r="R511" s="24" t="s">
        <v>13808</v>
      </c>
      <c r="S511" s="24"/>
      <c r="T511" t="s">
        <v>21540</v>
      </c>
      <c r="U511" t="s">
        <v>13809</v>
      </c>
      <c r="W511" t="s">
        <v>13808</v>
      </c>
      <c r="X511" t="s">
        <v>21541</v>
      </c>
      <c r="Y511" t="s">
        <v>13809</v>
      </c>
      <c r="AA511" t="s">
        <v>21542</v>
      </c>
      <c r="AC511" t="s">
        <v>13809</v>
      </c>
      <c r="AH511" t="s">
        <v>15280</v>
      </c>
      <c r="AI511" t="s">
        <v>13808</v>
      </c>
      <c r="AK511" t="s">
        <v>14197</v>
      </c>
      <c r="AL511" t="s">
        <v>13818</v>
      </c>
      <c r="AM511" t="s">
        <v>14415</v>
      </c>
      <c r="AN511" t="s">
        <v>14851</v>
      </c>
      <c r="AO511" t="s">
        <v>13818</v>
      </c>
      <c r="AP511" t="s">
        <v>14415</v>
      </c>
      <c r="AT511" t="s">
        <v>21543</v>
      </c>
      <c r="AU511" t="s">
        <v>13808</v>
      </c>
      <c r="AZ511" t="s">
        <v>16048</v>
      </c>
      <c r="BA511" t="s">
        <v>13808</v>
      </c>
      <c r="BF511" t="s">
        <v>15025</v>
      </c>
      <c r="BG511" t="s">
        <v>13808</v>
      </c>
      <c r="BM511" t="s">
        <v>13809</v>
      </c>
      <c r="BR511" t="s">
        <v>21544</v>
      </c>
      <c r="BS511" t="s">
        <v>13887</v>
      </c>
      <c r="BT511" t="s">
        <v>13808</v>
      </c>
      <c r="BU511" t="s">
        <v>14010</v>
      </c>
      <c r="BY511" t="s">
        <v>13887</v>
      </c>
      <c r="BZ511" t="s">
        <v>13808</v>
      </c>
      <c r="CA511" t="s">
        <v>13937</v>
      </c>
      <c r="CE511" t="s">
        <v>13885</v>
      </c>
      <c r="CF511" t="s">
        <v>13808</v>
      </c>
      <c r="CK511" t="s">
        <v>13887</v>
      </c>
      <c r="CL511" t="s">
        <v>13808</v>
      </c>
      <c r="CR511" t="s">
        <v>13809</v>
      </c>
      <c r="CT511" t="s">
        <v>21545</v>
      </c>
      <c r="CU511" t="s">
        <v>13885</v>
      </c>
      <c r="CV511" t="s">
        <v>13808</v>
      </c>
      <c r="DA511" t="s">
        <v>13885</v>
      </c>
      <c r="DB511" t="s">
        <v>13808</v>
      </c>
      <c r="DG511" t="s">
        <v>13909</v>
      </c>
      <c r="DH511" t="s">
        <v>13818</v>
      </c>
      <c r="DM511" t="s">
        <v>15280</v>
      </c>
      <c r="DN511" t="s">
        <v>13808</v>
      </c>
      <c r="DO511" t="s">
        <v>21546</v>
      </c>
      <c r="DY511" t="s">
        <v>15828</v>
      </c>
      <c r="DZ511" t="s">
        <v>14274</v>
      </c>
      <c r="EA511" t="s">
        <v>21547</v>
      </c>
      <c r="EC511">
        <v>44217</v>
      </c>
      <c r="ED511" t="s">
        <v>13903</v>
      </c>
      <c r="EE511" t="s">
        <v>8661</v>
      </c>
    </row>
    <row r="512" spans="1:135">
      <c r="A512" t="s">
        <v>11807</v>
      </c>
      <c r="B512" t="s">
        <v>4051</v>
      </c>
      <c r="C512" t="s">
        <v>21548</v>
      </c>
      <c r="D512" s="24">
        <v>44496</v>
      </c>
      <c r="E512" s="24" t="s">
        <v>13561</v>
      </c>
      <c r="F512" s="24" t="s">
        <v>21549</v>
      </c>
      <c r="G512" s="24" t="s">
        <v>13818</v>
      </c>
      <c r="H512" s="24"/>
      <c r="I512" s="24" t="s">
        <v>13809</v>
      </c>
      <c r="J512" s="24"/>
      <c r="K512" s="24" t="s">
        <v>13809</v>
      </c>
      <c r="L512" s="24"/>
      <c r="M512" s="24" t="s">
        <v>14304</v>
      </c>
      <c r="N512" s="24" t="s">
        <v>13818</v>
      </c>
      <c r="O512" s="24"/>
      <c r="P512" s="24" t="s">
        <v>13818</v>
      </c>
      <c r="Q512" s="24" t="s">
        <v>21550</v>
      </c>
      <c r="R512" s="24" t="s">
        <v>13818</v>
      </c>
      <c r="S512" s="24"/>
      <c r="T512" t="s">
        <v>21214</v>
      </c>
      <c r="U512" t="s">
        <v>13809</v>
      </c>
      <c r="W512" t="s">
        <v>13809</v>
      </c>
      <c r="Y512" t="s">
        <v>13809</v>
      </c>
      <c r="AA512" t="s">
        <v>14770</v>
      </c>
      <c r="AB512" t="s">
        <v>16342</v>
      </c>
      <c r="AC512" t="s">
        <v>14262</v>
      </c>
      <c r="AD512" t="s">
        <v>14415</v>
      </c>
      <c r="AH512" t="s">
        <v>13909</v>
      </c>
      <c r="AI512" t="s">
        <v>13818</v>
      </c>
      <c r="AJ512" t="s">
        <v>14309</v>
      </c>
      <c r="AN512" t="s">
        <v>21551</v>
      </c>
      <c r="AO512" t="s">
        <v>13818</v>
      </c>
      <c r="AP512" t="s">
        <v>14415</v>
      </c>
      <c r="AT512" t="s">
        <v>14058</v>
      </c>
      <c r="AU512" t="s">
        <v>13818</v>
      </c>
      <c r="AV512" t="s">
        <v>21552</v>
      </c>
      <c r="AZ512" t="s">
        <v>13910</v>
      </c>
      <c r="BA512" t="s">
        <v>13818</v>
      </c>
      <c r="BB512" t="s">
        <v>14415</v>
      </c>
      <c r="BF512" t="s">
        <v>14816</v>
      </c>
      <c r="BG512" t="s">
        <v>13818</v>
      </c>
      <c r="BH512" t="s">
        <v>14415</v>
      </c>
      <c r="BL512" t="s">
        <v>18836</v>
      </c>
      <c r="BM512" t="s">
        <v>13818</v>
      </c>
      <c r="BN512" t="s">
        <v>13819</v>
      </c>
      <c r="BR512" t="s">
        <v>21553</v>
      </c>
      <c r="BS512" t="s">
        <v>13887</v>
      </c>
      <c r="BT512" t="s">
        <v>13818</v>
      </c>
      <c r="BU512" t="s">
        <v>21554</v>
      </c>
      <c r="BY512" t="s">
        <v>13887</v>
      </c>
      <c r="BZ512" t="s">
        <v>13818</v>
      </c>
      <c r="CA512" t="s">
        <v>21555</v>
      </c>
      <c r="CE512" t="s">
        <v>14197</v>
      </c>
      <c r="CF512" t="s">
        <v>13818</v>
      </c>
      <c r="CG512" t="s">
        <v>21556</v>
      </c>
      <c r="CL512" t="s">
        <v>13809</v>
      </c>
      <c r="CR512" t="s">
        <v>13809</v>
      </c>
      <c r="CT512" t="s">
        <v>21557</v>
      </c>
      <c r="CU512" t="s">
        <v>21558</v>
      </c>
      <c r="CV512" t="s">
        <v>13818</v>
      </c>
      <c r="CW512" t="s">
        <v>14309</v>
      </c>
      <c r="DA512" t="s">
        <v>17124</v>
      </c>
      <c r="DB512" t="s">
        <v>13818</v>
      </c>
      <c r="DC512" t="s">
        <v>14309</v>
      </c>
      <c r="DM512" t="s">
        <v>14192</v>
      </c>
      <c r="DN512" t="s">
        <v>13818</v>
      </c>
      <c r="DO512" t="s">
        <v>21559</v>
      </c>
      <c r="DY512" t="s">
        <v>21560</v>
      </c>
      <c r="DZ512" t="s">
        <v>21561</v>
      </c>
      <c r="EA512" t="s">
        <v>14461</v>
      </c>
      <c r="ED512" t="s">
        <v>14722</v>
      </c>
      <c r="EE512" t="s">
        <v>13626</v>
      </c>
    </row>
    <row r="513" spans="1:135">
      <c r="A513" t="s">
        <v>3860</v>
      </c>
      <c r="B513" t="s">
        <v>3808</v>
      </c>
      <c r="C513" t="s">
        <v>21562</v>
      </c>
      <c r="D513" s="24">
        <v>42961</v>
      </c>
      <c r="E513" s="24" t="s">
        <v>13571</v>
      </c>
      <c r="F513" s="24" t="s">
        <v>21563</v>
      </c>
      <c r="G513" s="24" t="s">
        <v>13808</v>
      </c>
      <c r="H513" s="24"/>
      <c r="I513" s="24" t="s">
        <v>13809</v>
      </c>
      <c r="J513" s="24"/>
      <c r="K513" s="24" t="s">
        <v>13808</v>
      </c>
      <c r="L513" s="24"/>
      <c r="M513" s="24" t="s">
        <v>21327</v>
      </c>
      <c r="N513" s="24" t="s">
        <v>13808</v>
      </c>
      <c r="O513" s="24"/>
      <c r="P513" s="24" t="s">
        <v>13808</v>
      </c>
      <c r="Q513" s="24"/>
      <c r="R513" s="24" t="s">
        <v>13808</v>
      </c>
      <c r="S513" s="24"/>
      <c r="T513" t="s">
        <v>21564</v>
      </c>
      <c r="U513" t="s">
        <v>13809</v>
      </c>
      <c r="W513" t="s">
        <v>13808</v>
      </c>
      <c r="X513" t="s">
        <v>21565</v>
      </c>
      <c r="Y513" t="s">
        <v>13808</v>
      </c>
      <c r="AA513" t="s">
        <v>13928</v>
      </c>
      <c r="AB513" t="s">
        <v>21566</v>
      </c>
      <c r="AC513" t="s">
        <v>13808</v>
      </c>
      <c r="AH513" t="s">
        <v>13909</v>
      </c>
      <c r="AI513" t="s">
        <v>13808</v>
      </c>
      <c r="AN513" t="s">
        <v>21567</v>
      </c>
      <c r="AO513" t="s">
        <v>13808</v>
      </c>
      <c r="AT513" t="s">
        <v>15833</v>
      </c>
      <c r="AU513" t="s">
        <v>13808</v>
      </c>
      <c r="AZ513" t="s">
        <v>21568</v>
      </c>
      <c r="BA513" t="s">
        <v>13808</v>
      </c>
      <c r="BF513" t="s">
        <v>18725</v>
      </c>
      <c r="BG513" t="s">
        <v>13808</v>
      </c>
      <c r="BL513" t="s">
        <v>21569</v>
      </c>
      <c r="BM513" t="s">
        <v>13808</v>
      </c>
      <c r="BR513" t="s">
        <v>21570</v>
      </c>
      <c r="BS513" t="s">
        <v>13887</v>
      </c>
      <c r="BT513" t="s">
        <v>13808</v>
      </c>
      <c r="BU513" t="s">
        <v>21571</v>
      </c>
      <c r="BY513" t="s">
        <v>14265</v>
      </c>
      <c r="BZ513" t="s">
        <v>13808</v>
      </c>
      <c r="CA513" t="s">
        <v>13861</v>
      </c>
      <c r="CE513" t="s">
        <v>14197</v>
      </c>
      <c r="CF513" t="s">
        <v>13818</v>
      </c>
      <c r="CG513" t="s">
        <v>21572</v>
      </c>
      <c r="CH513" t="s">
        <v>14693</v>
      </c>
      <c r="CI513" t="s">
        <v>13808</v>
      </c>
      <c r="CL513" t="s">
        <v>13809</v>
      </c>
      <c r="CR513" t="s">
        <v>13809</v>
      </c>
      <c r="CT513" t="s">
        <v>21573</v>
      </c>
      <c r="CU513" t="s">
        <v>14813</v>
      </c>
      <c r="CV513" t="s">
        <v>13808</v>
      </c>
      <c r="CX513" t="s">
        <v>14265</v>
      </c>
      <c r="CY513" t="s">
        <v>13818</v>
      </c>
      <c r="DA513" t="s">
        <v>14813</v>
      </c>
      <c r="DB513" t="s">
        <v>13808</v>
      </c>
      <c r="DD513" t="s">
        <v>14265</v>
      </c>
      <c r="DE513" t="s">
        <v>13818</v>
      </c>
      <c r="DG513" t="s">
        <v>14813</v>
      </c>
      <c r="DH513" t="s">
        <v>13808</v>
      </c>
      <c r="DZ513" t="s">
        <v>21574</v>
      </c>
      <c r="EA513" t="s">
        <v>15944</v>
      </c>
      <c r="EC513">
        <v>43480</v>
      </c>
      <c r="ED513" t="s">
        <v>13903</v>
      </c>
      <c r="EE513" t="s">
        <v>8668</v>
      </c>
    </row>
    <row r="514" spans="1:135">
      <c r="A514" t="s">
        <v>3260</v>
      </c>
      <c r="B514" t="s">
        <v>3161</v>
      </c>
      <c r="C514" t="s">
        <v>21575</v>
      </c>
      <c r="D514" s="24">
        <v>44257</v>
      </c>
      <c r="E514" s="24" t="s">
        <v>13555</v>
      </c>
      <c r="F514" s="24" t="s">
        <v>21576</v>
      </c>
      <c r="G514" s="24" t="s">
        <v>13808</v>
      </c>
      <c r="H514" s="24"/>
      <c r="I514" s="24" t="s">
        <v>13809</v>
      </c>
      <c r="J514" s="24"/>
      <c r="K514" s="24" t="s">
        <v>13809</v>
      </c>
      <c r="L514" s="24"/>
      <c r="M514" s="24" t="s">
        <v>21577</v>
      </c>
      <c r="N514" s="24" t="s">
        <v>13808</v>
      </c>
      <c r="O514" s="24"/>
      <c r="P514" s="24" t="s">
        <v>13808</v>
      </c>
      <c r="Q514" s="24"/>
      <c r="R514" s="24" t="s">
        <v>13808</v>
      </c>
      <c r="S514" s="24"/>
      <c r="T514" t="s">
        <v>13847</v>
      </c>
      <c r="U514" t="s">
        <v>13809</v>
      </c>
      <c r="W514" t="s">
        <v>13808</v>
      </c>
      <c r="X514" t="s">
        <v>21578</v>
      </c>
      <c r="Y514" t="s">
        <v>13809</v>
      </c>
      <c r="AA514" t="s">
        <v>13849</v>
      </c>
      <c r="AC514" t="s">
        <v>13809</v>
      </c>
      <c r="AH514" t="s">
        <v>13909</v>
      </c>
      <c r="AI514" t="s">
        <v>13808</v>
      </c>
      <c r="AN514" t="s">
        <v>21579</v>
      </c>
      <c r="AO514" t="s">
        <v>13808</v>
      </c>
      <c r="AT514" t="s">
        <v>14433</v>
      </c>
      <c r="AU514" t="s">
        <v>13808</v>
      </c>
      <c r="AZ514" t="s">
        <v>14369</v>
      </c>
      <c r="BA514" t="s">
        <v>13808</v>
      </c>
      <c r="BF514" t="s">
        <v>21580</v>
      </c>
      <c r="BG514" t="s">
        <v>13808</v>
      </c>
      <c r="BM514" t="s">
        <v>13809</v>
      </c>
      <c r="BR514" t="s">
        <v>21581</v>
      </c>
      <c r="BS514" t="s">
        <v>13887</v>
      </c>
      <c r="BT514" t="s">
        <v>13808</v>
      </c>
      <c r="BU514" t="s">
        <v>14336</v>
      </c>
      <c r="BY514" t="s">
        <v>13887</v>
      </c>
      <c r="BZ514" t="s">
        <v>13808</v>
      </c>
      <c r="CA514" t="s">
        <v>14026</v>
      </c>
      <c r="CE514" t="s">
        <v>13885</v>
      </c>
      <c r="CF514" t="s">
        <v>13808</v>
      </c>
      <c r="CG514" t="s">
        <v>21582</v>
      </c>
      <c r="CK514" t="s">
        <v>21583</v>
      </c>
      <c r="CL514" t="s">
        <v>13808</v>
      </c>
      <c r="CM514" t="s">
        <v>21584</v>
      </c>
      <c r="CR514" t="s">
        <v>13809</v>
      </c>
      <c r="CT514" t="s">
        <v>21585</v>
      </c>
      <c r="CU514" t="s">
        <v>21586</v>
      </c>
      <c r="CV514" t="s">
        <v>13808</v>
      </c>
      <c r="CX514" t="s">
        <v>21587</v>
      </c>
      <c r="CY514" t="s">
        <v>13818</v>
      </c>
      <c r="CZ514" t="s">
        <v>21588</v>
      </c>
      <c r="DA514" t="s">
        <v>21589</v>
      </c>
      <c r="DB514" t="s">
        <v>13808</v>
      </c>
      <c r="DD514" t="s">
        <v>21590</v>
      </c>
      <c r="DE514" t="s">
        <v>13818</v>
      </c>
      <c r="DF514" t="s">
        <v>21588</v>
      </c>
      <c r="DG514" t="s">
        <v>21591</v>
      </c>
      <c r="DH514" t="s">
        <v>13808</v>
      </c>
      <c r="DI514" t="s">
        <v>16097</v>
      </c>
      <c r="DJ514" t="s">
        <v>21592</v>
      </c>
      <c r="DK514" t="s">
        <v>13808</v>
      </c>
      <c r="DL514" t="s">
        <v>16098</v>
      </c>
      <c r="DM514" t="s">
        <v>21593</v>
      </c>
      <c r="DN514" t="s">
        <v>13808</v>
      </c>
      <c r="DY514" t="s">
        <v>13840</v>
      </c>
      <c r="DZ514" t="s">
        <v>21594</v>
      </c>
      <c r="EA514" t="s">
        <v>21595</v>
      </c>
      <c r="EC514">
        <v>44264</v>
      </c>
      <c r="ED514" t="s">
        <v>14501</v>
      </c>
      <c r="EE514" t="s">
        <v>7972</v>
      </c>
    </row>
    <row r="515" spans="1:135">
      <c r="A515" t="s">
        <v>3862</v>
      </c>
      <c r="B515" t="s">
        <v>3808</v>
      </c>
      <c r="C515" t="s">
        <v>21596</v>
      </c>
      <c r="D515" s="24">
        <v>43756</v>
      </c>
      <c r="E515" s="24" t="s">
        <v>13555</v>
      </c>
      <c r="F515" s="24" t="s">
        <v>21597</v>
      </c>
      <c r="G515" s="24" t="s">
        <v>13808</v>
      </c>
      <c r="H515" s="24"/>
      <c r="I515" s="24" t="s">
        <v>13809</v>
      </c>
      <c r="J515" s="24"/>
      <c r="K515" s="24" t="s">
        <v>13809</v>
      </c>
      <c r="L515" s="24"/>
      <c r="M515" s="24" t="s">
        <v>21598</v>
      </c>
      <c r="N515" s="24" t="s">
        <v>13808</v>
      </c>
      <c r="O515" s="24"/>
      <c r="P515" s="24" t="s">
        <v>13808</v>
      </c>
      <c r="Q515" s="24" t="s">
        <v>21599</v>
      </c>
      <c r="R515" s="24" t="s">
        <v>13808</v>
      </c>
      <c r="S515" s="24"/>
      <c r="T515" t="s">
        <v>16194</v>
      </c>
      <c r="U515" t="s">
        <v>13809</v>
      </c>
      <c r="W515" t="s">
        <v>13808</v>
      </c>
      <c r="X515" t="s">
        <v>21600</v>
      </c>
      <c r="Y515" t="s">
        <v>13809</v>
      </c>
      <c r="AA515" t="s">
        <v>13877</v>
      </c>
      <c r="AC515" t="s">
        <v>13809</v>
      </c>
      <c r="AH515" t="s">
        <v>13909</v>
      </c>
      <c r="AI515" t="s">
        <v>13808</v>
      </c>
      <c r="AN515" t="s">
        <v>14687</v>
      </c>
      <c r="AO515" t="s">
        <v>13808</v>
      </c>
      <c r="AT515" t="s">
        <v>14852</v>
      </c>
      <c r="AU515" t="s">
        <v>13808</v>
      </c>
      <c r="AV515" t="s">
        <v>14173</v>
      </c>
      <c r="AZ515" t="s">
        <v>14816</v>
      </c>
      <c r="BA515" t="s">
        <v>13808</v>
      </c>
      <c r="BF515" t="s">
        <v>15530</v>
      </c>
      <c r="BG515" t="s">
        <v>13808</v>
      </c>
      <c r="BM515" t="s">
        <v>13809</v>
      </c>
      <c r="BR515" t="s">
        <v>21601</v>
      </c>
      <c r="BS515" t="s">
        <v>13887</v>
      </c>
      <c r="BT515" t="s">
        <v>13808</v>
      </c>
      <c r="BU515" t="s">
        <v>14233</v>
      </c>
      <c r="BY515" t="s">
        <v>21602</v>
      </c>
      <c r="BZ515" t="s">
        <v>13808</v>
      </c>
      <c r="CA515" t="s">
        <v>14026</v>
      </c>
      <c r="CB515" t="s">
        <v>21603</v>
      </c>
      <c r="CC515" t="s">
        <v>13888</v>
      </c>
      <c r="CE515" t="s">
        <v>14693</v>
      </c>
      <c r="CF515" t="s">
        <v>13808</v>
      </c>
      <c r="CG515" t="s">
        <v>14173</v>
      </c>
      <c r="CL515" t="s">
        <v>13809</v>
      </c>
      <c r="CR515" t="s">
        <v>13809</v>
      </c>
      <c r="CT515" t="s">
        <v>21604</v>
      </c>
      <c r="CU515" t="s">
        <v>21605</v>
      </c>
      <c r="CV515" t="s">
        <v>13808</v>
      </c>
      <c r="CX515" t="s">
        <v>21606</v>
      </c>
      <c r="CY515" t="s">
        <v>13818</v>
      </c>
      <c r="DA515" t="s">
        <v>21607</v>
      </c>
      <c r="DB515" t="s">
        <v>13808</v>
      </c>
      <c r="DD515" t="s">
        <v>21608</v>
      </c>
      <c r="DE515" t="s">
        <v>13818</v>
      </c>
      <c r="DG515" t="s">
        <v>21609</v>
      </c>
      <c r="DH515" t="s">
        <v>13818</v>
      </c>
      <c r="DM515" t="s">
        <v>21610</v>
      </c>
      <c r="DN515" t="s">
        <v>13897</v>
      </c>
      <c r="DO515" t="s">
        <v>21611</v>
      </c>
      <c r="DP515" t="s">
        <v>21612</v>
      </c>
      <c r="DQ515" t="s">
        <v>13897</v>
      </c>
      <c r="DY515" t="s">
        <v>15828</v>
      </c>
      <c r="DZ515" t="s">
        <v>21613</v>
      </c>
      <c r="EA515" t="s">
        <v>21614</v>
      </c>
      <c r="ED515" t="s">
        <v>14501</v>
      </c>
      <c r="EE515" t="s">
        <v>8672</v>
      </c>
    </row>
    <row r="516" spans="1:135">
      <c r="A516" t="s">
        <v>4087</v>
      </c>
      <c r="B516" t="s">
        <v>4051</v>
      </c>
      <c r="C516" t="s">
        <v>21615</v>
      </c>
      <c r="D516" s="24">
        <v>43424</v>
      </c>
      <c r="E516" s="24" t="s">
        <v>13555</v>
      </c>
      <c r="F516" s="24" t="s">
        <v>21616</v>
      </c>
      <c r="G516" s="24" t="s">
        <v>13808</v>
      </c>
      <c r="H516" s="24"/>
      <c r="I516" s="24" t="s">
        <v>13809</v>
      </c>
      <c r="J516" s="24"/>
      <c r="K516" s="24" t="s">
        <v>13808</v>
      </c>
      <c r="L516" s="24"/>
      <c r="M516" s="24" t="s">
        <v>21617</v>
      </c>
      <c r="N516" s="24" t="s">
        <v>13808</v>
      </c>
      <c r="O516" s="24"/>
      <c r="P516" s="24" t="s">
        <v>13808</v>
      </c>
      <c r="Q516" s="24"/>
      <c r="R516" s="24" t="s">
        <v>13808</v>
      </c>
      <c r="S516" s="24"/>
      <c r="T516" t="s">
        <v>13875</v>
      </c>
      <c r="U516" t="s">
        <v>13809</v>
      </c>
      <c r="W516" t="s">
        <v>13808</v>
      </c>
      <c r="X516" t="s">
        <v>21618</v>
      </c>
      <c r="Y516" t="s">
        <v>13808</v>
      </c>
      <c r="AA516" t="s">
        <v>14971</v>
      </c>
      <c r="AB516" t="s">
        <v>21619</v>
      </c>
      <c r="AC516" t="s">
        <v>13808</v>
      </c>
      <c r="AH516" t="s">
        <v>13909</v>
      </c>
      <c r="AI516" t="s">
        <v>13808</v>
      </c>
      <c r="AN516" t="s">
        <v>21620</v>
      </c>
      <c r="AO516" t="s">
        <v>13808</v>
      </c>
      <c r="AT516" t="s">
        <v>21621</v>
      </c>
      <c r="AU516" t="s">
        <v>13808</v>
      </c>
      <c r="AZ516" t="s">
        <v>14419</v>
      </c>
      <c r="BA516" t="s">
        <v>13808</v>
      </c>
      <c r="BF516" t="s">
        <v>14369</v>
      </c>
      <c r="BG516" t="s">
        <v>13808</v>
      </c>
      <c r="BL516" t="s">
        <v>21622</v>
      </c>
      <c r="BM516" t="s">
        <v>13808</v>
      </c>
      <c r="BR516" t="s">
        <v>21623</v>
      </c>
      <c r="BS516" t="s">
        <v>13887</v>
      </c>
      <c r="BT516" t="s">
        <v>13808</v>
      </c>
      <c r="BU516" t="s">
        <v>14233</v>
      </c>
      <c r="BY516" t="s">
        <v>14265</v>
      </c>
      <c r="BZ516" t="s">
        <v>13808</v>
      </c>
      <c r="CA516" t="s">
        <v>13937</v>
      </c>
      <c r="CE516" t="s">
        <v>13887</v>
      </c>
      <c r="CF516" t="s">
        <v>13808</v>
      </c>
      <c r="CL516" t="s">
        <v>13809</v>
      </c>
      <c r="CR516" t="s">
        <v>13809</v>
      </c>
      <c r="CT516" t="s">
        <v>20635</v>
      </c>
      <c r="CU516" t="s">
        <v>13909</v>
      </c>
      <c r="CV516" t="s">
        <v>13808</v>
      </c>
      <c r="DA516" t="s">
        <v>13909</v>
      </c>
      <c r="DB516" t="s">
        <v>13808</v>
      </c>
      <c r="DH516" t="s">
        <v>13809</v>
      </c>
      <c r="DM516" t="s">
        <v>13909</v>
      </c>
      <c r="DN516" t="s">
        <v>13808</v>
      </c>
      <c r="DY516" t="s">
        <v>15828</v>
      </c>
      <c r="DZ516" t="s">
        <v>21624</v>
      </c>
      <c r="EA516" t="s">
        <v>13996</v>
      </c>
      <c r="EC516">
        <v>44222</v>
      </c>
      <c r="ED516" t="s">
        <v>13903</v>
      </c>
      <c r="EE516" t="s">
        <v>8943</v>
      </c>
    </row>
    <row r="517" spans="1:135">
      <c r="A517" t="s">
        <v>11819</v>
      </c>
      <c r="B517" t="s">
        <v>3939</v>
      </c>
      <c r="C517" t="s">
        <v>21625</v>
      </c>
      <c r="D517" s="24">
        <v>42986</v>
      </c>
      <c r="E517" s="24" t="s">
        <v>13561</v>
      </c>
      <c r="F517" s="24" t="s">
        <v>21626</v>
      </c>
      <c r="G517" s="24" t="s">
        <v>13808</v>
      </c>
      <c r="H517" s="24"/>
      <c r="I517" s="24" t="s">
        <v>13809</v>
      </c>
      <c r="J517" s="24"/>
      <c r="K517" s="24" t="s">
        <v>13809</v>
      </c>
      <c r="L517" s="24"/>
      <c r="M517" s="24" t="s">
        <v>13950</v>
      </c>
      <c r="N517" s="24" t="s">
        <v>13808</v>
      </c>
      <c r="O517" s="24"/>
      <c r="P517" s="24" t="s">
        <v>13808</v>
      </c>
      <c r="Q517" s="24"/>
      <c r="R517" s="24" t="s">
        <v>13818</v>
      </c>
      <c r="S517" s="24"/>
      <c r="T517" t="s">
        <v>21627</v>
      </c>
      <c r="U517" t="s">
        <v>13809</v>
      </c>
      <c r="W517" t="s">
        <v>13809</v>
      </c>
      <c r="Y517" t="s">
        <v>13809</v>
      </c>
      <c r="AA517" t="s">
        <v>21628</v>
      </c>
      <c r="AB517" t="s">
        <v>21629</v>
      </c>
      <c r="AC517" t="s">
        <v>13818</v>
      </c>
      <c r="AD517" t="s">
        <v>14415</v>
      </c>
      <c r="AH517" t="s">
        <v>21630</v>
      </c>
      <c r="AI517" t="s">
        <v>13808</v>
      </c>
      <c r="AJ517" t="s">
        <v>14415</v>
      </c>
      <c r="AO517" t="s">
        <v>13809</v>
      </c>
      <c r="AT517" t="s">
        <v>15276</v>
      </c>
      <c r="AU517" t="s">
        <v>13818</v>
      </c>
      <c r="AV517" t="s">
        <v>14415</v>
      </c>
      <c r="AZ517" t="s">
        <v>13910</v>
      </c>
      <c r="BA517" t="s">
        <v>13818</v>
      </c>
      <c r="BB517" t="s">
        <v>14415</v>
      </c>
      <c r="BF517" t="s">
        <v>15530</v>
      </c>
      <c r="BG517" t="s">
        <v>13818</v>
      </c>
      <c r="BH517" t="s">
        <v>14415</v>
      </c>
      <c r="BL517" t="s">
        <v>21631</v>
      </c>
      <c r="BM517" t="s">
        <v>13818</v>
      </c>
      <c r="BN517" t="s">
        <v>14415</v>
      </c>
      <c r="BR517" t="s">
        <v>21632</v>
      </c>
      <c r="BS517" t="s">
        <v>21633</v>
      </c>
      <c r="BT517" t="s">
        <v>13818</v>
      </c>
      <c r="BY517" t="s">
        <v>21634</v>
      </c>
      <c r="BZ517" t="s">
        <v>13818</v>
      </c>
      <c r="CE517" t="s">
        <v>21635</v>
      </c>
      <c r="CF517" t="s">
        <v>13818</v>
      </c>
      <c r="CG517" t="s">
        <v>14173</v>
      </c>
      <c r="CK517" t="s">
        <v>21633</v>
      </c>
      <c r="CL517" t="s">
        <v>13818</v>
      </c>
      <c r="CR517" t="s">
        <v>13809</v>
      </c>
      <c r="CT517" t="s">
        <v>20806</v>
      </c>
      <c r="CU517" t="s">
        <v>16071</v>
      </c>
      <c r="CV517" t="s">
        <v>13808</v>
      </c>
      <c r="CX517" t="s">
        <v>14839</v>
      </c>
      <c r="CY517" t="s">
        <v>13818</v>
      </c>
      <c r="DA517" t="s">
        <v>16828</v>
      </c>
      <c r="DB517" t="s">
        <v>13808</v>
      </c>
      <c r="DD517" t="s">
        <v>14839</v>
      </c>
      <c r="DE517" t="s">
        <v>13818</v>
      </c>
      <c r="DG517" t="s">
        <v>13909</v>
      </c>
      <c r="DH517" t="s">
        <v>13808</v>
      </c>
      <c r="DY517" t="s">
        <v>15296</v>
      </c>
      <c r="DZ517" t="s">
        <v>21636</v>
      </c>
      <c r="EA517" t="s">
        <v>14275</v>
      </c>
      <c r="EC517">
        <v>44230</v>
      </c>
      <c r="ED517" t="s">
        <v>13903</v>
      </c>
      <c r="EE517" t="s">
        <v>13627</v>
      </c>
    </row>
    <row r="518" spans="1:135">
      <c r="A518" t="s">
        <v>4091</v>
      </c>
      <c r="B518" t="s">
        <v>4051</v>
      </c>
      <c r="C518" t="s">
        <v>21637</v>
      </c>
      <c r="D518" s="24">
        <v>43424</v>
      </c>
      <c r="E518" s="24" t="s">
        <v>13564</v>
      </c>
      <c r="F518" s="24" t="s">
        <v>21638</v>
      </c>
      <c r="G518" s="24" t="s">
        <v>13818</v>
      </c>
      <c r="H518" s="24"/>
      <c r="I518" s="24" t="s">
        <v>13809</v>
      </c>
      <c r="J518" s="24"/>
      <c r="K518" s="24" t="s">
        <v>13808</v>
      </c>
      <c r="L518" s="24"/>
      <c r="M518" s="24" t="s">
        <v>21639</v>
      </c>
      <c r="N518" s="24" t="s">
        <v>13808</v>
      </c>
      <c r="O518" s="24"/>
      <c r="P518" s="24" t="s">
        <v>13808</v>
      </c>
      <c r="Q518" s="24"/>
      <c r="R518" s="24" t="s">
        <v>13818</v>
      </c>
      <c r="S518" s="24" t="s">
        <v>21640</v>
      </c>
      <c r="T518" t="s">
        <v>21641</v>
      </c>
      <c r="U518" t="s">
        <v>13809</v>
      </c>
      <c r="W518" t="s">
        <v>13808</v>
      </c>
      <c r="X518" t="s">
        <v>21642</v>
      </c>
      <c r="Y518" t="s">
        <v>13809</v>
      </c>
      <c r="AA518" t="s">
        <v>21643</v>
      </c>
      <c r="AC518" t="s">
        <v>13809</v>
      </c>
      <c r="AH518" t="s">
        <v>18402</v>
      </c>
      <c r="AI518" t="s">
        <v>13808</v>
      </c>
      <c r="AK518" t="s">
        <v>14693</v>
      </c>
      <c r="AL518" t="s">
        <v>13818</v>
      </c>
      <c r="AM518" t="s">
        <v>21644</v>
      </c>
      <c r="AN518" t="s">
        <v>21645</v>
      </c>
      <c r="AO518" t="s">
        <v>13808</v>
      </c>
      <c r="AT518" t="s">
        <v>21646</v>
      </c>
      <c r="AU518" t="s">
        <v>13808</v>
      </c>
      <c r="AZ518" t="s">
        <v>14816</v>
      </c>
      <c r="BA518" t="s">
        <v>13808</v>
      </c>
      <c r="BF518" t="s">
        <v>15530</v>
      </c>
      <c r="BG518" t="s">
        <v>13808</v>
      </c>
      <c r="BM518" t="s">
        <v>13809</v>
      </c>
      <c r="BR518" t="s">
        <v>21647</v>
      </c>
      <c r="BS518" t="s">
        <v>13887</v>
      </c>
      <c r="BT518" t="s">
        <v>13808</v>
      </c>
      <c r="BU518" t="s">
        <v>14128</v>
      </c>
      <c r="BY518" t="s">
        <v>13887</v>
      </c>
      <c r="BZ518" t="s">
        <v>13808</v>
      </c>
      <c r="CA518" t="s">
        <v>13937</v>
      </c>
      <c r="CE518" t="s">
        <v>14197</v>
      </c>
      <c r="CF518" t="s">
        <v>13818</v>
      </c>
      <c r="CG518" t="s">
        <v>21648</v>
      </c>
      <c r="CL518" t="s">
        <v>13809</v>
      </c>
      <c r="CR518" t="s">
        <v>13809</v>
      </c>
      <c r="CT518" t="s">
        <v>21649</v>
      </c>
      <c r="CU518" t="s">
        <v>17721</v>
      </c>
      <c r="CV518" t="s">
        <v>13808</v>
      </c>
      <c r="CX518" t="s">
        <v>21650</v>
      </c>
      <c r="CY518" t="s">
        <v>13818</v>
      </c>
      <c r="DA518" t="s">
        <v>14197</v>
      </c>
      <c r="DB518" t="s">
        <v>13808</v>
      </c>
      <c r="DD518" t="s">
        <v>19026</v>
      </c>
      <c r="DE518" t="s">
        <v>13818</v>
      </c>
      <c r="DG518" t="s">
        <v>13909</v>
      </c>
      <c r="DH518" t="s">
        <v>13818</v>
      </c>
      <c r="DM518" t="s">
        <v>17721</v>
      </c>
      <c r="DN518" t="s">
        <v>13808</v>
      </c>
      <c r="DZ518" t="s">
        <v>15812</v>
      </c>
      <c r="EA518" t="s">
        <v>14201</v>
      </c>
      <c r="EC518">
        <v>43480</v>
      </c>
      <c r="ED518" t="s">
        <v>13903</v>
      </c>
      <c r="EE518" t="s">
        <v>8947</v>
      </c>
    </row>
    <row r="519" spans="1:135">
      <c r="A519" t="s">
        <v>4095</v>
      </c>
      <c r="B519" t="s">
        <v>4051</v>
      </c>
      <c r="C519" t="s">
        <v>21651</v>
      </c>
      <c r="D519" s="24">
        <v>43424</v>
      </c>
      <c r="E519" s="24" t="s">
        <v>13571</v>
      </c>
      <c r="F519" s="24" t="s">
        <v>21652</v>
      </c>
      <c r="G519" s="24" t="s">
        <v>13808</v>
      </c>
      <c r="H519" s="24"/>
      <c r="I519" s="24" t="s">
        <v>13809</v>
      </c>
      <c r="J519" s="24"/>
      <c r="K519" s="24" t="s">
        <v>13808</v>
      </c>
      <c r="L519" s="24"/>
      <c r="M519" s="24" t="s">
        <v>21653</v>
      </c>
      <c r="N519" s="24" t="s">
        <v>13808</v>
      </c>
      <c r="O519" s="24"/>
      <c r="P519" s="24" t="s">
        <v>13808</v>
      </c>
      <c r="Q519" s="24"/>
      <c r="R519" s="24" t="s">
        <v>13808</v>
      </c>
      <c r="S519" s="24" t="s">
        <v>21654</v>
      </c>
      <c r="T519" t="s">
        <v>13875</v>
      </c>
      <c r="U519" t="s">
        <v>13809</v>
      </c>
      <c r="W519" t="s">
        <v>13808</v>
      </c>
      <c r="X519" t="s">
        <v>21655</v>
      </c>
      <c r="Y519" t="s">
        <v>13809</v>
      </c>
      <c r="AA519" t="s">
        <v>15003</v>
      </c>
      <c r="AC519" t="s">
        <v>13809</v>
      </c>
      <c r="AH519" t="s">
        <v>13909</v>
      </c>
      <c r="AI519" t="s">
        <v>13808</v>
      </c>
      <c r="AK519" t="s">
        <v>21656</v>
      </c>
      <c r="AL519" t="s">
        <v>13818</v>
      </c>
      <c r="AM519" t="s">
        <v>21657</v>
      </c>
      <c r="AN519" t="s">
        <v>20254</v>
      </c>
      <c r="AO519" t="s">
        <v>13808</v>
      </c>
      <c r="AT519" t="s">
        <v>13910</v>
      </c>
      <c r="AU519" t="s">
        <v>13808</v>
      </c>
      <c r="AZ519" t="s">
        <v>13910</v>
      </c>
      <c r="BA519" t="s">
        <v>13808</v>
      </c>
      <c r="BF519" t="s">
        <v>15530</v>
      </c>
      <c r="BG519" t="s">
        <v>13808</v>
      </c>
      <c r="BM519" t="s">
        <v>13809</v>
      </c>
      <c r="BR519" t="s">
        <v>21658</v>
      </c>
      <c r="BS519" t="s">
        <v>13887</v>
      </c>
      <c r="BT519" t="s">
        <v>13808</v>
      </c>
      <c r="BU519" t="s">
        <v>14010</v>
      </c>
      <c r="BY519" t="s">
        <v>13887</v>
      </c>
      <c r="BZ519" t="s">
        <v>13808</v>
      </c>
      <c r="CA519" t="s">
        <v>14026</v>
      </c>
      <c r="CE519" t="s">
        <v>14693</v>
      </c>
      <c r="CF519" t="s">
        <v>13808</v>
      </c>
      <c r="CL519" t="s">
        <v>13809</v>
      </c>
      <c r="CR519" t="s">
        <v>13809</v>
      </c>
      <c r="CT519" t="s">
        <v>21659</v>
      </c>
      <c r="CU519" t="s">
        <v>13887</v>
      </c>
      <c r="CV519" t="s">
        <v>13808</v>
      </c>
      <c r="CX519" t="s">
        <v>15309</v>
      </c>
      <c r="CY519" t="s">
        <v>13818</v>
      </c>
      <c r="DA519" t="s">
        <v>13887</v>
      </c>
      <c r="DB519" t="s">
        <v>13808</v>
      </c>
      <c r="DD519" t="s">
        <v>15309</v>
      </c>
      <c r="DE519" t="s">
        <v>13818</v>
      </c>
      <c r="DG519" t="s">
        <v>18402</v>
      </c>
      <c r="DH519" t="s">
        <v>13808</v>
      </c>
      <c r="DM519" t="s">
        <v>18402</v>
      </c>
      <c r="DN519" t="s">
        <v>13808</v>
      </c>
      <c r="DO519" t="s">
        <v>21660</v>
      </c>
      <c r="DY519" t="s">
        <v>15828</v>
      </c>
      <c r="DZ519" t="s">
        <v>13970</v>
      </c>
      <c r="EA519" t="s">
        <v>13971</v>
      </c>
      <c r="EC519">
        <v>44222</v>
      </c>
      <c r="ED519" t="s">
        <v>13903</v>
      </c>
      <c r="EE519" t="s">
        <v>8951</v>
      </c>
    </row>
    <row r="520" spans="1:135">
      <c r="A520" t="s">
        <v>4099</v>
      </c>
      <c r="B520" t="s">
        <v>4051</v>
      </c>
      <c r="C520" t="s">
        <v>21661</v>
      </c>
      <c r="D520" s="24">
        <v>43433</v>
      </c>
      <c r="E520" s="24" t="s">
        <v>13557</v>
      </c>
      <c r="F520" s="24" t="s">
        <v>21662</v>
      </c>
      <c r="G520" s="24" t="s">
        <v>13808</v>
      </c>
      <c r="H520" s="24"/>
      <c r="I520" s="24" t="s">
        <v>13809</v>
      </c>
      <c r="J520" s="24"/>
      <c r="K520" s="24" t="s">
        <v>13808</v>
      </c>
      <c r="L520" s="24"/>
      <c r="M520" s="24" t="s">
        <v>21653</v>
      </c>
      <c r="N520" s="24" t="s">
        <v>13808</v>
      </c>
      <c r="O520" s="24"/>
      <c r="P520" s="24" t="s">
        <v>13808</v>
      </c>
      <c r="Q520" s="24"/>
      <c r="R520" s="24" t="s">
        <v>13808</v>
      </c>
      <c r="S520" s="24" t="s">
        <v>21663</v>
      </c>
      <c r="T520" t="s">
        <v>14969</v>
      </c>
      <c r="U520" t="s">
        <v>13809</v>
      </c>
      <c r="W520" t="s">
        <v>13808</v>
      </c>
      <c r="X520" t="s">
        <v>21413</v>
      </c>
      <c r="Y520" t="s">
        <v>13809</v>
      </c>
      <c r="AA520" t="s">
        <v>13928</v>
      </c>
      <c r="AB520" t="s">
        <v>16828</v>
      </c>
      <c r="AC520" t="s">
        <v>13808</v>
      </c>
      <c r="AH520" t="s">
        <v>13909</v>
      </c>
      <c r="AI520" t="s">
        <v>13808</v>
      </c>
      <c r="AN520" t="s">
        <v>14595</v>
      </c>
      <c r="AO520" t="s">
        <v>13808</v>
      </c>
      <c r="AT520" t="s">
        <v>14851</v>
      </c>
      <c r="AU520" t="s">
        <v>13808</v>
      </c>
      <c r="AZ520" t="s">
        <v>13910</v>
      </c>
      <c r="BA520" t="s">
        <v>13808</v>
      </c>
      <c r="BF520" t="s">
        <v>21664</v>
      </c>
      <c r="BG520" t="s">
        <v>13808</v>
      </c>
      <c r="BM520" t="s">
        <v>13809</v>
      </c>
      <c r="BR520" t="s">
        <v>21665</v>
      </c>
      <c r="BS520" t="s">
        <v>13887</v>
      </c>
      <c r="BT520" t="s">
        <v>13808</v>
      </c>
      <c r="BU520" t="s">
        <v>17984</v>
      </c>
      <c r="BY520" t="s">
        <v>13887</v>
      </c>
      <c r="BZ520" t="s">
        <v>13808</v>
      </c>
      <c r="CA520" t="s">
        <v>14026</v>
      </c>
      <c r="CE520" t="s">
        <v>14197</v>
      </c>
      <c r="CF520" t="s">
        <v>13818</v>
      </c>
      <c r="CG520" t="s">
        <v>21666</v>
      </c>
      <c r="CK520" t="s">
        <v>13887</v>
      </c>
      <c r="CL520" t="s">
        <v>13808</v>
      </c>
      <c r="CR520" t="s">
        <v>13809</v>
      </c>
      <c r="CT520" t="s">
        <v>21667</v>
      </c>
      <c r="CU520" t="s">
        <v>20794</v>
      </c>
      <c r="CV520" t="s">
        <v>13808</v>
      </c>
      <c r="DA520" t="s">
        <v>20794</v>
      </c>
      <c r="DB520" t="s">
        <v>13808</v>
      </c>
      <c r="DH520" t="s">
        <v>13809</v>
      </c>
      <c r="DM520" t="s">
        <v>15280</v>
      </c>
      <c r="DN520" t="s">
        <v>13808</v>
      </c>
      <c r="DY520" t="s">
        <v>15828</v>
      </c>
      <c r="DZ520" t="s">
        <v>21668</v>
      </c>
      <c r="EA520" t="s">
        <v>15744</v>
      </c>
      <c r="EC520">
        <v>44224</v>
      </c>
      <c r="ED520" t="s">
        <v>13903</v>
      </c>
      <c r="EE520" t="s">
        <v>8955</v>
      </c>
    </row>
    <row r="521" spans="1:135">
      <c r="A521" t="s">
        <v>4103</v>
      </c>
      <c r="B521" t="s">
        <v>4051</v>
      </c>
      <c r="C521" t="s">
        <v>21669</v>
      </c>
      <c r="D521" s="24">
        <v>43431</v>
      </c>
      <c r="E521" s="24" t="s">
        <v>13557</v>
      </c>
      <c r="F521" s="24" t="s">
        <v>21670</v>
      </c>
      <c r="G521" s="24" t="s">
        <v>13808</v>
      </c>
      <c r="H521" s="24"/>
      <c r="I521" s="24" t="s">
        <v>13809</v>
      </c>
      <c r="J521" s="24"/>
      <c r="K521" s="24" t="s">
        <v>13808</v>
      </c>
      <c r="L521" s="24"/>
      <c r="M521" s="24" t="s">
        <v>21671</v>
      </c>
      <c r="N521" s="24" t="s">
        <v>13808</v>
      </c>
      <c r="O521" s="24"/>
      <c r="P521" s="24" t="s">
        <v>13808</v>
      </c>
      <c r="Q521" s="24"/>
      <c r="R521" s="24" t="s">
        <v>13808</v>
      </c>
      <c r="S521" s="24"/>
      <c r="T521" t="s">
        <v>21672</v>
      </c>
      <c r="U521" t="s">
        <v>13809</v>
      </c>
      <c r="W521" t="s">
        <v>13808</v>
      </c>
      <c r="X521" t="s">
        <v>21673</v>
      </c>
      <c r="Y521" t="s">
        <v>13809</v>
      </c>
      <c r="AA521" t="s">
        <v>21674</v>
      </c>
      <c r="AC521" t="s">
        <v>13809</v>
      </c>
      <c r="AH521" t="s">
        <v>18402</v>
      </c>
      <c r="AI521" t="s">
        <v>13808</v>
      </c>
      <c r="AK521" t="s">
        <v>14693</v>
      </c>
      <c r="AL521" t="s">
        <v>13818</v>
      </c>
      <c r="AN521" t="s">
        <v>14703</v>
      </c>
      <c r="AO521" t="s">
        <v>13818</v>
      </c>
      <c r="AT521" t="s">
        <v>14812</v>
      </c>
      <c r="AU521" t="s">
        <v>13808</v>
      </c>
      <c r="AZ521" t="s">
        <v>14596</v>
      </c>
      <c r="BA521" t="s">
        <v>13808</v>
      </c>
      <c r="BF521" t="s">
        <v>15820</v>
      </c>
      <c r="BG521" t="s">
        <v>13808</v>
      </c>
      <c r="BM521" t="s">
        <v>13809</v>
      </c>
      <c r="BR521" t="s">
        <v>21675</v>
      </c>
      <c r="BS521" t="s">
        <v>13887</v>
      </c>
      <c r="BT521" t="s">
        <v>13808</v>
      </c>
      <c r="BU521" t="s">
        <v>17984</v>
      </c>
      <c r="BY521" t="s">
        <v>13887</v>
      </c>
      <c r="BZ521" t="s">
        <v>13808</v>
      </c>
      <c r="CA521" t="s">
        <v>13937</v>
      </c>
      <c r="CE521" t="s">
        <v>14197</v>
      </c>
      <c r="CF521" t="s">
        <v>13818</v>
      </c>
      <c r="CG521" t="s">
        <v>21676</v>
      </c>
      <c r="CL521" t="s">
        <v>13809</v>
      </c>
      <c r="CR521" t="s">
        <v>13809</v>
      </c>
      <c r="CT521" t="s">
        <v>21677</v>
      </c>
      <c r="CU521" t="s">
        <v>15280</v>
      </c>
      <c r="CV521" t="s">
        <v>13808</v>
      </c>
      <c r="CX521" t="s">
        <v>15472</v>
      </c>
      <c r="CY521" t="s">
        <v>13818</v>
      </c>
      <c r="DA521" t="s">
        <v>16503</v>
      </c>
      <c r="DB521" t="s">
        <v>13808</v>
      </c>
      <c r="DD521" t="s">
        <v>15197</v>
      </c>
      <c r="DE521" t="s">
        <v>13818</v>
      </c>
      <c r="DH521" t="s">
        <v>13809</v>
      </c>
      <c r="DM521" t="s">
        <v>18402</v>
      </c>
      <c r="DN521" t="s">
        <v>13808</v>
      </c>
      <c r="DY521" t="s">
        <v>15828</v>
      </c>
      <c r="DZ521" t="s">
        <v>14341</v>
      </c>
      <c r="EA521" t="s">
        <v>15744</v>
      </c>
      <c r="EC521">
        <v>44224</v>
      </c>
      <c r="ED521" t="s">
        <v>13903</v>
      </c>
      <c r="EE521" t="s">
        <v>8964</v>
      </c>
    </row>
    <row r="522" spans="1:135">
      <c r="A522" t="s">
        <v>3264</v>
      </c>
      <c r="B522" t="s">
        <v>3161</v>
      </c>
      <c r="C522" t="s">
        <v>21678</v>
      </c>
      <c r="D522" s="24">
        <v>43249</v>
      </c>
      <c r="E522" s="24" t="s">
        <v>13555</v>
      </c>
      <c r="F522" s="24" t="s">
        <v>21679</v>
      </c>
      <c r="G522" s="24" t="s">
        <v>13808</v>
      </c>
      <c r="H522" s="24"/>
      <c r="I522" s="24" t="s">
        <v>13809</v>
      </c>
      <c r="J522" s="24"/>
      <c r="K522" s="24" t="s">
        <v>13808</v>
      </c>
      <c r="L522" s="24"/>
      <c r="M522" s="24" t="s">
        <v>14449</v>
      </c>
      <c r="N522" s="24" t="s">
        <v>13808</v>
      </c>
      <c r="O522" s="24"/>
      <c r="P522" s="24" t="s">
        <v>13808</v>
      </c>
      <c r="Q522" s="24"/>
      <c r="R522" s="24" t="s">
        <v>13808</v>
      </c>
      <c r="S522" s="24"/>
      <c r="T522" t="s">
        <v>13907</v>
      </c>
      <c r="U522" t="s">
        <v>13809</v>
      </c>
      <c r="W522" t="s">
        <v>13808</v>
      </c>
      <c r="X522" t="s">
        <v>21680</v>
      </c>
      <c r="Y522" t="s">
        <v>13809</v>
      </c>
      <c r="AA522" t="s">
        <v>14188</v>
      </c>
      <c r="AB522" t="s">
        <v>21681</v>
      </c>
      <c r="AC522" t="s">
        <v>13808</v>
      </c>
      <c r="AH522" t="s">
        <v>13909</v>
      </c>
      <c r="AI522" t="s">
        <v>13808</v>
      </c>
      <c r="AN522" t="s">
        <v>21682</v>
      </c>
      <c r="AO522" t="s">
        <v>13808</v>
      </c>
      <c r="AT522" t="s">
        <v>21683</v>
      </c>
      <c r="AU522" t="s">
        <v>13808</v>
      </c>
      <c r="AZ522" t="s">
        <v>21684</v>
      </c>
      <c r="BA522" t="s">
        <v>13808</v>
      </c>
      <c r="BF522" t="s">
        <v>15824</v>
      </c>
      <c r="BG522" t="s">
        <v>13808</v>
      </c>
      <c r="BL522" t="s">
        <v>20239</v>
      </c>
      <c r="BM522" t="s">
        <v>13808</v>
      </c>
      <c r="BR522" t="s">
        <v>21685</v>
      </c>
      <c r="BS522" t="s">
        <v>13885</v>
      </c>
      <c r="BT522" t="s">
        <v>13808</v>
      </c>
      <c r="BU522" t="s">
        <v>21686</v>
      </c>
      <c r="BY522" t="s">
        <v>14003</v>
      </c>
      <c r="BZ522" t="s">
        <v>13808</v>
      </c>
      <c r="CA522" t="s">
        <v>14026</v>
      </c>
      <c r="CE522" t="s">
        <v>14693</v>
      </c>
      <c r="CF522" t="s">
        <v>13808</v>
      </c>
      <c r="CH522" t="s">
        <v>14197</v>
      </c>
      <c r="CI522" t="s">
        <v>13818</v>
      </c>
      <c r="CJ522" t="s">
        <v>21687</v>
      </c>
      <c r="CL522" t="s">
        <v>13809</v>
      </c>
      <c r="CR522" t="s">
        <v>13809</v>
      </c>
      <c r="CT522" t="s">
        <v>21688</v>
      </c>
      <c r="CU522" t="s">
        <v>13909</v>
      </c>
      <c r="CV522" t="s">
        <v>13808</v>
      </c>
      <c r="DA522" t="s">
        <v>13909</v>
      </c>
      <c r="DB522" t="s">
        <v>13808</v>
      </c>
      <c r="DH522" t="s">
        <v>13809</v>
      </c>
      <c r="DM522" t="s">
        <v>13909</v>
      </c>
      <c r="DN522" t="s">
        <v>13808</v>
      </c>
      <c r="DY522" t="s">
        <v>15828</v>
      </c>
      <c r="DZ522" t="s">
        <v>13970</v>
      </c>
      <c r="EA522" t="s">
        <v>15744</v>
      </c>
      <c r="EC522">
        <v>44224</v>
      </c>
      <c r="ED522" t="s">
        <v>13903</v>
      </c>
      <c r="EE522" t="s">
        <v>7976</v>
      </c>
    </row>
    <row r="523" spans="1:135">
      <c r="A523" t="s">
        <v>3442</v>
      </c>
      <c r="B523" t="s">
        <v>3399</v>
      </c>
      <c r="C523" t="s">
        <v>21689</v>
      </c>
      <c r="D523" s="24">
        <v>44295</v>
      </c>
      <c r="E523" s="24" t="s">
        <v>13555</v>
      </c>
      <c r="F523" s="24" t="s">
        <v>21690</v>
      </c>
      <c r="G523" s="24" t="s">
        <v>13808</v>
      </c>
      <c r="H523" s="24"/>
      <c r="I523" s="24" t="s">
        <v>13809</v>
      </c>
      <c r="J523" s="24"/>
      <c r="K523" s="24" t="s">
        <v>13808</v>
      </c>
      <c r="L523" s="24"/>
      <c r="M523" s="24" t="s">
        <v>13846</v>
      </c>
      <c r="N523" s="24" t="s">
        <v>13808</v>
      </c>
      <c r="O523" s="24"/>
      <c r="P523" s="24" t="s">
        <v>13808</v>
      </c>
      <c r="Q523" s="24"/>
      <c r="R523" s="24" t="s">
        <v>13808</v>
      </c>
      <c r="S523" s="24"/>
      <c r="T523" t="s">
        <v>13907</v>
      </c>
      <c r="U523" t="s">
        <v>13808</v>
      </c>
      <c r="V523" t="s">
        <v>21691</v>
      </c>
      <c r="W523" t="s">
        <v>13808</v>
      </c>
      <c r="X523" t="s">
        <v>21692</v>
      </c>
      <c r="Y523" t="s">
        <v>13808</v>
      </c>
      <c r="Z523" t="s">
        <v>21693</v>
      </c>
      <c r="AA523" t="s">
        <v>13849</v>
      </c>
      <c r="AC523" t="s">
        <v>13809</v>
      </c>
      <c r="AH523" t="s">
        <v>13909</v>
      </c>
      <c r="AI523" t="s">
        <v>13808</v>
      </c>
      <c r="AN523" t="s">
        <v>14851</v>
      </c>
      <c r="AO523" t="s">
        <v>13808</v>
      </c>
      <c r="AT523" t="s">
        <v>14544</v>
      </c>
      <c r="AU523" t="s">
        <v>13808</v>
      </c>
      <c r="AZ523" t="s">
        <v>21694</v>
      </c>
      <c r="BA523" t="s">
        <v>13808</v>
      </c>
      <c r="BF523" t="s">
        <v>18680</v>
      </c>
      <c r="BG523" t="s">
        <v>13808</v>
      </c>
      <c r="BM523" t="s">
        <v>13809</v>
      </c>
      <c r="BR523" t="s">
        <v>21695</v>
      </c>
      <c r="BS523" t="s">
        <v>13887</v>
      </c>
      <c r="BT523" t="s">
        <v>13808</v>
      </c>
      <c r="BU523" t="s">
        <v>13859</v>
      </c>
      <c r="BY523" t="s">
        <v>13887</v>
      </c>
      <c r="BZ523" t="s">
        <v>13808</v>
      </c>
      <c r="CA523" t="s">
        <v>13861</v>
      </c>
      <c r="CE523" t="s">
        <v>13887</v>
      </c>
      <c r="CF523" t="s">
        <v>13808</v>
      </c>
      <c r="CG523" t="s">
        <v>13863</v>
      </c>
      <c r="CL523" t="s">
        <v>13809</v>
      </c>
      <c r="CR523" t="s">
        <v>13809</v>
      </c>
      <c r="CT523" t="s">
        <v>21696</v>
      </c>
      <c r="CU523" t="s">
        <v>14510</v>
      </c>
      <c r="CV523" t="s">
        <v>13808</v>
      </c>
      <c r="CX523" t="s">
        <v>21697</v>
      </c>
      <c r="CY523" t="s">
        <v>13818</v>
      </c>
      <c r="DA523" t="s">
        <v>21698</v>
      </c>
      <c r="DB523" t="s">
        <v>13818</v>
      </c>
      <c r="DG523" t="s">
        <v>21699</v>
      </c>
      <c r="DH523" t="s">
        <v>13808</v>
      </c>
      <c r="DM523" t="s">
        <v>21700</v>
      </c>
      <c r="DN523" t="s">
        <v>13808</v>
      </c>
      <c r="DY523" t="s">
        <v>21701</v>
      </c>
      <c r="DZ523" t="s">
        <v>21702</v>
      </c>
      <c r="EA523" t="s">
        <v>13842</v>
      </c>
      <c r="ED523" t="s">
        <v>17223</v>
      </c>
      <c r="EE523" t="s">
        <v>8159</v>
      </c>
    </row>
    <row r="524" spans="1:135">
      <c r="A524" t="s">
        <v>3531</v>
      </c>
      <c r="B524" t="s">
        <v>3506</v>
      </c>
      <c r="C524" t="s">
        <v>21703</v>
      </c>
      <c r="D524" s="24">
        <v>44496</v>
      </c>
      <c r="E524" s="24" t="s">
        <v>13559</v>
      </c>
      <c r="F524" s="24" t="s">
        <v>21704</v>
      </c>
      <c r="G524" s="24" t="s">
        <v>13808</v>
      </c>
      <c r="H524" s="24"/>
      <c r="I524" s="24" t="s">
        <v>13809</v>
      </c>
      <c r="J524" s="24"/>
      <c r="K524" s="24" t="s">
        <v>13809</v>
      </c>
      <c r="L524" s="24"/>
      <c r="M524" s="24" t="s">
        <v>13950</v>
      </c>
      <c r="N524" s="24" t="s">
        <v>13808</v>
      </c>
      <c r="O524" s="24"/>
      <c r="P524" s="24" t="s">
        <v>13818</v>
      </c>
      <c r="Q524" s="24" t="s">
        <v>21550</v>
      </c>
      <c r="R524" s="24" t="s">
        <v>13808</v>
      </c>
      <c r="S524" s="24"/>
      <c r="T524" t="s">
        <v>21705</v>
      </c>
      <c r="U524" t="s">
        <v>13809</v>
      </c>
      <c r="W524" t="s">
        <v>13809</v>
      </c>
      <c r="Y524" t="s">
        <v>13809</v>
      </c>
      <c r="AA524" t="s">
        <v>21706</v>
      </c>
      <c r="AB524" t="s">
        <v>21707</v>
      </c>
      <c r="AC524" t="s">
        <v>13818</v>
      </c>
      <c r="AD524" t="s">
        <v>14309</v>
      </c>
      <c r="AH524" t="s">
        <v>13887</v>
      </c>
      <c r="AI524" t="s">
        <v>13808</v>
      </c>
      <c r="AK524" t="s">
        <v>21708</v>
      </c>
      <c r="AL524" t="s">
        <v>13818</v>
      </c>
      <c r="AM524" t="s">
        <v>14309</v>
      </c>
      <c r="AN524" t="s">
        <v>19732</v>
      </c>
      <c r="AO524" t="s">
        <v>13818</v>
      </c>
      <c r="AP524" t="s">
        <v>14309</v>
      </c>
      <c r="AT524" t="s">
        <v>18725</v>
      </c>
      <c r="AU524" t="s">
        <v>13818</v>
      </c>
      <c r="AV524" t="s">
        <v>14309</v>
      </c>
      <c r="AZ524" t="s">
        <v>13882</v>
      </c>
      <c r="BA524" t="s">
        <v>13808</v>
      </c>
      <c r="BF524" t="s">
        <v>14260</v>
      </c>
      <c r="BG524" t="s">
        <v>13808</v>
      </c>
      <c r="BL524" t="s">
        <v>18680</v>
      </c>
      <c r="BM524" t="s">
        <v>13808</v>
      </c>
      <c r="BR524" t="s">
        <v>21709</v>
      </c>
      <c r="BS524" t="s">
        <v>13887</v>
      </c>
      <c r="BT524" t="s">
        <v>13808</v>
      </c>
      <c r="BY524" t="s">
        <v>13887</v>
      </c>
      <c r="BZ524" t="s">
        <v>13808</v>
      </c>
      <c r="CA524" t="s">
        <v>13888</v>
      </c>
      <c r="CB524" t="s">
        <v>21710</v>
      </c>
      <c r="CE524" t="s">
        <v>13887</v>
      </c>
      <c r="CF524" t="s">
        <v>13818</v>
      </c>
      <c r="CG524" t="s">
        <v>21711</v>
      </c>
      <c r="CL524" t="s">
        <v>13809</v>
      </c>
      <c r="CR524" t="s">
        <v>13809</v>
      </c>
      <c r="CT524" t="s">
        <v>17985</v>
      </c>
      <c r="CU524" t="s">
        <v>13887</v>
      </c>
      <c r="CV524" t="s">
        <v>13808</v>
      </c>
      <c r="DA524" t="s">
        <v>13887</v>
      </c>
      <c r="DB524" t="s">
        <v>13808</v>
      </c>
      <c r="DG524" t="s">
        <v>13909</v>
      </c>
      <c r="DH524" t="s">
        <v>13818</v>
      </c>
      <c r="DY524" t="s">
        <v>15144</v>
      </c>
      <c r="DZ524" t="s">
        <v>14274</v>
      </c>
      <c r="EA524" t="s">
        <v>14461</v>
      </c>
      <c r="ED524" t="s">
        <v>14722</v>
      </c>
      <c r="EE524" t="s">
        <v>8303</v>
      </c>
    </row>
    <row r="525" spans="1:135">
      <c r="A525" t="s">
        <v>3866</v>
      </c>
      <c r="B525" t="s">
        <v>3808</v>
      </c>
      <c r="C525" t="s">
        <v>21712</v>
      </c>
      <c r="D525" s="24">
        <v>43756</v>
      </c>
      <c r="E525" s="24" t="s">
        <v>13553</v>
      </c>
      <c r="F525" s="24" t="s">
        <v>21713</v>
      </c>
      <c r="G525" s="24" t="s">
        <v>13808</v>
      </c>
      <c r="H525" s="24"/>
      <c r="I525" s="24" t="s">
        <v>13809</v>
      </c>
      <c r="J525" s="24"/>
      <c r="K525" s="24" t="s">
        <v>13809</v>
      </c>
      <c r="L525" s="24"/>
      <c r="M525" s="24" t="s">
        <v>14163</v>
      </c>
      <c r="N525" s="24" t="s">
        <v>13808</v>
      </c>
      <c r="O525" s="24"/>
      <c r="P525" s="24" t="s">
        <v>13808</v>
      </c>
      <c r="Q525" s="24"/>
      <c r="R525" s="24" t="s">
        <v>13808</v>
      </c>
      <c r="S525" s="24"/>
      <c r="T525" t="s">
        <v>14016</v>
      </c>
      <c r="U525" t="s">
        <v>13809</v>
      </c>
      <c r="W525" t="s">
        <v>13808</v>
      </c>
      <c r="X525" t="s">
        <v>21714</v>
      </c>
      <c r="Y525" t="s">
        <v>13808</v>
      </c>
      <c r="AA525" t="s">
        <v>13877</v>
      </c>
      <c r="AB525" t="s">
        <v>14814</v>
      </c>
      <c r="AC525" t="s">
        <v>13808</v>
      </c>
      <c r="AH525" t="s">
        <v>13909</v>
      </c>
      <c r="AI525" t="s">
        <v>13808</v>
      </c>
      <c r="AN525" t="s">
        <v>14852</v>
      </c>
      <c r="AO525" t="s">
        <v>13808</v>
      </c>
      <c r="AT525" t="s">
        <v>15625</v>
      </c>
      <c r="AU525" t="s">
        <v>13808</v>
      </c>
      <c r="AZ525" t="s">
        <v>14192</v>
      </c>
      <c r="BA525" t="s">
        <v>13808</v>
      </c>
      <c r="BF525" t="s">
        <v>15076</v>
      </c>
      <c r="BG525" t="s">
        <v>13808</v>
      </c>
      <c r="BM525" t="s">
        <v>13809</v>
      </c>
      <c r="BR525" t="s">
        <v>21715</v>
      </c>
      <c r="BS525" t="s">
        <v>14197</v>
      </c>
      <c r="BT525" t="s">
        <v>13808</v>
      </c>
      <c r="BU525" t="s">
        <v>21716</v>
      </c>
      <c r="BY525" t="s">
        <v>13885</v>
      </c>
      <c r="BZ525" t="s">
        <v>13808</v>
      </c>
      <c r="CA525" t="s">
        <v>13888</v>
      </c>
      <c r="CE525" t="s">
        <v>14265</v>
      </c>
      <c r="CF525" t="s">
        <v>13808</v>
      </c>
      <c r="CL525" t="s">
        <v>13809</v>
      </c>
      <c r="CR525" t="s">
        <v>13809</v>
      </c>
      <c r="CT525" t="s">
        <v>21717</v>
      </c>
      <c r="CU525" t="s">
        <v>21718</v>
      </c>
      <c r="CV525" t="s">
        <v>13808</v>
      </c>
      <c r="DA525" t="s">
        <v>21719</v>
      </c>
      <c r="DB525" t="s">
        <v>13808</v>
      </c>
      <c r="DH525" t="s">
        <v>13809</v>
      </c>
      <c r="DM525" t="s">
        <v>21720</v>
      </c>
      <c r="DN525" t="s">
        <v>13808</v>
      </c>
      <c r="DP525" t="s">
        <v>21721</v>
      </c>
      <c r="DQ525" t="s">
        <v>13808</v>
      </c>
      <c r="DY525" t="s">
        <v>13900</v>
      </c>
      <c r="DZ525" t="s">
        <v>21722</v>
      </c>
      <c r="EA525" t="s">
        <v>14500</v>
      </c>
      <c r="EC525">
        <v>43775</v>
      </c>
      <c r="ED525" t="s">
        <v>13903</v>
      </c>
      <c r="EE525" t="s">
        <v>8674</v>
      </c>
    </row>
    <row r="526" spans="1:135">
      <c r="A526" t="s">
        <v>3446</v>
      </c>
      <c r="B526" t="s">
        <v>3399</v>
      </c>
      <c r="C526" t="s">
        <v>21723</v>
      </c>
      <c r="D526" s="24">
        <v>43630</v>
      </c>
      <c r="E526" s="24" t="s">
        <v>13555</v>
      </c>
      <c r="F526" s="24" t="s">
        <v>21724</v>
      </c>
      <c r="G526" s="24" t="s">
        <v>13808</v>
      </c>
      <c r="H526" s="24"/>
      <c r="I526" s="24" t="s">
        <v>13809</v>
      </c>
      <c r="J526" s="24"/>
      <c r="K526" s="24" t="s">
        <v>13808</v>
      </c>
      <c r="L526" s="24"/>
      <c r="M526" s="24" t="s">
        <v>21725</v>
      </c>
      <c r="N526" s="24" t="s">
        <v>13808</v>
      </c>
      <c r="O526" s="24"/>
      <c r="P526" s="24" t="s">
        <v>13808</v>
      </c>
      <c r="Q526" s="24"/>
      <c r="R526" s="24" t="s">
        <v>13808</v>
      </c>
      <c r="S526" s="24"/>
      <c r="T526" t="s">
        <v>14016</v>
      </c>
      <c r="U526" t="s">
        <v>13809</v>
      </c>
      <c r="W526" t="s">
        <v>13808</v>
      </c>
      <c r="X526" t="s">
        <v>21726</v>
      </c>
      <c r="Y526" t="s">
        <v>13809</v>
      </c>
      <c r="AA526" t="s">
        <v>13877</v>
      </c>
      <c r="AB526" t="s">
        <v>21727</v>
      </c>
      <c r="AC526" t="s">
        <v>13808</v>
      </c>
      <c r="AH526" t="s">
        <v>13909</v>
      </c>
      <c r="AI526" t="s">
        <v>13808</v>
      </c>
      <c r="AO526" t="s">
        <v>13809</v>
      </c>
      <c r="AT526" t="s">
        <v>14851</v>
      </c>
      <c r="AU526" t="s">
        <v>13808</v>
      </c>
      <c r="AZ526" t="s">
        <v>16368</v>
      </c>
      <c r="BA526" t="s">
        <v>13808</v>
      </c>
      <c r="BF526" t="s">
        <v>13912</v>
      </c>
      <c r="BG526" t="s">
        <v>13897</v>
      </c>
      <c r="BL526" t="s">
        <v>21728</v>
      </c>
      <c r="BM526" t="s">
        <v>13808</v>
      </c>
      <c r="BR526" t="s">
        <v>21729</v>
      </c>
      <c r="BS526" t="s">
        <v>14265</v>
      </c>
      <c r="BT526" t="s">
        <v>13808</v>
      </c>
      <c r="BU526" t="s">
        <v>14128</v>
      </c>
      <c r="BY526" t="s">
        <v>14265</v>
      </c>
      <c r="BZ526" t="s">
        <v>13808</v>
      </c>
      <c r="CA526" t="s">
        <v>14026</v>
      </c>
      <c r="CE526" t="s">
        <v>13887</v>
      </c>
      <c r="CF526" t="s">
        <v>13808</v>
      </c>
      <c r="CG526" t="s">
        <v>21730</v>
      </c>
      <c r="CK526" t="s">
        <v>13887</v>
      </c>
      <c r="CL526" t="s">
        <v>13808</v>
      </c>
      <c r="CM526" t="s">
        <v>14173</v>
      </c>
      <c r="CR526" t="s">
        <v>13809</v>
      </c>
      <c r="CT526" t="s">
        <v>21731</v>
      </c>
      <c r="CU526" t="s">
        <v>21732</v>
      </c>
      <c r="CV526" t="s">
        <v>13808</v>
      </c>
      <c r="DA526" t="s">
        <v>21733</v>
      </c>
      <c r="DB526" t="s">
        <v>13808</v>
      </c>
      <c r="DH526" t="s">
        <v>13809</v>
      </c>
      <c r="DM526" t="s">
        <v>21734</v>
      </c>
      <c r="DN526" t="s">
        <v>13808</v>
      </c>
      <c r="DP526" t="s">
        <v>21735</v>
      </c>
      <c r="DQ526" t="s">
        <v>13808</v>
      </c>
      <c r="DR526" t="s">
        <v>14947</v>
      </c>
      <c r="DY526" t="s">
        <v>21736</v>
      </c>
      <c r="DZ526" t="s">
        <v>21737</v>
      </c>
      <c r="EA526" t="s">
        <v>21738</v>
      </c>
      <c r="EC526">
        <v>44224</v>
      </c>
      <c r="ED526" t="s">
        <v>13903</v>
      </c>
      <c r="EE526" t="s">
        <v>8163</v>
      </c>
    </row>
    <row r="527" spans="1:135">
      <c r="A527" t="s">
        <v>3450</v>
      </c>
      <c r="B527" t="s">
        <v>3399</v>
      </c>
      <c r="C527" t="s">
        <v>21739</v>
      </c>
      <c r="D527" s="24">
        <v>44608</v>
      </c>
      <c r="E527" s="24" t="s">
        <v>13564</v>
      </c>
      <c r="F527" s="24" t="s">
        <v>21740</v>
      </c>
      <c r="G527" s="24" t="s">
        <v>13808</v>
      </c>
      <c r="H527" s="24"/>
      <c r="I527" s="24" t="s">
        <v>13809</v>
      </c>
      <c r="J527" s="24"/>
      <c r="K527" s="24" t="s">
        <v>13808</v>
      </c>
      <c r="L527" s="24"/>
      <c r="M527" s="24" t="s">
        <v>14304</v>
      </c>
      <c r="N527" s="24" t="s">
        <v>13808</v>
      </c>
      <c r="O527" s="24"/>
      <c r="P527" s="24" t="s">
        <v>13808</v>
      </c>
      <c r="Q527" s="24"/>
      <c r="R527" s="24" t="s">
        <v>13808</v>
      </c>
      <c r="S527" s="24"/>
      <c r="T527" t="s">
        <v>15300</v>
      </c>
      <c r="U527" t="s">
        <v>13809</v>
      </c>
      <c r="W527" t="s">
        <v>13808</v>
      </c>
      <c r="X527" t="s">
        <v>21741</v>
      </c>
      <c r="Y527" t="s">
        <v>13809</v>
      </c>
      <c r="AA527" t="s">
        <v>21742</v>
      </c>
      <c r="AB527" t="s">
        <v>15348</v>
      </c>
      <c r="AC527" t="s">
        <v>13809</v>
      </c>
      <c r="AH527" t="s">
        <v>13851</v>
      </c>
      <c r="AI527" t="s">
        <v>13808</v>
      </c>
      <c r="AN527" t="s">
        <v>13711</v>
      </c>
      <c r="AO527" t="s">
        <v>13809</v>
      </c>
      <c r="AT527" t="s">
        <v>21743</v>
      </c>
      <c r="AU527" t="s">
        <v>13808</v>
      </c>
      <c r="AV527" t="s">
        <v>21744</v>
      </c>
      <c r="AZ527" t="s">
        <v>20528</v>
      </c>
      <c r="BA527" t="s">
        <v>13808</v>
      </c>
      <c r="BF527" t="s">
        <v>18212</v>
      </c>
      <c r="BG527" t="s">
        <v>13808</v>
      </c>
      <c r="BL527" t="s">
        <v>13735</v>
      </c>
      <c r="BM527" t="s">
        <v>13809</v>
      </c>
      <c r="BR527" t="s">
        <v>21745</v>
      </c>
      <c r="BS527" t="s">
        <v>21746</v>
      </c>
      <c r="BT527" t="s">
        <v>13808</v>
      </c>
      <c r="BU527" t="s">
        <v>21747</v>
      </c>
      <c r="BY527" t="s">
        <v>13860</v>
      </c>
      <c r="BZ527" t="s">
        <v>13808</v>
      </c>
      <c r="CA527" t="s">
        <v>13937</v>
      </c>
      <c r="CE527" t="s">
        <v>21748</v>
      </c>
      <c r="CF527" t="s">
        <v>13808</v>
      </c>
      <c r="CG527" t="s">
        <v>21749</v>
      </c>
      <c r="CK527" t="s">
        <v>13760</v>
      </c>
      <c r="CL527" t="s">
        <v>13809</v>
      </c>
      <c r="CQ527" t="s">
        <v>13766</v>
      </c>
      <c r="CR527" t="s">
        <v>13809</v>
      </c>
      <c r="CT527" t="s">
        <v>21750</v>
      </c>
      <c r="CU527" t="s">
        <v>21751</v>
      </c>
      <c r="CV527" t="s">
        <v>13808</v>
      </c>
      <c r="CX527" t="s">
        <v>21752</v>
      </c>
      <c r="CY527" t="s">
        <v>13818</v>
      </c>
      <c r="DA527" t="s">
        <v>21753</v>
      </c>
      <c r="DB527" t="s">
        <v>13808</v>
      </c>
      <c r="DD527" t="s">
        <v>21752</v>
      </c>
      <c r="DE527" t="s">
        <v>13818</v>
      </c>
      <c r="DG527" t="s">
        <v>21754</v>
      </c>
      <c r="DH527" t="s">
        <v>13808</v>
      </c>
      <c r="DY527" t="s">
        <v>13869</v>
      </c>
      <c r="DZ527" t="s">
        <v>13841</v>
      </c>
      <c r="EA527" t="s">
        <v>13842</v>
      </c>
      <c r="EC527">
        <v>44610</v>
      </c>
      <c r="ED527" t="s">
        <v>14298</v>
      </c>
      <c r="EE527" t="s">
        <v>8172</v>
      </c>
    </row>
    <row r="528" spans="1:135">
      <c r="A528" t="s">
        <v>4107</v>
      </c>
      <c r="B528" t="s">
        <v>4051</v>
      </c>
      <c r="C528" t="s">
        <v>21755</v>
      </c>
      <c r="D528" s="24">
        <v>42961</v>
      </c>
      <c r="E528" s="24" t="s">
        <v>13571</v>
      </c>
      <c r="F528" s="24" t="s">
        <v>21756</v>
      </c>
      <c r="G528" s="24" t="s">
        <v>13808</v>
      </c>
      <c r="H528" s="24"/>
      <c r="I528" s="24" t="s">
        <v>13809</v>
      </c>
      <c r="J528" s="24"/>
      <c r="K528" s="24" t="s">
        <v>13808</v>
      </c>
      <c r="L528" s="24"/>
      <c r="M528" s="24" t="s">
        <v>21757</v>
      </c>
      <c r="N528" s="24" t="s">
        <v>13808</v>
      </c>
      <c r="O528" s="24"/>
      <c r="P528" s="24" t="s">
        <v>13808</v>
      </c>
      <c r="Q528" s="24"/>
      <c r="R528" s="24" t="s">
        <v>13818</v>
      </c>
      <c r="S528" s="24" t="s">
        <v>21758</v>
      </c>
      <c r="T528" t="s">
        <v>21161</v>
      </c>
      <c r="U528" t="s">
        <v>13809</v>
      </c>
      <c r="W528" t="s">
        <v>13808</v>
      </c>
      <c r="X528" t="s">
        <v>21759</v>
      </c>
      <c r="Y528" t="s">
        <v>13809</v>
      </c>
      <c r="AA528" t="s">
        <v>13928</v>
      </c>
      <c r="AB528" t="s">
        <v>21760</v>
      </c>
      <c r="AC528" t="s">
        <v>13808</v>
      </c>
      <c r="AH528" t="s">
        <v>13909</v>
      </c>
      <c r="AI528" t="s">
        <v>13808</v>
      </c>
      <c r="AN528" t="s">
        <v>21761</v>
      </c>
      <c r="AO528" t="s">
        <v>13808</v>
      </c>
      <c r="AT528" t="s">
        <v>15833</v>
      </c>
      <c r="AU528" t="s">
        <v>13808</v>
      </c>
      <c r="AZ528" t="s">
        <v>14170</v>
      </c>
      <c r="BA528" t="s">
        <v>13808</v>
      </c>
      <c r="BF528" t="s">
        <v>14816</v>
      </c>
      <c r="BG528" t="s">
        <v>13808</v>
      </c>
      <c r="BM528" t="s">
        <v>13809</v>
      </c>
      <c r="BR528" t="s">
        <v>21762</v>
      </c>
      <c r="BS528" t="s">
        <v>13887</v>
      </c>
      <c r="BT528" t="s">
        <v>13808</v>
      </c>
      <c r="BU528" t="s">
        <v>14010</v>
      </c>
      <c r="BY528" t="s">
        <v>13887</v>
      </c>
      <c r="BZ528" t="s">
        <v>13808</v>
      </c>
      <c r="CA528" t="s">
        <v>13861</v>
      </c>
      <c r="CE528" t="s">
        <v>14197</v>
      </c>
      <c r="CF528" t="s">
        <v>13818</v>
      </c>
      <c r="CG528" t="s">
        <v>21687</v>
      </c>
      <c r="CL528" t="s">
        <v>13809</v>
      </c>
      <c r="CR528" t="s">
        <v>13809</v>
      </c>
      <c r="CT528" t="s">
        <v>21763</v>
      </c>
      <c r="CU528" t="s">
        <v>13909</v>
      </c>
      <c r="CV528" t="s">
        <v>13808</v>
      </c>
      <c r="DA528" t="s">
        <v>13909</v>
      </c>
      <c r="DB528" t="s">
        <v>13808</v>
      </c>
      <c r="DG528" t="s">
        <v>13909</v>
      </c>
      <c r="DH528" t="s">
        <v>13808</v>
      </c>
      <c r="DY528" t="s">
        <v>21736</v>
      </c>
      <c r="DZ528" t="s">
        <v>21764</v>
      </c>
      <c r="EA528" t="s">
        <v>14275</v>
      </c>
      <c r="EC528">
        <v>44224</v>
      </c>
      <c r="ED528" t="s">
        <v>13903</v>
      </c>
      <c r="EE528" t="s">
        <v>8968</v>
      </c>
    </row>
    <row r="529" spans="1:135">
      <c r="A529" t="s">
        <v>3454</v>
      </c>
      <c r="B529" t="s">
        <v>3399</v>
      </c>
      <c r="C529" t="s">
        <v>21765</v>
      </c>
      <c r="D529" s="24">
        <v>43376</v>
      </c>
      <c r="E529" s="24" t="s">
        <v>13555</v>
      </c>
      <c r="F529" s="24" t="s">
        <v>21766</v>
      </c>
      <c r="G529" s="24" t="s">
        <v>13808</v>
      </c>
      <c r="H529" s="24"/>
      <c r="I529" s="24" t="s">
        <v>13809</v>
      </c>
      <c r="J529" s="24"/>
      <c r="K529" s="24" t="s">
        <v>13808</v>
      </c>
      <c r="L529" s="24"/>
      <c r="M529" s="24" t="s">
        <v>13950</v>
      </c>
      <c r="N529" s="24" t="s">
        <v>13808</v>
      </c>
      <c r="O529" s="24"/>
      <c r="P529" s="24" t="s">
        <v>13808</v>
      </c>
      <c r="Q529" s="24"/>
      <c r="R529" s="24" t="s">
        <v>13808</v>
      </c>
      <c r="S529" s="24"/>
      <c r="T529" t="s">
        <v>14034</v>
      </c>
      <c r="U529" t="s">
        <v>13809</v>
      </c>
      <c r="W529" t="s">
        <v>13808</v>
      </c>
      <c r="X529" t="s">
        <v>21767</v>
      </c>
      <c r="Y529" t="s">
        <v>13809</v>
      </c>
      <c r="AA529" t="s">
        <v>14971</v>
      </c>
      <c r="AB529" t="s">
        <v>15276</v>
      </c>
      <c r="AC529" t="s">
        <v>13808</v>
      </c>
      <c r="AH529" t="s">
        <v>13909</v>
      </c>
      <c r="AI529" t="s">
        <v>13808</v>
      </c>
      <c r="AN529" t="s">
        <v>21768</v>
      </c>
      <c r="AO529" t="s">
        <v>13808</v>
      </c>
      <c r="AU529" t="s">
        <v>13809</v>
      </c>
      <c r="AZ529" t="s">
        <v>21769</v>
      </c>
      <c r="BA529" t="s">
        <v>13808</v>
      </c>
      <c r="BF529" t="s">
        <v>21770</v>
      </c>
      <c r="BG529" t="s">
        <v>13808</v>
      </c>
      <c r="BL529" t="s">
        <v>14598</v>
      </c>
      <c r="BM529" t="s">
        <v>13808</v>
      </c>
      <c r="BR529" t="s">
        <v>21771</v>
      </c>
      <c r="BS529" t="s">
        <v>13887</v>
      </c>
      <c r="BT529" t="s">
        <v>13808</v>
      </c>
      <c r="BU529" t="s">
        <v>14336</v>
      </c>
      <c r="BY529" t="s">
        <v>14265</v>
      </c>
      <c r="BZ529" t="s">
        <v>13808</v>
      </c>
      <c r="CA529" t="s">
        <v>13937</v>
      </c>
      <c r="CE529" t="s">
        <v>14265</v>
      </c>
      <c r="CF529" t="s">
        <v>13808</v>
      </c>
      <c r="CL529" t="s">
        <v>13809</v>
      </c>
      <c r="CR529" t="s">
        <v>13809</v>
      </c>
      <c r="CT529" t="s">
        <v>21772</v>
      </c>
      <c r="CU529" t="s">
        <v>16503</v>
      </c>
      <c r="CV529" t="s">
        <v>13808</v>
      </c>
      <c r="CX529" t="s">
        <v>13885</v>
      </c>
      <c r="CY529" t="s">
        <v>13818</v>
      </c>
      <c r="DA529" t="s">
        <v>16503</v>
      </c>
      <c r="DB529" t="s">
        <v>13808</v>
      </c>
      <c r="DD529" t="s">
        <v>13885</v>
      </c>
      <c r="DE529" t="s">
        <v>13818</v>
      </c>
      <c r="DG529" t="s">
        <v>14265</v>
      </c>
      <c r="DH529" t="s">
        <v>13808</v>
      </c>
      <c r="DI529" t="s">
        <v>15017</v>
      </c>
      <c r="DM529" t="s">
        <v>13885</v>
      </c>
      <c r="DN529" t="s">
        <v>13808</v>
      </c>
      <c r="DZ529" t="s">
        <v>21773</v>
      </c>
      <c r="EA529" t="s">
        <v>15744</v>
      </c>
      <c r="EC529">
        <v>43480</v>
      </c>
      <c r="ED529" t="s">
        <v>13903</v>
      </c>
      <c r="EE529" t="s">
        <v>8176</v>
      </c>
    </row>
    <row r="530" spans="1:135">
      <c r="A530" t="s">
        <v>11869</v>
      </c>
      <c r="B530" t="s">
        <v>4051</v>
      </c>
      <c r="C530" t="s">
        <v>21774</v>
      </c>
      <c r="D530" s="24">
        <v>44469</v>
      </c>
      <c r="E530" s="24" t="s">
        <v>13561</v>
      </c>
      <c r="F530" s="24" t="s">
        <v>21775</v>
      </c>
      <c r="G530" s="24" t="s">
        <v>13818</v>
      </c>
      <c r="H530" s="24" t="s">
        <v>21776</v>
      </c>
      <c r="I530" s="24" t="s">
        <v>13809</v>
      </c>
      <c r="J530" s="24"/>
      <c r="K530" s="24" t="s">
        <v>13809</v>
      </c>
      <c r="L530" s="24"/>
      <c r="M530" s="24" t="s">
        <v>14304</v>
      </c>
      <c r="N530" s="24" t="s">
        <v>13808</v>
      </c>
      <c r="O530" s="24"/>
      <c r="P530" s="24" t="s">
        <v>13808</v>
      </c>
      <c r="Q530" s="24"/>
      <c r="R530" s="24" t="s">
        <v>13808</v>
      </c>
      <c r="S530" s="24"/>
      <c r="T530" t="s">
        <v>21214</v>
      </c>
      <c r="U530" t="s">
        <v>13809</v>
      </c>
      <c r="W530" t="s">
        <v>13809</v>
      </c>
      <c r="Y530" t="s">
        <v>13809</v>
      </c>
      <c r="AA530" t="s">
        <v>14386</v>
      </c>
      <c r="AB530" t="s">
        <v>13880</v>
      </c>
      <c r="AC530" t="s">
        <v>13818</v>
      </c>
      <c r="AD530" t="s">
        <v>13819</v>
      </c>
      <c r="AH530" t="s">
        <v>13909</v>
      </c>
      <c r="AI530" t="s">
        <v>13818</v>
      </c>
      <c r="AJ530" t="s">
        <v>13819</v>
      </c>
      <c r="AN530" t="s">
        <v>15076</v>
      </c>
      <c r="AO530" t="s">
        <v>13818</v>
      </c>
      <c r="AP530" t="s">
        <v>13819</v>
      </c>
      <c r="AT530" t="s">
        <v>17868</v>
      </c>
      <c r="AU530" t="s">
        <v>13818</v>
      </c>
      <c r="AV530" t="s">
        <v>13819</v>
      </c>
      <c r="AZ530" t="s">
        <v>15973</v>
      </c>
      <c r="BA530" t="s">
        <v>13818</v>
      </c>
      <c r="BB530" t="s">
        <v>13819</v>
      </c>
      <c r="BF530" t="s">
        <v>16268</v>
      </c>
      <c r="BG530" t="s">
        <v>13818</v>
      </c>
      <c r="BH530" t="s">
        <v>13819</v>
      </c>
      <c r="BM530" t="s">
        <v>13809</v>
      </c>
      <c r="BR530" t="s">
        <v>21777</v>
      </c>
      <c r="BS530" t="s">
        <v>13887</v>
      </c>
      <c r="BT530" t="s">
        <v>13818</v>
      </c>
      <c r="BU530" t="s">
        <v>21778</v>
      </c>
      <c r="BY530" t="s">
        <v>13887</v>
      </c>
      <c r="BZ530" t="s">
        <v>13818</v>
      </c>
      <c r="CA530" t="s">
        <v>21779</v>
      </c>
      <c r="CE530" t="s">
        <v>13887</v>
      </c>
      <c r="CF530" t="s">
        <v>13818</v>
      </c>
      <c r="CG530" t="s">
        <v>21780</v>
      </c>
      <c r="CL530" t="s">
        <v>13809</v>
      </c>
      <c r="CR530" t="s">
        <v>13809</v>
      </c>
      <c r="CT530" t="s">
        <v>21781</v>
      </c>
      <c r="CU530" t="s">
        <v>21782</v>
      </c>
      <c r="CV530" t="s">
        <v>13818</v>
      </c>
      <c r="DA530" t="s">
        <v>21783</v>
      </c>
      <c r="DB530" t="s">
        <v>13818</v>
      </c>
      <c r="DG530" t="s">
        <v>21784</v>
      </c>
      <c r="DH530" t="s">
        <v>13818</v>
      </c>
      <c r="DY530" t="s">
        <v>13840</v>
      </c>
      <c r="DZ530" t="s">
        <v>13841</v>
      </c>
      <c r="EA530" t="s">
        <v>13842</v>
      </c>
      <c r="ED530" t="s">
        <v>17223</v>
      </c>
      <c r="EE530" t="s">
        <v>13628</v>
      </c>
    </row>
    <row r="531" spans="1:135">
      <c r="A531" t="s">
        <v>3535</v>
      </c>
      <c r="B531" t="s">
        <v>3506</v>
      </c>
      <c r="C531" t="s">
        <v>21785</v>
      </c>
      <c r="D531" s="24">
        <v>44034</v>
      </c>
      <c r="E531" s="24" t="s">
        <v>13558</v>
      </c>
      <c r="F531" s="24" t="s">
        <v>21786</v>
      </c>
      <c r="G531" s="24" t="s">
        <v>13808</v>
      </c>
      <c r="H531" s="24"/>
      <c r="I531" s="24" t="s">
        <v>13809</v>
      </c>
      <c r="J531" s="24"/>
      <c r="K531" s="24" t="s">
        <v>13808</v>
      </c>
      <c r="L531" s="24"/>
      <c r="M531" s="24" t="s">
        <v>14304</v>
      </c>
      <c r="N531" s="24" t="s">
        <v>13808</v>
      </c>
      <c r="O531" s="24"/>
      <c r="P531" s="24" t="s">
        <v>13818</v>
      </c>
      <c r="Q531" s="24" t="s">
        <v>14885</v>
      </c>
      <c r="R531" s="24" t="s">
        <v>13808</v>
      </c>
      <c r="S531" s="24"/>
      <c r="T531" t="s">
        <v>14071</v>
      </c>
      <c r="U531" t="s">
        <v>13809</v>
      </c>
      <c r="W531" t="s">
        <v>13809</v>
      </c>
      <c r="Y531" t="s">
        <v>13809</v>
      </c>
      <c r="AA531" t="s">
        <v>21787</v>
      </c>
      <c r="AB531" t="s">
        <v>21788</v>
      </c>
      <c r="AC531" t="s">
        <v>13808</v>
      </c>
      <c r="AH531" t="s">
        <v>13887</v>
      </c>
      <c r="AI531" t="s">
        <v>13808</v>
      </c>
      <c r="AK531" t="s">
        <v>14004</v>
      </c>
      <c r="AL531" t="s">
        <v>13818</v>
      </c>
      <c r="AM531" t="s">
        <v>14309</v>
      </c>
      <c r="AN531" t="s">
        <v>21789</v>
      </c>
      <c r="AO531" t="s">
        <v>13818</v>
      </c>
      <c r="AP531" t="s">
        <v>14309</v>
      </c>
      <c r="AT531" t="s">
        <v>14126</v>
      </c>
      <c r="AU531" t="s">
        <v>13818</v>
      </c>
      <c r="AV531" t="s">
        <v>14415</v>
      </c>
      <c r="AZ531" t="s">
        <v>15822</v>
      </c>
      <c r="BA531" t="s">
        <v>13808</v>
      </c>
      <c r="BF531" t="s">
        <v>18051</v>
      </c>
      <c r="BG531" t="s">
        <v>13808</v>
      </c>
      <c r="BL531" t="s">
        <v>14005</v>
      </c>
      <c r="BM531" t="s">
        <v>13818</v>
      </c>
      <c r="BN531" t="s">
        <v>14259</v>
      </c>
      <c r="BR531" t="s">
        <v>21790</v>
      </c>
      <c r="BS531" t="s">
        <v>13887</v>
      </c>
      <c r="BT531" t="s">
        <v>13808</v>
      </c>
      <c r="BU531" t="s">
        <v>14528</v>
      </c>
      <c r="BY531" t="s">
        <v>14265</v>
      </c>
      <c r="BZ531" t="s">
        <v>13818</v>
      </c>
      <c r="CA531" t="s">
        <v>21791</v>
      </c>
      <c r="CE531" t="s">
        <v>13887</v>
      </c>
      <c r="CF531" t="s">
        <v>13818</v>
      </c>
      <c r="CG531" t="s">
        <v>21792</v>
      </c>
      <c r="CL531" t="s">
        <v>13809</v>
      </c>
      <c r="CR531" t="s">
        <v>13809</v>
      </c>
      <c r="CT531" t="s">
        <v>13830</v>
      </c>
      <c r="CU531" t="s">
        <v>21793</v>
      </c>
      <c r="CV531" t="s">
        <v>13818</v>
      </c>
      <c r="DA531" t="s">
        <v>21794</v>
      </c>
      <c r="DB531" t="s">
        <v>13818</v>
      </c>
      <c r="DG531" t="s">
        <v>13909</v>
      </c>
      <c r="DH531" t="s">
        <v>13818</v>
      </c>
      <c r="DY531" t="s">
        <v>13840</v>
      </c>
      <c r="DZ531" t="s">
        <v>13841</v>
      </c>
      <c r="EA531" t="s">
        <v>13842</v>
      </c>
      <c r="ED531" t="s">
        <v>13903</v>
      </c>
      <c r="EE531" t="s">
        <v>8317</v>
      </c>
    </row>
    <row r="532" spans="1:135">
      <c r="A532" t="s">
        <v>3870</v>
      </c>
      <c r="B532" t="s">
        <v>3808</v>
      </c>
      <c r="C532" t="s">
        <v>21795</v>
      </c>
      <c r="D532" s="24">
        <v>43648</v>
      </c>
      <c r="E532" s="24" t="s">
        <v>13555</v>
      </c>
      <c r="F532" s="24" t="s">
        <v>21796</v>
      </c>
      <c r="G532" s="24" t="s">
        <v>13808</v>
      </c>
      <c r="H532" s="24"/>
      <c r="I532" s="24" t="s">
        <v>13809</v>
      </c>
      <c r="J532" s="24"/>
      <c r="K532" s="24" t="s">
        <v>13809</v>
      </c>
      <c r="L532" s="24"/>
      <c r="M532" s="24" t="s">
        <v>15021</v>
      </c>
      <c r="N532" s="24" t="s">
        <v>13808</v>
      </c>
      <c r="O532" s="24"/>
      <c r="P532" s="24" t="s">
        <v>13818</v>
      </c>
      <c r="Q532" s="24" t="s">
        <v>15815</v>
      </c>
      <c r="R532" s="24" t="s">
        <v>13808</v>
      </c>
      <c r="S532" s="24"/>
      <c r="T532" t="s">
        <v>14034</v>
      </c>
      <c r="U532" t="s">
        <v>13809</v>
      </c>
      <c r="W532" t="s">
        <v>13808</v>
      </c>
      <c r="X532" t="s">
        <v>21797</v>
      </c>
      <c r="Y532" t="s">
        <v>13809</v>
      </c>
      <c r="AA532" t="s">
        <v>13877</v>
      </c>
      <c r="AC532" t="s">
        <v>13809</v>
      </c>
      <c r="AH532" t="s">
        <v>13909</v>
      </c>
      <c r="AI532" t="s">
        <v>13808</v>
      </c>
      <c r="AN532" t="s">
        <v>21798</v>
      </c>
      <c r="AO532" t="s">
        <v>13808</v>
      </c>
      <c r="AT532" t="s">
        <v>17084</v>
      </c>
      <c r="AU532" t="s">
        <v>13808</v>
      </c>
      <c r="AZ532" t="s">
        <v>14046</v>
      </c>
      <c r="BA532" t="s">
        <v>13808</v>
      </c>
      <c r="BF532" t="s">
        <v>15025</v>
      </c>
      <c r="BG532" t="s">
        <v>13808</v>
      </c>
      <c r="BM532" t="s">
        <v>13809</v>
      </c>
      <c r="BR532" t="s">
        <v>21799</v>
      </c>
      <c r="BS532" t="s">
        <v>14265</v>
      </c>
      <c r="BT532" t="s">
        <v>13808</v>
      </c>
      <c r="BU532" t="s">
        <v>15304</v>
      </c>
      <c r="BY532" t="s">
        <v>14265</v>
      </c>
      <c r="BZ532" t="s">
        <v>13808</v>
      </c>
      <c r="CA532" t="s">
        <v>13888</v>
      </c>
      <c r="CE532" t="s">
        <v>13885</v>
      </c>
      <c r="CF532" t="s">
        <v>13808</v>
      </c>
      <c r="CL532" t="s">
        <v>13809</v>
      </c>
      <c r="CR532" t="s">
        <v>13809</v>
      </c>
      <c r="CT532" t="s">
        <v>21800</v>
      </c>
      <c r="CU532" t="s">
        <v>21801</v>
      </c>
      <c r="CV532" t="s">
        <v>13808</v>
      </c>
      <c r="CX532" t="s">
        <v>18959</v>
      </c>
      <c r="CY532" t="s">
        <v>13818</v>
      </c>
      <c r="DA532" t="s">
        <v>21802</v>
      </c>
      <c r="DB532" t="s">
        <v>13808</v>
      </c>
      <c r="DD532" t="s">
        <v>20202</v>
      </c>
      <c r="DE532" t="s">
        <v>13818</v>
      </c>
      <c r="DH532" t="s">
        <v>13809</v>
      </c>
      <c r="DM532" t="s">
        <v>21803</v>
      </c>
      <c r="DN532" t="s">
        <v>13808</v>
      </c>
      <c r="DY532" t="s">
        <v>13900</v>
      </c>
      <c r="DZ532" t="s">
        <v>21668</v>
      </c>
      <c r="EA532" t="s">
        <v>15419</v>
      </c>
      <c r="EC532">
        <v>44224</v>
      </c>
      <c r="ED532" t="s">
        <v>13903</v>
      </c>
      <c r="EE532" t="s">
        <v>8685</v>
      </c>
    </row>
    <row r="533" spans="1:135">
      <c r="A533" t="s">
        <v>3986</v>
      </c>
      <c r="B533" t="s">
        <v>3939</v>
      </c>
      <c r="C533" t="s">
        <v>21804</v>
      </c>
      <c r="D533" s="24">
        <v>44021</v>
      </c>
      <c r="E533" s="24" t="s">
        <v>13555</v>
      </c>
      <c r="F533" s="24" t="s">
        <v>21805</v>
      </c>
      <c r="G533" s="24" t="s">
        <v>13808</v>
      </c>
      <c r="H533" s="24"/>
      <c r="I533" s="24" t="s">
        <v>13809</v>
      </c>
      <c r="J533" s="24"/>
      <c r="K533" s="24" t="s">
        <v>13809</v>
      </c>
      <c r="L533" s="24"/>
      <c r="M533" s="24" t="s">
        <v>13846</v>
      </c>
      <c r="N533" s="24" t="s">
        <v>13808</v>
      </c>
      <c r="O533" s="24"/>
      <c r="P533" s="24" t="s">
        <v>13808</v>
      </c>
      <c r="Q533" s="24"/>
      <c r="R533" s="24" t="s">
        <v>13808</v>
      </c>
      <c r="S533" s="24"/>
      <c r="T533" t="s">
        <v>17583</v>
      </c>
      <c r="U533" t="s">
        <v>13808</v>
      </c>
      <c r="W533" t="s">
        <v>13808</v>
      </c>
      <c r="X533" t="s">
        <v>21806</v>
      </c>
      <c r="Y533" t="s">
        <v>13808</v>
      </c>
      <c r="AA533" t="s">
        <v>13849</v>
      </c>
      <c r="AB533" t="s">
        <v>14367</v>
      </c>
      <c r="AC533" t="s">
        <v>13808</v>
      </c>
      <c r="AH533" t="s">
        <v>13909</v>
      </c>
      <c r="AI533" t="s">
        <v>13808</v>
      </c>
      <c r="AN533" t="s">
        <v>16121</v>
      </c>
      <c r="AO533" t="s">
        <v>13808</v>
      </c>
      <c r="AT533" t="s">
        <v>18860</v>
      </c>
      <c r="AU533" t="s">
        <v>13808</v>
      </c>
      <c r="AZ533" t="s">
        <v>15025</v>
      </c>
      <c r="BA533" t="s">
        <v>13808</v>
      </c>
      <c r="BF533" t="s">
        <v>14423</v>
      </c>
      <c r="BG533" t="s">
        <v>13808</v>
      </c>
      <c r="BL533" t="s">
        <v>16072</v>
      </c>
      <c r="BM533" t="s">
        <v>13808</v>
      </c>
      <c r="BR533" t="s">
        <v>21807</v>
      </c>
      <c r="BS533" t="s">
        <v>13887</v>
      </c>
      <c r="BT533" t="s">
        <v>13808</v>
      </c>
      <c r="BU533" t="s">
        <v>14291</v>
      </c>
      <c r="BY533" t="s">
        <v>13887</v>
      </c>
      <c r="BZ533" t="s">
        <v>13808</v>
      </c>
      <c r="CA533" t="s">
        <v>13861</v>
      </c>
      <c r="CE533" t="s">
        <v>13887</v>
      </c>
      <c r="CF533" t="s">
        <v>13808</v>
      </c>
      <c r="CG533" t="s">
        <v>13863</v>
      </c>
      <c r="CK533" t="s">
        <v>21808</v>
      </c>
      <c r="CL533" t="s">
        <v>13808</v>
      </c>
      <c r="CM533" t="s">
        <v>13863</v>
      </c>
      <c r="CR533" t="s">
        <v>13809</v>
      </c>
      <c r="CT533" t="s">
        <v>21809</v>
      </c>
      <c r="CU533" t="s">
        <v>21810</v>
      </c>
      <c r="CV533" t="s">
        <v>13808</v>
      </c>
      <c r="DA533" t="s">
        <v>21811</v>
      </c>
      <c r="DB533" t="s">
        <v>13808</v>
      </c>
      <c r="DG533" t="s">
        <v>21812</v>
      </c>
      <c r="DH533" t="s">
        <v>13808</v>
      </c>
      <c r="DJ533" t="s">
        <v>21813</v>
      </c>
      <c r="DK533" t="s">
        <v>13808</v>
      </c>
      <c r="DM533" t="s">
        <v>21814</v>
      </c>
      <c r="DN533" t="s">
        <v>13808</v>
      </c>
      <c r="DP533" t="s">
        <v>21815</v>
      </c>
      <c r="DQ533" t="s">
        <v>13808</v>
      </c>
      <c r="DR533" t="s">
        <v>13839</v>
      </c>
      <c r="DY533" t="s">
        <v>15364</v>
      </c>
      <c r="DZ533" t="s">
        <v>21816</v>
      </c>
      <c r="EA533" t="s">
        <v>21817</v>
      </c>
      <c r="ED533" t="s">
        <v>13903</v>
      </c>
      <c r="EE533" t="s">
        <v>8835</v>
      </c>
    </row>
    <row r="534" spans="1:135">
      <c r="A534" t="s">
        <v>3539</v>
      </c>
      <c r="B534" t="s">
        <v>3506</v>
      </c>
      <c r="C534" t="s">
        <v>21818</v>
      </c>
      <c r="D534" s="24">
        <v>44932</v>
      </c>
      <c r="E534" s="24" t="s">
        <v>13560</v>
      </c>
      <c r="F534" s="24" t="s">
        <v>21819</v>
      </c>
      <c r="G534" s="24" t="s">
        <v>13808</v>
      </c>
      <c r="H534" s="24"/>
      <c r="I534" s="24" t="s">
        <v>13809</v>
      </c>
      <c r="J534" s="24"/>
      <c r="K534" s="24" t="s">
        <v>13808</v>
      </c>
      <c r="L534" s="24"/>
      <c r="M534" s="24" t="s">
        <v>14304</v>
      </c>
      <c r="N534" s="24" t="s">
        <v>13808</v>
      </c>
      <c r="O534" s="24"/>
      <c r="P534" s="24" t="s">
        <v>13808</v>
      </c>
      <c r="Q534" s="24"/>
      <c r="R534" s="24" t="s">
        <v>13808</v>
      </c>
      <c r="S534" s="24"/>
      <c r="T534" t="s">
        <v>21820</v>
      </c>
      <c r="U534" t="s">
        <v>13809</v>
      </c>
      <c r="W534" t="s">
        <v>13809</v>
      </c>
      <c r="Y534" t="s">
        <v>13809</v>
      </c>
      <c r="AA534" t="s">
        <v>14551</v>
      </c>
      <c r="AB534" t="s">
        <v>21821</v>
      </c>
      <c r="AC534" t="s">
        <v>13808</v>
      </c>
      <c r="AH534" t="s">
        <v>14073</v>
      </c>
      <c r="AI534" t="s">
        <v>13808</v>
      </c>
      <c r="AK534" t="s">
        <v>21822</v>
      </c>
      <c r="AL534" t="s">
        <v>13818</v>
      </c>
      <c r="AM534" t="s">
        <v>14309</v>
      </c>
      <c r="AN534" t="s">
        <v>21823</v>
      </c>
      <c r="AO534" t="s">
        <v>13818</v>
      </c>
      <c r="AP534" t="s">
        <v>14309</v>
      </c>
      <c r="AT534" t="s">
        <v>16450</v>
      </c>
      <c r="AU534" t="s">
        <v>13818</v>
      </c>
      <c r="AV534" t="s">
        <v>14309</v>
      </c>
      <c r="AZ534" t="s">
        <v>14638</v>
      </c>
      <c r="BA534" t="s">
        <v>13808</v>
      </c>
      <c r="BF534" t="s">
        <v>17068</v>
      </c>
      <c r="BG534" t="s">
        <v>13808</v>
      </c>
      <c r="BL534" t="s">
        <v>13735</v>
      </c>
      <c r="BM534" t="s">
        <v>13809</v>
      </c>
      <c r="BR534" t="s">
        <v>21824</v>
      </c>
      <c r="BS534" t="s">
        <v>13824</v>
      </c>
      <c r="BT534" t="s">
        <v>13808</v>
      </c>
      <c r="BU534" t="s">
        <v>19023</v>
      </c>
      <c r="BY534" t="s">
        <v>13860</v>
      </c>
      <c r="BZ534" t="s">
        <v>13808</v>
      </c>
      <c r="CA534" t="s">
        <v>13861</v>
      </c>
      <c r="CE534" t="s">
        <v>13828</v>
      </c>
      <c r="CF534" t="s">
        <v>13808</v>
      </c>
      <c r="CG534" t="s">
        <v>13863</v>
      </c>
      <c r="CK534" t="s">
        <v>13760</v>
      </c>
      <c r="CL534" t="s">
        <v>13809</v>
      </c>
      <c r="CQ534" t="s">
        <v>13766</v>
      </c>
      <c r="CR534" t="s">
        <v>13809</v>
      </c>
      <c r="CT534" t="s">
        <v>21825</v>
      </c>
      <c r="CU534" t="s">
        <v>18787</v>
      </c>
      <c r="CV534" t="s">
        <v>13818</v>
      </c>
      <c r="CW534" t="s">
        <v>14309</v>
      </c>
      <c r="DA534" t="s">
        <v>18788</v>
      </c>
      <c r="DB534" t="s">
        <v>13818</v>
      </c>
      <c r="DC534" t="s">
        <v>14309</v>
      </c>
      <c r="DD534" t="s">
        <v>21364</v>
      </c>
      <c r="DE534" t="s">
        <v>13808</v>
      </c>
      <c r="DG534" t="s">
        <v>14562</v>
      </c>
      <c r="DH534" t="s">
        <v>13818</v>
      </c>
      <c r="DY534" t="s">
        <v>15402</v>
      </c>
      <c r="DZ534" t="s">
        <v>14665</v>
      </c>
      <c r="EA534" t="s">
        <v>13842</v>
      </c>
      <c r="EC534">
        <v>44959</v>
      </c>
      <c r="ED534" t="s">
        <v>14298</v>
      </c>
      <c r="EE534" t="s">
        <v>8324</v>
      </c>
    </row>
    <row r="535" spans="1:135">
      <c r="A535" t="s">
        <v>3543</v>
      </c>
      <c r="B535" t="s">
        <v>3506</v>
      </c>
      <c r="C535" t="s">
        <v>21826</v>
      </c>
      <c r="D535" s="24">
        <v>44496</v>
      </c>
      <c r="E535" s="24" t="s">
        <v>13558</v>
      </c>
      <c r="F535" s="24" t="s">
        <v>21827</v>
      </c>
      <c r="G535" s="24" t="s">
        <v>13808</v>
      </c>
      <c r="H535" s="24"/>
      <c r="I535" s="24" t="s">
        <v>13809</v>
      </c>
      <c r="J535" s="24"/>
      <c r="K535" s="24" t="s">
        <v>13809</v>
      </c>
      <c r="L535" s="24"/>
      <c r="M535" s="24" t="s">
        <v>14304</v>
      </c>
      <c r="N535" s="24" t="s">
        <v>13808</v>
      </c>
      <c r="O535" s="24"/>
      <c r="P535" s="24" t="s">
        <v>13808</v>
      </c>
      <c r="Q535" s="24"/>
      <c r="R535" s="24" t="s">
        <v>13808</v>
      </c>
      <c r="S535" s="24"/>
      <c r="T535" t="s">
        <v>21705</v>
      </c>
      <c r="U535" t="s">
        <v>13809</v>
      </c>
      <c r="W535" t="s">
        <v>13809</v>
      </c>
      <c r="Y535" t="s">
        <v>13809</v>
      </c>
      <c r="AA535" t="s">
        <v>14250</v>
      </c>
      <c r="AC535" t="s">
        <v>13809</v>
      </c>
      <c r="AH535" t="s">
        <v>13887</v>
      </c>
      <c r="AI535" t="s">
        <v>13808</v>
      </c>
      <c r="AN535" t="s">
        <v>14192</v>
      </c>
      <c r="AO535" t="s">
        <v>13808</v>
      </c>
      <c r="AT535" t="s">
        <v>14544</v>
      </c>
      <c r="AU535" t="s">
        <v>21828</v>
      </c>
      <c r="AV535" t="s">
        <v>14888</v>
      </c>
      <c r="AZ535" t="s">
        <v>16234</v>
      </c>
      <c r="BA535" t="s">
        <v>13808</v>
      </c>
      <c r="BF535" t="s">
        <v>14059</v>
      </c>
      <c r="BG535" t="s">
        <v>13808</v>
      </c>
      <c r="BM535" t="s">
        <v>13809</v>
      </c>
      <c r="BR535" t="s">
        <v>16122</v>
      </c>
      <c r="BS535" t="s">
        <v>13887</v>
      </c>
      <c r="BT535" t="s">
        <v>13808</v>
      </c>
      <c r="BY535" t="s">
        <v>13887</v>
      </c>
      <c r="BZ535" t="s">
        <v>13808</v>
      </c>
      <c r="CA535" t="s">
        <v>13937</v>
      </c>
      <c r="CE535" t="s">
        <v>13887</v>
      </c>
      <c r="CF535" t="s">
        <v>13808</v>
      </c>
      <c r="CL535" t="s">
        <v>13809</v>
      </c>
      <c r="CR535" t="s">
        <v>13809</v>
      </c>
      <c r="CT535" t="s">
        <v>21829</v>
      </c>
      <c r="CU535" t="s">
        <v>13887</v>
      </c>
      <c r="CV535" t="s">
        <v>13818</v>
      </c>
      <c r="DA535" t="s">
        <v>13887</v>
      </c>
      <c r="DB535" t="s">
        <v>13818</v>
      </c>
      <c r="DG535" t="s">
        <v>13887</v>
      </c>
      <c r="DH535" t="s">
        <v>13818</v>
      </c>
      <c r="DY535" t="s">
        <v>13900</v>
      </c>
      <c r="DZ535" t="s">
        <v>14274</v>
      </c>
      <c r="EA535" t="s">
        <v>14461</v>
      </c>
      <c r="ED535" t="s">
        <v>14722</v>
      </c>
      <c r="EE535" t="s">
        <v>8327</v>
      </c>
    </row>
    <row r="536" spans="1:135">
      <c r="A536" t="s">
        <v>3689</v>
      </c>
      <c r="B536" t="s">
        <v>3619</v>
      </c>
      <c r="C536" t="s">
        <v>21830</v>
      </c>
      <c r="D536" s="24">
        <v>42905</v>
      </c>
      <c r="E536" s="24" t="s">
        <v>13560</v>
      </c>
      <c r="F536" s="24" t="s">
        <v>21831</v>
      </c>
      <c r="G536" s="24" t="s">
        <v>13808</v>
      </c>
      <c r="H536" s="24"/>
      <c r="I536" s="24" t="s">
        <v>13809</v>
      </c>
      <c r="J536" s="24"/>
      <c r="K536" s="24" t="s">
        <v>13808</v>
      </c>
      <c r="L536" s="24"/>
      <c r="M536" s="24" t="s">
        <v>21832</v>
      </c>
      <c r="N536" s="24" t="s">
        <v>13808</v>
      </c>
      <c r="O536" s="24"/>
      <c r="P536" s="24" t="s">
        <v>13808</v>
      </c>
      <c r="Q536" s="24"/>
      <c r="R536" s="24" t="s">
        <v>13808</v>
      </c>
      <c r="S536" s="24"/>
      <c r="T536" t="s">
        <v>21833</v>
      </c>
      <c r="U536" t="s">
        <v>13809</v>
      </c>
      <c r="W536" t="s">
        <v>13809</v>
      </c>
      <c r="Y536" t="s">
        <v>13809</v>
      </c>
      <c r="AA536" t="s">
        <v>21834</v>
      </c>
      <c r="AB536" t="s">
        <v>21835</v>
      </c>
      <c r="AC536" t="s">
        <v>13808</v>
      </c>
      <c r="AH536" t="s">
        <v>14073</v>
      </c>
      <c r="AI536" t="s">
        <v>13808</v>
      </c>
      <c r="AN536" t="s">
        <v>21836</v>
      </c>
      <c r="AO536" t="s">
        <v>13818</v>
      </c>
      <c r="AQ536" t="s">
        <v>21837</v>
      </c>
      <c r="AR536" t="s">
        <v>13808</v>
      </c>
      <c r="AT536" t="s">
        <v>18873</v>
      </c>
      <c r="AU536" t="s">
        <v>13818</v>
      </c>
      <c r="AZ536" t="s">
        <v>16451</v>
      </c>
      <c r="BA536" t="s">
        <v>13808</v>
      </c>
      <c r="BF536" t="s">
        <v>21838</v>
      </c>
      <c r="BG536" t="s">
        <v>13808</v>
      </c>
      <c r="BL536" t="s">
        <v>21839</v>
      </c>
      <c r="BM536" t="s">
        <v>13818</v>
      </c>
      <c r="BR536" t="s">
        <v>21840</v>
      </c>
      <c r="BS536" t="s">
        <v>13824</v>
      </c>
      <c r="BT536" t="s">
        <v>13808</v>
      </c>
      <c r="BU536" t="s">
        <v>21841</v>
      </c>
      <c r="BY536" t="s">
        <v>13860</v>
      </c>
      <c r="BZ536" t="s">
        <v>13808</v>
      </c>
      <c r="CA536" t="s">
        <v>13937</v>
      </c>
      <c r="CE536" t="s">
        <v>13828</v>
      </c>
      <c r="CF536" t="s">
        <v>13808</v>
      </c>
      <c r="CK536" t="s">
        <v>13760</v>
      </c>
      <c r="CL536" t="s">
        <v>13809</v>
      </c>
      <c r="CQ536" t="s">
        <v>13766</v>
      </c>
      <c r="CR536" t="s">
        <v>13809</v>
      </c>
      <c r="CT536" t="s">
        <v>21842</v>
      </c>
      <c r="CU536" t="s">
        <v>21843</v>
      </c>
      <c r="CV536" t="s">
        <v>13808</v>
      </c>
      <c r="CX536" t="s">
        <v>21844</v>
      </c>
      <c r="CY536" t="s">
        <v>13818</v>
      </c>
      <c r="DA536" t="s">
        <v>21845</v>
      </c>
      <c r="DB536" t="s">
        <v>13808</v>
      </c>
      <c r="DD536" t="s">
        <v>21846</v>
      </c>
      <c r="DE536" t="s">
        <v>13818</v>
      </c>
      <c r="DG536" t="s">
        <v>21847</v>
      </c>
      <c r="DH536" t="s">
        <v>13808</v>
      </c>
      <c r="DJ536" t="s">
        <v>17116</v>
      </c>
      <c r="DK536" t="s">
        <v>13818</v>
      </c>
      <c r="DY536" t="s">
        <v>15046</v>
      </c>
      <c r="DZ536" t="s">
        <v>21848</v>
      </c>
      <c r="EA536" t="s">
        <v>14881</v>
      </c>
      <c r="EC536">
        <v>44691</v>
      </c>
      <c r="ED536" t="s">
        <v>13843</v>
      </c>
      <c r="EE536" t="s">
        <v>8485</v>
      </c>
    </row>
    <row r="537" spans="1:135">
      <c r="A537" t="s">
        <v>3990</v>
      </c>
      <c r="B537" t="s">
        <v>3939</v>
      </c>
      <c r="C537" t="s">
        <v>21849</v>
      </c>
      <c r="D537" s="24">
        <v>45154</v>
      </c>
      <c r="E537" s="24" t="s">
        <v>13555</v>
      </c>
      <c r="F537" s="24" t="s">
        <v>21850</v>
      </c>
      <c r="G537" s="24" t="s">
        <v>13808</v>
      </c>
      <c r="H537" s="24"/>
      <c r="I537" s="24" t="s">
        <v>13809</v>
      </c>
      <c r="J537" s="24"/>
      <c r="K537" s="24" t="s">
        <v>13808</v>
      </c>
      <c r="L537" s="24"/>
      <c r="M537" s="24" t="s">
        <v>14631</v>
      </c>
      <c r="N537" s="24" t="s">
        <v>13808</v>
      </c>
      <c r="O537" s="24"/>
      <c r="P537" s="24" t="s">
        <v>13808</v>
      </c>
      <c r="Q537" s="24"/>
      <c r="R537" s="24" t="s">
        <v>13808</v>
      </c>
      <c r="S537" s="24"/>
      <c r="T537" t="s">
        <v>21851</v>
      </c>
      <c r="U537" t="s">
        <v>13809</v>
      </c>
      <c r="W537" t="s">
        <v>13808</v>
      </c>
      <c r="X537" t="s">
        <v>21852</v>
      </c>
      <c r="Y537" t="s">
        <v>13809</v>
      </c>
      <c r="AA537" t="s">
        <v>13849</v>
      </c>
      <c r="AB537" t="s">
        <v>13699</v>
      </c>
      <c r="AC537" t="s">
        <v>13809</v>
      </c>
      <c r="AH537" t="s">
        <v>13851</v>
      </c>
      <c r="AI537" t="s">
        <v>13808</v>
      </c>
      <c r="AN537" t="s">
        <v>17683</v>
      </c>
      <c r="AO537" t="s">
        <v>13808</v>
      </c>
      <c r="AT537" t="s">
        <v>17137</v>
      </c>
      <c r="AU537" t="s">
        <v>13808</v>
      </c>
      <c r="AZ537" t="s">
        <v>14638</v>
      </c>
      <c r="BA537" t="s">
        <v>13808</v>
      </c>
      <c r="BF537" t="s">
        <v>21853</v>
      </c>
      <c r="BG537" t="s">
        <v>13808</v>
      </c>
      <c r="BL537" t="s">
        <v>13735</v>
      </c>
      <c r="BM537" t="s">
        <v>13809</v>
      </c>
      <c r="BR537" t="s">
        <v>21854</v>
      </c>
      <c r="BS537" t="s">
        <v>13824</v>
      </c>
      <c r="BT537" t="s">
        <v>13808</v>
      </c>
      <c r="BU537" t="s">
        <v>14291</v>
      </c>
      <c r="BY537" t="s">
        <v>13860</v>
      </c>
      <c r="BZ537" t="s">
        <v>13808</v>
      </c>
      <c r="CA537" t="s">
        <v>21855</v>
      </c>
      <c r="CE537" t="s">
        <v>13754</v>
      </c>
      <c r="CF537" t="s">
        <v>13808</v>
      </c>
      <c r="CK537" t="s">
        <v>14581</v>
      </c>
      <c r="CL537" t="s">
        <v>13808</v>
      </c>
      <c r="CQ537" t="s">
        <v>13766</v>
      </c>
      <c r="CR537" t="s">
        <v>13809</v>
      </c>
      <c r="CT537" t="s">
        <v>14293</v>
      </c>
      <c r="CU537" t="s">
        <v>21856</v>
      </c>
      <c r="CV537" t="s">
        <v>13808</v>
      </c>
      <c r="DA537" t="s">
        <v>21857</v>
      </c>
      <c r="DB537" t="s">
        <v>13808</v>
      </c>
      <c r="DG537" t="s">
        <v>21858</v>
      </c>
      <c r="DH537" t="s">
        <v>13808</v>
      </c>
      <c r="DM537" t="s">
        <v>21859</v>
      </c>
      <c r="DN537" t="s">
        <v>13808</v>
      </c>
      <c r="DP537" t="s">
        <v>21860</v>
      </c>
      <c r="DQ537" t="s">
        <v>13808</v>
      </c>
      <c r="DR537" t="s">
        <v>13839</v>
      </c>
      <c r="DY537" t="s">
        <v>13840</v>
      </c>
      <c r="DZ537" t="s">
        <v>21861</v>
      </c>
      <c r="EA537" t="s">
        <v>21862</v>
      </c>
      <c r="EC537">
        <v>45170</v>
      </c>
      <c r="ED537" t="s">
        <v>14298</v>
      </c>
      <c r="EE537" t="s">
        <v>8839</v>
      </c>
    </row>
    <row r="538" spans="1:135">
      <c r="A538" t="s">
        <v>3462</v>
      </c>
      <c r="B538" t="s">
        <v>3399</v>
      </c>
      <c r="C538" t="s">
        <v>21863</v>
      </c>
      <c r="D538" s="24">
        <v>43495</v>
      </c>
      <c r="E538" s="24" t="s">
        <v>13560</v>
      </c>
      <c r="F538" s="24" t="s">
        <v>21864</v>
      </c>
      <c r="G538" s="24" t="s">
        <v>13808</v>
      </c>
      <c r="H538" s="24"/>
      <c r="I538" s="24" t="s">
        <v>13809</v>
      </c>
      <c r="J538" s="24"/>
      <c r="K538" s="24" t="s">
        <v>13808</v>
      </c>
      <c r="L538" s="24"/>
      <c r="M538" s="24" t="s">
        <v>13950</v>
      </c>
      <c r="N538" s="24" t="s">
        <v>13818</v>
      </c>
      <c r="O538" s="24"/>
      <c r="P538" s="24" t="s">
        <v>13808</v>
      </c>
      <c r="Q538" s="24"/>
      <c r="R538" s="24" t="s">
        <v>13808</v>
      </c>
      <c r="S538" s="24"/>
      <c r="T538" t="s">
        <v>14000</v>
      </c>
      <c r="U538" t="s">
        <v>13809</v>
      </c>
      <c r="W538" t="s">
        <v>13809</v>
      </c>
      <c r="Y538" t="s">
        <v>13809</v>
      </c>
      <c r="AA538" t="s">
        <v>21865</v>
      </c>
      <c r="AB538" t="s">
        <v>15820</v>
      </c>
      <c r="AC538" t="s">
        <v>13818</v>
      </c>
      <c r="AD538" t="s">
        <v>15808</v>
      </c>
      <c r="AH538" t="s">
        <v>14003</v>
      </c>
      <c r="AI538" t="s">
        <v>13808</v>
      </c>
      <c r="AK538" t="s">
        <v>18402</v>
      </c>
      <c r="AL538" t="s">
        <v>13818</v>
      </c>
      <c r="AM538" t="s">
        <v>15808</v>
      </c>
      <c r="AN538" t="s">
        <v>14595</v>
      </c>
      <c r="AO538" t="s">
        <v>13818</v>
      </c>
      <c r="AP538" t="s">
        <v>15808</v>
      </c>
      <c r="AT538" t="s">
        <v>15824</v>
      </c>
      <c r="AU538" t="s">
        <v>13818</v>
      </c>
      <c r="AV538" t="s">
        <v>15808</v>
      </c>
      <c r="AZ538" t="s">
        <v>21866</v>
      </c>
      <c r="BA538" t="s">
        <v>13808</v>
      </c>
      <c r="BF538" t="s">
        <v>21867</v>
      </c>
      <c r="BG538" t="s">
        <v>13808</v>
      </c>
      <c r="BM538" t="s">
        <v>13809</v>
      </c>
      <c r="BR538" t="s">
        <v>21868</v>
      </c>
      <c r="BS538" t="s">
        <v>14003</v>
      </c>
      <c r="BT538" t="s">
        <v>13808</v>
      </c>
      <c r="BU538" t="s">
        <v>13985</v>
      </c>
      <c r="BY538" t="s">
        <v>14003</v>
      </c>
      <c r="BZ538" t="s">
        <v>13808</v>
      </c>
      <c r="CA538" t="s">
        <v>13937</v>
      </c>
      <c r="CE538" t="s">
        <v>14003</v>
      </c>
      <c r="CF538" t="s">
        <v>13808</v>
      </c>
      <c r="CL538" t="s">
        <v>13809</v>
      </c>
      <c r="CR538" t="s">
        <v>13809</v>
      </c>
      <c r="CT538" t="s">
        <v>18387</v>
      </c>
      <c r="CU538" t="s">
        <v>14003</v>
      </c>
      <c r="CV538" t="s">
        <v>13808</v>
      </c>
      <c r="CX538" t="s">
        <v>18402</v>
      </c>
      <c r="CY538" t="s">
        <v>13818</v>
      </c>
      <c r="CZ538" t="s">
        <v>14415</v>
      </c>
      <c r="DA538" t="s">
        <v>14003</v>
      </c>
      <c r="DB538" t="s">
        <v>13808</v>
      </c>
      <c r="DD538" t="s">
        <v>18402</v>
      </c>
      <c r="DE538" t="s">
        <v>13818</v>
      </c>
      <c r="DF538" t="s">
        <v>14415</v>
      </c>
      <c r="DG538" t="s">
        <v>13909</v>
      </c>
      <c r="DH538" t="s">
        <v>13818</v>
      </c>
      <c r="DI538" t="s">
        <v>14415</v>
      </c>
      <c r="DY538" t="s">
        <v>15296</v>
      </c>
      <c r="DZ538" t="s">
        <v>13970</v>
      </c>
      <c r="EA538" t="s">
        <v>13971</v>
      </c>
      <c r="EC538">
        <v>44228</v>
      </c>
      <c r="ED538" t="s">
        <v>13903</v>
      </c>
      <c r="EE538" t="s">
        <v>8195</v>
      </c>
    </row>
    <row r="539" spans="1:135">
      <c r="A539" t="s">
        <v>3548</v>
      </c>
      <c r="B539" t="s">
        <v>3506</v>
      </c>
      <c r="C539" t="s">
        <v>21869</v>
      </c>
      <c r="D539" s="24">
        <v>43742</v>
      </c>
      <c r="E539" s="24" t="s">
        <v>13553</v>
      </c>
      <c r="F539" s="24" t="s">
        <v>21870</v>
      </c>
      <c r="G539" s="24" t="s">
        <v>13808</v>
      </c>
      <c r="H539" s="24"/>
      <c r="I539" s="24" t="s">
        <v>13809</v>
      </c>
      <c r="J539" s="24"/>
      <c r="K539" s="24" t="s">
        <v>13808</v>
      </c>
      <c r="L539" s="24"/>
      <c r="M539" s="24" t="s">
        <v>13846</v>
      </c>
      <c r="N539" s="24" t="s">
        <v>13808</v>
      </c>
      <c r="O539" s="24"/>
      <c r="P539" s="24" t="s">
        <v>13808</v>
      </c>
      <c r="Q539" s="24"/>
      <c r="R539" s="24" t="s">
        <v>13808</v>
      </c>
      <c r="S539" s="24"/>
      <c r="T539" t="s">
        <v>14034</v>
      </c>
      <c r="U539" t="s">
        <v>13809</v>
      </c>
      <c r="W539" t="s">
        <v>13808</v>
      </c>
      <c r="X539" t="s">
        <v>21871</v>
      </c>
      <c r="Y539" t="s">
        <v>13809</v>
      </c>
      <c r="AA539" t="s">
        <v>13877</v>
      </c>
      <c r="AC539" t="s">
        <v>13809</v>
      </c>
      <c r="AH539" t="s">
        <v>13909</v>
      </c>
      <c r="AI539" t="s">
        <v>13808</v>
      </c>
      <c r="AN539" t="s">
        <v>21872</v>
      </c>
      <c r="AO539" t="s">
        <v>13808</v>
      </c>
      <c r="AT539" t="s">
        <v>21873</v>
      </c>
      <c r="AU539" t="s">
        <v>13808</v>
      </c>
      <c r="AZ539" t="s">
        <v>21874</v>
      </c>
      <c r="BA539" t="s">
        <v>13808</v>
      </c>
      <c r="BF539" t="s">
        <v>21875</v>
      </c>
      <c r="BG539" t="s">
        <v>13808</v>
      </c>
      <c r="BM539" t="s">
        <v>13809</v>
      </c>
      <c r="BR539" t="s">
        <v>21876</v>
      </c>
      <c r="BS539" t="s">
        <v>13887</v>
      </c>
      <c r="BT539" t="s">
        <v>13808</v>
      </c>
      <c r="BU539" t="s">
        <v>21877</v>
      </c>
      <c r="BY539" t="s">
        <v>13887</v>
      </c>
      <c r="BZ539" t="s">
        <v>13808</v>
      </c>
      <c r="CA539" t="s">
        <v>13888</v>
      </c>
      <c r="CE539" t="s">
        <v>13887</v>
      </c>
      <c r="CF539" t="s">
        <v>13808</v>
      </c>
      <c r="CL539" t="s">
        <v>13809</v>
      </c>
      <c r="CR539" t="s">
        <v>13809</v>
      </c>
      <c r="CT539" t="s">
        <v>21878</v>
      </c>
      <c r="CU539" t="s">
        <v>21879</v>
      </c>
      <c r="CV539" t="s">
        <v>13808</v>
      </c>
      <c r="DA539" t="s">
        <v>21880</v>
      </c>
      <c r="DB539" t="s">
        <v>13808</v>
      </c>
      <c r="DH539" t="s">
        <v>13809</v>
      </c>
      <c r="DM539" t="s">
        <v>21881</v>
      </c>
      <c r="DN539" t="s">
        <v>13808</v>
      </c>
      <c r="DY539" t="s">
        <v>15828</v>
      </c>
      <c r="DZ539" t="s">
        <v>21882</v>
      </c>
      <c r="EA539" t="s">
        <v>14049</v>
      </c>
      <c r="EC539">
        <v>43753</v>
      </c>
      <c r="ED539" t="s">
        <v>13903</v>
      </c>
      <c r="EE539" t="s">
        <v>8331</v>
      </c>
    </row>
    <row r="540" spans="1:135">
      <c r="A540" t="s">
        <v>3555</v>
      </c>
      <c r="B540" t="s">
        <v>3506</v>
      </c>
      <c r="C540" t="s">
        <v>21883</v>
      </c>
      <c r="D540" s="24">
        <v>44729</v>
      </c>
      <c r="E540" s="24" t="s">
        <v>13555</v>
      </c>
      <c r="F540" s="24" t="s">
        <v>21884</v>
      </c>
      <c r="G540" s="24" t="s">
        <v>13808</v>
      </c>
      <c r="H540" s="24"/>
      <c r="I540" s="24" t="s">
        <v>13809</v>
      </c>
      <c r="J540" s="24"/>
      <c r="K540" s="24" t="s">
        <v>13808</v>
      </c>
      <c r="L540" s="24"/>
      <c r="M540" s="24" t="s">
        <v>13846</v>
      </c>
      <c r="N540" s="24" t="s">
        <v>13808</v>
      </c>
      <c r="O540" s="24"/>
      <c r="P540" s="24" t="s">
        <v>13808</v>
      </c>
      <c r="Q540" s="24"/>
      <c r="R540" s="24" t="s">
        <v>13808</v>
      </c>
      <c r="S540" s="24"/>
      <c r="T540" t="s">
        <v>13907</v>
      </c>
      <c r="U540" t="s">
        <v>13808</v>
      </c>
      <c r="W540" t="s">
        <v>13808</v>
      </c>
      <c r="X540" t="s">
        <v>21885</v>
      </c>
      <c r="Y540" t="s">
        <v>13809</v>
      </c>
      <c r="AA540" t="s">
        <v>14971</v>
      </c>
      <c r="AB540" t="s">
        <v>21886</v>
      </c>
      <c r="AC540" t="s">
        <v>13808</v>
      </c>
      <c r="AH540" t="s">
        <v>13851</v>
      </c>
      <c r="AI540" t="s">
        <v>13808</v>
      </c>
      <c r="AN540" t="s">
        <v>15223</v>
      </c>
      <c r="AO540" t="s">
        <v>13808</v>
      </c>
      <c r="AT540" t="s">
        <v>20849</v>
      </c>
      <c r="AU540" t="s">
        <v>13808</v>
      </c>
      <c r="AZ540" t="s">
        <v>14794</v>
      </c>
      <c r="BA540" t="s">
        <v>13808</v>
      </c>
      <c r="BF540" t="s">
        <v>14102</v>
      </c>
      <c r="BG540" t="s">
        <v>13808</v>
      </c>
      <c r="BL540" t="s">
        <v>13735</v>
      </c>
      <c r="BM540" t="s">
        <v>13809</v>
      </c>
      <c r="BR540" t="s">
        <v>21887</v>
      </c>
      <c r="BS540" t="s">
        <v>13824</v>
      </c>
      <c r="BT540" t="s">
        <v>13808</v>
      </c>
      <c r="BU540" t="s">
        <v>14291</v>
      </c>
      <c r="BY540" t="s">
        <v>13860</v>
      </c>
      <c r="BZ540" t="s">
        <v>13808</v>
      </c>
      <c r="CA540" t="s">
        <v>13937</v>
      </c>
      <c r="CE540" t="s">
        <v>13828</v>
      </c>
      <c r="CF540" t="s">
        <v>13808</v>
      </c>
      <c r="CK540" t="s">
        <v>13760</v>
      </c>
      <c r="CL540" t="s">
        <v>13809</v>
      </c>
      <c r="CQ540" t="s">
        <v>13766</v>
      </c>
      <c r="CR540" t="s">
        <v>13809</v>
      </c>
      <c r="CT540" t="s">
        <v>19425</v>
      </c>
      <c r="CU540" t="s">
        <v>15376</v>
      </c>
      <c r="CV540" t="s">
        <v>13808</v>
      </c>
      <c r="CX540" t="s">
        <v>16714</v>
      </c>
      <c r="CY540" t="s">
        <v>13818</v>
      </c>
      <c r="DA540" t="s">
        <v>15779</v>
      </c>
      <c r="DB540" t="s">
        <v>13808</v>
      </c>
      <c r="DD540" t="s">
        <v>15379</v>
      </c>
      <c r="DE540" t="s">
        <v>13818</v>
      </c>
      <c r="DG540" t="s">
        <v>14240</v>
      </c>
      <c r="DH540" t="s">
        <v>13818</v>
      </c>
      <c r="DY540" t="s">
        <v>21888</v>
      </c>
      <c r="DZ540" t="s">
        <v>21889</v>
      </c>
      <c r="EA540" t="s">
        <v>16821</v>
      </c>
      <c r="EC540">
        <v>44735</v>
      </c>
      <c r="ED540" t="s">
        <v>14298</v>
      </c>
      <c r="EE540" t="s">
        <v>8335</v>
      </c>
    </row>
    <row r="541" spans="1:135">
      <c r="A541" t="s">
        <v>3874</v>
      </c>
      <c r="B541" t="s">
        <v>3808</v>
      </c>
      <c r="C541" t="s">
        <v>21890</v>
      </c>
      <c r="D541" s="24">
        <v>43756</v>
      </c>
      <c r="E541" s="24" t="s">
        <v>13555</v>
      </c>
      <c r="F541" s="24" t="s">
        <v>21891</v>
      </c>
      <c r="G541" s="24" t="s">
        <v>13808</v>
      </c>
      <c r="H541" s="24"/>
      <c r="I541" s="24" t="s">
        <v>13809</v>
      </c>
      <c r="J541" s="24"/>
      <c r="K541" s="24" t="s">
        <v>13808</v>
      </c>
      <c r="L541" s="24"/>
      <c r="M541" s="24" t="s">
        <v>14304</v>
      </c>
      <c r="N541" s="24" t="s">
        <v>13808</v>
      </c>
      <c r="O541" s="24"/>
      <c r="P541" s="24" t="s">
        <v>13808</v>
      </c>
      <c r="Q541" s="24" t="s">
        <v>15815</v>
      </c>
      <c r="R541" s="24" t="s">
        <v>13808</v>
      </c>
      <c r="S541" s="24"/>
      <c r="T541" t="s">
        <v>14034</v>
      </c>
      <c r="U541" t="s">
        <v>13809</v>
      </c>
      <c r="W541" t="s">
        <v>13808</v>
      </c>
      <c r="X541" t="s">
        <v>21173</v>
      </c>
      <c r="Y541" t="s">
        <v>13808</v>
      </c>
      <c r="Z541" t="s">
        <v>21892</v>
      </c>
      <c r="AA541" t="s">
        <v>13877</v>
      </c>
      <c r="AB541" t="s">
        <v>14852</v>
      </c>
      <c r="AC541" t="s">
        <v>13808</v>
      </c>
      <c r="AH541" t="s">
        <v>13909</v>
      </c>
      <c r="AI541" t="s">
        <v>13808</v>
      </c>
      <c r="AN541" t="s">
        <v>21893</v>
      </c>
      <c r="AO541" t="s">
        <v>13808</v>
      </c>
      <c r="AT541" t="s">
        <v>20506</v>
      </c>
      <c r="AU541" t="s">
        <v>13808</v>
      </c>
      <c r="AZ541" t="s">
        <v>21894</v>
      </c>
      <c r="BA541" t="s">
        <v>13808</v>
      </c>
      <c r="BF541" t="s">
        <v>16341</v>
      </c>
      <c r="BG541" t="s">
        <v>13808</v>
      </c>
      <c r="BL541" t="s">
        <v>20240</v>
      </c>
      <c r="BM541" t="s">
        <v>13808</v>
      </c>
      <c r="BR541" t="s">
        <v>21895</v>
      </c>
      <c r="BS541" t="s">
        <v>13887</v>
      </c>
      <c r="BT541" t="s">
        <v>13808</v>
      </c>
      <c r="BU541" t="s">
        <v>16568</v>
      </c>
      <c r="BY541" t="s">
        <v>14265</v>
      </c>
      <c r="BZ541" t="s">
        <v>13808</v>
      </c>
      <c r="CA541" t="s">
        <v>13888</v>
      </c>
      <c r="CE541" t="s">
        <v>13887</v>
      </c>
      <c r="CF541" t="s">
        <v>13808</v>
      </c>
      <c r="CL541" t="s">
        <v>13809</v>
      </c>
      <c r="CR541" t="s">
        <v>13809</v>
      </c>
      <c r="CT541" t="s">
        <v>21896</v>
      </c>
      <c r="CU541" t="s">
        <v>21897</v>
      </c>
      <c r="CV541" t="s">
        <v>13808</v>
      </c>
      <c r="CX541" t="s">
        <v>21898</v>
      </c>
      <c r="CY541" t="s">
        <v>13818</v>
      </c>
      <c r="DA541" t="s">
        <v>21899</v>
      </c>
      <c r="DB541" t="s">
        <v>13808</v>
      </c>
      <c r="DD541" t="s">
        <v>21900</v>
      </c>
      <c r="DE541" t="s">
        <v>13818</v>
      </c>
      <c r="DG541" t="s">
        <v>21901</v>
      </c>
      <c r="DH541" t="s">
        <v>13818</v>
      </c>
      <c r="DM541" t="s">
        <v>21583</v>
      </c>
      <c r="DN541" t="s">
        <v>13897</v>
      </c>
      <c r="DY541" t="s">
        <v>13900</v>
      </c>
      <c r="DZ541" t="s">
        <v>21902</v>
      </c>
      <c r="EA541" t="s">
        <v>14049</v>
      </c>
      <c r="EC541">
        <v>43965</v>
      </c>
      <c r="ED541" t="s">
        <v>14501</v>
      </c>
      <c r="EE541" t="s">
        <v>8687</v>
      </c>
    </row>
    <row r="542" spans="1:135">
      <c r="A542" t="s">
        <v>3559</v>
      </c>
      <c r="B542" t="s">
        <v>3506</v>
      </c>
      <c r="C542" t="s">
        <v>21903</v>
      </c>
      <c r="D542" s="24">
        <v>43227</v>
      </c>
      <c r="E542" s="24" t="s">
        <v>13560</v>
      </c>
      <c r="F542" s="24" t="s">
        <v>21904</v>
      </c>
      <c r="G542" s="24" t="s">
        <v>13808</v>
      </c>
      <c r="H542" s="24"/>
      <c r="I542" s="24" t="s">
        <v>13809</v>
      </c>
      <c r="J542" s="24"/>
      <c r="K542" s="24" t="s">
        <v>13808</v>
      </c>
      <c r="L542" s="24"/>
      <c r="M542" s="24" t="s">
        <v>13950</v>
      </c>
      <c r="N542" s="24" t="s">
        <v>13808</v>
      </c>
      <c r="O542" s="24"/>
      <c r="P542" s="24" t="s">
        <v>13808</v>
      </c>
      <c r="Q542" s="24"/>
      <c r="R542" s="24" t="s">
        <v>13808</v>
      </c>
      <c r="S542" s="24"/>
      <c r="T542" t="s">
        <v>14000</v>
      </c>
      <c r="U542" t="s">
        <v>13809</v>
      </c>
      <c r="W542" t="s">
        <v>13809</v>
      </c>
      <c r="Y542" t="s">
        <v>13809</v>
      </c>
      <c r="AA542" t="s">
        <v>21905</v>
      </c>
      <c r="AC542" t="s">
        <v>13809</v>
      </c>
      <c r="AH542" t="s">
        <v>13887</v>
      </c>
      <c r="AI542" t="s">
        <v>13808</v>
      </c>
      <c r="AK542" t="s">
        <v>13885</v>
      </c>
      <c r="AL542" t="s">
        <v>13818</v>
      </c>
      <c r="AM542" t="s">
        <v>14415</v>
      </c>
      <c r="AN542" t="s">
        <v>15898</v>
      </c>
      <c r="AO542" t="s">
        <v>13818</v>
      </c>
      <c r="AP542" t="s">
        <v>14415</v>
      </c>
      <c r="AT542" t="s">
        <v>14595</v>
      </c>
      <c r="AU542" t="s">
        <v>13818</v>
      </c>
      <c r="AV542" t="s">
        <v>14415</v>
      </c>
      <c r="AZ542" t="s">
        <v>21906</v>
      </c>
      <c r="BA542" t="s">
        <v>13808</v>
      </c>
      <c r="BC542" t="s">
        <v>21907</v>
      </c>
      <c r="BD542" t="s">
        <v>13818</v>
      </c>
      <c r="BE542" t="s">
        <v>14415</v>
      </c>
      <c r="BF542" t="s">
        <v>21908</v>
      </c>
      <c r="BG542" t="s">
        <v>13808</v>
      </c>
      <c r="BI542" t="s">
        <v>21909</v>
      </c>
      <c r="BJ542" t="s">
        <v>13818</v>
      </c>
      <c r="BK542" t="s">
        <v>14415</v>
      </c>
      <c r="BM542" t="s">
        <v>13809</v>
      </c>
      <c r="BR542" t="s">
        <v>21910</v>
      </c>
      <c r="BS542" t="s">
        <v>13887</v>
      </c>
      <c r="BT542" t="s">
        <v>13808</v>
      </c>
      <c r="BU542" t="s">
        <v>16568</v>
      </c>
      <c r="BY542" t="s">
        <v>13887</v>
      </c>
      <c r="BZ542" t="s">
        <v>13808</v>
      </c>
      <c r="CA542" t="s">
        <v>13937</v>
      </c>
      <c r="CE542" t="s">
        <v>13887</v>
      </c>
      <c r="CF542" t="s">
        <v>13808</v>
      </c>
      <c r="CL542" t="s">
        <v>13809</v>
      </c>
      <c r="CR542" t="s">
        <v>13809</v>
      </c>
      <c r="CT542" t="s">
        <v>15599</v>
      </c>
      <c r="CU542" t="s">
        <v>13887</v>
      </c>
      <c r="CV542" t="s">
        <v>13808</v>
      </c>
      <c r="CX542" t="s">
        <v>13885</v>
      </c>
      <c r="CY542" t="s">
        <v>13818</v>
      </c>
      <c r="DA542" t="s">
        <v>13887</v>
      </c>
      <c r="DB542" t="s">
        <v>13808</v>
      </c>
      <c r="DD542" t="s">
        <v>13885</v>
      </c>
      <c r="DE542" t="s">
        <v>13818</v>
      </c>
      <c r="DG542" t="s">
        <v>13909</v>
      </c>
      <c r="DH542" t="s">
        <v>13818</v>
      </c>
      <c r="DY542" t="s">
        <v>13900</v>
      </c>
      <c r="DZ542" t="s">
        <v>14274</v>
      </c>
      <c r="EA542" t="s">
        <v>15744</v>
      </c>
      <c r="EC542">
        <v>44228</v>
      </c>
      <c r="ED542" t="s">
        <v>13903</v>
      </c>
      <c r="EE542" t="s">
        <v>8339</v>
      </c>
    </row>
    <row r="543" spans="1:135">
      <c r="A543" t="s">
        <v>3994</v>
      </c>
      <c r="B543" t="s">
        <v>3939</v>
      </c>
      <c r="C543" t="s">
        <v>21911</v>
      </c>
      <c r="D543" s="24">
        <v>44028</v>
      </c>
      <c r="E543" s="24" t="s">
        <v>13557</v>
      </c>
      <c r="F543" s="24" t="s">
        <v>21912</v>
      </c>
      <c r="G543" s="24" t="s">
        <v>13808</v>
      </c>
      <c r="H543" s="24"/>
      <c r="I543" s="24" t="s">
        <v>13809</v>
      </c>
      <c r="J543" s="24"/>
      <c r="K543" s="24" t="s">
        <v>13808</v>
      </c>
      <c r="L543" s="24"/>
      <c r="M543" s="24" t="s">
        <v>21913</v>
      </c>
      <c r="N543" s="24" t="s">
        <v>13808</v>
      </c>
      <c r="O543" s="24"/>
      <c r="P543" s="24" t="s">
        <v>13818</v>
      </c>
      <c r="Q543" s="24" t="s">
        <v>14885</v>
      </c>
      <c r="R543" s="24" t="s">
        <v>13808</v>
      </c>
      <c r="S543" s="24"/>
      <c r="T543" t="s">
        <v>13907</v>
      </c>
      <c r="U543" t="s">
        <v>13809</v>
      </c>
      <c r="W543" t="s">
        <v>13808</v>
      </c>
      <c r="X543" t="s">
        <v>21914</v>
      </c>
      <c r="Y543" t="s">
        <v>13809</v>
      </c>
      <c r="AA543" t="s">
        <v>16563</v>
      </c>
      <c r="AC543" t="s">
        <v>13809</v>
      </c>
      <c r="AH543" t="s">
        <v>13909</v>
      </c>
      <c r="AI543" t="s">
        <v>13808</v>
      </c>
      <c r="AN543" t="s">
        <v>14006</v>
      </c>
      <c r="AO543" t="s">
        <v>13808</v>
      </c>
      <c r="AT543" t="s">
        <v>15276</v>
      </c>
      <c r="AU543" t="s">
        <v>13808</v>
      </c>
      <c r="AZ543" t="s">
        <v>13892</v>
      </c>
      <c r="BA543" t="s">
        <v>13808</v>
      </c>
      <c r="BF543" t="s">
        <v>21915</v>
      </c>
      <c r="BG543" t="s">
        <v>13808</v>
      </c>
      <c r="BL543" t="s">
        <v>14596</v>
      </c>
      <c r="BM543" t="s">
        <v>13808</v>
      </c>
      <c r="BR543" t="s">
        <v>21916</v>
      </c>
      <c r="BS543" t="s">
        <v>13887</v>
      </c>
      <c r="BT543" t="s">
        <v>13808</v>
      </c>
      <c r="BU543" t="s">
        <v>14528</v>
      </c>
      <c r="BY543" t="s">
        <v>13887</v>
      </c>
      <c r="BZ543" t="s">
        <v>13808</v>
      </c>
      <c r="CA543" t="s">
        <v>13937</v>
      </c>
      <c r="CF543" t="s">
        <v>13809</v>
      </c>
      <c r="CK543" t="s">
        <v>18860</v>
      </c>
      <c r="CL543" t="s">
        <v>13808</v>
      </c>
      <c r="CR543" t="s">
        <v>13809</v>
      </c>
      <c r="CT543" t="s">
        <v>21917</v>
      </c>
      <c r="CU543" t="s">
        <v>21918</v>
      </c>
      <c r="CV543" t="s">
        <v>13818</v>
      </c>
      <c r="DA543" t="s">
        <v>20461</v>
      </c>
      <c r="DB543" t="s">
        <v>13818</v>
      </c>
      <c r="DM543" t="s">
        <v>21919</v>
      </c>
      <c r="DN543" t="s">
        <v>13808</v>
      </c>
      <c r="DP543" t="s">
        <v>21920</v>
      </c>
      <c r="DQ543" t="s">
        <v>13808</v>
      </c>
      <c r="DR543" t="s">
        <v>13839</v>
      </c>
      <c r="DY543" t="s">
        <v>13840</v>
      </c>
      <c r="DZ543" t="s">
        <v>21921</v>
      </c>
      <c r="EA543" t="s">
        <v>21922</v>
      </c>
      <c r="ED543" t="s">
        <v>17223</v>
      </c>
      <c r="EE543" t="s">
        <v>8843</v>
      </c>
    </row>
    <row r="544" spans="1:135">
      <c r="A544" t="s">
        <v>3878</v>
      </c>
      <c r="B544" t="s">
        <v>3808</v>
      </c>
      <c r="C544" t="s">
        <v>21923</v>
      </c>
      <c r="D544" s="24">
        <v>44820</v>
      </c>
      <c r="E544" s="24" t="s">
        <v>13555</v>
      </c>
      <c r="F544" s="24" t="s">
        <v>21924</v>
      </c>
      <c r="G544" s="24" t="s">
        <v>13808</v>
      </c>
      <c r="H544" s="24"/>
      <c r="I544" s="24" t="s">
        <v>13809</v>
      </c>
      <c r="J544" s="24"/>
      <c r="K544" s="24" t="s">
        <v>13809</v>
      </c>
      <c r="L544" s="24"/>
      <c r="M544" s="24" t="s">
        <v>13846</v>
      </c>
      <c r="N544" s="24" t="s">
        <v>13808</v>
      </c>
      <c r="O544" s="24"/>
      <c r="P544" s="24" t="s">
        <v>13808</v>
      </c>
      <c r="Q544" s="24"/>
      <c r="R544" s="24" t="s">
        <v>13808</v>
      </c>
      <c r="S544" s="24"/>
      <c r="T544" t="s">
        <v>21925</v>
      </c>
      <c r="U544" t="s">
        <v>13809</v>
      </c>
      <c r="W544" t="s">
        <v>13808</v>
      </c>
      <c r="X544" t="s">
        <v>21926</v>
      </c>
      <c r="AA544" t="s">
        <v>13849</v>
      </c>
      <c r="AB544" t="s">
        <v>21927</v>
      </c>
      <c r="AC544" t="s">
        <v>13808</v>
      </c>
      <c r="AH544" t="s">
        <v>13851</v>
      </c>
      <c r="AI544" t="s">
        <v>13808</v>
      </c>
      <c r="AN544" t="s">
        <v>21928</v>
      </c>
      <c r="AO544" t="s">
        <v>13808</v>
      </c>
      <c r="AT544" t="s">
        <v>21929</v>
      </c>
      <c r="AU544" t="s">
        <v>13808</v>
      </c>
      <c r="AZ544" t="s">
        <v>14101</v>
      </c>
      <c r="BA544" t="s">
        <v>13808</v>
      </c>
      <c r="BF544" t="s">
        <v>21361</v>
      </c>
      <c r="BG544" t="s">
        <v>13808</v>
      </c>
      <c r="BL544" t="s">
        <v>21930</v>
      </c>
      <c r="BM544" t="s">
        <v>13808</v>
      </c>
      <c r="BR544" t="s">
        <v>21931</v>
      </c>
      <c r="BS544" t="s">
        <v>13824</v>
      </c>
      <c r="BT544" t="s">
        <v>13808</v>
      </c>
      <c r="BU544" t="s">
        <v>14147</v>
      </c>
      <c r="BY544" t="s">
        <v>15097</v>
      </c>
      <c r="BZ544" t="s">
        <v>13808</v>
      </c>
      <c r="CA544" t="s">
        <v>13861</v>
      </c>
      <c r="CE544" t="s">
        <v>18910</v>
      </c>
      <c r="CF544" t="s">
        <v>13808</v>
      </c>
      <c r="CK544" t="s">
        <v>13760</v>
      </c>
      <c r="CL544" t="s">
        <v>13809</v>
      </c>
      <c r="CQ544" t="s">
        <v>13766</v>
      </c>
      <c r="CR544" t="s">
        <v>13809</v>
      </c>
      <c r="CT544" t="s">
        <v>21932</v>
      </c>
      <c r="CU544" t="s">
        <v>21933</v>
      </c>
      <c r="CV544" t="s">
        <v>13808</v>
      </c>
      <c r="DA544" t="s">
        <v>21934</v>
      </c>
      <c r="DB544" t="s">
        <v>13808</v>
      </c>
      <c r="DM544" t="s">
        <v>21935</v>
      </c>
      <c r="DN544" t="s">
        <v>13808</v>
      </c>
      <c r="DP544" t="s">
        <v>21936</v>
      </c>
      <c r="DQ544" t="s">
        <v>13808</v>
      </c>
      <c r="DY544" t="s">
        <v>21937</v>
      </c>
      <c r="DZ544" t="s">
        <v>21938</v>
      </c>
      <c r="EA544" t="s">
        <v>21939</v>
      </c>
      <c r="EC544">
        <v>44827</v>
      </c>
      <c r="ED544" t="s">
        <v>14298</v>
      </c>
      <c r="EE544" t="s">
        <v>8693</v>
      </c>
    </row>
    <row r="545" spans="1:135">
      <c r="A545" t="s">
        <v>11924</v>
      </c>
      <c r="B545" t="s">
        <v>3619</v>
      </c>
      <c r="C545" t="s">
        <v>21940</v>
      </c>
      <c r="D545" s="24">
        <v>43622</v>
      </c>
      <c r="E545" s="24" t="s">
        <v>13550</v>
      </c>
      <c r="F545" s="24" t="s">
        <v>21941</v>
      </c>
      <c r="G545" s="24" t="s">
        <v>13808</v>
      </c>
      <c r="H545" s="24" t="s">
        <v>21942</v>
      </c>
      <c r="I545" s="24" t="s">
        <v>13809</v>
      </c>
      <c r="J545" s="24"/>
      <c r="K545" s="24" t="s">
        <v>13809</v>
      </c>
      <c r="L545" s="24"/>
      <c r="M545" s="24" t="s">
        <v>19016</v>
      </c>
      <c r="N545" s="24" t="s">
        <v>13818</v>
      </c>
      <c r="O545" s="24" t="s">
        <v>14520</v>
      </c>
      <c r="P545" s="24" t="s">
        <v>13818</v>
      </c>
      <c r="Q545" s="24"/>
      <c r="R545" s="24" t="s">
        <v>13818</v>
      </c>
      <c r="S545" s="24"/>
      <c r="T545" t="s">
        <v>21943</v>
      </c>
      <c r="U545" t="s">
        <v>13809</v>
      </c>
      <c r="W545" t="s">
        <v>13809</v>
      </c>
      <c r="Y545" t="s">
        <v>13809</v>
      </c>
      <c r="AA545" t="s">
        <v>21944</v>
      </c>
      <c r="AB545" t="s">
        <v>14595</v>
      </c>
      <c r="AC545" t="s">
        <v>13818</v>
      </c>
      <c r="AH545" t="s">
        <v>13909</v>
      </c>
      <c r="AI545" t="s">
        <v>13818</v>
      </c>
      <c r="AN545" t="s">
        <v>14056</v>
      </c>
      <c r="AO545" t="s">
        <v>13818</v>
      </c>
      <c r="AT545" t="s">
        <v>14816</v>
      </c>
      <c r="AU545" t="s">
        <v>13818</v>
      </c>
      <c r="AZ545" t="s">
        <v>14177</v>
      </c>
      <c r="BA545" t="s">
        <v>13818</v>
      </c>
      <c r="BF545" t="s">
        <v>13883</v>
      </c>
      <c r="BG545" t="s">
        <v>13818</v>
      </c>
      <c r="BK545" t="s">
        <v>14432</v>
      </c>
      <c r="BL545" t="s">
        <v>13818</v>
      </c>
      <c r="BR545" t="s">
        <v>21945</v>
      </c>
      <c r="BS545" t="s">
        <v>13887</v>
      </c>
      <c r="BT545" t="s">
        <v>13818</v>
      </c>
      <c r="BU545" t="s">
        <v>14010</v>
      </c>
      <c r="BY545" t="s">
        <v>14265</v>
      </c>
      <c r="BZ545" t="s">
        <v>13808</v>
      </c>
      <c r="CA545" t="s">
        <v>14374</v>
      </c>
      <c r="CE545" t="s">
        <v>13887</v>
      </c>
      <c r="CF545" t="s">
        <v>13818</v>
      </c>
      <c r="CL545" t="s">
        <v>13809</v>
      </c>
      <c r="CR545" t="s">
        <v>13809</v>
      </c>
      <c r="CT545" t="s">
        <v>21946</v>
      </c>
      <c r="CU545" t="s">
        <v>13909</v>
      </c>
      <c r="CV545" t="s">
        <v>13818</v>
      </c>
      <c r="DA545" t="s">
        <v>13909</v>
      </c>
      <c r="DB545" t="s">
        <v>13818</v>
      </c>
      <c r="DG545" t="s">
        <v>13909</v>
      </c>
      <c r="DH545" t="s">
        <v>13818</v>
      </c>
      <c r="DY545" t="s">
        <v>13840</v>
      </c>
      <c r="DZ545" t="s">
        <v>21947</v>
      </c>
      <c r="EA545" t="s">
        <v>18291</v>
      </c>
      <c r="ED545" t="s">
        <v>21948</v>
      </c>
      <c r="EE545" t="s">
        <v>13629</v>
      </c>
    </row>
    <row r="546" spans="1:135">
      <c r="A546" t="s">
        <v>3694</v>
      </c>
      <c r="B546" t="s">
        <v>3619</v>
      </c>
      <c r="C546" t="s">
        <v>21949</v>
      </c>
      <c r="D546" s="24">
        <v>43406</v>
      </c>
      <c r="E546" s="24" t="s">
        <v>13560</v>
      </c>
      <c r="F546" s="24" t="s">
        <v>21950</v>
      </c>
      <c r="G546" s="24" t="s">
        <v>13808</v>
      </c>
      <c r="H546" s="24"/>
      <c r="I546" s="24" t="s">
        <v>13809</v>
      </c>
      <c r="J546" s="24"/>
      <c r="K546" s="24" t="s">
        <v>13808</v>
      </c>
      <c r="L546" s="24"/>
      <c r="M546" s="24" t="s">
        <v>14449</v>
      </c>
      <c r="N546" s="24" t="s">
        <v>13808</v>
      </c>
      <c r="O546" s="24"/>
      <c r="P546" s="24" t="s">
        <v>13808</v>
      </c>
      <c r="Q546" s="24"/>
      <c r="R546" s="24" t="s">
        <v>13808</v>
      </c>
      <c r="S546" s="24"/>
      <c r="T546" t="s">
        <v>18348</v>
      </c>
      <c r="U546" t="s">
        <v>13809</v>
      </c>
      <c r="W546" t="s">
        <v>13809</v>
      </c>
      <c r="Y546" t="s">
        <v>13809</v>
      </c>
      <c r="AA546" t="s">
        <v>17350</v>
      </c>
      <c r="AB546" t="s">
        <v>21951</v>
      </c>
      <c r="AC546" t="s">
        <v>13818</v>
      </c>
      <c r="AD546" t="s">
        <v>15808</v>
      </c>
      <c r="AH546" t="s">
        <v>13887</v>
      </c>
      <c r="AI546" t="s">
        <v>13808</v>
      </c>
      <c r="AK546" t="s">
        <v>15309</v>
      </c>
      <c r="AL546" t="s">
        <v>13818</v>
      </c>
      <c r="AM546" t="s">
        <v>15808</v>
      </c>
      <c r="AN546" t="s">
        <v>16214</v>
      </c>
      <c r="AO546" t="s">
        <v>13818</v>
      </c>
      <c r="AP546" t="s">
        <v>15808</v>
      </c>
      <c r="AT546" t="s">
        <v>21583</v>
      </c>
      <c r="AU546" t="s">
        <v>13818</v>
      </c>
      <c r="AV546" t="s">
        <v>15808</v>
      </c>
      <c r="AZ546" t="s">
        <v>14935</v>
      </c>
      <c r="BA546" t="s">
        <v>13818</v>
      </c>
      <c r="BB546" t="s">
        <v>15808</v>
      </c>
      <c r="BF546" t="s">
        <v>17780</v>
      </c>
      <c r="BG546" t="s">
        <v>13808</v>
      </c>
      <c r="BL546" t="s">
        <v>21152</v>
      </c>
      <c r="BM546" t="s">
        <v>13818</v>
      </c>
      <c r="BN546" t="s">
        <v>15808</v>
      </c>
      <c r="BR546" t="s">
        <v>21952</v>
      </c>
      <c r="BS546" t="s">
        <v>13887</v>
      </c>
      <c r="BT546" t="s">
        <v>13808</v>
      </c>
      <c r="BU546" t="s">
        <v>14336</v>
      </c>
      <c r="BY546" t="s">
        <v>13887</v>
      </c>
      <c r="BZ546" t="s">
        <v>13808</v>
      </c>
      <c r="CA546" t="s">
        <v>13937</v>
      </c>
      <c r="CE546" t="s">
        <v>13887</v>
      </c>
      <c r="CF546" t="s">
        <v>13808</v>
      </c>
      <c r="CL546" t="s">
        <v>13809</v>
      </c>
      <c r="CR546" t="s">
        <v>13809</v>
      </c>
      <c r="CT546" t="s">
        <v>21953</v>
      </c>
      <c r="CU546" t="s">
        <v>13887</v>
      </c>
      <c r="CV546" t="s">
        <v>13808</v>
      </c>
      <c r="CX546" t="s">
        <v>15309</v>
      </c>
      <c r="CY546" t="s">
        <v>13818</v>
      </c>
      <c r="CZ546" t="s">
        <v>15808</v>
      </c>
      <c r="DA546" t="s">
        <v>13887</v>
      </c>
      <c r="DB546" t="s">
        <v>13808</v>
      </c>
      <c r="DD546" t="s">
        <v>15309</v>
      </c>
      <c r="DE546" t="s">
        <v>13818</v>
      </c>
      <c r="DF546" t="s">
        <v>15808</v>
      </c>
      <c r="DG546" t="s">
        <v>13887</v>
      </c>
      <c r="DH546" t="s">
        <v>13808</v>
      </c>
      <c r="DY546" t="s">
        <v>15296</v>
      </c>
      <c r="DZ546" t="s">
        <v>14274</v>
      </c>
      <c r="EA546" t="s">
        <v>15744</v>
      </c>
      <c r="EC546">
        <v>44228</v>
      </c>
      <c r="ED546" t="s">
        <v>13903</v>
      </c>
      <c r="EE546" t="s">
        <v>8492</v>
      </c>
    </row>
    <row r="547" spans="1:135">
      <c r="A547" t="s">
        <v>3268</v>
      </c>
      <c r="B547" t="s">
        <v>3161</v>
      </c>
      <c r="C547" t="s">
        <v>21954</v>
      </c>
      <c r="D547" s="24">
        <v>44673</v>
      </c>
      <c r="E547" s="24" t="s">
        <v>13555</v>
      </c>
      <c r="F547" s="24" t="s">
        <v>21955</v>
      </c>
      <c r="G547" s="24" t="s">
        <v>13808</v>
      </c>
      <c r="H547" s="24"/>
      <c r="I547" s="24" t="s">
        <v>13809</v>
      </c>
      <c r="J547" s="24"/>
      <c r="K547" s="24" t="s">
        <v>13808</v>
      </c>
      <c r="L547" s="24"/>
      <c r="M547" s="24" t="s">
        <v>14304</v>
      </c>
      <c r="N547" s="24" t="s">
        <v>13808</v>
      </c>
      <c r="O547" s="24"/>
      <c r="P547" s="24" t="s">
        <v>13808</v>
      </c>
      <c r="Q547" s="24"/>
      <c r="R547" s="24" t="s">
        <v>13808</v>
      </c>
      <c r="S547" s="24"/>
      <c r="T547" t="s">
        <v>15051</v>
      </c>
      <c r="U547" t="s">
        <v>13809</v>
      </c>
      <c r="W547" t="s">
        <v>13808</v>
      </c>
      <c r="X547" t="s">
        <v>21956</v>
      </c>
      <c r="Y547" t="s">
        <v>13809</v>
      </c>
      <c r="AA547" t="s">
        <v>14971</v>
      </c>
      <c r="AB547" t="s">
        <v>13699</v>
      </c>
      <c r="AC547" t="s">
        <v>13809</v>
      </c>
      <c r="AH547" t="s">
        <v>13817</v>
      </c>
      <c r="AI547" t="s">
        <v>13808</v>
      </c>
      <c r="AN547" t="s">
        <v>13711</v>
      </c>
      <c r="AO547" t="s">
        <v>13809</v>
      </c>
      <c r="AT547" t="s">
        <v>15500</v>
      </c>
      <c r="AU547" t="s">
        <v>13808</v>
      </c>
      <c r="AZ547" t="s">
        <v>14794</v>
      </c>
      <c r="BA547" t="s">
        <v>13808</v>
      </c>
      <c r="BF547" t="s">
        <v>17138</v>
      </c>
      <c r="BG547" t="s">
        <v>13808</v>
      </c>
      <c r="BL547" t="s">
        <v>13735</v>
      </c>
      <c r="BM547" t="s">
        <v>13809</v>
      </c>
      <c r="BR547" t="s">
        <v>21957</v>
      </c>
      <c r="BS547" t="s">
        <v>13824</v>
      </c>
      <c r="BT547" t="s">
        <v>13808</v>
      </c>
      <c r="BU547" t="s">
        <v>21958</v>
      </c>
      <c r="BY547" t="s">
        <v>13860</v>
      </c>
      <c r="BZ547" t="s">
        <v>13808</v>
      </c>
      <c r="CA547" t="s">
        <v>13937</v>
      </c>
      <c r="CE547" t="s">
        <v>13828</v>
      </c>
      <c r="CF547" t="s">
        <v>13808</v>
      </c>
      <c r="CK547" t="s">
        <v>13760</v>
      </c>
      <c r="CL547" t="s">
        <v>13809</v>
      </c>
      <c r="CQ547" t="s">
        <v>13766</v>
      </c>
      <c r="CR547" t="s">
        <v>13809</v>
      </c>
      <c r="CT547" t="s">
        <v>21959</v>
      </c>
      <c r="CU547" t="s">
        <v>21960</v>
      </c>
      <c r="CV547" t="s">
        <v>13808</v>
      </c>
      <c r="CX547" t="s">
        <v>21961</v>
      </c>
      <c r="CY547" t="s">
        <v>13818</v>
      </c>
      <c r="DA547" t="s">
        <v>21962</v>
      </c>
      <c r="DB547" t="s">
        <v>13808</v>
      </c>
      <c r="DD547" t="s">
        <v>21961</v>
      </c>
      <c r="DE547" t="s">
        <v>13818</v>
      </c>
      <c r="DG547" t="s">
        <v>21963</v>
      </c>
      <c r="DH547" t="s">
        <v>13808</v>
      </c>
      <c r="DM547" t="s">
        <v>21964</v>
      </c>
      <c r="DN547" t="s">
        <v>13808</v>
      </c>
      <c r="DY547" t="s">
        <v>13840</v>
      </c>
      <c r="DZ547" t="s">
        <v>21965</v>
      </c>
      <c r="EA547" t="s">
        <v>13842</v>
      </c>
      <c r="EC547">
        <v>44676</v>
      </c>
      <c r="ED547" t="s">
        <v>14590</v>
      </c>
      <c r="EE547" t="s">
        <v>7980</v>
      </c>
    </row>
    <row r="548" spans="1:135">
      <c r="A548" t="s">
        <v>3699</v>
      </c>
      <c r="B548" t="s">
        <v>3619</v>
      </c>
      <c r="C548" t="s">
        <v>21966</v>
      </c>
      <c r="D548" s="24">
        <v>42991</v>
      </c>
      <c r="E548" s="24" t="s">
        <v>13557</v>
      </c>
      <c r="F548" s="24" t="s">
        <v>21967</v>
      </c>
      <c r="G548" s="24" t="s">
        <v>13808</v>
      </c>
      <c r="H548" s="24"/>
      <c r="I548" s="24" t="s">
        <v>13809</v>
      </c>
      <c r="J548" s="24"/>
      <c r="K548" s="24" t="s">
        <v>13808</v>
      </c>
      <c r="L548" s="24"/>
      <c r="M548" s="24" t="s">
        <v>14504</v>
      </c>
      <c r="N548" s="24" t="s">
        <v>13808</v>
      </c>
      <c r="O548" s="24"/>
      <c r="P548" s="24" t="s">
        <v>13808</v>
      </c>
      <c r="Q548" s="24"/>
      <c r="R548" s="24" t="s">
        <v>13808</v>
      </c>
      <c r="S548" s="24"/>
      <c r="T548" t="s">
        <v>21968</v>
      </c>
      <c r="U548" t="s">
        <v>13808</v>
      </c>
      <c r="W548" t="s">
        <v>13808</v>
      </c>
      <c r="X548" t="s">
        <v>21969</v>
      </c>
      <c r="Y548" t="s">
        <v>13809</v>
      </c>
      <c r="AA548" t="s">
        <v>21970</v>
      </c>
      <c r="AB548" t="s">
        <v>21971</v>
      </c>
      <c r="AC548" t="s">
        <v>13808</v>
      </c>
      <c r="AH548" t="s">
        <v>13909</v>
      </c>
      <c r="AI548" t="s">
        <v>13808</v>
      </c>
      <c r="AO548" t="s">
        <v>13809</v>
      </c>
      <c r="AT548" t="s">
        <v>18794</v>
      </c>
      <c r="AU548" t="s">
        <v>13808</v>
      </c>
      <c r="AZ548" t="s">
        <v>21972</v>
      </c>
      <c r="BA548" t="s">
        <v>13808</v>
      </c>
      <c r="BF548" t="s">
        <v>17154</v>
      </c>
      <c r="BG548" t="s">
        <v>13818</v>
      </c>
      <c r="BH548" t="s">
        <v>21973</v>
      </c>
      <c r="BL548" t="s">
        <v>15837</v>
      </c>
      <c r="BM548" t="s">
        <v>13808</v>
      </c>
      <c r="BR548" t="s">
        <v>21974</v>
      </c>
      <c r="BS548" t="s">
        <v>13887</v>
      </c>
      <c r="BT548" t="s">
        <v>13808</v>
      </c>
      <c r="BU548" t="s">
        <v>21975</v>
      </c>
      <c r="BY548" t="s">
        <v>14265</v>
      </c>
      <c r="BZ548" t="s">
        <v>13808</v>
      </c>
      <c r="CA548" t="s">
        <v>13937</v>
      </c>
      <c r="CE548" t="s">
        <v>13887</v>
      </c>
      <c r="CF548" t="s">
        <v>13808</v>
      </c>
      <c r="CL548" t="s">
        <v>13809</v>
      </c>
      <c r="CR548" t="s">
        <v>13809</v>
      </c>
      <c r="CT548" t="s">
        <v>21976</v>
      </c>
      <c r="CU548" t="s">
        <v>13909</v>
      </c>
      <c r="CV548" t="s">
        <v>13818</v>
      </c>
      <c r="DA548" t="s">
        <v>13909</v>
      </c>
      <c r="DB548" t="s">
        <v>13818</v>
      </c>
      <c r="DG548" t="s">
        <v>15280</v>
      </c>
      <c r="DH548" t="s">
        <v>13808</v>
      </c>
      <c r="DJ548" t="s">
        <v>21977</v>
      </c>
      <c r="DK548" t="s">
        <v>13818</v>
      </c>
      <c r="DZ548" t="s">
        <v>21978</v>
      </c>
      <c r="EA548" t="s">
        <v>18501</v>
      </c>
      <c r="EC548">
        <v>43480</v>
      </c>
      <c r="ED548" t="s">
        <v>13903</v>
      </c>
      <c r="EE548" t="s">
        <v>8498</v>
      </c>
    </row>
    <row r="549" spans="1:135">
      <c r="A549" t="s">
        <v>8694</v>
      </c>
      <c r="B549" t="s">
        <v>3808</v>
      </c>
      <c r="C549" t="s">
        <v>21979</v>
      </c>
      <c r="D549" s="24">
        <v>45050</v>
      </c>
      <c r="E549" s="24" t="s">
        <v>13560</v>
      </c>
      <c r="F549" s="24" t="s">
        <v>21980</v>
      </c>
      <c r="G549" s="24" t="s">
        <v>13808</v>
      </c>
      <c r="H549" s="24"/>
      <c r="I549" s="24" t="s">
        <v>13809</v>
      </c>
      <c r="J549" s="24"/>
      <c r="K549" s="24" t="s">
        <v>13808</v>
      </c>
      <c r="L549" s="24" t="s">
        <v>21981</v>
      </c>
      <c r="M549" s="24" t="s">
        <v>14304</v>
      </c>
      <c r="N549" s="24" t="s">
        <v>13808</v>
      </c>
      <c r="O549" s="24"/>
      <c r="P549" s="24" t="s">
        <v>13808</v>
      </c>
      <c r="Q549" s="24"/>
      <c r="R549" s="24" t="s">
        <v>13808</v>
      </c>
      <c r="S549" s="24"/>
      <c r="T549" t="s">
        <v>21982</v>
      </c>
      <c r="U549" t="s">
        <v>13809</v>
      </c>
      <c r="W549" t="s">
        <v>13809</v>
      </c>
      <c r="Y549" t="s">
        <v>13809</v>
      </c>
      <c r="AA549" t="s">
        <v>14072</v>
      </c>
      <c r="AB549" t="s">
        <v>13699</v>
      </c>
      <c r="AC549" t="s">
        <v>13809</v>
      </c>
      <c r="AH549" t="s">
        <v>14073</v>
      </c>
      <c r="AI549" t="s">
        <v>13808</v>
      </c>
      <c r="AK549" t="s">
        <v>21983</v>
      </c>
      <c r="AL549" t="s">
        <v>13818</v>
      </c>
      <c r="AM549" t="s">
        <v>13819</v>
      </c>
      <c r="AN549" t="s">
        <v>21984</v>
      </c>
      <c r="AO549" t="s">
        <v>13818</v>
      </c>
      <c r="AP549" t="s">
        <v>13819</v>
      </c>
      <c r="AT549" t="s">
        <v>20849</v>
      </c>
      <c r="AU549" t="s">
        <v>13808</v>
      </c>
      <c r="AZ549" t="s">
        <v>14794</v>
      </c>
      <c r="BA549" t="s">
        <v>13808</v>
      </c>
      <c r="BF549" t="s">
        <v>14102</v>
      </c>
      <c r="BG549" t="s">
        <v>13808</v>
      </c>
      <c r="BL549" t="s">
        <v>13735</v>
      </c>
      <c r="BM549" t="s">
        <v>21985</v>
      </c>
      <c r="BR549" t="s">
        <v>21986</v>
      </c>
      <c r="BS549" t="s">
        <v>13824</v>
      </c>
      <c r="BT549" t="s">
        <v>13808</v>
      </c>
      <c r="BU549" t="s">
        <v>14291</v>
      </c>
      <c r="BY549" t="s">
        <v>13860</v>
      </c>
      <c r="BZ549" t="s">
        <v>13808</v>
      </c>
      <c r="CA549" t="s">
        <v>13861</v>
      </c>
      <c r="CE549" t="s">
        <v>13828</v>
      </c>
      <c r="CF549" t="s">
        <v>13808</v>
      </c>
      <c r="CK549" t="s">
        <v>13760</v>
      </c>
      <c r="CL549" t="s">
        <v>13809</v>
      </c>
      <c r="CQ549" t="s">
        <v>13766</v>
      </c>
      <c r="CR549" t="s">
        <v>13809</v>
      </c>
      <c r="CT549" t="s">
        <v>21987</v>
      </c>
      <c r="CU549" t="s">
        <v>21988</v>
      </c>
      <c r="CV549" t="s">
        <v>13808</v>
      </c>
      <c r="CX549" t="s">
        <v>21989</v>
      </c>
      <c r="CY549" t="s">
        <v>13818</v>
      </c>
      <c r="CZ549" t="s">
        <v>21990</v>
      </c>
      <c r="DA549" t="s">
        <v>21991</v>
      </c>
      <c r="DB549" t="s">
        <v>13808</v>
      </c>
      <c r="DD549" t="s">
        <v>21992</v>
      </c>
      <c r="DE549" t="s">
        <v>13818</v>
      </c>
      <c r="DG549" t="s">
        <v>21993</v>
      </c>
      <c r="DH549" t="s">
        <v>13818</v>
      </c>
      <c r="DM549" t="s">
        <v>21994</v>
      </c>
      <c r="DN549" t="s">
        <v>13808</v>
      </c>
      <c r="DO549" t="s">
        <v>13839</v>
      </c>
      <c r="DY549" t="s">
        <v>21995</v>
      </c>
      <c r="DZ549" t="s">
        <v>21996</v>
      </c>
      <c r="EA549" t="s">
        <v>13842</v>
      </c>
      <c r="EC549">
        <v>45054</v>
      </c>
      <c r="ED549" t="s">
        <v>14298</v>
      </c>
      <c r="EE549" t="s">
        <v>8698</v>
      </c>
    </row>
    <row r="550" spans="1:135">
      <c r="A550" t="s">
        <v>3706</v>
      </c>
      <c r="B550" t="s">
        <v>3619</v>
      </c>
      <c r="C550" t="s">
        <v>21997</v>
      </c>
      <c r="D550" s="24">
        <v>44687</v>
      </c>
      <c r="E550" s="24" t="s">
        <v>13560</v>
      </c>
      <c r="F550" s="24" t="s">
        <v>21998</v>
      </c>
      <c r="G550" s="24" t="s">
        <v>13808</v>
      </c>
      <c r="H550" s="24"/>
      <c r="I550" s="24" t="s">
        <v>13809</v>
      </c>
      <c r="J550" s="24"/>
      <c r="K550" s="24" t="s">
        <v>13808</v>
      </c>
      <c r="L550" s="24"/>
      <c r="M550" s="24" t="s">
        <v>14304</v>
      </c>
      <c r="N550" s="24" t="s">
        <v>13808</v>
      </c>
      <c r="O550" s="24"/>
      <c r="P550" s="24" t="s">
        <v>13818</v>
      </c>
      <c r="Q550" s="24" t="s">
        <v>21999</v>
      </c>
      <c r="R550" s="24" t="s">
        <v>13808</v>
      </c>
      <c r="S550" s="24"/>
      <c r="T550" t="s">
        <v>14071</v>
      </c>
      <c r="U550" t="s">
        <v>13809</v>
      </c>
      <c r="W550" t="s">
        <v>13809</v>
      </c>
      <c r="Y550" t="s">
        <v>13809</v>
      </c>
      <c r="AA550" t="s">
        <v>22000</v>
      </c>
      <c r="AB550" t="s">
        <v>22001</v>
      </c>
      <c r="AC550" t="s">
        <v>13818</v>
      </c>
      <c r="AD550" t="s">
        <v>13819</v>
      </c>
      <c r="AH550" t="s">
        <v>14073</v>
      </c>
      <c r="AI550" t="s">
        <v>13808</v>
      </c>
      <c r="AK550" t="s">
        <v>22002</v>
      </c>
      <c r="AL550" t="s">
        <v>13818</v>
      </c>
      <c r="AM550" t="s">
        <v>13819</v>
      </c>
      <c r="AN550" t="s">
        <v>22003</v>
      </c>
      <c r="AO550" t="s">
        <v>13818</v>
      </c>
      <c r="AP550" t="s">
        <v>13819</v>
      </c>
      <c r="AT550" t="s">
        <v>22004</v>
      </c>
      <c r="AU550" t="s">
        <v>13818</v>
      </c>
      <c r="AV550" t="s">
        <v>13819</v>
      </c>
      <c r="AZ550" t="s">
        <v>20701</v>
      </c>
      <c r="BA550" t="s">
        <v>13808</v>
      </c>
      <c r="BF550" t="s">
        <v>22005</v>
      </c>
      <c r="BG550" t="s">
        <v>13808</v>
      </c>
      <c r="BL550" t="s">
        <v>20931</v>
      </c>
      <c r="BM550" t="s">
        <v>13818</v>
      </c>
      <c r="BN550" t="s">
        <v>18178</v>
      </c>
      <c r="BR550" t="s">
        <v>18496</v>
      </c>
      <c r="BS550" t="s">
        <v>13824</v>
      </c>
      <c r="BT550" t="s">
        <v>13808</v>
      </c>
      <c r="BU550" t="s">
        <v>14233</v>
      </c>
      <c r="BY550" t="s">
        <v>14148</v>
      </c>
      <c r="BZ550" t="s">
        <v>13808</v>
      </c>
      <c r="CA550" t="s">
        <v>13937</v>
      </c>
      <c r="CE550" t="s">
        <v>13828</v>
      </c>
      <c r="CF550" t="s">
        <v>13808</v>
      </c>
      <c r="CK550" t="s">
        <v>13760</v>
      </c>
      <c r="CL550" t="s">
        <v>13809</v>
      </c>
      <c r="CQ550" t="s">
        <v>13766</v>
      </c>
      <c r="CR550" t="s">
        <v>13809</v>
      </c>
      <c r="CT550" t="s">
        <v>15599</v>
      </c>
      <c r="CU550" t="s">
        <v>22006</v>
      </c>
      <c r="CV550" t="s">
        <v>13808</v>
      </c>
      <c r="CX550" t="s">
        <v>22007</v>
      </c>
      <c r="CY550" t="s">
        <v>13818</v>
      </c>
      <c r="DA550" t="s">
        <v>22008</v>
      </c>
      <c r="DB550" t="s">
        <v>13808</v>
      </c>
      <c r="DD550" t="s">
        <v>22009</v>
      </c>
      <c r="DE550" t="s">
        <v>13818</v>
      </c>
      <c r="DG550" t="s">
        <v>22010</v>
      </c>
      <c r="DH550" t="s">
        <v>13818</v>
      </c>
      <c r="DM550" t="s">
        <v>22011</v>
      </c>
      <c r="DN550" t="s">
        <v>13818</v>
      </c>
      <c r="DO550" t="s">
        <v>22012</v>
      </c>
      <c r="DP550" t="s">
        <v>22013</v>
      </c>
      <c r="DQ550" t="s">
        <v>13818</v>
      </c>
      <c r="DY550" t="s">
        <v>14606</v>
      </c>
      <c r="DZ550" t="s">
        <v>21365</v>
      </c>
      <c r="EA550" t="s">
        <v>16821</v>
      </c>
      <c r="EC550">
        <v>44698</v>
      </c>
      <c r="ED550" t="s">
        <v>14298</v>
      </c>
      <c r="EE550" t="s">
        <v>8504</v>
      </c>
    </row>
    <row r="551" spans="1:135">
      <c r="A551" t="s">
        <v>3563</v>
      </c>
      <c r="B551" t="s">
        <v>3506</v>
      </c>
      <c r="C551" t="s">
        <v>22014</v>
      </c>
      <c r="D551" s="24">
        <v>43742</v>
      </c>
      <c r="E551" s="24" t="s">
        <v>13553</v>
      </c>
      <c r="F551" s="24" t="s">
        <v>22015</v>
      </c>
      <c r="G551" s="24" t="s">
        <v>13808</v>
      </c>
      <c r="H551" s="24"/>
      <c r="I551" s="24" t="s">
        <v>13809</v>
      </c>
      <c r="J551" s="24"/>
      <c r="K551" s="24" t="s">
        <v>13808</v>
      </c>
      <c r="L551" s="24"/>
      <c r="M551" s="24" t="s">
        <v>13846</v>
      </c>
      <c r="N551" s="24" t="s">
        <v>13808</v>
      </c>
      <c r="O551" s="24"/>
      <c r="P551" s="24" t="s">
        <v>13808</v>
      </c>
      <c r="Q551" s="24"/>
      <c r="R551" s="24" t="s">
        <v>13808</v>
      </c>
      <c r="S551" s="24"/>
      <c r="T551" t="s">
        <v>22016</v>
      </c>
      <c r="U551" t="s">
        <v>13808</v>
      </c>
      <c r="W551" t="s">
        <v>13808</v>
      </c>
      <c r="X551" t="s">
        <v>22017</v>
      </c>
      <c r="Y551" t="s">
        <v>13808</v>
      </c>
      <c r="AA551" t="s">
        <v>13877</v>
      </c>
      <c r="AB551" t="s">
        <v>22018</v>
      </c>
      <c r="AC551" t="s">
        <v>13808</v>
      </c>
      <c r="AH551" t="s">
        <v>13909</v>
      </c>
      <c r="AI551" t="s">
        <v>13808</v>
      </c>
      <c r="AN551" t="s">
        <v>14597</v>
      </c>
      <c r="AO551" t="s">
        <v>13808</v>
      </c>
      <c r="AT551" t="s">
        <v>13880</v>
      </c>
      <c r="AU551" t="s">
        <v>13808</v>
      </c>
      <c r="AZ551" t="s">
        <v>22019</v>
      </c>
      <c r="BA551" t="s">
        <v>13808</v>
      </c>
      <c r="BF551" t="s">
        <v>22020</v>
      </c>
      <c r="BG551" t="s">
        <v>13808</v>
      </c>
      <c r="BL551" t="s">
        <v>22021</v>
      </c>
      <c r="BM551" t="s">
        <v>13808</v>
      </c>
      <c r="BR551" t="s">
        <v>22022</v>
      </c>
      <c r="BS551" t="s">
        <v>13887</v>
      </c>
      <c r="BT551" t="s">
        <v>13808</v>
      </c>
      <c r="BU551" t="s">
        <v>22023</v>
      </c>
      <c r="BY551" t="s">
        <v>13887</v>
      </c>
      <c r="BZ551" t="s">
        <v>13808</v>
      </c>
      <c r="CA551" t="s">
        <v>14026</v>
      </c>
      <c r="CE551" t="s">
        <v>13887</v>
      </c>
      <c r="CF551" t="s">
        <v>13808</v>
      </c>
      <c r="CL551" t="s">
        <v>13809</v>
      </c>
      <c r="CR551" t="s">
        <v>13809</v>
      </c>
      <c r="CT551" t="s">
        <v>22024</v>
      </c>
      <c r="CU551" t="s">
        <v>22025</v>
      </c>
      <c r="CV551" t="s">
        <v>13808</v>
      </c>
      <c r="DA551" t="s">
        <v>22026</v>
      </c>
      <c r="DB551" t="s">
        <v>13808</v>
      </c>
      <c r="DH551" t="s">
        <v>13809</v>
      </c>
      <c r="DM551" t="s">
        <v>22027</v>
      </c>
      <c r="DN551" t="s">
        <v>13808</v>
      </c>
      <c r="DO551" t="s">
        <v>22028</v>
      </c>
      <c r="DP551" t="s">
        <v>22029</v>
      </c>
      <c r="DQ551" t="s">
        <v>13808</v>
      </c>
      <c r="DY551" t="s">
        <v>15828</v>
      </c>
      <c r="DZ551" t="s">
        <v>22030</v>
      </c>
      <c r="EA551" t="s">
        <v>14500</v>
      </c>
      <c r="EC551">
        <v>43753</v>
      </c>
      <c r="ED551" t="s">
        <v>13903</v>
      </c>
      <c r="EE551" t="s">
        <v>8347</v>
      </c>
    </row>
    <row r="552" spans="1:135">
      <c r="A552" t="s">
        <v>3466</v>
      </c>
      <c r="B552" t="s">
        <v>3399</v>
      </c>
      <c r="C552" t="s">
        <v>22031</v>
      </c>
      <c r="D552" s="24">
        <v>44496</v>
      </c>
      <c r="E552" s="24" t="s">
        <v>13558</v>
      </c>
      <c r="F552" s="24" t="s">
        <v>22032</v>
      </c>
      <c r="G552" s="24" t="s">
        <v>13808</v>
      </c>
      <c r="H552" s="24" t="s">
        <v>22033</v>
      </c>
      <c r="I552" s="24" t="s">
        <v>13809</v>
      </c>
      <c r="J552" s="24"/>
      <c r="K552" s="24" t="s">
        <v>13809</v>
      </c>
      <c r="L552" s="24"/>
      <c r="M552" s="24" t="s">
        <v>14304</v>
      </c>
      <c r="N552" s="24" t="s">
        <v>13808</v>
      </c>
      <c r="O552" s="24"/>
      <c r="P552" s="24" t="s">
        <v>13808</v>
      </c>
      <c r="Q552" s="24"/>
      <c r="R552" s="24" t="s">
        <v>13808</v>
      </c>
      <c r="S552" s="24"/>
      <c r="T552" t="s">
        <v>21214</v>
      </c>
      <c r="U552" t="s">
        <v>13809</v>
      </c>
      <c r="W552" t="s">
        <v>13809</v>
      </c>
      <c r="Y552" t="s">
        <v>13809</v>
      </c>
      <c r="AA552" t="s">
        <v>17946</v>
      </c>
      <c r="AC552" t="s">
        <v>13809</v>
      </c>
      <c r="AH552" t="s">
        <v>13887</v>
      </c>
      <c r="AI552" t="s">
        <v>13808</v>
      </c>
      <c r="AN552" t="s">
        <v>22034</v>
      </c>
      <c r="AO552" t="s">
        <v>13818</v>
      </c>
      <c r="AP552" t="s">
        <v>14888</v>
      </c>
      <c r="AT552" t="s">
        <v>18725</v>
      </c>
      <c r="AU552" t="s">
        <v>13818</v>
      </c>
      <c r="AV552" t="s">
        <v>14888</v>
      </c>
      <c r="AZ552" t="s">
        <v>22035</v>
      </c>
      <c r="BA552" t="s">
        <v>13818</v>
      </c>
      <c r="BB552" t="s">
        <v>14888</v>
      </c>
      <c r="BF552" t="s">
        <v>14490</v>
      </c>
      <c r="BG552" t="s">
        <v>13808</v>
      </c>
      <c r="BI552" t="s">
        <v>14705</v>
      </c>
      <c r="BJ552" t="s">
        <v>13818</v>
      </c>
      <c r="BK552" t="s">
        <v>14888</v>
      </c>
      <c r="BM552" t="s">
        <v>13809</v>
      </c>
      <c r="BR552" t="s">
        <v>22036</v>
      </c>
      <c r="BS552" t="s">
        <v>13887</v>
      </c>
      <c r="BT552" t="s">
        <v>13808</v>
      </c>
      <c r="BU552" t="s">
        <v>17320</v>
      </c>
      <c r="BY552" t="s">
        <v>13887</v>
      </c>
      <c r="BZ552" t="s">
        <v>13808</v>
      </c>
      <c r="CA552" t="s">
        <v>13861</v>
      </c>
      <c r="CE552" t="s">
        <v>13887</v>
      </c>
      <c r="CF552" t="s">
        <v>13808</v>
      </c>
      <c r="CG552" t="s">
        <v>13863</v>
      </c>
      <c r="CL552" t="s">
        <v>13809</v>
      </c>
      <c r="CR552" t="s">
        <v>13809</v>
      </c>
      <c r="CT552" t="s">
        <v>22037</v>
      </c>
      <c r="CU552" t="s">
        <v>13894</v>
      </c>
      <c r="CV552" t="s">
        <v>13818</v>
      </c>
      <c r="DA552" t="s">
        <v>14008</v>
      </c>
      <c r="DB552" t="s">
        <v>13818</v>
      </c>
      <c r="DG552" t="s">
        <v>22038</v>
      </c>
      <c r="DH552" t="s">
        <v>13818</v>
      </c>
      <c r="DY552" t="s">
        <v>22039</v>
      </c>
      <c r="DZ552" t="s">
        <v>14274</v>
      </c>
      <c r="EA552" t="s">
        <v>14275</v>
      </c>
      <c r="ED552" t="s">
        <v>14722</v>
      </c>
      <c r="EE552" t="s">
        <v>8213</v>
      </c>
    </row>
    <row r="553" spans="1:135">
      <c r="A553" t="s">
        <v>3710</v>
      </c>
      <c r="B553" t="s">
        <v>3619</v>
      </c>
      <c r="C553" t="s">
        <v>22040</v>
      </c>
      <c r="D553" s="24">
        <v>43413</v>
      </c>
      <c r="E553" s="24" t="s">
        <v>13557</v>
      </c>
      <c r="F553" s="24" t="s">
        <v>22041</v>
      </c>
      <c r="G553" s="24" t="s">
        <v>13808</v>
      </c>
      <c r="H553" s="24"/>
      <c r="I553" s="24" t="s">
        <v>13809</v>
      </c>
      <c r="J553" s="24"/>
      <c r="K553" s="24" t="s">
        <v>13809</v>
      </c>
      <c r="L553" s="24"/>
      <c r="M553" s="24" t="s">
        <v>15106</v>
      </c>
      <c r="N553" s="24" t="s">
        <v>13808</v>
      </c>
      <c r="O553" s="24"/>
      <c r="P553" s="24" t="s">
        <v>13808</v>
      </c>
      <c r="Q553" s="24"/>
      <c r="R553" s="24" t="s">
        <v>13808</v>
      </c>
      <c r="S553" s="24"/>
      <c r="T553" t="s">
        <v>14429</v>
      </c>
      <c r="U553" t="s">
        <v>13809</v>
      </c>
      <c r="W553" t="s">
        <v>13808</v>
      </c>
      <c r="X553" t="s">
        <v>22042</v>
      </c>
      <c r="Y553" t="s">
        <v>13809</v>
      </c>
      <c r="AA553" t="s">
        <v>15186</v>
      </c>
      <c r="AB553" t="s">
        <v>22043</v>
      </c>
      <c r="AC553" t="s">
        <v>13808</v>
      </c>
      <c r="AH553" t="s">
        <v>13909</v>
      </c>
      <c r="AI553" t="s">
        <v>13808</v>
      </c>
      <c r="AN553" t="s">
        <v>15651</v>
      </c>
      <c r="AO553" t="s">
        <v>13808</v>
      </c>
      <c r="AT553" t="s">
        <v>14595</v>
      </c>
      <c r="AU553" t="s">
        <v>13808</v>
      </c>
      <c r="AZ553" t="s">
        <v>14192</v>
      </c>
      <c r="BA553" t="s">
        <v>13808</v>
      </c>
      <c r="BF553" t="s">
        <v>15883</v>
      </c>
      <c r="BG553" t="s">
        <v>13808</v>
      </c>
      <c r="BL553" t="s">
        <v>22044</v>
      </c>
      <c r="BM553" t="s">
        <v>13808</v>
      </c>
      <c r="BR553" t="s">
        <v>16022</v>
      </c>
      <c r="BS553" t="s">
        <v>13887</v>
      </c>
      <c r="BT553" t="s">
        <v>13808</v>
      </c>
      <c r="BU553" t="s">
        <v>21341</v>
      </c>
      <c r="BY553" t="s">
        <v>13887</v>
      </c>
      <c r="BZ553" t="s">
        <v>13808</v>
      </c>
      <c r="CA553" t="s">
        <v>13937</v>
      </c>
      <c r="CE553" t="s">
        <v>13887</v>
      </c>
      <c r="CF553" t="s">
        <v>13808</v>
      </c>
      <c r="CL553" t="s">
        <v>13809</v>
      </c>
      <c r="CR553" t="s">
        <v>13809</v>
      </c>
      <c r="CT553" t="s">
        <v>22045</v>
      </c>
      <c r="CU553" t="s">
        <v>13909</v>
      </c>
      <c r="CV553" t="s">
        <v>13818</v>
      </c>
      <c r="DA553" t="s">
        <v>16503</v>
      </c>
      <c r="DB553" t="s">
        <v>13808</v>
      </c>
      <c r="DD553" t="s">
        <v>15197</v>
      </c>
      <c r="DE553" t="s">
        <v>13818</v>
      </c>
      <c r="DH553" t="s">
        <v>13809</v>
      </c>
      <c r="DM553" t="s">
        <v>15280</v>
      </c>
      <c r="DN553" t="s">
        <v>13808</v>
      </c>
      <c r="DZ553" t="s">
        <v>21668</v>
      </c>
      <c r="EA553" t="s">
        <v>15744</v>
      </c>
      <c r="EC553">
        <v>43480</v>
      </c>
      <c r="ED553" t="s">
        <v>13903</v>
      </c>
      <c r="EE553" t="s">
        <v>8508</v>
      </c>
    </row>
    <row r="554" spans="1:135">
      <c r="A554" t="s">
        <v>4111</v>
      </c>
      <c r="B554" t="s">
        <v>4051</v>
      </c>
      <c r="C554" t="s">
        <v>22046</v>
      </c>
      <c r="D554" s="24">
        <v>43684</v>
      </c>
      <c r="E554" s="24" t="s">
        <v>13553</v>
      </c>
      <c r="F554" s="24" t="s">
        <v>22047</v>
      </c>
      <c r="G554" s="24" t="s">
        <v>13808</v>
      </c>
      <c r="H554" s="24"/>
      <c r="I554" s="24" t="s">
        <v>13809</v>
      </c>
      <c r="J554" s="24"/>
      <c r="K554" s="24" t="s">
        <v>13809</v>
      </c>
      <c r="L554" s="24"/>
      <c r="M554" s="24" t="s">
        <v>14163</v>
      </c>
      <c r="N554" s="24" t="s">
        <v>13808</v>
      </c>
      <c r="O554" s="24"/>
      <c r="P554" s="24" t="s">
        <v>13808</v>
      </c>
      <c r="Q554" s="24"/>
      <c r="R554" s="24" t="s">
        <v>13808</v>
      </c>
      <c r="S554" s="24"/>
      <c r="T554" t="s">
        <v>14016</v>
      </c>
      <c r="U554" t="s">
        <v>13809</v>
      </c>
      <c r="W554" t="s">
        <v>13808</v>
      </c>
      <c r="X554" t="s">
        <v>22048</v>
      </c>
      <c r="Y554" t="s">
        <v>13809</v>
      </c>
      <c r="AA554" t="s">
        <v>13877</v>
      </c>
      <c r="AC554" t="s">
        <v>13809</v>
      </c>
      <c r="AH554" t="s">
        <v>13909</v>
      </c>
      <c r="AI554" t="s">
        <v>13808</v>
      </c>
      <c r="AN554" t="s">
        <v>22049</v>
      </c>
      <c r="AO554" t="s">
        <v>13808</v>
      </c>
      <c r="AT554" t="s">
        <v>22050</v>
      </c>
      <c r="AU554" t="s">
        <v>13808</v>
      </c>
      <c r="AZ554" t="s">
        <v>14730</v>
      </c>
      <c r="BA554" t="s">
        <v>13808</v>
      </c>
      <c r="BF554" t="s">
        <v>22051</v>
      </c>
      <c r="BG554" t="s">
        <v>13808</v>
      </c>
      <c r="BH554" t="s">
        <v>22052</v>
      </c>
      <c r="BM554" t="s">
        <v>13809</v>
      </c>
      <c r="BR554" t="s">
        <v>22053</v>
      </c>
      <c r="BS554" t="s">
        <v>13887</v>
      </c>
      <c r="BT554" t="s">
        <v>13808</v>
      </c>
      <c r="BU554" t="s">
        <v>14128</v>
      </c>
      <c r="BY554" t="s">
        <v>13887</v>
      </c>
      <c r="BZ554" t="s">
        <v>13808</v>
      </c>
      <c r="CA554" t="s">
        <v>13888</v>
      </c>
      <c r="CE554" t="s">
        <v>15013</v>
      </c>
      <c r="CF554" t="s">
        <v>13808</v>
      </c>
      <c r="CL554" t="s">
        <v>13809</v>
      </c>
      <c r="CR554" t="s">
        <v>13809</v>
      </c>
      <c r="CT554" t="s">
        <v>22054</v>
      </c>
      <c r="CU554" t="s">
        <v>22055</v>
      </c>
      <c r="CV554" t="s">
        <v>13897</v>
      </c>
      <c r="DA554" t="s">
        <v>22056</v>
      </c>
      <c r="DB554" t="s">
        <v>13897</v>
      </c>
      <c r="DH554" t="s">
        <v>13809</v>
      </c>
      <c r="DM554" t="s">
        <v>22057</v>
      </c>
      <c r="DN554" t="s">
        <v>13808</v>
      </c>
      <c r="DP554" t="s">
        <v>22058</v>
      </c>
      <c r="DQ554" t="s">
        <v>13808</v>
      </c>
      <c r="DR554" t="s">
        <v>14947</v>
      </c>
      <c r="DY554" t="s">
        <v>15828</v>
      </c>
      <c r="DZ554" t="s">
        <v>22059</v>
      </c>
      <c r="EA554" t="s">
        <v>16557</v>
      </c>
      <c r="ED554" t="s">
        <v>13903</v>
      </c>
      <c r="EE554" t="s">
        <v>8979</v>
      </c>
    </row>
    <row r="555" spans="1:135">
      <c r="A555" t="s">
        <v>3567</v>
      </c>
      <c r="B555" t="s">
        <v>3506</v>
      </c>
      <c r="C555" t="s">
        <v>22060</v>
      </c>
      <c r="D555" s="24">
        <v>44650</v>
      </c>
      <c r="E555" s="24" t="s">
        <v>13565</v>
      </c>
      <c r="F555" s="24" t="s">
        <v>22061</v>
      </c>
      <c r="G555" s="24" t="s">
        <v>13808</v>
      </c>
      <c r="H555" s="24"/>
      <c r="I555" s="24" t="s">
        <v>13809</v>
      </c>
      <c r="J555" s="24"/>
      <c r="K555" s="24" t="s">
        <v>13809</v>
      </c>
      <c r="L555" s="24"/>
      <c r="M555" s="24" t="s">
        <v>22062</v>
      </c>
      <c r="N555" s="24" t="s">
        <v>13808</v>
      </c>
      <c r="O555" s="24"/>
      <c r="P555" s="24" t="s">
        <v>13808</v>
      </c>
      <c r="Q555" s="24"/>
      <c r="R555" s="24" t="s">
        <v>13808</v>
      </c>
      <c r="S555" s="24"/>
      <c r="T555" t="s">
        <v>16055</v>
      </c>
      <c r="U555" t="s">
        <v>13808</v>
      </c>
      <c r="W555" t="s">
        <v>13808</v>
      </c>
      <c r="X555" t="s">
        <v>21885</v>
      </c>
      <c r="Y555" t="s">
        <v>13809</v>
      </c>
      <c r="AA555" t="s">
        <v>15089</v>
      </c>
      <c r="AB555" t="s">
        <v>22063</v>
      </c>
      <c r="AC555" t="s">
        <v>13808</v>
      </c>
      <c r="AH555" t="s">
        <v>13851</v>
      </c>
      <c r="AI555" t="s">
        <v>13808</v>
      </c>
      <c r="AN555" t="s">
        <v>22064</v>
      </c>
      <c r="AO555" t="s">
        <v>13808</v>
      </c>
      <c r="AT555" t="s">
        <v>22065</v>
      </c>
      <c r="AU555" t="s">
        <v>13808</v>
      </c>
      <c r="AZ555" t="s">
        <v>22066</v>
      </c>
      <c r="BA555" t="s">
        <v>13808</v>
      </c>
      <c r="BF555" t="s">
        <v>22067</v>
      </c>
      <c r="BG555" t="s">
        <v>13808</v>
      </c>
      <c r="BL555" t="s">
        <v>13735</v>
      </c>
      <c r="BM555" t="s">
        <v>13809</v>
      </c>
      <c r="BR555" t="s">
        <v>22068</v>
      </c>
      <c r="BS555" t="s">
        <v>13824</v>
      </c>
      <c r="BT555" t="s">
        <v>13808</v>
      </c>
      <c r="BU555" t="s">
        <v>22069</v>
      </c>
      <c r="BY555" t="s">
        <v>13860</v>
      </c>
      <c r="BZ555" t="s">
        <v>13808</v>
      </c>
      <c r="CA555" t="s">
        <v>13937</v>
      </c>
      <c r="CE555" t="s">
        <v>13828</v>
      </c>
      <c r="CF555" t="s">
        <v>13808</v>
      </c>
      <c r="CK555" t="s">
        <v>13760</v>
      </c>
      <c r="CL555" t="s">
        <v>13809</v>
      </c>
      <c r="CQ555" t="s">
        <v>13766</v>
      </c>
      <c r="CR555" t="s">
        <v>13809</v>
      </c>
      <c r="CT555" t="s">
        <v>22070</v>
      </c>
      <c r="CU555" t="s">
        <v>22071</v>
      </c>
      <c r="CV555" t="s">
        <v>13808</v>
      </c>
      <c r="CX555" t="s">
        <v>22072</v>
      </c>
      <c r="CY555" t="s">
        <v>13818</v>
      </c>
      <c r="DA555" t="s">
        <v>22073</v>
      </c>
      <c r="DB555" t="s">
        <v>13808</v>
      </c>
      <c r="DD555" t="s">
        <v>22072</v>
      </c>
      <c r="DE555" t="s">
        <v>13818</v>
      </c>
      <c r="DG555" t="s">
        <v>14240</v>
      </c>
      <c r="DH555" t="s">
        <v>13808</v>
      </c>
      <c r="DY555" t="s">
        <v>13869</v>
      </c>
      <c r="DZ555" t="s">
        <v>21365</v>
      </c>
      <c r="EA555" t="s">
        <v>16821</v>
      </c>
      <c r="EC555">
        <v>44658</v>
      </c>
      <c r="ED555" t="s">
        <v>14298</v>
      </c>
      <c r="EE555" t="s">
        <v>8349</v>
      </c>
    </row>
    <row r="556" spans="1:135">
      <c r="A556" t="s">
        <v>3714</v>
      </c>
      <c r="B556" t="s">
        <v>3619</v>
      </c>
      <c r="C556" t="s">
        <v>22074</v>
      </c>
      <c r="D556" s="24">
        <v>43193</v>
      </c>
      <c r="E556" s="24" t="s">
        <v>13558</v>
      </c>
      <c r="F556" s="24" t="s">
        <v>22075</v>
      </c>
      <c r="G556" s="24" t="s">
        <v>13808</v>
      </c>
      <c r="H556" s="24"/>
      <c r="I556" s="24" t="s">
        <v>13809</v>
      </c>
      <c r="J556" s="24"/>
      <c r="K556" s="24" t="s">
        <v>13808</v>
      </c>
      <c r="L556" s="24"/>
      <c r="M556" s="24" t="s">
        <v>20476</v>
      </c>
      <c r="N556" s="24" t="s">
        <v>13808</v>
      </c>
      <c r="O556" s="24"/>
      <c r="P556" s="24" t="s">
        <v>13808</v>
      </c>
      <c r="Q556" s="24"/>
      <c r="R556" s="24" t="s">
        <v>13808</v>
      </c>
      <c r="S556" s="24"/>
      <c r="T556" t="s">
        <v>22076</v>
      </c>
      <c r="U556" t="s">
        <v>13809</v>
      </c>
      <c r="W556" t="s">
        <v>13808</v>
      </c>
      <c r="X556" t="s">
        <v>22077</v>
      </c>
      <c r="Y556" t="s">
        <v>13809</v>
      </c>
      <c r="AA556" t="s">
        <v>15259</v>
      </c>
      <c r="AC556" t="s">
        <v>13809</v>
      </c>
      <c r="AH556" t="s">
        <v>13909</v>
      </c>
      <c r="AI556" t="s">
        <v>13808</v>
      </c>
      <c r="AO556" t="s">
        <v>13809</v>
      </c>
      <c r="AT556" t="s">
        <v>13882</v>
      </c>
      <c r="AU556" t="s">
        <v>13808</v>
      </c>
      <c r="AZ556" t="s">
        <v>14730</v>
      </c>
      <c r="BA556" t="s">
        <v>13808</v>
      </c>
      <c r="BF556" t="s">
        <v>14007</v>
      </c>
      <c r="BG556" t="s">
        <v>13808</v>
      </c>
      <c r="BL556" t="s">
        <v>15820</v>
      </c>
      <c r="BM556" t="s">
        <v>13808</v>
      </c>
      <c r="BR556" t="s">
        <v>21910</v>
      </c>
      <c r="BS556" t="s">
        <v>13887</v>
      </c>
      <c r="BT556" t="s">
        <v>13808</v>
      </c>
      <c r="BU556" t="s">
        <v>16568</v>
      </c>
      <c r="BY556" t="s">
        <v>13887</v>
      </c>
      <c r="BZ556" t="s">
        <v>13808</v>
      </c>
      <c r="CA556" t="s">
        <v>13937</v>
      </c>
      <c r="CE556" t="s">
        <v>13887</v>
      </c>
      <c r="CF556" t="s">
        <v>13808</v>
      </c>
      <c r="CL556" t="s">
        <v>13809</v>
      </c>
      <c r="CR556" t="s">
        <v>13809</v>
      </c>
      <c r="CT556" t="s">
        <v>13962</v>
      </c>
      <c r="CU556" t="s">
        <v>13909</v>
      </c>
      <c r="CV556" t="s">
        <v>13818</v>
      </c>
      <c r="DA556" t="s">
        <v>13909</v>
      </c>
      <c r="DB556" t="s">
        <v>13818</v>
      </c>
      <c r="DG556" t="s">
        <v>13909</v>
      </c>
      <c r="DH556" t="s">
        <v>13818</v>
      </c>
      <c r="DY556" t="s">
        <v>15828</v>
      </c>
      <c r="DZ556" t="s">
        <v>21668</v>
      </c>
      <c r="EA556" t="s">
        <v>15744</v>
      </c>
      <c r="EC556">
        <v>44230</v>
      </c>
      <c r="ED556" t="s">
        <v>13903</v>
      </c>
      <c r="EE556" t="s">
        <v>8512</v>
      </c>
    </row>
    <row r="557" spans="1:135">
      <c r="A557" t="s">
        <v>3571</v>
      </c>
      <c r="B557" t="s">
        <v>3506</v>
      </c>
      <c r="C557" t="s">
        <v>22078</v>
      </c>
      <c r="D557" s="24">
        <v>44034</v>
      </c>
      <c r="E557" s="24" t="s">
        <v>13558</v>
      </c>
      <c r="F557" s="24" t="s">
        <v>22079</v>
      </c>
      <c r="G557" s="24" t="s">
        <v>13808</v>
      </c>
      <c r="H557" s="24"/>
      <c r="I557" s="24" t="s">
        <v>13809</v>
      </c>
      <c r="J557" s="24"/>
      <c r="K557" s="24" t="s">
        <v>13808</v>
      </c>
      <c r="L557" s="24"/>
      <c r="M557" s="24" t="s">
        <v>14304</v>
      </c>
      <c r="N557" s="24" t="s">
        <v>13808</v>
      </c>
      <c r="O557" s="24"/>
      <c r="P557" s="24" t="s">
        <v>13818</v>
      </c>
      <c r="Q557" s="24" t="s">
        <v>14885</v>
      </c>
      <c r="R557" s="24" t="s">
        <v>13808</v>
      </c>
      <c r="S557" s="24"/>
      <c r="T557" t="s">
        <v>14071</v>
      </c>
      <c r="U557" t="s">
        <v>13809</v>
      </c>
      <c r="W557" t="s">
        <v>13809</v>
      </c>
      <c r="Y557" t="s">
        <v>13809</v>
      </c>
      <c r="AA557" t="s">
        <v>21787</v>
      </c>
      <c r="AC557" t="s">
        <v>13809</v>
      </c>
      <c r="AH557" t="s">
        <v>13887</v>
      </c>
      <c r="AI557" t="s">
        <v>13808</v>
      </c>
      <c r="AK557" t="s">
        <v>14004</v>
      </c>
      <c r="AL557" t="s">
        <v>13818</v>
      </c>
      <c r="AM557" t="s">
        <v>14309</v>
      </c>
      <c r="AO557" t="s">
        <v>13809</v>
      </c>
      <c r="AT557" t="s">
        <v>22080</v>
      </c>
      <c r="AU557" t="s">
        <v>13818</v>
      </c>
      <c r="AV557" t="s">
        <v>14415</v>
      </c>
      <c r="AZ557" t="s">
        <v>13894</v>
      </c>
      <c r="BA557" t="s">
        <v>13808</v>
      </c>
      <c r="BF557" t="s">
        <v>14008</v>
      </c>
      <c r="BG557" t="s">
        <v>13808</v>
      </c>
      <c r="BL557" t="s">
        <v>22081</v>
      </c>
      <c r="BM557" t="s">
        <v>13818</v>
      </c>
      <c r="BN557" t="s">
        <v>14259</v>
      </c>
      <c r="BR557" t="s">
        <v>22082</v>
      </c>
      <c r="BS557" t="s">
        <v>13887</v>
      </c>
      <c r="BT557" t="s">
        <v>13808</v>
      </c>
      <c r="BU557" t="s">
        <v>14233</v>
      </c>
      <c r="BY557" t="s">
        <v>14265</v>
      </c>
      <c r="BZ557" t="s">
        <v>13818</v>
      </c>
      <c r="CA557" t="s">
        <v>22083</v>
      </c>
      <c r="CE557" t="s">
        <v>13887</v>
      </c>
      <c r="CF557" t="s">
        <v>13808</v>
      </c>
      <c r="CL557" t="s">
        <v>13809</v>
      </c>
      <c r="CR557" t="s">
        <v>13809</v>
      </c>
      <c r="CT557" t="s">
        <v>13830</v>
      </c>
      <c r="CU557" t="s">
        <v>22084</v>
      </c>
      <c r="CV557" t="s">
        <v>13818</v>
      </c>
      <c r="DA557" t="s">
        <v>22085</v>
      </c>
      <c r="DB557" t="s">
        <v>13818</v>
      </c>
      <c r="DG557" t="s">
        <v>13909</v>
      </c>
      <c r="DH557" t="s">
        <v>13818</v>
      </c>
      <c r="DY557" t="s">
        <v>13840</v>
      </c>
      <c r="DZ557" t="s">
        <v>13841</v>
      </c>
      <c r="EA557" t="s">
        <v>13842</v>
      </c>
      <c r="ED557" t="s">
        <v>13903</v>
      </c>
      <c r="EE557" t="s">
        <v>8355</v>
      </c>
    </row>
    <row r="558" spans="1:135">
      <c r="A558" t="s">
        <v>3882</v>
      </c>
      <c r="B558" t="s">
        <v>3808</v>
      </c>
      <c r="C558" t="s">
        <v>22086</v>
      </c>
      <c r="D558" s="24">
        <v>43318</v>
      </c>
      <c r="E558" s="24" t="s">
        <v>13560</v>
      </c>
      <c r="F558" s="24" t="s">
        <v>22087</v>
      </c>
      <c r="G558" s="24" t="s">
        <v>13808</v>
      </c>
      <c r="H558" s="24"/>
      <c r="I558" s="24" t="s">
        <v>13809</v>
      </c>
      <c r="J558" s="24"/>
      <c r="K558" s="24" t="s">
        <v>13808</v>
      </c>
      <c r="L558" s="24"/>
      <c r="M558" s="24" t="s">
        <v>22088</v>
      </c>
      <c r="N558" s="24" t="s">
        <v>13818</v>
      </c>
      <c r="O558" s="24" t="s">
        <v>15815</v>
      </c>
      <c r="P558" s="24" t="s">
        <v>13808</v>
      </c>
      <c r="Q558" s="24"/>
      <c r="R558" s="24" t="s">
        <v>13808</v>
      </c>
      <c r="S558" s="24"/>
      <c r="T558" t="s">
        <v>14034</v>
      </c>
      <c r="U558" t="s">
        <v>13809</v>
      </c>
      <c r="W558" t="s">
        <v>13808</v>
      </c>
      <c r="X558" t="s">
        <v>22089</v>
      </c>
      <c r="Y558" t="s">
        <v>13809</v>
      </c>
      <c r="AA558" t="s">
        <v>16563</v>
      </c>
      <c r="AB558" t="s">
        <v>22090</v>
      </c>
      <c r="AC558" t="s">
        <v>13808</v>
      </c>
      <c r="AH558" t="s">
        <v>13909</v>
      </c>
      <c r="AI558" t="s">
        <v>13808</v>
      </c>
      <c r="AN558" t="s">
        <v>17868</v>
      </c>
      <c r="AO558" t="s">
        <v>13808</v>
      </c>
      <c r="AT558" t="s">
        <v>20202</v>
      </c>
      <c r="AU558" t="s">
        <v>13808</v>
      </c>
      <c r="AZ558" t="s">
        <v>18680</v>
      </c>
      <c r="BA558" t="s">
        <v>13808</v>
      </c>
      <c r="BF558" t="s">
        <v>14189</v>
      </c>
      <c r="BG558" t="s">
        <v>13808</v>
      </c>
      <c r="BL558" t="s">
        <v>17041</v>
      </c>
      <c r="BM558" t="s">
        <v>13897</v>
      </c>
      <c r="BR558" t="s">
        <v>20691</v>
      </c>
      <c r="BS558" t="s">
        <v>13887</v>
      </c>
      <c r="BT558" t="s">
        <v>13808</v>
      </c>
      <c r="BU558" t="s">
        <v>16499</v>
      </c>
      <c r="BY558" t="s">
        <v>14265</v>
      </c>
      <c r="BZ558" t="s">
        <v>13808</v>
      </c>
      <c r="CA558" t="s">
        <v>13888</v>
      </c>
      <c r="CE558" t="s">
        <v>13887</v>
      </c>
      <c r="CF558" t="s">
        <v>13808</v>
      </c>
      <c r="CL558" t="s">
        <v>13809</v>
      </c>
      <c r="CR558" t="s">
        <v>13809</v>
      </c>
      <c r="CT558" t="s">
        <v>22091</v>
      </c>
      <c r="CU558" t="s">
        <v>22092</v>
      </c>
      <c r="CV558" t="s">
        <v>13808</v>
      </c>
      <c r="DA558" t="s">
        <v>22093</v>
      </c>
      <c r="DB558" t="s">
        <v>13808</v>
      </c>
      <c r="DG558" t="s">
        <v>13909</v>
      </c>
      <c r="DH558" t="s">
        <v>13818</v>
      </c>
      <c r="DY558" t="s">
        <v>13900</v>
      </c>
      <c r="DZ558" t="s">
        <v>22094</v>
      </c>
      <c r="EA558" t="s">
        <v>15419</v>
      </c>
      <c r="EC558">
        <v>44230</v>
      </c>
      <c r="ED558" t="s">
        <v>13903</v>
      </c>
      <c r="EE558" t="s">
        <v>8700</v>
      </c>
    </row>
    <row r="559" spans="1:135">
      <c r="A559" t="s">
        <v>11965</v>
      </c>
      <c r="B559" t="s">
        <v>3808</v>
      </c>
      <c r="C559" t="s">
        <v>22095</v>
      </c>
      <c r="D559" s="24"/>
      <c r="E559" s="24"/>
      <c r="F559" s="24"/>
      <c r="G559" s="24"/>
      <c r="H559" s="24"/>
      <c r="I559" s="24"/>
      <c r="J559" s="24"/>
      <c r="K559" s="24"/>
      <c r="L559" s="24"/>
      <c r="M559" s="24"/>
      <c r="N559" s="24"/>
      <c r="O559" s="24"/>
      <c r="P559" s="24"/>
      <c r="Q559" s="24"/>
      <c r="R559" s="24"/>
      <c r="S559" s="24"/>
      <c r="ED559" t="s">
        <v>14298</v>
      </c>
      <c r="EE559" t="s">
        <v>22096</v>
      </c>
    </row>
    <row r="560" spans="1:135">
      <c r="A560" t="s">
        <v>8356</v>
      </c>
      <c r="B560" t="s">
        <v>3506</v>
      </c>
      <c r="C560" t="s">
        <v>22097</v>
      </c>
      <c r="D560" s="24">
        <v>45044</v>
      </c>
      <c r="E560" s="24" t="s">
        <v>13560</v>
      </c>
      <c r="F560" s="24" t="s">
        <v>22098</v>
      </c>
      <c r="G560" s="24" t="s">
        <v>13808</v>
      </c>
      <c r="H560" s="24"/>
      <c r="I560" s="24" t="s">
        <v>13809</v>
      </c>
      <c r="J560" s="24"/>
      <c r="K560" s="24" t="s">
        <v>13808</v>
      </c>
      <c r="L560" s="24" t="s">
        <v>22099</v>
      </c>
      <c r="M560" s="24" t="s">
        <v>14304</v>
      </c>
      <c r="N560" s="24" t="s">
        <v>13808</v>
      </c>
      <c r="O560" s="24"/>
      <c r="P560" s="24" t="s">
        <v>13808</v>
      </c>
      <c r="Q560" s="24"/>
      <c r="R560" s="24" t="s">
        <v>13808</v>
      </c>
      <c r="S560" s="24"/>
      <c r="T560" t="s">
        <v>22100</v>
      </c>
      <c r="U560" t="s">
        <v>13809</v>
      </c>
      <c r="W560" t="s">
        <v>13809</v>
      </c>
      <c r="Y560" t="s">
        <v>13809</v>
      </c>
      <c r="AA560" t="s">
        <v>14072</v>
      </c>
      <c r="AB560" t="s">
        <v>22101</v>
      </c>
      <c r="AC560" t="s">
        <v>13818</v>
      </c>
      <c r="AD560" t="s">
        <v>13819</v>
      </c>
      <c r="AH560" t="s">
        <v>14073</v>
      </c>
      <c r="AI560" t="s">
        <v>13808</v>
      </c>
      <c r="AK560" t="s">
        <v>21983</v>
      </c>
      <c r="AL560" t="s">
        <v>13818</v>
      </c>
      <c r="AM560" t="s">
        <v>13819</v>
      </c>
      <c r="AN560" t="s">
        <v>22102</v>
      </c>
      <c r="AO560" t="s">
        <v>13808</v>
      </c>
      <c r="AT560" t="s">
        <v>22103</v>
      </c>
      <c r="AU560" t="s">
        <v>13808</v>
      </c>
      <c r="AZ560" t="s">
        <v>17447</v>
      </c>
      <c r="BA560" t="s">
        <v>13808</v>
      </c>
      <c r="BF560" t="s">
        <v>21853</v>
      </c>
      <c r="BG560" t="s">
        <v>13808</v>
      </c>
      <c r="BL560" t="s">
        <v>13735</v>
      </c>
      <c r="BM560" t="s">
        <v>21985</v>
      </c>
      <c r="BR560" t="s">
        <v>22104</v>
      </c>
      <c r="BS560" t="s">
        <v>13824</v>
      </c>
      <c r="BT560" t="s">
        <v>13808</v>
      </c>
      <c r="BU560" t="s">
        <v>22105</v>
      </c>
      <c r="BY560" t="s">
        <v>13860</v>
      </c>
      <c r="BZ560" t="s">
        <v>13808</v>
      </c>
      <c r="CA560" t="s">
        <v>13861</v>
      </c>
      <c r="CE560" t="s">
        <v>13828</v>
      </c>
      <c r="CF560" t="s">
        <v>13808</v>
      </c>
      <c r="CK560" t="s">
        <v>13760</v>
      </c>
      <c r="CL560" t="s">
        <v>13809</v>
      </c>
      <c r="CQ560" t="s">
        <v>13766</v>
      </c>
      <c r="CR560" t="s">
        <v>13809</v>
      </c>
      <c r="CT560" t="s">
        <v>22106</v>
      </c>
      <c r="CU560" t="s">
        <v>22107</v>
      </c>
      <c r="CV560" t="s">
        <v>13808</v>
      </c>
      <c r="CX560" t="s">
        <v>22108</v>
      </c>
      <c r="CY560" t="s">
        <v>13818</v>
      </c>
      <c r="DA560" t="s">
        <v>22109</v>
      </c>
      <c r="DB560" t="s">
        <v>13808</v>
      </c>
      <c r="DD560" t="s">
        <v>19780</v>
      </c>
      <c r="DE560" t="s">
        <v>13818</v>
      </c>
      <c r="DG560" t="s">
        <v>22110</v>
      </c>
      <c r="DH560" t="s">
        <v>13818</v>
      </c>
      <c r="DY560" t="s">
        <v>21995</v>
      </c>
      <c r="DZ560" t="s">
        <v>21996</v>
      </c>
      <c r="EA560" t="s">
        <v>13842</v>
      </c>
      <c r="EC560">
        <v>45054</v>
      </c>
      <c r="ED560" t="s">
        <v>14298</v>
      </c>
      <c r="EE560" t="s">
        <v>8360</v>
      </c>
    </row>
    <row r="561" spans="1:135">
      <c r="A561" t="s">
        <v>4115</v>
      </c>
      <c r="B561" t="s">
        <v>4051</v>
      </c>
      <c r="C561" t="s">
        <v>22111</v>
      </c>
      <c r="D561" s="24">
        <v>43742</v>
      </c>
      <c r="E561" s="24" t="s">
        <v>13553</v>
      </c>
      <c r="F561" s="24" t="s">
        <v>22112</v>
      </c>
      <c r="G561" s="24" t="s">
        <v>13808</v>
      </c>
      <c r="H561" s="24"/>
      <c r="I561" s="24" t="s">
        <v>13809</v>
      </c>
      <c r="J561" s="24"/>
      <c r="K561" s="24" t="s">
        <v>13809</v>
      </c>
      <c r="L561" s="24"/>
      <c r="M561" s="24" t="s">
        <v>18703</v>
      </c>
      <c r="N561" s="24" t="s">
        <v>13808</v>
      </c>
      <c r="O561" s="24"/>
      <c r="P561" s="24" t="s">
        <v>13808</v>
      </c>
      <c r="Q561" s="24"/>
      <c r="R561" s="24" t="s">
        <v>13808</v>
      </c>
      <c r="S561" s="24"/>
      <c r="T561" t="s">
        <v>16194</v>
      </c>
      <c r="U561" t="s">
        <v>13809</v>
      </c>
      <c r="W561" t="s">
        <v>13808</v>
      </c>
      <c r="X561" t="s">
        <v>22113</v>
      </c>
      <c r="Y561" t="s">
        <v>13809</v>
      </c>
      <c r="AA561" t="s">
        <v>13877</v>
      </c>
      <c r="AC561" t="s">
        <v>13809</v>
      </c>
      <c r="AH561" t="s">
        <v>13909</v>
      </c>
      <c r="AI561" t="s">
        <v>13808</v>
      </c>
      <c r="AO561" t="s">
        <v>13809</v>
      </c>
      <c r="AT561" t="s">
        <v>14543</v>
      </c>
      <c r="AU561" t="s">
        <v>13808</v>
      </c>
      <c r="AZ561" t="s">
        <v>16048</v>
      </c>
      <c r="BA561" t="s">
        <v>13808</v>
      </c>
      <c r="BF561" t="s">
        <v>14169</v>
      </c>
      <c r="BG561" t="s">
        <v>13808</v>
      </c>
      <c r="BM561" t="s">
        <v>13809</v>
      </c>
      <c r="BR561" t="s">
        <v>22114</v>
      </c>
      <c r="BT561" t="s">
        <v>13809</v>
      </c>
      <c r="BY561" t="s">
        <v>13887</v>
      </c>
      <c r="BZ561" t="s">
        <v>13808</v>
      </c>
      <c r="CA561" t="s">
        <v>14026</v>
      </c>
      <c r="CF561" t="s">
        <v>13809</v>
      </c>
      <c r="CL561" t="s">
        <v>13809</v>
      </c>
      <c r="CR561" t="s">
        <v>13809</v>
      </c>
      <c r="CT561" t="s">
        <v>22115</v>
      </c>
      <c r="CU561" t="s">
        <v>16581</v>
      </c>
      <c r="CV561" t="s">
        <v>13808</v>
      </c>
      <c r="DA561" t="s">
        <v>22116</v>
      </c>
      <c r="DB561" t="s">
        <v>13808</v>
      </c>
      <c r="DH561" t="s">
        <v>13809</v>
      </c>
      <c r="DM561" t="s">
        <v>22117</v>
      </c>
      <c r="DN561" t="s">
        <v>13808</v>
      </c>
      <c r="DO561" t="s">
        <v>22118</v>
      </c>
      <c r="DP561" t="s">
        <v>22119</v>
      </c>
      <c r="DQ561" t="s">
        <v>13808</v>
      </c>
      <c r="DY561" t="s">
        <v>14606</v>
      </c>
      <c r="DZ561" t="s">
        <v>22120</v>
      </c>
      <c r="EA561" t="s">
        <v>14500</v>
      </c>
      <c r="EC561">
        <v>43753</v>
      </c>
      <c r="ED561" t="s">
        <v>14501</v>
      </c>
      <c r="EE561" t="s">
        <v>8983</v>
      </c>
    </row>
    <row r="562" spans="1:135">
      <c r="A562" t="s">
        <v>3719</v>
      </c>
      <c r="B562" t="s">
        <v>3619</v>
      </c>
      <c r="C562" t="s">
        <v>22121</v>
      </c>
      <c r="D562" s="24">
        <v>44680</v>
      </c>
      <c r="E562" s="24" t="s">
        <v>13571</v>
      </c>
      <c r="F562" s="24" t="s">
        <v>22122</v>
      </c>
      <c r="G562" s="24" t="s">
        <v>13808</v>
      </c>
      <c r="H562" s="24"/>
      <c r="I562" s="24" t="s">
        <v>13809</v>
      </c>
      <c r="J562" s="24"/>
      <c r="K562" s="24" t="s">
        <v>13809</v>
      </c>
      <c r="L562" s="24"/>
      <c r="M562" s="24" t="s">
        <v>14136</v>
      </c>
      <c r="N562" s="24" t="s">
        <v>13818</v>
      </c>
      <c r="O562" s="24" t="s">
        <v>14885</v>
      </c>
      <c r="P562" s="24" t="s">
        <v>13808</v>
      </c>
      <c r="Q562" s="24"/>
      <c r="R562" s="24" t="s">
        <v>13808</v>
      </c>
      <c r="S562" s="24"/>
      <c r="T562" t="s">
        <v>13907</v>
      </c>
      <c r="U562" t="s">
        <v>13809</v>
      </c>
      <c r="W562" t="s">
        <v>13808</v>
      </c>
      <c r="X562" t="s">
        <v>22123</v>
      </c>
      <c r="Y562" t="s">
        <v>13809</v>
      </c>
      <c r="AA562" t="s">
        <v>14594</v>
      </c>
      <c r="AB562" t="s">
        <v>14747</v>
      </c>
      <c r="AC562" t="s">
        <v>13808</v>
      </c>
      <c r="AH562" t="s">
        <v>13851</v>
      </c>
      <c r="AI562" t="s">
        <v>13808</v>
      </c>
      <c r="AN562" t="s">
        <v>17695</v>
      </c>
      <c r="AO562" t="s">
        <v>13808</v>
      </c>
      <c r="AT562" t="s">
        <v>14142</v>
      </c>
      <c r="AU562" t="s">
        <v>13808</v>
      </c>
      <c r="AZ562" t="s">
        <v>22124</v>
      </c>
      <c r="BA562" t="s">
        <v>13808</v>
      </c>
      <c r="BF562" t="s">
        <v>22125</v>
      </c>
      <c r="BG562" t="s">
        <v>13808</v>
      </c>
      <c r="BL562" t="s">
        <v>13735</v>
      </c>
      <c r="BM562" t="s">
        <v>13809</v>
      </c>
      <c r="BR562" t="s">
        <v>22126</v>
      </c>
      <c r="BS562" t="s">
        <v>13824</v>
      </c>
      <c r="BT562" t="s">
        <v>13808</v>
      </c>
      <c r="BU562" t="s">
        <v>22127</v>
      </c>
      <c r="BY562" t="s">
        <v>13986</v>
      </c>
      <c r="BZ562" t="s">
        <v>13808</v>
      </c>
      <c r="CA562" t="s">
        <v>13937</v>
      </c>
      <c r="CE562" t="s">
        <v>13828</v>
      </c>
      <c r="CF562" t="s">
        <v>13808</v>
      </c>
      <c r="CK562" t="s">
        <v>13760</v>
      </c>
      <c r="CL562" t="s">
        <v>13809</v>
      </c>
      <c r="CQ562" t="s">
        <v>13766</v>
      </c>
      <c r="CR562" t="s">
        <v>13809</v>
      </c>
      <c r="CT562" t="s">
        <v>22128</v>
      </c>
      <c r="CU562" t="s">
        <v>22129</v>
      </c>
      <c r="CV562" t="s">
        <v>13808</v>
      </c>
      <c r="CX562" t="s">
        <v>22130</v>
      </c>
      <c r="CY562" t="s">
        <v>13818</v>
      </c>
      <c r="DA562" t="s">
        <v>22131</v>
      </c>
      <c r="DB562" t="s">
        <v>13808</v>
      </c>
      <c r="DD562" t="s">
        <v>22132</v>
      </c>
      <c r="DE562" t="s">
        <v>13818</v>
      </c>
      <c r="DG562" t="s">
        <v>14240</v>
      </c>
      <c r="DH562" t="s">
        <v>13818</v>
      </c>
      <c r="DY562" t="s">
        <v>13869</v>
      </c>
      <c r="DZ562" t="s">
        <v>22133</v>
      </c>
      <c r="EA562" t="s">
        <v>22134</v>
      </c>
      <c r="EC562">
        <v>44685</v>
      </c>
      <c r="ED562" t="s">
        <v>14298</v>
      </c>
      <c r="EE562" t="s">
        <v>8514</v>
      </c>
    </row>
    <row r="563" spans="1:135">
      <c r="A563" t="s">
        <v>3723</v>
      </c>
      <c r="B563" t="s">
        <v>3619</v>
      </c>
      <c r="C563" t="s">
        <v>22135</v>
      </c>
      <c r="D563" s="24">
        <v>44755</v>
      </c>
      <c r="E563" s="24" t="s">
        <v>13555</v>
      </c>
      <c r="F563" s="24" t="s">
        <v>22136</v>
      </c>
      <c r="G563" s="24" t="s">
        <v>13808</v>
      </c>
      <c r="H563" s="24"/>
      <c r="I563" s="24" t="s">
        <v>13809</v>
      </c>
      <c r="J563" s="24"/>
      <c r="K563" s="24" t="s">
        <v>13809</v>
      </c>
      <c r="L563" s="24"/>
      <c r="M563" s="24" t="s">
        <v>22137</v>
      </c>
      <c r="N563" s="24" t="s">
        <v>13808</v>
      </c>
      <c r="O563" s="24"/>
      <c r="P563" s="24" t="s">
        <v>13808</v>
      </c>
      <c r="Q563" s="24"/>
      <c r="R563" s="24" t="s">
        <v>13808</v>
      </c>
      <c r="S563" s="24"/>
      <c r="T563" t="s">
        <v>22138</v>
      </c>
      <c r="U563" t="s">
        <v>13809</v>
      </c>
      <c r="W563" t="s">
        <v>13808</v>
      </c>
      <c r="X563" t="s">
        <v>22139</v>
      </c>
      <c r="Y563" t="s">
        <v>13808</v>
      </c>
      <c r="Z563" t="s">
        <v>22140</v>
      </c>
      <c r="AA563" t="s">
        <v>14865</v>
      </c>
      <c r="AB563" t="s">
        <v>22141</v>
      </c>
      <c r="AC563" t="s">
        <v>13809</v>
      </c>
      <c r="AH563" t="s">
        <v>13851</v>
      </c>
      <c r="AI563" t="s">
        <v>13808</v>
      </c>
      <c r="AN563" t="s">
        <v>22142</v>
      </c>
      <c r="AO563" t="s">
        <v>13808</v>
      </c>
      <c r="AT563" t="s">
        <v>20719</v>
      </c>
      <c r="AU563" t="s">
        <v>13808</v>
      </c>
      <c r="AZ563" t="s">
        <v>22143</v>
      </c>
      <c r="BA563" t="s">
        <v>13808</v>
      </c>
      <c r="BF563" t="s">
        <v>22144</v>
      </c>
      <c r="BG563" t="s">
        <v>13808</v>
      </c>
      <c r="BL563" t="s">
        <v>22145</v>
      </c>
      <c r="BM563" t="s">
        <v>13808</v>
      </c>
      <c r="BR563" t="s">
        <v>22146</v>
      </c>
      <c r="BS563" t="s">
        <v>13824</v>
      </c>
      <c r="BT563" t="s">
        <v>13808</v>
      </c>
      <c r="BU563" t="s">
        <v>22147</v>
      </c>
      <c r="BY563" t="s">
        <v>13860</v>
      </c>
      <c r="BZ563" t="s">
        <v>13808</v>
      </c>
      <c r="CA563" t="s">
        <v>13937</v>
      </c>
      <c r="CE563" t="s">
        <v>14292</v>
      </c>
      <c r="CF563" t="s">
        <v>13808</v>
      </c>
      <c r="CK563" t="s">
        <v>13760</v>
      </c>
      <c r="CL563" t="s">
        <v>13809</v>
      </c>
      <c r="CQ563" t="s">
        <v>13766</v>
      </c>
      <c r="CR563" t="s">
        <v>13809</v>
      </c>
      <c r="CT563" t="s">
        <v>22148</v>
      </c>
      <c r="DG563" t="s">
        <v>22149</v>
      </c>
      <c r="DH563" t="s">
        <v>13808</v>
      </c>
      <c r="DZ563" t="s">
        <v>22150</v>
      </c>
      <c r="EA563" t="s">
        <v>13842</v>
      </c>
      <c r="EC563">
        <v>44761</v>
      </c>
      <c r="ED563" t="s">
        <v>14298</v>
      </c>
      <c r="EE563" t="s">
        <v>8518</v>
      </c>
    </row>
    <row r="564" spans="1:135">
      <c r="A564" t="s">
        <v>4119</v>
      </c>
      <c r="B564" t="s">
        <v>4051</v>
      </c>
      <c r="C564" t="s">
        <v>22151</v>
      </c>
      <c r="D564" s="24">
        <v>44902</v>
      </c>
      <c r="E564" s="24" t="s">
        <v>13555</v>
      </c>
      <c r="F564" s="24" t="s">
        <v>22152</v>
      </c>
      <c r="G564" s="24" t="s">
        <v>13808</v>
      </c>
      <c r="H564" s="24"/>
      <c r="I564" s="24" t="s">
        <v>13809</v>
      </c>
      <c r="J564" s="24"/>
      <c r="K564" s="24" t="s">
        <v>13808</v>
      </c>
      <c r="L564" s="24" t="s">
        <v>22153</v>
      </c>
      <c r="M564" s="24" t="s">
        <v>15106</v>
      </c>
      <c r="N564" s="24" t="s">
        <v>13808</v>
      </c>
      <c r="O564" s="24"/>
      <c r="P564" s="24" t="s">
        <v>13808</v>
      </c>
      <c r="Q564" s="24"/>
      <c r="R564" s="24" t="s">
        <v>13808</v>
      </c>
      <c r="S564" s="24"/>
      <c r="T564" t="s">
        <v>13907</v>
      </c>
      <c r="U564" t="s">
        <v>13808</v>
      </c>
      <c r="W564" t="s">
        <v>13808</v>
      </c>
      <c r="X564" t="s">
        <v>22154</v>
      </c>
      <c r="Y564" t="s">
        <v>13808</v>
      </c>
      <c r="Z564" t="s">
        <v>22155</v>
      </c>
      <c r="AA564" t="s">
        <v>13928</v>
      </c>
      <c r="AB564" t="s">
        <v>22156</v>
      </c>
      <c r="AC564" t="s">
        <v>13808</v>
      </c>
      <c r="AH564" t="s">
        <v>13851</v>
      </c>
      <c r="AI564" t="s">
        <v>13808</v>
      </c>
      <c r="AN564" t="s">
        <v>13711</v>
      </c>
      <c r="AO564" t="s">
        <v>13809</v>
      </c>
      <c r="AT564" t="s">
        <v>15954</v>
      </c>
      <c r="AU564" t="s">
        <v>13808</v>
      </c>
      <c r="AZ564" t="s">
        <v>22157</v>
      </c>
      <c r="BA564" t="s">
        <v>13808</v>
      </c>
      <c r="BF564" t="s">
        <v>22158</v>
      </c>
      <c r="BG564" t="s">
        <v>13808</v>
      </c>
      <c r="BL564" t="s">
        <v>22159</v>
      </c>
      <c r="BM564" t="s">
        <v>13808</v>
      </c>
      <c r="BR564" t="s">
        <v>15753</v>
      </c>
      <c r="BS564" t="s">
        <v>13824</v>
      </c>
      <c r="BT564" t="s">
        <v>13808</v>
      </c>
      <c r="BU564" t="s">
        <v>13985</v>
      </c>
      <c r="BY564" t="s">
        <v>13860</v>
      </c>
      <c r="BZ564" t="s">
        <v>13808</v>
      </c>
      <c r="CA564" t="s">
        <v>13937</v>
      </c>
      <c r="CE564" t="s">
        <v>14292</v>
      </c>
      <c r="CF564" t="s">
        <v>13808</v>
      </c>
      <c r="CK564" t="s">
        <v>13760</v>
      </c>
      <c r="CL564" t="s">
        <v>13809</v>
      </c>
      <c r="CQ564" t="s">
        <v>13766</v>
      </c>
      <c r="CR564" t="s">
        <v>13809</v>
      </c>
      <c r="CT564" t="s">
        <v>22160</v>
      </c>
      <c r="CU564" t="s">
        <v>22161</v>
      </c>
      <c r="CV564" t="s">
        <v>13808</v>
      </c>
      <c r="CX564" t="s">
        <v>22162</v>
      </c>
      <c r="CY564" t="s">
        <v>13818</v>
      </c>
      <c r="DA564" t="s">
        <v>22163</v>
      </c>
      <c r="DB564" t="s">
        <v>13808</v>
      </c>
      <c r="DD564" t="s">
        <v>22164</v>
      </c>
      <c r="DE564" t="s">
        <v>13818</v>
      </c>
      <c r="DG564" t="s">
        <v>22165</v>
      </c>
      <c r="DH564" t="s">
        <v>13818</v>
      </c>
      <c r="DM564" t="s">
        <v>22166</v>
      </c>
      <c r="DN564" t="s">
        <v>13808</v>
      </c>
      <c r="DO564" t="s">
        <v>22167</v>
      </c>
      <c r="DY564" t="s">
        <v>13840</v>
      </c>
      <c r="DZ564" t="s">
        <v>22168</v>
      </c>
      <c r="EA564" t="s">
        <v>16821</v>
      </c>
      <c r="EC564">
        <v>44904</v>
      </c>
      <c r="ED564" t="s">
        <v>14298</v>
      </c>
      <c r="EE564" t="s">
        <v>8987</v>
      </c>
    </row>
    <row r="565" spans="1:135">
      <c r="A565" t="s">
        <v>4123</v>
      </c>
      <c r="B565" t="s">
        <v>4051</v>
      </c>
      <c r="C565" t="s">
        <v>22169</v>
      </c>
      <c r="D565" s="24">
        <v>43670</v>
      </c>
      <c r="E565" s="24" t="s">
        <v>13553</v>
      </c>
      <c r="F565" s="24" t="s">
        <v>22170</v>
      </c>
      <c r="G565" s="24" t="s">
        <v>13808</v>
      </c>
      <c r="H565" s="24"/>
      <c r="I565" s="24" t="s">
        <v>13809</v>
      </c>
      <c r="J565" s="24"/>
      <c r="K565" s="24" t="s">
        <v>13809</v>
      </c>
      <c r="L565" s="24"/>
      <c r="M565" s="24" t="s">
        <v>14163</v>
      </c>
      <c r="N565" s="24" t="s">
        <v>13808</v>
      </c>
      <c r="O565" s="24"/>
      <c r="P565" s="24" t="s">
        <v>13808</v>
      </c>
      <c r="Q565" s="24"/>
      <c r="R565" s="24" t="s">
        <v>13808</v>
      </c>
      <c r="S565" s="24"/>
      <c r="T565" t="s">
        <v>14016</v>
      </c>
      <c r="U565" t="s">
        <v>13808</v>
      </c>
      <c r="W565" t="s">
        <v>13808</v>
      </c>
      <c r="X565" t="s">
        <v>22171</v>
      </c>
      <c r="Y565" t="s">
        <v>13809</v>
      </c>
      <c r="AA565" t="s">
        <v>13877</v>
      </c>
      <c r="AC565" t="s">
        <v>13809</v>
      </c>
      <c r="AH565" t="s">
        <v>13909</v>
      </c>
      <c r="AI565" t="s">
        <v>13808</v>
      </c>
      <c r="AO565" t="s">
        <v>13809</v>
      </c>
      <c r="AT565" t="s">
        <v>14433</v>
      </c>
      <c r="AU565" t="s">
        <v>13808</v>
      </c>
      <c r="AZ565" t="s">
        <v>15973</v>
      </c>
      <c r="BA565" t="s">
        <v>13808</v>
      </c>
      <c r="BF565" t="s">
        <v>14432</v>
      </c>
      <c r="BG565" t="s">
        <v>13808</v>
      </c>
      <c r="BM565" t="s">
        <v>13809</v>
      </c>
      <c r="BR565" t="s">
        <v>22172</v>
      </c>
      <c r="BT565" t="s">
        <v>13809</v>
      </c>
      <c r="BY565" t="s">
        <v>13887</v>
      </c>
      <c r="BZ565" t="s">
        <v>13808</v>
      </c>
      <c r="CA565" t="s">
        <v>14026</v>
      </c>
      <c r="CF565" t="s">
        <v>13809</v>
      </c>
      <c r="CK565" t="s">
        <v>14197</v>
      </c>
      <c r="CL565" t="s">
        <v>13808</v>
      </c>
      <c r="CM565" t="s">
        <v>17355</v>
      </c>
      <c r="CR565" t="s">
        <v>13809</v>
      </c>
      <c r="CT565" t="s">
        <v>22173</v>
      </c>
      <c r="CV565" t="s">
        <v>13809</v>
      </c>
      <c r="DB565" t="s">
        <v>13809</v>
      </c>
      <c r="DH565" t="s">
        <v>13809</v>
      </c>
      <c r="DM565" t="s">
        <v>22174</v>
      </c>
      <c r="DN565" t="s">
        <v>13808</v>
      </c>
      <c r="DO565" t="s">
        <v>14947</v>
      </c>
      <c r="DP565" t="s">
        <v>22175</v>
      </c>
      <c r="DR565" t="s">
        <v>13808</v>
      </c>
      <c r="DY565" t="s">
        <v>13900</v>
      </c>
      <c r="DZ565" t="s">
        <v>22176</v>
      </c>
      <c r="EA565" t="s">
        <v>16557</v>
      </c>
      <c r="ED565" t="s">
        <v>13903</v>
      </c>
      <c r="EE565" t="s">
        <v>8991</v>
      </c>
    </row>
    <row r="566" spans="1:135">
      <c r="A566" t="s">
        <v>3272</v>
      </c>
      <c r="B566" t="s">
        <v>3161</v>
      </c>
      <c r="C566" t="s">
        <v>22177</v>
      </c>
      <c r="D566" s="24">
        <v>43461</v>
      </c>
      <c r="E566" s="24" t="s">
        <v>13565</v>
      </c>
      <c r="F566" s="24" t="s">
        <v>22178</v>
      </c>
      <c r="G566" s="24" t="s">
        <v>13808</v>
      </c>
      <c r="H566" s="24"/>
      <c r="I566" s="24" t="s">
        <v>13809</v>
      </c>
      <c r="J566" s="24"/>
      <c r="K566" s="24" t="s">
        <v>13808</v>
      </c>
      <c r="L566" s="24" t="s">
        <v>22179</v>
      </c>
      <c r="M566" s="24" t="s">
        <v>15805</v>
      </c>
      <c r="N566" s="24" t="s">
        <v>13808</v>
      </c>
      <c r="O566" s="24"/>
      <c r="P566" s="24" t="s">
        <v>13808</v>
      </c>
      <c r="Q566" s="24"/>
      <c r="R566" s="24" t="s">
        <v>13808</v>
      </c>
      <c r="S566" s="24"/>
      <c r="T566" t="s">
        <v>14429</v>
      </c>
      <c r="U566" t="s">
        <v>13809</v>
      </c>
      <c r="W566" t="s">
        <v>13808</v>
      </c>
      <c r="X566" t="s">
        <v>22180</v>
      </c>
      <c r="Y566" t="s">
        <v>13809</v>
      </c>
      <c r="AA566" t="s">
        <v>13928</v>
      </c>
      <c r="AC566" t="s">
        <v>13809</v>
      </c>
      <c r="AH566" t="s">
        <v>13909</v>
      </c>
      <c r="AI566" t="s">
        <v>13808</v>
      </c>
      <c r="AN566" t="s">
        <v>22181</v>
      </c>
      <c r="AO566" t="s">
        <v>13808</v>
      </c>
      <c r="AT566" t="s">
        <v>17398</v>
      </c>
      <c r="AU566" t="s">
        <v>13808</v>
      </c>
      <c r="AZ566" t="s">
        <v>17154</v>
      </c>
      <c r="BA566" t="s">
        <v>13808</v>
      </c>
      <c r="BF566" t="s">
        <v>15824</v>
      </c>
      <c r="BG566" t="s">
        <v>13808</v>
      </c>
      <c r="BM566" t="s">
        <v>13809</v>
      </c>
      <c r="BR566" t="s">
        <v>22182</v>
      </c>
      <c r="BS566" t="s">
        <v>14003</v>
      </c>
      <c r="BT566" t="s">
        <v>13808</v>
      </c>
      <c r="BU566" t="s">
        <v>16499</v>
      </c>
      <c r="BY566" t="s">
        <v>14003</v>
      </c>
      <c r="BZ566" t="s">
        <v>13808</v>
      </c>
      <c r="CA566" t="s">
        <v>13937</v>
      </c>
      <c r="CE566" t="s">
        <v>14003</v>
      </c>
      <c r="CF566" t="s">
        <v>13808</v>
      </c>
      <c r="CK566" t="s">
        <v>14003</v>
      </c>
      <c r="CL566" t="s">
        <v>13808</v>
      </c>
      <c r="CR566" t="s">
        <v>13809</v>
      </c>
      <c r="CT566" t="s">
        <v>22183</v>
      </c>
      <c r="CU566" t="s">
        <v>22184</v>
      </c>
      <c r="CV566" t="s">
        <v>13808</v>
      </c>
      <c r="CX566" t="s">
        <v>20959</v>
      </c>
      <c r="CY566" t="s">
        <v>13818</v>
      </c>
      <c r="DA566" t="s">
        <v>22185</v>
      </c>
      <c r="DB566" t="s">
        <v>13808</v>
      </c>
      <c r="DD566" t="s">
        <v>20959</v>
      </c>
      <c r="DE566" t="s">
        <v>13818</v>
      </c>
      <c r="DG566" t="s">
        <v>13909</v>
      </c>
      <c r="DH566" t="s">
        <v>13818</v>
      </c>
      <c r="DM566" t="s">
        <v>22186</v>
      </c>
      <c r="DN566" t="s">
        <v>13808</v>
      </c>
      <c r="DO566" t="s">
        <v>22187</v>
      </c>
      <c r="DY566" t="s">
        <v>13900</v>
      </c>
      <c r="DZ566" t="s">
        <v>22188</v>
      </c>
      <c r="EA566" t="s">
        <v>15744</v>
      </c>
      <c r="EC566">
        <v>44230</v>
      </c>
      <c r="ED566" t="s">
        <v>13903</v>
      </c>
      <c r="EE566" t="s">
        <v>7984</v>
      </c>
    </row>
    <row r="567" spans="1:135">
      <c r="A567" t="s">
        <v>4127</v>
      </c>
      <c r="B567" t="s">
        <v>4051</v>
      </c>
      <c r="C567" t="s">
        <v>22189</v>
      </c>
      <c r="D567" s="24">
        <v>43742</v>
      </c>
      <c r="E567" s="24" t="s">
        <v>13553</v>
      </c>
      <c r="F567" s="24" t="s">
        <v>22190</v>
      </c>
      <c r="G567" s="24" t="s">
        <v>13808</v>
      </c>
      <c r="H567" s="24"/>
      <c r="I567" s="24" t="s">
        <v>13809</v>
      </c>
      <c r="J567" s="24"/>
      <c r="K567" s="24" t="s">
        <v>13808</v>
      </c>
      <c r="L567" s="24" t="s">
        <v>22191</v>
      </c>
      <c r="M567" s="24" t="s">
        <v>13874</v>
      </c>
      <c r="N567" s="24" t="s">
        <v>13808</v>
      </c>
      <c r="O567" s="24"/>
      <c r="P567" s="24" t="s">
        <v>13808</v>
      </c>
      <c r="Q567" s="24"/>
      <c r="R567" s="24" t="s">
        <v>13808</v>
      </c>
      <c r="S567" s="24"/>
      <c r="T567" t="s">
        <v>16194</v>
      </c>
      <c r="U567" t="s">
        <v>13809</v>
      </c>
      <c r="W567" t="s">
        <v>13808</v>
      </c>
      <c r="X567" t="s">
        <v>21224</v>
      </c>
      <c r="Y567" t="s">
        <v>13808</v>
      </c>
      <c r="AA567" t="s">
        <v>13877</v>
      </c>
      <c r="AB567" t="s">
        <v>14543</v>
      </c>
      <c r="AC567" t="s">
        <v>13808</v>
      </c>
      <c r="AH567" t="s">
        <v>13909</v>
      </c>
      <c r="AI567" t="s">
        <v>13808</v>
      </c>
      <c r="AN567" t="s">
        <v>19343</v>
      </c>
      <c r="AO567" t="s">
        <v>13808</v>
      </c>
      <c r="AT567" t="s">
        <v>18418</v>
      </c>
      <c r="AU567" t="s">
        <v>13808</v>
      </c>
      <c r="AZ567" t="s">
        <v>18925</v>
      </c>
      <c r="BA567" t="s">
        <v>13808</v>
      </c>
      <c r="BF567" t="s">
        <v>17124</v>
      </c>
      <c r="BG567" t="s">
        <v>13808</v>
      </c>
      <c r="BL567" t="s">
        <v>21583</v>
      </c>
      <c r="BM567" t="s">
        <v>13808</v>
      </c>
      <c r="BR567" t="s">
        <v>22192</v>
      </c>
      <c r="BS567" t="s">
        <v>13887</v>
      </c>
      <c r="BT567" t="s">
        <v>13808</v>
      </c>
      <c r="BU567" t="s">
        <v>14437</v>
      </c>
      <c r="BY567" t="s">
        <v>13887</v>
      </c>
      <c r="BZ567" t="s">
        <v>13808</v>
      </c>
      <c r="CA567" t="s">
        <v>13888</v>
      </c>
      <c r="CE567" t="s">
        <v>14693</v>
      </c>
      <c r="CF567" t="s">
        <v>13808</v>
      </c>
      <c r="CL567" t="s">
        <v>13809</v>
      </c>
      <c r="CR567" t="s">
        <v>13809</v>
      </c>
      <c r="CT567" t="s">
        <v>22193</v>
      </c>
      <c r="CU567" t="s">
        <v>22194</v>
      </c>
      <c r="CV567" t="s">
        <v>13808</v>
      </c>
      <c r="DA567" t="s">
        <v>22195</v>
      </c>
      <c r="DB567" t="s">
        <v>13808</v>
      </c>
      <c r="DH567" t="s">
        <v>13809</v>
      </c>
      <c r="DM567" t="s">
        <v>22196</v>
      </c>
      <c r="DN567" t="s">
        <v>13808</v>
      </c>
      <c r="DO567" t="s">
        <v>22197</v>
      </c>
      <c r="DY567" t="s">
        <v>15828</v>
      </c>
      <c r="DZ567" t="s">
        <v>22198</v>
      </c>
      <c r="EA567" t="s">
        <v>14500</v>
      </c>
      <c r="EC567">
        <v>43753</v>
      </c>
      <c r="ED567" t="s">
        <v>14501</v>
      </c>
      <c r="EE567" t="s">
        <v>8994</v>
      </c>
    </row>
    <row r="568" spans="1:135">
      <c r="A568" t="s">
        <v>11988</v>
      </c>
      <c r="B568" t="s">
        <v>3939</v>
      </c>
      <c r="C568" t="s">
        <v>22199</v>
      </c>
      <c r="D568" s="24">
        <v>44027</v>
      </c>
      <c r="E568" s="24" t="s">
        <v>13550</v>
      </c>
      <c r="F568" s="24" t="s">
        <v>22200</v>
      </c>
      <c r="G568" s="24" t="s">
        <v>13808</v>
      </c>
      <c r="H568" s="24"/>
      <c r="I568" s="24" t="s">
        <v>13809</v>
      </c>
      <c r="J568" s="24"/>
      <c r="K568" s="24" t="s">
        <v>13809</v>
      </c>
      <c r="L568" s="24"/>
      <c r="M568" s="24" t="s">
        <v>22201</v>
      </c>
      <c r="N568" s="24" t="s">
        <v>13808</v>
      </c>
      <c r="O568" s="24"/>
      <c r="P568" s="24" t="s">
        <v>13808</v>
      </c>
      <c r="Q568" s="24"/>
      <c r="R568" s="24" t="s">
        <v>13808</v>
      </c>
      <c r="S568" s="24" t="s">
        <v>22202</v>
      </c>
      <c r="T568" t="s">
        <v>14071</v>
      </c>
      <c r="U568" t="s">
        <v>13809</v>
      </c>
      <c r="W568" t="s">
        <v>13809</v>
      </c>
      <c r="Y568" t="s">
        <v>13809</v>
      </c>
      <c r="AA568" t="s">
        <v>22203</v>
      </c>
      <c r="AC568" t="s">
        <v>13809</v>
      </c>
      <c r="AH568" t="s">
        <v>13909</v>
      </c>
      <c r="AI568" t="s">
        <v>13818</v>
      </c>
      <c r="AJ568" t="s">
        <v>18683</v>
      </c>
      <c r="AN568" t="s">
        <v>15122</v>
      </c>
      <c r="AO568" t="s">
        <v>13818</v>
      </c>
      <c r="AP568" t="s">
        <v>14309</v>
      </c>
      <c r="AT568" t="s">
        <v>22204</v>
      </c>
      <c r="AU568" t="s">
        <v>13818</v>
      </c>
      <c r="AV568" t="s">
        <v>14415</v>
      </c>
      <c r="AZ568" t="s">
        <v>22205</v>
      </c>
      <c r="BA568" t="s">
        <v>13818</v>
      </c>
      <c r="BB568" t="s">
        <v>14309</v>
      </c>
      <c r="BF568" t="s">
        <v>15822</v>
      </c>
      <c r="BG568" t="s">
        <v>13818</v>
      </c>
      <c r="BH568" t="s">
        <v>14309</v>
      </c>
      <c r="BL568" t="s">
        <v>22206</v>
      </c>
      <c r="BM568" t="s">
        <v>13818</v>
      </c>
      <c r="BN568" t="s">
        <v>14259</v>
      </c>
      <c r="BR568" t="s">
        <v>22207</v>
      </c>
      <c r="BS568" t="s">
        <v>13887</v>
      </c>
      <c r="BT568" t="s">
        <v>13818</v>
      </c>
      <c r="BU568" t="s">
        <v>18247</v>
      </c>
      <c r="BY568" t="s">
        <v>14265</v>
      </c>
      <c r="BZ568" t="s">
        <v>13808</v>
      </c>
      <c r="CA568" t="s">
        <v>22208</v>
      </c>
      <c r="CE568" t="s">
        <v>13887</v>
      </c>
      <c r="CF568" t="s">
        <v>13818</v>
      </c>
      <c r="CG568" t="s">
        <v>14309</v>
      </c>
      <c r="CL568" t="s">
        <v>13809</v>
      </c>
      <c r="CR568" t="s">
        <v>13809</v>
      </c>
      <c r="CT568" t="s">
        <v>13830</v>
      </c>
      <c r="CU568" t="s">
        <v>22209</v>
      </c>
      <c r="CV568" t="s">
        <v>13818</v>
      </c>
      <c r="DA568" t="s">
        <v>22210</v>
      </c>
      <c r="DB568" t="s">
        <v>13818</v>
      </c>
      <c r="DG568" t="s">
        <v>22211</v>
      </c>
      <c r="DH568" t="s">
        <v>13818</v>
      </c>
      <c r="DY568" t="s">
        <v>13840</v>
      </c>
      <c r="DZ568" t="s">
        <v>13841</v>
      </c>
      <c r="EA568" t="s">
        <v>13842</v>
      </c>
      <c r="ED568" t="s">
        <v>14501</v>
      </c>
      <c r="EE568" t="s">
        <v>13630</v>
      </c>
    </row>
    <row r="569" spans="1:135">
      <c r="A569" t="s">
        <v>3733</v>
      </c>
      <c r="B569" t="s">
        <v>3619</v>
      </c>
      <c r="C569" t="s">
        <v>22212</v>
      </c>
      <c r="D569" s="24">
        <v>43413</v>
      </c>
      <c r="E569" s="24" t="s">
        <v>13560</v>
      </c>
      <c r="F569" s="24" t="s">
        <v>22213</v>
      </c>
      <c r="G569" s="24" t="s">
        <v>13808</v>
      </c>
      <c r="H569" s="24"/>
      <c r="I569" s="24" t="s">
        <v>13809</v>
      </c>
      <c r="J569" s="24"/>
      <c r="K569" s="24" t="s">
        <v>13808</v>
      </c>
      <c r="L569" s="24"/>
      <c r="M569" s="24" t="s">
        <v>22214</v>
      </c>
      <c r="N569" s="24" t="s">
        <v>13808</v>
      </c>
      <c r="O569" s="24"/>
      <c r="P569" s="24" t="s">
        <v>13808</v>
      </c>
      <c r="Q569" s="24"/>
      <c r="R569" s="24" t="s">
        <v>13808</v>
      </c>
      <c r="S569" s="24"/>
      <c r="T569" t="s">
        <v>15806</v>
      </c>
      <c r="U569" t="s">
        <v>13809</v>
      </c>
      <c r="W569" t="s">
        <v>13809</v>
      </c>
      <c r="Y569" t="s">
        <v>13809</v>
      </c>
      <c r="AA569" t="s">
        <v>22215</v>
      </c>
      <c r="AC569" t="s">
        <v>13809</v>
      </c>
      <c r="AH569" t="s">
        <v>13887</v>
      </c>
      <c r="AI569" t="s">
        <v>13808</v>
      </c>
      <c r="AK569" t="s">
        <v>20959</v>
      </c>
      <c r="AL569" t="s">
        <v>13818</v>
      </c>
      <c r="AM569" t="s">
        <v>15808</v>
      </c>
      <c r="AO569" t="s">
        <v>13809</v>
      </c>
      <c r="AT569" t="s">
        <v>18959</v>
      </c>
      <c r="AU569" t="s">
        <v>13818</v>
      </c>
      <c r="AV569" t="s">
        <v>15808</v>
      </c>
      <c r="AZ569" t="s">
        <v>14731</v>
      </c>
      <c r="BA569" t="s">
        <v>13808</v>
      </c>
      <c r="BF569" t="s">
        <v>22216</v>
      </c>
      <c r="BG569" t="s">
        <v>13808</v>
      </c>
      <c r="BL569" t="s">
        <v>22217</v>
      </c>
      <c r="BM569" t="s">
        <v>13818</v>
      </c>
      <c r="BN569" t="s">
        <v>15808</v>
      </c>
      <c r="BR569" t="s">
        <v>22218</v>
      </c>
      <c r="BS569" t="s">
        <v>13887</v>
      </c>
      <c r="BT569" t="s">
        <v>13808</v>
      </c>
      <c r="BU569" t="s">
        <v>22219</v>
      </c>
      <c r="BY569" t="s">
        <v>13887</v>
      </c>
      <c r="BZ569" t="s">
        <v>13808</v>
      </c>
      <c r="CA569" t="s">
        <v>13937</v>
      </c>
      <c r="CE569" t="s">
        <v>16024</v>
      </c>
      <c r="CF569" t="s">
        <v>13808</v>
      </c>
      <c r="CL569" t="s">
        <v>13809</v>
      </c>
      <c r="CR569" t="s">
        <v>13809</v>
      </c>
      <c r="CT569" t="s">
        <v>22220</v>
      </c>
      <c r="CU569" t="s">
        <v>13909</v>
      </c>
      <c r="CV569" t="s">
        <v>13818</v>
      </c>
      <c r="DA569" t="s">
        <v>13909</v>
      </c>
      <c r="DB569" t="s">
        <v>13818</v>
      </c>
      <c r="DH569" t="s">
        <v>13809</v>
      </c>
      <c r="DM569" t="s">
        <v>13887</v>
      </c>
      <c r="DN569" t="s">
        <v>13808</v>
      </c>
      <c r="DY569" t="s">
        <v>13900</v>
      </c>
      <c r="DZ569" t="s">
        <v>21668</v>
      </c>
      <c r="EA569" t="s">
        <v>15744</v>
      </c>
      <c r="EC569">
        <v>44230</v>
      </c>
      <c r="ED569" t="s">
        <v>13903</v>
      </c>
      <c r="EE569" t="s">
        <v>8528</v>
      </c>
    </row>
    <row r="570" spans="1:135">
      <c r="A570" t="s">
        <v>4131</v>
      </c>
      <c r="B570" t="s">
        <v>4051</v>
      </c>
      <c r="C570" t="s">
        <v>22221</v>
      </c>
      <c r="D570" s="24">
        <v>43679</v>
      </c>
      <c r="E570" s="24" t="s">
        <v>13553</v>
      </c>
      <c r="F570" s="24" t="s">
        <v>22222</v>
      </c>
      <c r="G570" s="24" t="s">
        <v>13808</v>
      </c>
      <c r="H570" s="24"/>
      <c r="I570" s="24" t="s">
        <v>13809</v>
      </c>
      <c r="J570" s="24"/>
      <c r="K570" s="24" t="s">
        <v>13808</v>
      </c>
      <c r="L570" s="24"/>
      <c r="M570" s="24" t="s">
        <v>22223</v>
      </c>
      <c r="N570" s="24" t="s">
        <v>13808</v>
      </c>
      <c r="O570" s="24"/>
      <c r="P570" s="24" t="s">
        <v>13808</v>
      </c>
      <c r="Q570" s="24"/>
      <c r="R570" s="24" t="s">
        <v>13808</v>
      </c>
      <c r="S570" s="24"/>
      <c r="T570" t="s">
        <v>14016</v>
      </c>
      <c r="U570" t="s">
        <v>13809</v>
      </c>
      <c r="W570" t="s">
        <v>13808</v>
      </c>
      <c r="X570" t="s">
        <v>22224</v>
      </c>
      <c r="Y570" t="s">
        <v>13808</v>
      </c>
      <c r="AA570" t="s">
        <v>13877</v>
      </c>
      <c r="AB570" t="s">
        <v>17876</v>
      </c>
      <c r="AC570" t="s">
        <v>13808</v>
      </c>
      <c r="AH570" t="s">
        <v>13909</v>
      </c>
      <c r="AI570" t="s">
        <v>13808</v>
      </c>
      <c r="AO570" t="s">
        <v>13809</v>
      </c>
      <c r="AT570" t="s">
        <v>22225</v>
      </c>
      <c r="AU570" t="s">
        <v>13808</v>
      </c>
      <c r="AZ570" t="s">
        <v>22226</v>
      </c>
      <c r="BA570" t="s">
        <v>13808</v>
      </c>
      <c r="BF570" t="s">
        <v>17230</v>
      </c>
      <c r="BG570" t="s">
        <v>13808</v>
      </c>
      <c r="BL570" t="s">
        <v>16405</v>
      </c>
      <c r="BM570" t="s">
        <v>13808</v>
      </c>
      <c r="BR570" t="s">
        <v>22227</v>
      </c>
      <c r="BS570" t="s">
        <v>13887</v>
      </c>
      <c r="BT570" t="s">
        <v>13808</v>
      </c>
      <c r="BU570" t="s">
        <v>22228</v>
      </c>
      <c r="BY570" t="s">
        <v>13887</v>
      </c>
      <c r="BZ570" t="s">
        <v>13808</v>
      </c>
      <c r="CA570" t="s">
        <v>14026</v>
      </c>
      <c r="CE570" t="s">
        <v>14265</v>
      </c>
      <c r="CF570" t="s">
        <v>13808</v>
      </c>
      <c r="CL570" t="s">
        <v>13809</v>
      </c>
      <c r="CR570" t="s">
        <v>13809</v>
      </c>
      <c r="CT570" t="s">
        <v>22229</v>
      </c>
      <c r="CU570" t="s">
        <v>22230</v>
      </c>
      <c r="CV570" t="s">
        <v>13897</v>
      </c>
      <c r="DA570" t="s">
        <v>22231</v>
      </c>
      <c r="DB570" t="s">
        <v>13897</v>
      </c>
      <c r="DG570" t="s">
        <v>22232</v>
      </c>
      <c r="DH570" t="s">
        <v>13808</v>
      </c>
      <c r="DI570" t="s">
        <v>22233</v>
      </c>
      <c r="DJ570" t="s">
        <v>22234</v>
      </c>
      <c r="DM570" t="s">
        <v>22235</v>
      </c>
      <c r="DN570" t="s">
        <v>13808</v>
      </c>
      <c r="DO570" t="s">
        <v>22236</v>
      </c>
      <c r="DY570" t="s">
        <v>13900</v>
      </c>
      <c r="DZ570" t="s">
        <v>14696</v>
      </c>
      <c r="EA570" t="s">
        <v>16115</v>
      </c>
      <c r="ED570" t="s">
        <v>14501</v>
      </c>
      <c r="EE570" t="s">
        <v>8997</v>
      </c>
    </row>
    <row r="571" spans="1:135">
      <c r="A571" t="s">
        <v>3470</v>
      </c>
      <c r="B571" t="s">
        <v>3399</v>
      </c>
      <c r="C571" t="s">
        <v>22237</v>
      </c>
      <c r="D571" s="24">
        <v>42986</v>
      </c>
      <c r="E571" s="24" t="s">
        <v>13564</v>
      </c>
      <c r="F571" s="24" t="s">
        <v>22238</v>
      </c>
      <c r="G571" s="24" t="s">
        <v>13808</v>
      </c>
      <c r="H571" s="24"/>
      <c r="I571" s="24" t="s">
        <v>13809</v>
      </c>
      <c r="J571" s="24"/>
      <c r="K571" s="24" t="s">
        <v>13808</v>
      </c>
      <c r="L571" s="24"/>
      <c r="M571" s="24" t="s">
        <v>14304</v>
      </c>
      <c r="N571" s="24" t="s">
        <v>13808</v>
      </c>
      <c r="O571" s="24"/>
      <c r="P571" s="24" t="s">
        <v>13808</v>
      </c>
      <c r="Q571" s="24"/>
      <c r="R571" s="24" t="s">
        <v>13808</v>
      </c>
      <c r="S571" s="24"/>
      <c r="T571" t="s">
        <v>13875</v>
      </c>
      <c r="U571" t="s">
        <v>13809</v>
      </c>
      <c r="W571" t="s">
        <v>13808</v>
      </c>
      <c r="X571" t="s">
        <v>22239</v>
      </c>
      <c r="Y571" t="s">
        <v>13808</v>
      </c>
      <c r="AA571" t="s">
        <v>13928</v>
      </c>
      <c r="AB571" t="s">
        <v>22240</v>
      </c>
      <c r="AC571" t="s">
        <v>13808</v>
      </c>
      <c r="AH571" t="s">
        <v>13909</v>
      </c>
      <c r="AI571" t="s">
        <v>13808</v>
      </c>
      <c r="AN571" t="s">
        <v>14674</v>
      </c>
      <c r="AO571" t="s">
        <v>13808</v>
      </c>
      <c r="AT571" t="s">
        <v>15883</v>
      </c>
      <c r="AU571" t="s">
        <v>13808</v>
      </c>
      <c r="AZ571" t="s">
        <v>22241</v>
      </c>
      <c r="BA571" t="s">
        <v>13808</v>
      </c>
      <c r="BF571" t="s">
        <v>17154</v>
      </c>
      <c r="BG571" t="s">
        <v>13808</v>
      </c>
      <c r="BL571" t="s">
        <v>22242</v>
      </c>
      <c r="BM571" t="s">
        <v>13808</v>
      </c>
      <c r="BR571" t="s">
        <v>22243</v>
      </c>
      <c r="BS571" t="s">
        <v>13887</v>
      </c>
      <c r="BT571" t="s">
        <v>13808</v>
      </c>
      <c r="BU571" t="s">
        <v>22244</v>
      </c>
      <c r="BY571" t="s">
        <v>13887</v>
      </c>
      <c r="BZ571" t="s">
        <v>13808</v>
      </c>
      <c r="CA571" t="s">
        <v>13937</v>
      </c>
      <c r="CE571" t="s">
        <v>13887</v>
      </c>
      <c r="CF571" t="s">
        <v>13808</v>
      </c>
      <c r="CK571" t="s">
        <v>13887</v>
      </c>
      <c r="CL571" t="s">
        <v>13808</v>
      </c>
      <c r="CR571" t="s">
        <v>13809</v>
      </c>
      <c r="CT571" t="s">
        <v>22245</v>
      </c>
      <c r="CU571" t="s">
        <v>15309</v>
      </c>
      <c r="CV571" t="s">
        <v>13808</v>
      </c>
      <c r="CX571" t="s">
        <v>13887</v>
      </c>
      <c r="CY571" t="s">
        <v>13818</v>
      </c>
      <c r="DA571" t="s">
        <v>15309</v>
      </c>
      <c r="DB571" t="s">
        <v>13808</v>
      </c>
      <c r="DD571" t="s">
        <v>13887</v>
      </c>
      <c r="DE571" t="s">
        <v>13818</v>
      </c>
      <c r="DG571" t="s">
        <v>13887</v>
      </c>
      <c r="DH571" t="s">
        <v>13808</v>
      </c>
      <c r="DI571" t="s">
        <v>15017</v>
      </c>
      <c r="DY571" t="s">
        <v>15296</v>
      </c>
      <c r="DZ571" t="s">
        <v>14859</v>
      </c>
      <c r="EA571" t="s">
        <v>19083</v>
      </c>
      <c r="EC571">
        <v>44230</v>
      </c>
      <c r="ED571" t="s">
        <v>13903</v>
      </c>
      <c r="EE571" t="s">
        <v>8228</v>
      </c>
    </row>
    <row r="572" spans="1:135">
      <c r="A572" t="s">
        <v>3998</v>
      </c>
      <c r="B572" t="s">
        <v>3939</v>
      </c>
      <c r="C572" t="s">
        <v>22246</v>
      </c>
      <c r="D572" s="24">
        <v>43178</v>
      </c>
      <c r="E572" s="24" t="s">
        <v>13555</v>
      </c>
      <c r="F572" s="24" t="s">
        <v>22247</v>
      </c>
      <c r="G572" s="24" t="s">
        <v>13808</v>
      </c>
      <c r="H572" s="24"/>
      <c r="I572" s="24" t="s">
        <v>13809</v>
      </c>
      <c r="J572" s="24"/>
      <c r="K572" s="24" t="s">
        <v>13809</v>
      </c>
      <c r="L572" s="24"/>
      <c r="M572" s="24" t="s">
        <v>13950</v>
      </c>
      <c r="N572" s="24" t="s">
        <v>13808</v>
      </c>
      <c r="O572" s="24"/>
      <c r="P572" s="24" t="s">
        <v>13808</v>
      </c>
      <c r="Q572" s="24"/>
      <c r="R572" s="24" t="s">
        <v>13808</v>
      </c>
      <c r="S572" s="24"/>
      <c r="T572" t="s">
        <v>15548</v>
      </c>
      <c r="U572" t="s">
        <v>13809</v>
      </c>
      <c r="W572" t="s">
        <v>13808</v>
      </c>
      <c r="X572" t="s">
        <v>22248</v>
      </c>
      <c r="Y572" t="s">
        <v>13809</v>
      </c>
      <c r="AA572" t="s">
        <v>14055</v>
      </c>
      <c r="AB572" t="s">
        <v>21681</v>
      </c>
      <c r="AC572" t="s">
        <v>13808</v>
      </c>
      <c r="AH572" t="s">
        <v>13909</v>
      </c>
      <c r="AI572" t="s">
        <v>13808</v>
      </c>
      <c r="AN572" t="s">
        <v>22249</v>
      </c>
      <c r="AO572" t="s">
        <v>13808</v>
      </c>
      <c r="AT572" t="s">
        <v>21683</v>
      </c>
      <c r="AU572" t="s">
        <v>13808</v>
      </c>
      <c r="AZ572" t="s">
        <v>21684</v>
      </c>
      <c r="BA572" t="s">
        <v>13808</v>
      </c>
      <c r="BF572" t="s">
        <v>15824</v>
      </c>
      <c r="BG572" t="s">
        <v>13808</v>
      </c>
      <c r="BL572" t="s">
        <v>20239</v>
      </c>
      <c r="BM572" t="s">
        <v>13808</v>
      </c>
      <c r="BR572" t="s">
        <v>22250</v>
      </c>
      <c r="BS572" t="s">
        <v>13885</v>
      </c>
      <c r="BT572" t="s">
        <v>13808</v>
      </c>
      <c r="BU572" t="s">
        <v>15598</v>
      </c>
      <c r="BY572" t="s">
        <v>14003</v>
      </c>
      <c r="BZ572" t="s">
        <v>13808</v>
      </c>
      <c r="CA572" t="s">
        <v>13937</v>
      </c>
      <c r="CE572" t="s">
        <v>14003</v>
      </c>
      <c r="CF572" t="s">
        <v>13808</v>
      </c>
      <c r="CL572" t="s">
        <v>13809</v>
      </c>
      <c r="CR572" t="s">
        <v>13809</v>
      </c>
      <c r="CT572" t="s">
        <v>22251</v>
      </c>
      <c r="CU572" t="s">
        <v>18402</v>
      </c>
      <c r="CV572" t="s">
        <v>13808</v>
      </c>
      <c r="CX572" t="s">
        <v>14003</v>
      </c>
      <c r="CY572" t="s">
        <v>13818</v>
      </c>
      <c r="DA572" t="s">
        <v>18402</v>
      </c>
      <c r="DB572" t="s">
        <v>13808</v>
      </c>
      <c r="DD572" t="s">
        <v>14003</v>
      </c>
      <c r="DE572" t="s">
        <v>13818</v>
      </c>
      <c r="DG572" t="s">
        <v>13909</v>
      </c>
      <c r="DH572" t="s">
        <v>13818</v>
      </c>
      <c r="DY572" t="s">
        <v>13900</v>
      </c>
      <c r="DZ572" t="s">
        <v>22252</v>
      </c>
      <c r="EA572" t="s">
        <v>19083</v>
      </c>
      <c r="EC572">
        <v>44230</v>
      </c>
      <c r="ED572" t="s">
        <v>13903</v>
      </c>
      <c r="EE572" t="s">
        <v>8845</v>
      </c>
    </row>
    <row r="573" spans="1:135">
      <c r="A573" t="s">
        <v>3276</v>
      </c>
      <c r="B573" t="s">
        <v>3161</v>
      </c>
      <c r="C573" t="s">
        <v>22253</v>
      </c>
      <c r="D573" s="24">
        <v>43735</v>
      </c>
      <c r="E573" s="24" t="s">
        <v>13553</v>
      </c>
      <c r="F573" s="24" t="s">
        <v>22254</v>
      </c>
      <c r="G573" s="24" t="s">
        <v>13808</v>
      </c>
      <c r="H573" s="24"/>
      <c r="I573" s="24" t="s">
        <v>13809</v>
      </c>
      <c r="J573" s="24"/>
      <c r="K573" s="24" t="s">
        <v>13809</v>
      </c>
      <c r="L573" s="24"/>
      <c r="M573" s="24" t="s">
        <v>14163</v>
      </c>
      <c r="N573" s="24" t="s">
        <v>13808</v>
      </c>
      <c r="O573" s="24"/>
      <c r="P573" s="24" t="s">
        <v>13808</v>
      </c>
      <c r="Q573" s="24"/>
      <c r="R573" s="24" t="s">
        <v>13808</v>
      </c>
      <c r="S573" s="24"/>
      <c r="T573" t="s">
        <v>16463</v>
      </c>
      <c r="U573" t="s">
        <v>13809</v>
      </c>
      <c r="W573" t="s">
        <v>13808</v>
      </c>
      <c r="X573" t="s">
        <v>22255</v>
      </c>
      <c r="Y573" t="s">
        <v>13809</v>
      </c>
      <c r="AA573" t="s">
        <v>13877</v>
      </c>
      <c r="AB573" t="s">
        <v>22256</v>
      </c>
      <c r="AC573" t="s">
        <v>13808</v>
      </c>
      <c r="AH573" t="s">
        <v>13909</v>
      </c>
      <c r="AI573" t="s">
        <v>13808</v>
      </c>
      <c r="AN573" t="s">
        <v>14704</v>
      </c>
      <c r="AO573" t="s">
        <v>13808</v>
      </c>
      <c r="AT573" t="s">
        <v>19390</v>
      </c>
      <c r="AU573" t="s">
        <v>13808</v>
      </c>
      <c r="AZ573" t="s">
        <v>22257</v>
      </c>
      <c r="BA573" t="s">
        <v>13808</v>
      </c>
      <c r="BF573" t="s">
        <v>14046</v>
      </c>
      <c r="BG573" t="s">
        <v>13808</v>
      </c>
      <c r="BL573" t="s">
        <v>22258</v>
      </c>
      <c r="BM573" t="s">
        <v>13808</v>
      </c>
      <c r="BR573" t="s">
        <v>22259</v>
      </c>
      <c r="BS573" t="s">
        <v>13887</v>
      </c>
      <c r="BT573" t="s">
        <v>13808</v>
      </c>
      <c r="BU573" t="s">
        <v>22260</v>
      </c>
      <c r="BY573" t="s">
        <v>13887</v>
      </c>
      <c r="BZ573" t="s">
        <v>13808</v>
      </c>
      <c r="CA573" t="s">
        <v>14026</v>
      </c>
      <c r="CE573" t="s">
        <v>13885</v>
      </c>
      <c r="CF573" t="s">
        <v>13808</v>
      </c>
      <c r="CG573" t="s">
        <v>14173</v>
      </c>
      <c r="CL573" t="s">
        <v>13809</v>
      </c>
      <c r="CR573" t="s">
        <v>13809</v>
      </c>
      <c r="CT573" t="s">
        <v>22261</v>
      </c>
      <c r="CU573" t="s">
        <v>22262</v>
      </c>
      <c r="CV573" t="s">
        <v>13808</v>
      </c>
      <c r="DA573" t="s">
        <v>22263</v>
      </c>
      <c r="DB573" t="s">
        <v>13808</v>
      </c>
      <c r="DG573" t="s">
        <v>22264</v>
      </c>
      <c r="DH573" t="s">
        <v>13808</v>
      </c>
      <c r="DI573" t="s">
        <v>22265</v>
      </c>
      <c r="DM573" t="s">
        <v>22266</v>
      </c>
      <c r="DN573" t="s">
        <v>13808</v>
      </c>
      <c r="DO573" t="s">
        <v>22267</v>
      </c>
      <c r="DP573" t="s">
        <v>22268</v>
      </c>
      <c r="DQ573" t="s">
        <v>13808</v>
      </c>
      <c r="DR573" t="s">
        <v>14947</v>
      </c>
      <c r="DY573" t="s">
        <v>13900</v>
      </c>
      <c r="DZ573" t="s">
        <v>22269</v>
      </c>
      <c r="EA573" t="s">
        <v>16115</v>
      </c>
      <c r="EC573">
        <v>43748</v>
      </c>
      <c r="ED573" t="s">
        <v>14501</v>
      </c>
      <c r="EE573" t="s">
        <v>7986</v>
      </c>
    </row>
    <row r="574" spans="1:135">
      <c r="A574" t="s">
        <v>3477</v>
      </c>
      <c r="B574" t="s">
        <v>3399</v>
      </c>
      <c r="C574" t="s">
        <v>22270</v>
      </c>
      <c r="D574" s="24">
        <v>43522</v>
      </c>
      <c r="E574" s="24" t="s">
        <v>13553</v>
      </c>
      <c r="F574" s="24" t="s">
        <v>22271</v>
      </c>
      <c r="G574" s="24" t="s">
        <v>13808</v>
      </c>
      <c r="H574" s="24"/>
      <c r="I574" s="24" t="s">
        <v>13809</v>
      </c>
      <c r="J574" s="24"/>
      <c r="K574" s="24" t="s">
        <v>13808</v>
      </c>
      <c r="L574" s="24" t="s">
        <v>22272</v>
      </c>
      <c r="M574" s="24" t="s">
        <v>15434</v>
      </c>
      <c r="N574" s="24" t="s">
        <v>13808</v>
      </c>
      <c r="O574" s="24"/>
      <c r="P574" s="24" t="s">
        <v>13808</v>
      </c>
      <c r="Q574" s="24"/>
      <c r="R574" s="24" t="s">
        <v>13808</v>
      </c>
      <c r="S574" s="24"/>
      <c r="T574" t="s">
        <v>20491</v>
      </c>
      <c r="U574" t="s">
        <v>13809</v>
      </c>
      <c r="W574" t="s">
        <v>13808</v>
      </c>
      <c r="X574" t="s">
        <v>22273</v>
      </c>
      <c r="Y574" t="s">
        <v>13809</v>
      </c>
      <c r="AA574" t="s">
        <v>13849</v>
      </c>
      <c r="AB574" t="s">
        <v>22274</v>
      </c>
      <c r="AC574" t="s">
        <v>13808</v>
      </c>
      <c r="AH574" t="s">
        <v>13851</v>
      </c>
      <c r="AI574" t="s">
        <v>13808</v>
      </c>
      <c r="AN574" t="s">
        <v>13711</v>
      </c>
      <c r="AO574" t="s">
        <v>13809</v>
      </c>
      <c r="AT574" t="s">
        <v>15983</v>
      </c>
      <c r="AU574" t="s">
        <v>13808</v>
      </c>
      <c r="AZ574" t="s">
        <v>14794</v>
      </c>
      <c r="BA574" t="s">
        <v>13808</v>
      </c>
      <c r="BF574" t="s">
        <v>17068</v>
      </c>
      <c r="BG574" t="s">
        <v>13808</v>
      </c>
      <c r="BL574" t="s">
        <v>13735</v>
      </c>
      <c r="BM574" t="s">
        <v>13809</v>
      </c>
      <c r="BR574" t="s">
        <v>22275</v>
      </c>
      <c r="BS574" t="s">
        <v>13742</v>
      </c>
      <c r="BT574" t="s">
        <v>13809</v>
      </c>
      <c r="BY574" t="s">
        <v>13860</v>
      </c>
      <c r="BZ574" t="s">
        <v>13808</v>
      </c>
      <c r="CA574" t="s">
        <v>19092</v>
      </c>
      <c r="CE574" t="s">
        <v>13754</v>
      </c>
      <c r="CF574" t="s">
        <v>13809</v>
      </c>
      <c r="CK574" t="s">
        <v>13760</v>
      </c>
      <c r="CL574" t="s">
        <v>13809</v>
      </c>
      <c r="CQ574" t="s">
        <v>13766</v>
      </c>
      <c r="CR574" t="s">
        <v>13809</v>
      </c>
      <c r="CT574" t="s">
        <v>22276</v>
      </c>
      <c r="CU574" t="s">
        <v>13941</v>
      </c>
      <c r="CV574" t="s">
        <v>13808</v>
      </c>
      <c r="DA574" t="s">
        <v>22277</v>
      </c>
      <c r="DB574" t="s">
        <v>13808</v>
      </c>
      <c r="DG574" t="s">
        <v>15490</v>
      </c>
      <c r="DH574" t="s">
        <v>13808</v>
      </c>
      <c r="DM574" t="s">
        <v>15253</v>
      </c>
      <c r="DN574" t="s">
        <v>13808</v>
      </c>
      <c r="DO574" t="s">
        <v>18865</v>
      </c>
      <c r="DZ574" t="s">
        <v>22278</v>
      </c>
      <c r="EA574" t="s">
        <v>16850</v>
      </c>
      <c r="EC574">
        <v>44627</v>
      </c>
      <c r="ED574" t="s">
        <v>13843</v>
      </c>
      <c r="EE574" t="s">
        <v>8234</v>
      </c>
    </row>
    <row r="575" spans="1:135">
      <c r="A575" t="s">
        <v>3481</v>
      </c>
      <c r="B575" t="s">
        <v>3399</v>
      </c>
      <c r="C575" t="s">
        <v>22279</v>
      </c>
      <c r="D575" s="24">
        <v>43587</v>
      </c>
      <c r="E575" s="24" t="s">
        <v>13553</v>
      </c>
      <c r="F575" s="24" t="s">
        <v>22280</v>
      </c>
      <c r="G575" s="24" t="s">
        <v>13808</v>
      </c>
      <c r="H575" s="24"/>
      <c r="I575" s="24" t="s">
        <v>13809</v>
      </c>
      <c r="J575" s="24"/>
      <c r="K575" s="24" t="s">
        <v>13809</v>
      </c>
      <c r="L575" s="24"/>
      <c r="M575" s="24" t="s">
        <v>14163</v>
      </c>
      <c r="N575" s="24" t="s">
        <v>13808</v>
      </c>
      <c r="O575" s="24"/>
      <c r="P575" s="24" t="s">
        <v>13808</v>
      </c>
      <c r="Q575" s="24"/>
      <c r="R575" s="24" t="s">
        <v>13808</v>
      </c>
      <c r="S575" s="24"/>
      <c r="T575" t="s">
        <v>14016</v>
      </c>
      <c r="U575" t="s">
        <v>13809</v>
      </c>
      <c r="W575" t="s">
        <v>13808</v>
      </c>
      <c r="X575" t="s">
        <v>22281</v>
      </c>
      <c r="Y575" t="s">
        <v>13809</v>
      </c>
      <c r="AA575" t="s">
        <v>13877</v>
      </c>
      <c r="AC575" t="s">
        <v>13809</v>
      </c>
      <c r="AH575" t="s">
        <v>13909</v>
      </c>
      <c r="AI575" t="s">
        <v>13808</v>
      </c>
      <c r="AO575" t="s">
        <v>13809</v>
      </c>
      <c r="AT575" t="s">
        <v>15834</v>
      </c>
      <c r="AU575" t="s">
        <v>13808</v>
      </c>
      <c r="AZ575" t="s">
        <v>14730</v>
      </c>
      <c r="BA575" t="s">
        <v>13808</v>
      </c>
      <c r="BF575" t="s">
        <v>14416</v>
      </c>
      <c r="BG575" t="s">
        <v>13808</v>
      </c>
      <c r="BM575" t="s">
        <v>13809</v>
      </c>
      <c r="BR575" t="s">
        <v>22282</v>
      </c>
      <c r="BT575" t="s">
        <v>13809</v>
      </c>
      <c r="BY575" t="s">
        <v>14265</v>
      </c>
      <c r="BZ575" t="s">
        <v>13808</v>
      </c>
      <c r="CA575" t="s">
        <v>13888</v>
      </c>
      <c r="CF575" t="s">
        <v>13809</v>
      </c>
      <c r="CK575" t="s">
        <v>13887</v>
      </c>
      <c r="CL575" t="s">
        <v>13808</v>
      </c>
      <c r="CM575" t="s">
        <v>22283</v>
      </c>
      <c r="CR575" t="s">
        <v>13809</v>
      </c>
      <c r="CT575" t="s">
        <v>22284</v>
      </c>
      <c r="CV575" t="s">
        <v>13809</v>
      </c>
      <c r="DB575" t="s">
        <v>13809</v>
      </c>
      <c r="DH575" t="s">
        <v>13809</v>
      </c>
      <c r="DM575" t="s">
        <v>22285</v>
      </c>
      <c r="DN575" t="s">
        <v>13808</v>
      </c>
      <c r="DP575" t="s">
        <v>18957</v>
      </c>
      <c r="DQ575" t="s">
        <v>13808</v>
      </c>
      <c r="DR575" t="s">
        <v>17454</v>
      </c>
      <c r="DY575" t="s">
        <v>15828</v>
      </c>
      <c r="DZ575" t="s">
        <v>22286</v>
      </c>
      <c r="EA575" t="s">
        <v>18832</v>
      </c>
      <c r="EC575">
        <v>44230</v>
      </c>
      <c r="ED575" t="s">
        <v>13903</v>
      </c>
      <c r="EE575" t="s">
        <v>8238</v>
      </c>
    </row>
    <row r="576" spans="1:135">
      <c r="A576" t="s">
        <v>3280</v>
      </c>
      <c r="B576" t="s">
        <v>3161</v>
      </c>
      <c r="C576" t="s">
        <v>22287</v>
      </c>
      <c r="D576" s="24">
        <v>43735</v>
      </c>
      <c r="E576" s="24" t="s">
        <v>13553</v>
      </c>
      <c r="F576" s="24" t="s">
        <v>22288</v>
      </c>
      <c r="G576" s="24" t="s">
        <v>13808</v>
      </c>
      <c r="H576" s="24"/>
      <c r="I576" s="24" t="s">
        <v>13808</v>
      </c>
      <c r="J576" s="24"/>
      <c r="K576" s="24" t="s">
        <v>13808</v>
      </c>
      <c r="L576" s="24"/>
      <c r="M576" s="24" t="s">
        <v>22289</v>
      </c>
      <c r="N576" s="24" t="s">
        <v>13808</v>
      </c>
      <c r="O576" s="24"/>
      <c r="P576" s="24" t="s">
        <v>13808</v>
      </c>
      <c r="Q576" s="24"/>
      <c r="R576" s="24" t="s">
        <v>13808</v>
      </c>
      <c r="S576" s="24"/>
      <c r="T576" t="s">
        <v>16194</v>
      </c>
      <c r="U576" t="s">
        <v>13809</v>
      </c>
      <c r="W576" t="s">
        <v>13808</v>
      </c>
      <c r="X576" t="s">
        <v>22290</v>
      </c>
      <c r="Y576" t="s">
        <v>13809</v>
      </c>
      <c r="AA576" t="s">
        <v>13877</v>
      </c>
      <c r="AB576" t="s">
        <v>14598</v>
      </c>
      <c r="AC576" t="s">
        <v>13808</v>
      </c>
      <c r="AH576" t="s">
        <v>13909</v>
      </c>
      <c r="AI576" t="s">
        <v>13808</v>
      </c>
      <c r="AO576" t="s">
        <v>13809</v>
      </c>
      <c r="AT576" t="s">
        <v>14852</v>
      </c>
      <c r="AU576" t="s">
        <v>13808</v>
      </c>
      <c r="AZ576" t="s">
        <v>22291</v>
      </c>
      <c r="BA576" t="s">
        <v>13808</v>
      </c>
      <c r="BF576" t="s">
        <v>14170</v>
      </c>
      <c r="BG576" t="s">
        <v>13808</v>
      </c>
      <c r="BM576" t="s">
        <v>13809</v>
      </c>
      <c r="BR576" t="s">
        <v>22292</v>
      </c>
      <c r="BT576" t="s">
        <v>13809</v>
      </c>
      <c r="BY576" t="s">
        <v>14265</v>
      </c>
      <c r="BZ576" t="s">
        <v>13808</v>
      </c>
      <c r="CA576" t="s">
        <v>22293</v>
      </c>
      <c r="CF576" t="s">
        <v>13809</v>
      </c>
      <c r="CK576" t="s">
        <v>13887</v>
      </c>
      <c r="CL576" t="s">
        <v>13808</v>
      </c>
      <c r="CM576" t="s">
        <v>14173</v>
      </c>
      <c r="CR576" t="s">
        <v>13809</v>
      </c>
      <c r="CT576" t="s">
        <v>22294</v>
      </c>
      <c r="CV576" t="s">
        <v>13809</v>
      </c>
      <c r="DB576" t="s">
        <v>13809</v>
      </c>
      <c r="DH576" t="s">
        <v>13809</v>
      </c>
      <c r="DM576" t="s">
        <v>22295</v>
      </c>
      <c r="DN576" t="s">
        <v>13808</v>
      </c>
      <c r="DO576" t="s">
        <v>22296</v>
      </c>
      <c r="DP576" t="s">
        <v>22297</v>
      </c>
      <c r="DQ576" t="s">
        <v>13808</v>
      </c>
      <c r="DR576" t="s">
        <v>22298</v>
      </c>
      <c r="DY576" t="s">
        <v>13900</v>
      </c>
      <c r="DZ576" t="s">
        <v>22299</v>
      </c>
      <c r="EA576" t="s">
        <v>16115</v>
      </c>
      <c r="ED576" t="s">
        <v>14501</v>
      </c>
      <c r="EE576" t="s">
        <v>7991</v>
      </c>
    </row>
    <row r="577" spans="1:135">
      <c r="A577" t="s">
        <v>3285</v>
      </c>
      <c r="B577" t="s">
        <v>3161</v>
      </c>
      <c r="C577" t="s">
        <v>22300</v>
      </c>
      <c r="D577" s="24">
        <v>43749</v>
      </c>
      <c r="E577" s="24" t="s">
        <v>13553</v>
      </c>
      <c r="F577" s="24" t="s">
        <v>22301</v>
      </c>
      <c r="G577" s="24" t="s">
        <v>13808</v>
      </c>
      <c r="H577" s="24"/>
      <c r="I577" s="24" t="s">
        <v>13809</v>
      </c>
      <c r="J577" s="24"/>
      <c r="K577" s="24" t="s">
        <v>13809</v>
      </c>
      <c r="L577" s="24"/>
      <c r="M577" s="24" t="s">
        <v>22302</v>
      </c>
      <c r="N577" s="24" t="s">
        <v>13808</v>
      </c>
      <c r="O577" s="24"/>
      <c r="P577" s="24" t="s">
        <v>13808</v>
      </c>
      <c r="Q577" s="24"/>
      <c r="R577" s="24" t="s">
        <v>13808</v>
      </c>
      <c r="S577" s="24"/>
      <c r="T577" t="s">
        <v>16463</v>
      </c>
      <c r="U577" t="s">
        <v>13809</v>
      </c>
      <c r="W577" t="s">
        <v>13808</v>
      </c>
      <c r="X577" t="s">
        <v>22303</v>
      </c>
      <c r="Y577" t="s">
        <v>13809</v>
      </c>
      <c r="AA577" t="s">
        <v>13849</v>
      </c>
      <c r="AB577" t="s">
        <v>13910</v>
      </c>
      <c r="AC577" t="s">
        <v>13808</v>
      </c>
      <c r="AH577" t="s">
        <v>13909</v>
      </c>
      <c r="AI577" t="s">
        <v>13808</v>
      </c>
      <c r="AO577" t="s">
        <v>13809</v>
      </c>
      <c r="AT577" t="s">
        <v>14812</v>
      </c>
      <c r="AU577" t="s">
        <v>13808</v>
      </c>
      <c r="AZ577" t="s">
        <v>22304</v>
      </c>
      <c r="BA577" t="s">
        <v>13808</v>
      </c>
      <c r="BF577" t="s">
        <v>20461</v>
      </c>
      <c r="BG577" t="s">
        <v>13808</v>
      </c>
      <c r="BL577" t="s">
        <v>22305</v>
      </c>
      <c r="BM577" t="s">
        <v>13808</v>
      </c>
      <c r="BR577" t="s">
        <v>22306</v>
      </c>
      <c r="BS577" t="s">
        <v>16201</v>
      </c>
      <c r="BT577" t="s">
        <v>13808</v>
      </c>
      <c r="BU577" t="s">
        <v>15774</v>
      </c>
      <c r="BY577" t="s">
        <v>16201</v>
      </c>
      <c r="BZ577" t="s">
        <v>13808</v>
      </c>
      <c r="CA577" t="s">
        <v>18268</v>
      </c>
      <c r="CE577" t="s">
        <v>13885</v>
      </c>
      <c r="CF577" t="s">
        <v>13808</v>
      </c>
      <c r="CG577" t="s">
        <v>14173</v>
      </c>
      <c r="CL577" t="s">
        <v>13809</v>
      </c>
      <c r="CR577" t="s">
        <v>13809</v>
      </c>
      <c r="CT577" t="s">
        <v>14293</v>
      </c>
      <c r="CU577" t="s">
        <v>22307</v>
      </c>
      <c r="CV577" t="s">
        <v>13808</v>
      </c>
      <c r="DA577" t="s">
        <v>22308</v>
      </c>
      <c r="DB577" t="s">
        <v>13808</v>
      </c>
      <c r="DH577" t="s">
        <v>13809</v>
      </c>
      <c r="DM577" t="s">
        <v>22309</v>
      </c>
      <c r="DN577" t="s">
        <v>13808</v>
      </c>
      <c r="DO577" t="s">
        <v>22310</v>
      </c>
      <c r="DY577" t="s">
        <v>15828</v>
      </c>
      <c r="DZ577" t="s">
        <v>22311</v>
      </c>
      <c r="EA577" t="s">
        <v>14500</v>
      </c>
      <c r="EC577">
        <v>44264</v>
      </c>
      <c r="ED577" t="s">
        <v>14501</v>
      </c>
      <c r="EE577" t="s">
        <v>13631</v>
      </c>
    </row>
    <row r="578" spans="1:135">
      <c r="A578" t="s">
        <v>4002</v>
      </c>
      <c r="B578" t="s">
        <v>3939</v>
      </c>
      <c r="C578" t="s">
        <v>22312</v>
      </c>
      <c r="D578" s="24">
        <v>44027</v>
      </c>
      <c r="E578" s="24" t="s">
        <v>13558</v>
      </c>
      <c r="F578" s="24" t="s">
        <v>22313</v>
      </c>
      <c r="G578" s="24" t="s">
        <v>13808</v>
      </c>
      <c r="H578" s="24"/>
      <c r="I578" s="24" t="s">
        <v>13809</v>
      </c>
      <c r="J578" s="24"/>
      <c r="K578" s="24" t="s">
        <v>13808</v>
      </c>
      <c r="L578" s="24"/>
      <c r="M578" s="24" t="s">
        <v>22314</v>
      </c>
      <c r="N578" s="24" t="s">
        <v>13808</v>
      </c>
      <c r="O578" s="24"/>
      <c r="P578" s="24" t="s">
        <v>13808</v>
      </c>
      <c r="Q578" s="24"/>
      <c r="R578" s="24" t="s">
        <v>13818</v>
      </c>
      <c r="S578" s="24" t="s">
        <v>22315</v>
      </c>
      <c r="T578" t="s">
        <v>13907</v>
      </c>
      <c r="U578" t="s">
        <v>13809</v>
      </c>
      <c r="W578" t="s">
        <v>13808</v>
      </c>
      <c r="X578" t="s">
        <v>22316</v>
      </c>
      <c r="Y578" t="s">
        <v>13809</v>
      </c>
      <c r="AA578" t="s">
        <v>14594</v>
      </c>
      <c r="AB578" t="s">
        <v>22317</v>
      </c>
      <c r="AC578" t="s">
        <v>13808</v>
      </c>
      <c r="AH578" t="s">
        <v>22318</v>
      </c>
      <c r="AI578" t="s">
        <v>13808</v>
      </c>
      <c r="AN578" t="s">
        <v>22319</v>
      </c>
      <c r="AO578" t="s">
        <v>13808</v>
      </c>
      <c r="AT578" t="s">
        <v>22320</v>
      </c>
      <c r="AU578" t="s">
        <v>13808</v>
      </c>
      <c r="AZ578" t="s">
        <v>22321</v>
      </c>
      <c r="BA578" t="s">
        <v>13808</v>
      </c>
      <c r="BF578" t="s">
        <v>22322</v>
      </c>
      <c r="BG578" t="s">
        <v>13808</v>
      </c>
      <c r="BL578" t="s">
        <v>13735</v>
      </c>
      <c r="BM578" t="s">
        <v>13809</v>
      </c>
      <c r="BR578" t="s">
        <v>22323</v>
      </c>
      <c r="BS578" t="s">
        <v>13824</v>
      </c>
      <c r="BT578" t="s">
        <v>13808</v>
      </c>
      <c r="BY578" t="s">
        <v>22324</v>
      </c>
      <c r="BZ578" t="s">
        <v>13808</v>
      </c>
      <c r="CA578" t="s">
        <v>22325</v>
      </c>
      <c r="CE578" t="s">
        <v>13828</v>
      </c>
      <c r="CF578" t="s">
        <v>13808</v>
      </c>
      <c r="CK578" t="s">
        <v>13760</v>
      </c>
      <c r="CL578" t="s">
        <v>13809</v>
      </c>
      <c r="CQ578" t="s">
        <v>13766</v>
      </c>
      <c r="CR578" t="s">
        <v>13809</v>
      </c>
      <c r="CT578" t="s">
        <v>13830</v>
      </c>
      <c r="CU578" t="s">
        <v>22326</v>
      </c>
      <c r="CV578" t="s">
        <v>13818</v>
      </c>
      <c r="DA578" t="s">
        <v>22327</v>
      </c>
      <c r="DB578" t="s">
        <v>13818</v>
      </c>
      <c r="DG578" t="s">
        <v>22328</v>
      </c>
      <c r="DH578" t="s">
        <v>13818</v>
      </c>
      <c r="DM578" t="s">
        <v>22329</v>
      </c>
      <c r="DN578" t="s">
        <v>13818</v>
      </c>
      <c r="DY578" t="s">
        <v>13840</v>
      </c>
      <c r="DZ578" t="s">
        <v>13841</v>
      </c>
      <c r="EA578" t="s">
        <v>13842</v>
      </c>
      <c r="EC578">
        <v>45021</v>
      </c>
      <c r="ED578" t="s">
        <v>17062</v>
      </c>
      <c r="EE578" t="s">
        <v>8854</v>
      </c>
    </row>
    <row r="579" spans="1:135">
      <c r="A579" t="s">
        <v>3737</v>
      </c>
      <c r="B579" t="s">
        <v>3619</v>
      </c>
      <c r="C579" t="s">
        <v>22330</v>
      </c>
      <c r="D579" s="24">
        <v>43748</v>
      </c>
      <c r="E579" s="24" t="s">
        <v>13555</v>
      </c>
      <c r="F579" s="24" t="s">
        <v>22331</v>
      </c>
      <c r="G579" s="24" t="s">
        <v>13808</v>
      </c>
      <c r="H579" s="24"/>
      <c r="I579" s="24" t="s">
        <v>13809</v>
      </c>
      <c r="J579" s="24"/>
      <c r="K579" s="24" t="s">
        <v>13809</v>
      </c>
      <c r="L579" s="24"/>
      <c r="M579" s="24" t="s">
        <v>14163</v>
      </c>
      <c r="N579" s="24" t="s">
        <v>13818</v>
      </c>
      <c r="O579" s="24"/>
      <c r="P579" s="24" t="s">
        <v>13808</v>
      </c>
      <c r="Q579" s="24"/>
      <c r="R579" s="24" t="s">
        <v>13808</v>
      </c>
      <c r="S579" s="24"/>
      <c r="T579" t="s">
        <v>14016</v>
      </c>
      <c r="U579" t="s">
        <v>13809</v>
      </c>
      <c r="W579" t="s">
        <v>13808</v>
      </c>
      <c r="X579" t="s">
        <v>22332</v>
      </c>
      <c r="Y579" t="s">
        <v>13809</v>
      </c>
      <c r="AA579" t="s">
        <v>13877</v>
      </c>
      <c r="AB579" t="s">
        <v>14812</v>
      </c>
      <c r="AC579" t="s">
        <v>13808</v>
      </c>
      <c r="AH579" t="s">
        <v>13909</v>
      </c>
      <c r="AI579" t="s">
        <v>13808</v>
      </c>
      <c r="AN579" t="s">
        <v>14006</v>
      </c>
      <c r="AO579" t="s">
        <v>13808</v>
      </c>
      <c r="AT579" t="s">
        <v>14366</v>
      </c>
      <c r="AU579" t="s">
        <v>13808</v>
      </c>
      <c r="AZ579" t="s">
        <v>22333</v>
      </c>
      <c r="BA579" t="s">
        <v>13808</v>
      </c>
      <c r="BF579" t="s">
        <v>13892</v>
      </c>
      <c r="BG579" t="s">
        <v>13808</v>
      </c>
      <c r="BL579" t="s">
        <v>14058</v>
      </c>
      <c r="BM579" t="s">
        <v>13808</v>
      </c>
      <c r="BR579" t="s">
        <v>21003</v>
      </c>
      <c r="BS579" t="s">
        <v>13887</v>
      </c>
      <c r="BT579" t="s">
        <v>13808</v>
      </c>
      <c r="BU579" t="s">
        <v>15827</v>
      </c>
      <c r="BY579" t="s">
        <v>13887</v>
      </c>
      <c r="BZ579" t="s">
        <v>13808</v>
      </c>
      <c r="CA579" t="s">
        <v>13937</v>
      </c>
      <c r="CE579" t="s">
        <v>13885</v>
      </c>
      <c r="CF579" t="s">
        <v>13808</v>
      </c>
      <c r="CL579" t="s">
        <v>13809</v>
      </c>
      <c r="CR579" t="s">
        <v>13809</v>
      </c>
      <c r="CT579" t="s">
        <v>22334</v>
      </c>
      <c r="CU579" t="s">
        <v>13909</v>
      </c>
      <c r="CV579" t="s">
        <v>13808</v>
      </c>
      <c r="DA579" t="s">
        <v>13909</v>
      </c>
      <c r="DB579" t="s">
        <v>13808</v>
      </c>
      <c r="DH579" t="s">
        <v>13809</v>
      </c>
      <c r="DM579" t="s">
        <v>13909</v>
      </c>
      <c r="DN579" t="s">
        <v>13808</v>
      </c>
      <c r="DP579" t="s">
        <v>22335</v>
      </c>
      <c r="DQ579" t="s">
        <v>13808</v>
      </c>
      <c r="DR579" t="s">
        <v>14947</v>
      </c>
      <c r="DY579" t="s">
        <v>13900</v>
      </c>
      <c r="DZ579" t="s">
        <v>22336</v>
      </c>
      <c r="EA579" t="s">
        <v>13922</v>
      </c>
      <c r="EC579">
        <v>43789</v>
      </c>
      <c r="ED579" t="s">
        <v>13903</v>
      </c>
      <c r="EE579" t="s">
        <v>8532</v>
      </c>
    </row>
    <row r="580" spans="1:135">
      <c r="A580" t="s">
        <v>3741</v>
      </c>
      <c r="B580" t="s">
        <v>3619</v>
      </c>
      <c r="C580" t="s">
        <v>22337</v>
      </c>
      <c r="D580" s="24">
        <v>43763</v>
      </c>
      <c r="E580" s="24" t="s">
        <v>13553</v>
      </c>
      <c r="F580" s="24" t="s">
        <v>22338</v>
      </c>
      <c r="G580" s="24" t="s">
        <v>13808</v>
      </c>
      <c r="H580" s="24"/>
      <c r="I580" s="24" t="s">
        <v>13809</v>
      </c>
      <c r="J580" s="24"/>
      <c r="K580" s="24" t="s">
        <v>13809</v>
      </c>
      <c r="L580" s="24"/>
      <c r="M580" s="24" t="s">
        <v>14410</v>
      </c>
      <c r="N580" s="24" t="s">
        <v>13808</v>
      </c>
      <c r="O580" s="24"/>
      <c r="P580" s="24" t="s">
        <v>13808</v>
      </c>
      <c r="Q580" s="24"/>
      <c r="R580" s="24" t="s">
        <v>13808</v>
      </c>
      <c r="S580" s="24"/>
      <c r="T580" t="s">
        <v>16194</v>
      </c>
      <c r="U580" t="s">
        <v>13809</v>
      </c>
      <c r="W580" t="s">
        <v>13808</v>
      </c>
      <c r="X580" t="s">
        <v>22339</v>
      </c>
      <c r="Y580" t="s">
        <v>13809</v>
      </c>
      <c r="AA580" t="s">
        <v>13877</v>
      </c>
      <c r="AB580" t="s">
        <v>22340</v>
      </c>
      <c r="AC580" t="s">
        <v>13808</v>
      </c>
      <c r="AH580" t="s">
        <v>13909</v>
      </c>
      <c r="AI580" t="s">
        <v>13808</v>
      </c>
      <c r="AN580" t="s">
        <v>15076</v>
      </c>
      <c r="AO580" t="s">
        <v>13808</v>
      </c>
      <c r="AT580" t="s">
        <v>14732</v>
      </c>
      <c r="AU580" t="s">
        <v>13808</v>
      </c>
      <c r="AZ580" t="s">
        <v>22341</v>
      </c>
      <c r="BA580" t="s">
        <v>13808</v>
      </c>
      <c r="BF580" t="s">
        <v>22342</v>
      </c>
      <c r="BG580" t="s">
        <v>13808</v>
      </c>
      <c r="BL580" t="s">
        <v>17776</v>
      </c>
      <c r="BM580" t="s">
        <v>13808</v>
      </c>
      <c r="BR580" t="s">
        <v>22343</v>
      </c>
      <c r="BS580" t="s">
        <v>13887</v>
      </c>
      <c r="BT580" t="s">
        <v>13808</v>
      </c>
      <c r="BU580" t="s">
        <v>14492</v>
      </c>
      <c r="BY580" t="s">
        <v>13887</v>
      </c>
      <c r="BZ580" t="s">
        <v>13808</v>
      </c>
      <c r="CA580" t="s">
        <v>13888</v>
      </c>
      <c r="CE580" t="s">
        <v>13885</v>
      </c>
      <c r="CF580" t="s">
        <v>13808</v>
      </c>
      <c r="CL580" t="s">
        <v>13809</v>
      </c>
      <c r="CR580" t="s">
        <v>13809</v>
      </c>
      <c r="CT580" t="s">
        <v>22344</v>
      </c>
      <c r="CU580" t="s">
        <v>22345</v>
      </c>
      <c r="CV580" t="s">
        <v>13808</v>
      </c>
      <c r="DA580" t="s">
        <v>22346</v>
      </c>
      <c r="DB580" t="s">
        <v>13808</v>
      </c>
      <c r="DG580" t="s">
        <v>22347</v>
      </c>
      <c r="DH580" t="s">
        <v>13808</v>
      </c>
      <c r="DM580" t="s">
        <v>22348</v>
      </c>
      <c r="DN580" t="s">
        <v>13808</v>
      </c>
      <c r="DO580" t="s">
        <v>22349</v>
      </c>
      <c r="DP580" t="s">
        <v>22350</v>
      </c>
      <c r="DQ580" t="s">
        <v>13808</v>
      </c>
      <c r="DR580" t="s">
        <v>14947</v>
      </c>
      <c r="DY580" t="s">
        <v>13900</v>
      </c>
      <c r="DZ580" t="s">
        <v>22351</v>
      </c>
      <c r="EA580" t="s">
        <v>16115</v>
      </c>
      <c r="EC580">
        <v>43776</v>
      </c>
      <c r="ED580" t="s">
        <v>14501</v>
      </c>
      <c r="EE580" t="s">
        <v>8534</v>
      </c>
    </row>
    <row r="581" spans="1:135">
      <c r="A581" t="s">
        <v>3290</v>
      </c>
      <c r="B581" t="s">
        <v>3161</v>
      </c>
      <c r="C581" t="s">
        <v>22352</v>
      </c>
      <c r="D581" s="24">
        <v>43690</v>
      </c>
      <c r="E581" s="24" t="s">
        <v>13553</v>
      </c>
      <c r="F581" s="24" t="s">
        <v>22353</v>
      </c>
      <c r="G581" s="24" t="s">
        <v>13808</v>
      </c>
      <c r="H581" s="24"/>
      <c r="I581" s="24" t="s">
        <v>13809</v>
      </c>
      <c r="J581" s="24"/>
      <c r="K581" s="24" t="s">
        <v>13809</v>
      </c>
      <c r="L581" s="24"/>
      <c r="M581" s="24" t="s">
        <v>14163</v>
      </c>
      <c r="N581" s="24" t="s">
        <v>13808</v>
      </c>
      <c r="O581" s="24"/>
      <c r="P581" s="24" t="s">
        <v>13808</v>
      </c>
      <c r="Q581" s="24"/>
      <c r="R581" s="24" t="s">
        <v>13808</v>
      </c>
      <c r="S581" s="24"/>
      <c r="T581" t="s">
        <v>14016</v>
      </c>
      <c r="U581" t="s">
        <v>13809</v>
      </c>
      <c r="W581" t="s">
        <v>13808</v>
      </c>
      <c r="X581" t="s">
        <v>22354</v>
      </c>
      <c r="Y581" t="s">
        <v>13809</v>
      </c>
      <c r="AA581" t="s">
        <v>13877</v>
      </c>
      <c r="AB581" t="s">
        <v>14058</v>
      </c>
      <c r="AC581" t="s">
        <v>13808</v>
      </c>
      <c r="AH581" t="s">
        <v>13909</v>
      </c>
      <c r="AI581" t="s">
        <v>13808</v>
      </c>
      <c r="AO581" t="s">
        <v>13809</v>
      </c>
      <c r="AT581" t="s">
        <v>15626</v>
      </c>
      <c r="AU581" t="s">
        <v>13808</v>
      </c>
      <c r="AZ581" t="s">
        <v>22355</v>
      </c>
      <c r="BA581" t="s">
        <v>13808</v>
      </c>
      <c r="BF581" t="s">
        <v>13894</v>
      </c>
      <c r="BG581" t="s">
        <v>13808</v>
      </c>
      <c r="BL581" t="s">
        <v>22356</v>
      </c>
      <c r="BM581" t="s">
        <v>13808</v>
      </c>
      <c r="BR581" t="s">
        <v>22357</v>
      </c>
      <c r="BS581" t="s">
        <v>13887</v>
      </c>
      <c r="BT581" t="s">
        <v>13808</v>
      </c>
      <c r="BU581" t="s">
        <v>14172</v>
      </c>
      <c r="BY581" t="s">
        <v>13887</v>
      </c>
      <c r="BZ581" t="s">
        <v>13808</v>
      </c>
      <c r="CA581" t="s">
        <v>13888</v>
      </c>
      <c r="CE581" t="s">
        <v>13885</v>
      </c>
      <c r="CF581" t="s">
        <v>13808</v>
      </c>
      <c r="CL581" t="s">
        <v>13809</v>
      </c>
      <c r="CR581" t="s">
        <v>13809</v>
      </c>
      <c r="CT581" t="s">
        <v>22358</v>
      </c>
      <c r="CU581" t="s">
        <v>22359</v>
      </c>
      <c r="CV581" t="s">
        <v>13808</v>
      </c>
      <c r="DA581" t="s">
        <v>22360</v>
      </c>
      <c r="DB581" t="s">
        <v>13808</v>
      </c>
      <c r="DG581" t="s">
        <v>22361</v>
      </c>
      <c r="DH581" t="s">
        <v>13808</v>
      </c>
      <c r="DM581" t="s">
        <v>22362</v>
      </c>
      <c r="DN581" t="s">
        <v>13808</v>
      </c>
      <c r="DY581" t="s">
        <v>22363</v>
      </c>
      <c r="DZ581" t="s">
        <v>22364</v>
      </c>
      <c r="EA581" t="s">
        <v>16557</v>
      </c>
      <c r="ED581" t="s">
        <v>13903</v>
      </c>
      <c r="EE581" t="s">
        <v>7999</v>
      </c>
    </row>
    <row r="582" spans="1:135">
      <c r="A582" t="s">
        <v>3745</v>
      </c>
      <c r="B582" t="s">
        <v>3619</v>
      </c>
      <c r="C582" t="s">
        <v>22365</v>
      </c>
      <c r="D582" s="24">
        <v>43763</v>
      </c>
      <c r="E582" s="24" t="s">
        <v>13553</v>
      </c>
      <c r="F582" s="24" t="s">
        <v>22366</v>
      </c>
      <c r="G582" s="24" t="s">
        <v>13808</v>
      </c>
      <c r="H582" s="24"/>
      <c r="I582" s="24" t="s">
        <v>13809</v>
      </c>
      <c r="J582" s="24"/>
      <c r="K582" s="24" t="s">
        <v>13809</v>
      </c>
      <c r="L582" s="24"/>
      <c r="M582" s="24" t="s">
        <v>14163</v>
      </c>
      <c r="N582" s="24" t="s">
        <v>13808</v>
      </c>
      <c r="O582" s="24"/>
      <c r="P582" s="24" t="s">
        <v>13808</v>
      </c>
      <c r="Q582" s="24"/>
      <c r="R582" s="24" t="s">
        <v>13808</v>
      </c>
      <c r="S582" s="24"/>
      <c r="T582" t="s">
        <v>14016</v>
      </c>
      <c r="U582" t="s">
        <v>13809</v>
      </c>
      <c r="W582" t="s">
        <v>13808</v>
      </c>
      <c r="X582" t="s">
        <v>22367</v>
      </c>
      <c r="Y582" t="s">
        <v>13809</v>
      </c>
      <c r="AA582" t="s">
        <v>13877</v>
      </c>
      <c r="AC582" t="s">
        <v>13809</v>
      </c>
      <c r="AH582" t="s">
        <v>13909</v>
      </c>
      <c r="AI582" t="s">
        <v>13808</v>
      </c>
      <c r="AN582" t="s">
        <v>14170</v>
      </c>
      <c r="AO582" t="s">
        <v>13808</v>
      </c>
      <c r="AT582" t="s">
        <v>14852</v>
      </c>
      <c r="AU582" t="s">
        <v>13808</v>
      </c>
      <c r="AZ582" t="s">
        <v>15025</v>
      </c>
      <c r="BA582" t="s">
        <v>13808</v>
      </c>
      <c r="BF582" t="s">
        <v>14059</v>
      </c>
      <c r="BG582" t="s">
        <v>13808</v>
      </c>
      <c r="BM582" t="s">
        <v>13809</v>
      </c>
      <c r="BR582" t="s">
        <v>22368</v>
      </c>
      <c r="BT582" t="s">
        <v>13809</v>
      </c>
      <c r="BY582" t="s">
        <v>16201</v>
      </c>
      <c r="BZ582" t="s">
        <v>13808</v>
      </c>
      <c r="CA582" t="s">
        <v>13888</v>
      </c>
      <c r="CF582" t="s">
        <v>13809</v>
      </c>
      <c r="CK582" t="s">
        <v>13887</v>
      </c>
      <c r="CL582" t="s">
        <v>13808</v>
      </c>
      <c r="CM582" t="s">
        <v>22369</v>
      </c>
      <c r="CR582" t="s">
        <v>13809</v>
      </c>
      <c r="CT582" t="s">
        <v>22370</v>
      </c>
      <c r="CV582" t="s">
        <v>13809</v>
      </c>
      <c r="DB582" t="s">
        <v>13809</v>
      </c>
      <c r="DH582" t="s">
        <v>13809</v>
      </c>
      <c r="DM582" t="s">
        <v>22371</v>
      </c>
      <c r="DN582" t="s">
        <v>13808</v>
      </c>
      <c r="DO582" t="s">
        <v>22372</v>
      </c>
      <c r="DP582" t="s">
        <v>22373</v>
      </c>
      <c r="DQ582" t="s">
        <v>13808</v>
      </c>
      <c r="DR582" t="s">
        <v>14947</v>
      </c>
      <c r="DY582" t="s">
        <v>13900</v>
      </c>
      <c r="DZ582" t="s">
        <v>22299</v>
      </c>
      <c r="EA582" t="s">
        <v>16115</v>
      </c>
      <c r="EC582">
        <v>43776</v>
      </c>
      <c r="ED582" t="s">
        <v>14501</v>
      </c>
      <c r="EE582" t="s">
        <v>8540</v>
      </c>
    </row>
    <row r="583" spans="1:135">
      <c r="A583" t="s">
        <v>4006</v>
      </c>
      <c r="B583" t="s">
        <v>3939</v>
      </c>
      <c r="C583" t="s">
        <v>22374</v>
      </c>
      <c r="D583" s="24">
        <v>43775</v>
      </c>
      <c r="E583" s="24" t="s">
        <v>13553</v>
      </c>
      <c r="F583" s="24" t="s">
        <v>22375</v>
      </c>
      <c r="G583" s="24" t="s">
        <v>13808</v>
      </c>
      <c r="H583" s="24"/>
      <c r="I583" s="24" t="s">
        <v>13809</v>
      </c>
      <c r="J583" s="24"/>
      <c r="K583" s="24" t="s">
        <v>13809</v>
      </c>
      <c r="L583" s="24"/>
      <c r="M583" s="24" t="s">
        <v>14163</v>
      </c>
      <c r="N583" s="24" t="s">
        <v>13808</v>
      </c>
      <c r="O583" s="24"/>
      <c r="P583" s="24" t="s">
        <v>13808</v>
      </c>
      <c r="Q583" s="24"/>
      <c r="R583" s="24" t="s">
        <v>13808</v>
      </c>
      <c r="S583" s="24"/>
      <c r="T583" t="s">
        <v>14429</v>
      </c>
      <c r="U583" t="s">
        <v>13809</v>
      </c>
      <c r="W583" t="s">
        <v>13808</v>
      </c>
      <c r="X583" t="s">
        <v>22376</v>
      </c>
      <c r="Y583" t="s">
        <v>13808</v>
      </c>
      <c r="AA583" t="s">
        <v>13877</v>
      </c>
      <c r="AB583" t="s">
        <v>15008</v>
      </c>
      <c r="AC583" t="s">
        <v>13808</v>
      </c>
      <c r="AH583" t="s">
        <v>13909</v>
      </c>
      <c r="AI583" t="s">
        <v>13808</v>
      </c>
      <c r="AN583" t="s">
        <v>22377</v>
      </c>
      <c r="AO583" t="s">
        <v>13808</v>
      </c>
      <c r="AT583" t="s">
        <v>14366</v>
      </c>
      <c r="AU583" t="s">
        <v>13808</v>
      </c>
      <c r="AZ583" t="s">
        <v>22378</v>
      </c>
      <c r="BA583" t="s">
        <v>13808</v>
      </c>
      <c r="BF583" t="s">
        <v>22379</v>
      </c>
      <c r="BG583" t="s">
        <v>13808</v>
      </c>
      <c r="BL583" t="s">
        <v>13878</v>
      </c>
      <c r="BM583" t="s">
        <v>13808</v>
      </c>
      <c r="BR583" t="s">
        <v>22380</v>
      </c>
      <c r="BS583" t="s">
        <v>13887</v>
      </c>
      <c r="BT583" t="s">
        <v>13808</v>
      </c>
      <c r="BU583" t="s">
        <v>15613</v>
      </c>
      <c r="BY583" t="s">
        <v>14265</v>
      </c>
      <c r="BZ583" t="s">
        <v>13808</v>
      </c>
      <c r="CA583" t="s">
        <v>14026</v>
      </c>
      <c r="CE583" t="s">
        <v>13887</v>
      </c>
      <c r="CF583" t="s">
        <v>13808</v>
      </c>
      <c r="CG583" t="s">
        <v>14173</v>
      </c>
      <c r="CL583" t="s">
        <v>13809</v>
      </c>
      <c r="CR583" t="s">
        <v>13809</v>
      </c>
      <c r="CT583" t="s">
        <v>22381</v>
      </c>
      <c r="CU583" t="s">
        <v>22382</v>
      </c>
      <c r="CV583" t="s">
        <v>13808</v>
      </c>
      <c r="DA583" t="s">
        <v>22383</v>
      </c>
      <c r="DB583" t="s">
        <v>13808</v>
      </c>
      <c r="DH583" t="s">
        <v>13809</v>
      </c>
      <c r="DM583" t="s">
        <v>22384</v>
      </c>
      <c r="DN583" t="s">
        <v>13808</v>
      </c>
      <c r="DP583" t="s">
        <v>22385</v>
      </c>
      <c r="DQ583" t="s">
        <v>13808</v>
      </c>
      <c r="DY583" t="s">
        <v>13900</v>
      </c>
      <c r="DZ583" t="s">
        <v>22386</v>
      </c>
      <c r="EA583" t="s">
        <v>14500</v>
      </c>
      <c r="EC583">
        <v>43788</v>
      </c>
      <c r="ED583" t="s">
        <v>13903</v>
      </c>
      <c r="EE583" t="s">
        <v>8856</v>
      </c>
    </row>
    <row r="584" spans="1:135">
      <c r="A584" t="s">
        <v>3575</v>
      </c>
      <c r="B584" t="s">
        <v>3506</v>
      </c>
      <c r="C584" t="s">
        <v>22387</v>
      </c>
      <c r="D584" s="24">
        <v>43742</v>
      </c>
      <c r="E584" s="24" t="s">
        <v>13553</v>
      </c>
      <c r="F584" s="24" t="s">
        <v>22388</v>
      </c>
      <c r="G584" s="24" t="s">
        <v>13808</v>
      </c>
      <c r="H584" s="24"/>
      <c r="I584" s="24" t="s">
        <v>13809</v>
      </c>
      <c r="J584" s="24"/>
      <c r="K584" s="24" t="s">
        <v>13809</v>
      </c>
      <c r="L584" s="24"/>
      <c r="M584" s="24" t="s">
        <v>13846</v>
      </c>
      <c r="N584" s="24" t="s">
        <v>13808</v>
      </c>
      <c r="O584" s="24"/>
      <c r="P584" s="24" t="s">
        <v>13808</v>
      </c>
      <c r="Q584" s="24"/>
      <c r="R584" s="24" t="s">
        <v>13808</v>
      </c>
      <c r="S584" s="24"/>
      <c r="T584" t="s">
        <v>22016</v>
      </c>
      <c r="U584" t="s">
        <v>13808</v>
      </c>
      <c r="W584" t="s">
        <v>13808</v>
      </c>
      <c r="X584" t="s">
        <v>22389</v>
      </c>
      <c r="Y584" t="s">
        <v>13808</v>
      </c>
      <c r="AA584" t="s">
        <v>13877</v>
      </c>
      <c r="AB584" t="s">
        <v>14166</v>
      </c>
      <c r="AC584" t="s">
        <v>13808</v>
      </c>
      <c r="AH584" t="s">
        <v>13909</v>
      </c>
      <c r="AI584" t="s">
        <v>13808</v>
      </c>
      <c r="AO584" t="s">
        <v>13809</v>
      </c>
      <c r="AT584" t="s">
        <v>14433</v>
      </c>
      <c r="AU584" t="s">
        <v>13808</v>
      </c>
      <c r="AZ584" t="s">
        <v>22390</v>
      </c>
      <c r="BA584" t="s">
        <v>13808</v>
      </c>
      <c r="BF584" t="s">
        <v>14423</v>
      </c>
      <c r="BG584" t="s">
        <v>13808</v>
      </c>
      <c r="BL584" t="s">
        <v>22391</v>
      </c>
      <c r="BM584" t="s">
        <v>13808</v>
      </c>
      <c r="BR584" t="s">
        <v>22392</v>
      </c>
      <c r="BS584" t="s">
        <v>13887</v>
      </c>
      <c r="BT584" t="s">
        <v>13808</v>
      </c>
      <c r="BU584" t="s">
        <v>22393</v>
      </c>
      <c r="BY584" t="s">
        <v>13887</v>
      </c>
      <c r="BZ584" t="s">
        <v>13808</v>
      </c>
      <c r="CA584" t="s">
        <v>14026</v>
      </c>
      <c r="CE584" t="s">
        <v>13887</v>
      </c>
      <c r="CF584" t="s">
        <v>13808</v>
      </c>
      <c r="CL584" t="s">
        <v>13809</v>
      </c>
      <c r="CR584" t="s">
        <v>13809</v>
      </c>
      <c r="CT584" t="s">
        <v>22394</v>
      </c>
      <c r="CU584" t="s">
        <v>22395</v>
      </c>
      <c r="CV584" t="s">
        <v>13808</v>
      </c>
      <c r="DA584" t="s">
        <v>22396</v>
      </c>
      <c r="DB584" t="s">
        <v>13808</v>
      </c>
      <c r="DH584" t="s">
        <v>13809</v>
      </c>
      <c r="DM584" t="s">
        <v>22397</v>
      </c>
      <c r="DN584" t="s">
        <v>13808</v>
      </c>
      <c r="DP584" t="s">
        <v>22398</v>
      </c>
      <c r="DQ584" t="s">
        <v>13808</v>
      </c>
      <c r="DY584" t="s">
        <v>15828</v>
      </c>
      <c r="DZ584" t="s">
        <v>22399</v>
      </c>
      <c r="EA584" t="s">
        <v>14500</v>
      </c>
      <c r="EC584">
        <v>43753</v>
      </c>
      <c r="ED584" t="s">
        <v>13903</v>
      </c>
      <c r="EE584" t="s">
        <v>8362</v>
      </c>
    </row>
    <row r="585" spans="1:135">
      <c r="A585" t="s">
        <v>4011</v>
      </c>
      <c r="B585" t="s">
        <v>3939</v>
      </c>
      <c r="C585" t="s">
        <v>22400</v>
      </c>
      <c r="D585" s="24">
        <v>43657</v>
      </c>
      <c r="E585" s="24" t="s">
        <v>13553</v>
      </c>
      <c r="F585" s="24" t="s">
        <v>22401</v>
      </c>
      <c r="G585" s="24" t="s">
        <v>13808</v>
      </c>
      <c r="H585" s="24"/>
      <c r="I585" s="24" t="s">
        <v>13809</v>
      </c>
      <c r="J585" s="24"/>
      <c r="K585" s="24" t="s">
        <v>13809</v>
      </c>
      <c r="L585" s="24"/>
      <c r="M585" s="24" t="s">
        <v>14163</v>
      </c>
      <c r="N585" s="24" t="s">
        <v>13808</v>
      </c>
      <c r="O585" s="24"/>
      <c r="P585" s="24" t="s">
        <v>13808</v>
      </c>
      <c r="Q585" s="24"/>
      <c r="R585" s="24" t="s">
        <v>13808</v>
      </c>
      <c r="S585" s="24"/>
      <c r="T585" t="s">
        <v>18457</v>
      </c>
      <c r="U585" t="s">
        <v>13809</v>
      </c>
      <c r="W585" t="s">
        <v>13808</v>
      </c>
      <c r="X585" t="s">
        <v>22402</v>
      </c>
      <c r="Y585" t="s">
        <v>13809</v>
      </c>
      <c r="AA585" t="s">
        <v>13877</v>
      </c>
      <c r="AB585" t="s">
        <v>14366</v>
      </c>
      <c r="AC585" t="s">
        <v>13808</v>
      </c>
      <c r="AH585" t="s">
        <v>13909</v>
      </c>
      <c r="AI585" t="s">
        <v>13808</v>
      </c>
      <c r="AO585" t="s">
        <v>13809</v>
      </c>
      <c r="AT585" t="s">
        <v>14704</v>
      </c>
      <c r="AU585" t="s">
        <v>13808</v>
      </c>
      <c r="AZ585" t="s">
        <v>22403</v>
      </c>
      <c r="BA585" t="s">
        <v>13808</v>
      </c>
      <c r="BF585" t="s">
        <v>14046</v>
      </c>
      <c r="BG585" t="s">
        <v>13808</v>
      </c>
      <c r="BL585" t="s">
        <v>16326</v>
      </c>
      <c r="BM585" t="s">
        <v>13808</v>
      </c>
      <c r="BR585" t="s">
        <v>22404</v>
      </c>
      <c r="BS585" t="s">
        <v>13885</v>
      </c>
      <c r="BT585" t="s">
        <v>13808</v>
      </c>
      <c r="BU585" t="s">
        <v>14492</v>
      </c>
      <c r="BY585" t="s">
        <v>13887</v>
      </c>
      <c r="BZ585" t="s">
        <v>13808</v>
      </c>
      <c r="CA585" t="s">
        <v>14026</v>
      </c>
      <c r="CE585" t="s">
        <v>14693</v>
      </c>
      <c r="CF585" t="s">
        <v>13808</v>
      </c>
      <c r="CG585" t="s">
        <v>14173</v>
      </c>
      <c r="CL585" t="s">
        <v>13809</v>
      </c>
      <c r="CR585" t="s">
        <v>13809</v>
      </c>
      <c r="CT585" t="s">
        <v>22405</v>
      </c>
      <c r="CU585" t="s">
        <v>14673</v>
      </c>
      <c r="CV585" t="s">
        <v>13897</v>
      </c>
      <c r="DA585" t="s">
        <v>22406</v>
      </c>
      <c r="DB585" t="s">
        <v>13897</v>
      </c>
      <c r="DH585" t="s">
        <v>13809</v>
      </c>
      <c r="DM585" t="s">
        <v>22407</v>
      </c>
      <c r="DN585" t="s">
        <v>13808</v>
      </c>
      <c r="DO585" t="s">
        <v>22408</v>
      </c>
      <c r="DP585" t="s">
        <v>22409</v>
      </c>
      <c r="DQ585" t="s">
        <v>13808</v>
      </c>
      <c r="DR585" t="s">
        <v>14947</v>
      </c>
      <c r="DY585" t="s">
        <v>15828</v>
      </c>
      <c r="DZ585" t="s">
        <v>22410</v>
      </c>
      <c r="EA585" t="s">
        <v>16557</v>
      </c>
      <c r="ED585" t="s">
        <v>13903</v>
      </c>
      <c r="EE585" t="s">
        <v>8859</v>
      </c>
    </row>
    <row r="586" spans="1:135">
      <c r="A586" t="s">
        <v>4015</v>
      </c>
      <c r="B586" t="s">
        <v>3939</v>
      </c>
      <c r="C586" t="s">
        <v>22411</v>
      </c>
      <c r="D586" s="24">
        <v>43657</v>
      </c>
      <c r="E586" s="24" t="s">
        <v>13553</v>
      </c>
      <c r="F586" s="24" t="s">
        <v>22412</v>
      </c>
      <c r="G586" s="24" t="s">
        <v>13808</v>
      </c>
      <c r="H586" s="24" t="s">
        <v>22413</v>
      </c>
      <c r="I586" s="24" t="s">
        <v>13809</v>
      </c>
      <c r="J586" s="24"/>
      <c r="K586" s="24" t="s">
        <v>13809</v>
      </c>
      <c r="L586" s="24"/>
      <c r="M586" s="24" t="s">
        <v>14163</v>
      </c>
      <c r="N586" s="24" t="s">
        <v>13808</v>
      </c>
      <c r="O586" s="24"/>
      <c r="P586" s="24" t="s">
        <v>13808</v>
      </c>
      <c r="Q586" s="24"/>
      <c r="R586" s="24" t="s">
        <v>13808</v>
      </c>
      <c r="S586" s="24"/>
      <c r="T586" t="s">
        <v>14429</v>
      </c>
      <c r="U586" t="s">
        <v>13808</v>
      </c>
      <c r="W586" t="s">
        <v>13808</v>
      </c>
      <c r="X586" t="s">
        <v>14429</v>
      </c>
      <c r="Y586" t="s">
        <v>13809</v>
      </c>
      <c r="AA586" t="s">
        <v>13877</v>
      </c>
      <c r="AB586" t="s">
        <v>18350</v>
      </c>
      <c r="AC586" t="s">
        <v>13808</v>
      </c>
      <c r="AH586" t="s">
        <v>13909</v>
      </c>
      <c r="AI586" t="s">
        <v>13808</v>
      </c>
      <c r="AN586" t="s">
        <v>14705</v>
      </c>
      <c r="AO586" t="s">
        <v>13808</v>
      </c>
      <c r="AT586" t="s">
        <v>14367</v>
      </c>
      <c r="AU586" t="s">
        <v>13808</v>
      </c>
      <c r="AZ586" t="s">
        <v>22414</v>
      </c>
      <c r="BA586" t="s">
        <v>13808</v>
      </c>
      <c r="BF586" t="s">
        <v>14059</v>
      </c>
      <c r="BG586" t="s">
        <v>13808</v>
      </c>
      <c r="BH586" t="s">
        <v>22415</v>
      </c>
      <c r="BL586" t="s">
        <v>14704</v>
      </c>
      <c r="BM586" t="s">
        <v>13808</v>
      </c>
      <c r="BR586" t="s">
        <v>22416</v>
      </c>
      <c r="BS586" t="s">
        <v>14265</v>
      </c>
      <c r="BT586" t="s">
        <v>13808</v>
      </c>
      <c r="BU586" t="s">
        <v>14128</v>
      </c>
      <c r="BY586" t="s">
        <v>13887</v>
      </c>
      <c r="BZ586" t="s">
        <v>13808</v>
      </c>
      <c r="CA586" t="s">
        <v>14026</v>
      </c>
      <c r="CE586" t="s">
        <v>13885</v>
      </c>
      <c r="CF586" t="s">
        <v>13808</v>
      </c>
      <c r="CG586" t="s">
        <v>14173</v>
      </c>
      <c r="CL586" t="s">
        <v>13809</v>
      </c>
      <c r="CR586" t="s">
        <v>13809</v>
      </c>
      <c r="CT586" t="s">
        <v>22417</v>
      </c>
      <c r="CU586" t="s">
        <v>22418</v>
      </c>
      <c r="CV586" t="s">
        <v>13897</v>
      </c>
      <c r="DA586" t="s">
        <v>22419</v>
      </c>
      <c r="DB586" t="s">
        <v>13897</v>
      </c>
      <c r="DH586" t="s">
        <v>13809</v>
      </c>
      <c r="DM586" t="s">
        <v>22420</v>
      </c>
      <c r="DN586" t="s">
        <v>13808</v>
      </c>
      <c r="DP586" t="s">
        <v>22421</v>
      </c>
      <c r="DQ586" t="s">
        <v>13808</v>
      </c>
      <c r="DR586" t="s">
        <v>14947</v>
      </c>
      <c r="DY586" t="s">
        <v>13900</v>
      </c>
      <c r="DZ586" t="s">
        <v>22422</v>
      </c>
      <c r="EA586" t="s">
        <v>16557</v>
      </c>
      <c r="ED586" t="s">
        <v>13903</v>
      </c>
      <c r="EE586" t="s">
        <v>8862</v>
      </c>
    </row>
    <row r="587" spans="1:135">
      <c r="A587" t="s">
        <v>3750</v>
      </c>
      <c r="B587" t="s">
        <v>3619</v>
      </c>
      <c r="C587" t="s">
        <v>22423</v>
      </c>
      <c r="D587" s="24">
        <v>43763</v>
      </c>
      <c r="E587" s="24" t="s">
        <v>13553</v>
      </c>
      <c r="F587" s="24" t="s">
        <v>22424</v>
      </c>
      <c r="G587" s="24" t="s">
        <v>13808</v>
      </c>
      <c r="H587" s="24"/>
      <c r="I587" s="24" t="s">
        <v>13809</v>
      </c>
      <c r="J587" s="24"/>
      <c r="K587" s="24" t="s">
        <v>13809</v>
      </c>
      <c r="L587" s="24"/>
      <c r="M587" s="24" t="s">
        <v>22425</v>
      </c>
      <c r="N587" s="24" t="s">
        <v>13808</v>
      </c>
      <c r="O587" s="24"/>
      <c r="P587" s="24" t="s">
        <v>13808</v>
      </c>
      <c r="Q587" s="24"/>
      <c r="R587" s="24" t="s">
        <v>13808</v>
      </c>
      <c r="S587" s="24"/>
      <c r="T587" t="s">
        <v>14016</v>
      </c>
      <c r="U587" t="s">
        <v>13809</v>
      </c>
      <c r="W587" t="s">
        <v>13808</v>
      </c>
      <c r="X587" t="s">
        <v>22426</v>
      </c>
      <c r="Y587" t="s">
        <v>13809</v>
      </c>
      <c r="AA587" t="s">
        <v>13877</v>
      </c>
      <c r="AC587" t="s">
        <v>13809</v>
      </c>
      <c r="AH587" t="s">
        <v>13909</v>
      </c>
      <c r="AI587" t="s">
        <v>13808</v>
      </c>
      <c r="AO587" t="s">
        <v>13809</v>
      </c>
      <c r="AT587" t="s">
        <v>17776</v>
      </c>
      <c r="AU587" t="s">
        <v>13808</v>
      </c>
      <c r="AZ587" t="s">
        <v>14189</v>
      </c>
      <c r="BA587" t="s">
        <v>13808</v>
      </c>
      <c r="BF587" t="s">
        <v>14006</v>
      </c>
      <c r="BG587" t="s">
        <v>13808</v>
      </c>
      <c r="BM587" t="s">
        <v>13809</v>
      </c>
      <c r="BR587" t="s">
        <v>22427</v>
      </c>
      <c r="BT587" t="s">
        <v>13809</v>
      </c>
      <c r="BY587" t="s">
        <v>16201</v>
      </c>
      <c r="BZ587" t="s">
        <v>13808</v>
      </c>
      <c r="CA587" t="s">
        <v>13888</v>
      </c>
      <c r="CF587" t="s">
        <v>13809</v>
      </c>
      <c r="CK587" t="s">
        <v>13887</v>
      </c>
      <c r="CL587" t="s">
        <v>13808</v>
      </c>
      <c r="CM587" t="s">
        <v>14600</v>
      </c>
      <c r="CR587" t="s">
        <v>13809</v>
      </c>
      <c r="CT587" t="s">
        <v>22428</v>
      </c>
      <c r="CU587" t="s">
        <v>22429</v>
      </c>
      <c r="CV587" t="s">
        <v>13808</v>
      </c>
      <c r="DA587" t="s">
        <v>22430</v>
      </c>
      <c r="DB587" t="s">
        <v>13808</v>
      </c>
      <c r="DH587" t="s">
        <v>13809</v>
      </c>
      <c r="DM587" t="s">
        <v>22431</v>
      </c>
      <c r="DN587" t="s">
        <v>13808</v>
      </c>
      <c r="DO587" t="s">
        <v>22432</v>
      </c>
      <c r="DP587" t="s">
        <v>22433</v>
      </c>
      <c r="DQ587" t="s">
        <v>13808</v>
      </c>
      <c r="DY587" t="s">
        <v>13900</v>
      </c>
      <c r="DZ587" t="s">
        <v>18736</v>
      </c>
      <c r="EA587" t="s">
        <v>16115</v>
      </c>
      <c r="EC587">
        <v>43776</v>
      </c>
      <c r="ED587" t="s">
        <v>14501</v>
      </c>
      <c r="EE587" t="s">
        <v>8543</v>
      </c>
    </row>
    <row r="588" spans="1:135">
      <c r="A588" t="s">
        <v>3886</v>
      </c>
      <c r="B588" t="s">
        <v>3808</v>
      </c>
      <c r="C588" t="s">
        <v>22434</v>
      </c>
      <c r="D588" s="24">
        <v>43754</v>
      </c>
      <c r="E588" s="24" t="s">
        <v>13553</v>
      </c>
      <c r="F588" s="24" t="s">
        <v>22435</v>
      </c>
      <c r="G588" s="24" t="s">
        <v>13808</v>
      </c>
      <c r="H588" s="24"/>
      <c r="I588" s="24" t="s">
        <v>13809</v>
      </c>
      <c r="J588" s="24"/>
      <c r="K588" s="24" t="s">
        <v>13808</v>
      </c>
      <c r="L588" s="24"/>
      <c r="M588" s="24" t="s">
        <v>14121</v>
      </c>
      <c r="N588" s="24" t="s">
        <v>13808</v>
      </c>
      <c r="O588" s="24"/>
      <c r="P588" s="24" t="s">
        <v>13808</v>
      </c>
      <c r="Q588" s="24"/>
      <c r="R588" s="24" t="s">
        <v>13808</v>
      </c>
      <c r="S588" s="24"/>
      <c r="T588" t="s">
        <v>14016</v>
      </c>
      <c r="U588" t="s">
        <v>13809</v>
      </c>
      <c r="W588" t="s">
        <v>13808</v>
      </c>
      <c r="X588" t="s">
        <v>22436</v>
      </c>
      <c r="Y588" t="s">
        <v>13809</v>
      </c>
      <c r="AA588" t="s">
        <v>13877</v>
      </c>
      <c r="AB588" t="s">
        <v>13878</v>
      </c>
      <c r="AC588" t="s">
        <v>13808</v>
      </c>
      <c r="AH588" t="s">
        <v>13909</v>
      </c>
      <c r="AI588" t="s">
        <v>13808</v>
      </c>
      <c r="AO588" t="s">
        <v>13809</v>
      </c>
      <c r="AT588" t="s">
        <v>22437</v>
      </c>
      <c r="AU588" t="s">
        <v>13808</v>
      </c>
      <c r="AZ588" t="s">
        <v>22438</v>
      </c>
      <c r="BA588" t="s">
        <v>13808</v>
      </c>
      <c r="BF588" t="s">
        <v>22439</v>
      </c>
      <c r="BG588" t="s">
        <v>13808</v>
      </c>
      <c r="BL588" t="s">
        <v>22440</v>
      </c>
      <c r="BM588" t="s">
        <v>13808</v>
      </c>
      <c r="BR588" t="s">
        <v>22441</v>
      </c>
      <c r="BS588" t="s">
        <v>13887</v>
      </c>
      <c r="BT588" t="s">
        <v>13808</v>
      </c>
      <c r="BU588" t="s">
        <v>14492</v>
      </c>
      <c r="BY588" t="s">
        <v>13887</v>
      </c>
      <c r="BZ588" t="s">
        <v>13808</v>
      </c>
      <c r="CA588" t="s">
        <v>13888</v>
      </c>
      <c r="CE588" t="s">
        <v>13885</v>
      </c>
      <c r="CF588" t="s">
        <v>13808</v>
      </c>
      <c r="CL588" t="s">
        <v>13809</v>
      </c>
      <c r="CR588" t="s">
        <v>13809</v>
      </c>
      <c r="CT588" t="s">
        <v>22442</v>
      </c>
      <c r="CU588" t="s">
        <v>22443</v>
      </c>
      <c r="CV588" t="s">
        <v>13808</v>
      </c>
      <c r="DA588" t="s">
        <v>22444</v>
      </c>
      <c r="DB588" t="s">
        <v>13808</v>
      </c>
      <c r="DH588" t="s">
        <v>13809</v>
      </c>
      <c r="DM588" t="s">
        <v>22445</v>
      </c>
      <c r="DN588" t="s">
        <v>13808</v>
      </c>
      <c r="DP588" t="s">
        <v>22446</v>
      </c>
      <c r="DQ588" t="s">
        <v>13808</v>
      </c>
      <c r="DR588" t="s">
        <v>14947</v>
      </c>
      <c r="DY588" t="s">
        <v>15842</v>
      </c>
      <c r="DZ588" t="s">
        <v>22447</v>
      </c>
      <c r="EA588" t="s">
        <v>13922</v>
      </c>
      <c r="EC588">
        <v>43788</v>
      </c>
      <c r="ED588" t="s">
        <v>13903</v>
      </c>
      <c r="EE588" t="s">
        <v>8706</v>
      </c>
    </row>
    <row r="589" spans="1:135">
      <c r="A589" t="s">
        <v>3301</v>
      </c>
      <c r="B589" t="s">
        <v>3808</v>
      </c>
      <c r="C589" t="s">
        <v>22448</v>
      </c>
      <c r="D589" s="24">
        <v>43754</v>
      </c>
      <c r="E589" s="24" t="s">
        <v>13553</v>
      </c>
      <c r="F589" s="24" t="s">
        <v>22449</v>
      </c>
      <c r="G589" s="24" t="s">
        <v>13808</v>
      </c>
      <c r="H589" s="24"/>
      <c r="I589" s="24" t="s">
        <v>13809</v>
      </c>
      <c r="J589" s="24"/>
      <c r="K589" s="24" t="s">
        <v>13809</v>
      </c>
      <c r="L589" s="24"/>
      <c r="M589" s="24" t="s">
        <v>14428</v>
      </c>
      <c r="N589" s="24" t="s">
        <v>13808</v>
      </c>
      <c r="O589" s="24"/>
      <c r="P589" s="24" t="s">
        <v>13808</v>
      </c>
      <c r="Q589" s="24"/>
      <c r="R589" s="24" t="s">
        <v>13808</v>
      </c>
      <c r="S589" s="24"/>
      <c r="T589" t="s">
        <v>14016</v>
      </c>
      <c r="U589" t="s">
        <v>13809</v>
      </c>
      <c r="W589" t="s">
        <v>13808</v>
      </c>
      <c r="X589" t="s">
        <v>22450</v>
      </c>
      <c r="Y589" t="s">
        <v>13809</v>
      </c>
      <c r="AA589" t="s">
        <v>13877</v>
      </c>
      <c r="AB589" t="s">
        <v>15071</v>
      </c>
      <c r="AC589" t="s">
        <v>13808</v>
      </c>
      <c r="AH589" t="s">
        <v>13909</v>
      </c>
      <c r="AI589" t="s">
        <v>13808</v>
      </c>
      <c r="AO589" t="s">
        <v>13809</v>
      </c>
      <c r="AT589" t="s">
        <v>14731</v>
      </c>
      <c r="AU589" t="s">
        <v>13808</v>
      </c>
      <c r="AZ589" t="s">
        <v>22451</v>
      </c>
      <c r="BA589" t="s">
        <v>13808</v>
      </c>
      <c r="BF589" t="s">
        <v>17501</v>
      </c>
      <c r="BG589" t="s">
        <v>13808</v>
      </c>
      <c r="BL589" t="s">
        <v>22452</v>
      </c>
      <c r="BM589" t="s">
        <v>13808</v>
      </c>
      <c r="BR589" t="s">
        <v>22453</v>
      </c>
      <c r="BS589" t="s">
        <v>13887</v>
      </c>
      <c r="BT589" t="s">
        <v>13808</v>
      </c>
      <c r="BU589" t="s">
        <v>14492</v>
      </c>
      <c r="BY589" t="s">
        <v>16201</v>
      </c>
      <c r="BZ589" t="s">
        <v>13808</v>
      </c>
      <c r="CA589" t="s">
        <v>13888</v>
      </c>
      <c r="CE589" t="s">
        <v>14197</v>
      </c>
      <c r="CF589" t="s">
        <v>13808</v>
      </c>
      <c r="CG589" t="s">
        <v>14173</v>
      </c>
      <c r="CL589" t="s">
        <v>13809</v>
      </c>
      <c r="CR589" t="s">
        <v>13809</v>
      </c>
      <c r="CT589" t="s">
        <v>22454</v>
      </c>
      <c r="CU589" t="s">
        <v>22455</v>
      </c>
      <c r="CV589" t="s">
        <v>13808</v>
      </c>
      <c r="DA589" t="s">
        <v>22456</v>
      </c>
      <c r="DB589" t="s">
        <v>13808</v>
      </c>
      <c r="DH589" t="s">
        <v>13809</v>
      </c>
      <c r="DM589" t="s">
        <v>22457</v>
      </c>
      <c r="DN589" t="s">
        <v>13808</v>
      </c>
      <c r="DP589" t="s">
        <v>22458</v>
      </c>
      <c r="DQ589" t="s">
        <v>13808</v>
      </c>
      <c r="DR589" t="s">
        <v>14947</v>
      </c>
      <c r="DY589" t="s">
        <v>15842</v>
      </c>
      <c r="DZ589" t="s">
        <v>22459</v>
      </c>
      <c r="EA589" t="s">
        <v>13922</v>
      </c>
      <c r="EC589">
        <v>43789</v>
      </c>
      <c r="ED589" t="s">
        <v>13903</v>
      </c>
      <c r="EE589" t="s">
        <v>8708</v>
      </c>
    </row>
    <row r="590" spans="1:135">
      <c r="A590" t="s">
        <v>3295</v>
      </c>
      <c r="B590" t="s">
        <v>3161</v>
      </c>
      <c r="C590" t="s">
        <v>22460</v>
      </c>
      <c r="D590" s="24">
        <v>43690</v>
      </c>
      <c r="E590" s="24" t="s">
        <v>13553</v>
      </c>
      <c r="F590" s="24" t="s">
        <v>22461</v>
      </c>
      <c r="G590" s="24" t="s">
        <v>13808</v>
      </c>
      <c r="H590" s="24"/>
      <c r="I590" s="24" t="s">
        <v>13809</v>
      </c>
      <c r="J590" s="24"/>
      <c r="K590" s="24" t="s">
        <v>13809</v>
      </c>
      <c r="L590" s="24"/>
      <c r="M590" s="24" t="s">
        <v>14163</v>
      </c>
      <c r="N590" s="24" t="s">
        <v>13808</v>
      </c>
      <c r="O590" s="24"/>
      <c r="P590" s="24" t="s">
        <v>13808</v>
      </c>
      <c r="Q590" s="24"/>
      <c r="R590" s="24" t="s">
        <v>13808</v>
      </c>
      <c r="S590" s="24"/>
      <c r="T590" t="s">
        <v>14016</v>
      </c>
      <c r="U590" t="s">
        <v>13809</v>
      </c>
      <c r="W590" t="s">
        <v>13808</v>
      </c>
      <c r="X590" t="s">
        <v>22462</v>
      </c>
      <c r="Y590" t="s">
        <v>13808</v>
      </c>
      <c r="AA590" t="s">
        <v>13877</v>
      </c>
      <c r="AC590" t="s">
        <v>13809</v>
      </c>
      <c r="AH590" t="s">
        <v>13909</v>
      </c>
      <c r="AI590" t="s">
        <v>13808</v>
      </c>
      <c r="AO590" t="s">
        <v>13809</v>
      </c>
      <c r="AT590" t="s">
        <v>14366</v>
      </c>
      <c r="AU590" t="s">
        <v>13808</v>
      </c>
      <c r="AZ590" t="s">
        <v>13882</v>
      </c>
      <c r="BA590" t="s">
        <v>13808</v>
      </c>
      <c r="BF590" t="s">
        <v>22463</v>
      </c>
      <c r="BG590" t="s">
        <v>13808</v>
      </c>
      <c r="BH590" t="s">
        <v>22464</v>
      </c>
      <c r="BM590" t="s">
        <v>13809</v>
      </c>
      <c r="BR590" t="s">
        <v>22465</v>
      </c>
      <c r="BT590" t="s">
        <v>13809</v>
      </c>
      <c r="BY590" t="s">
        <v>13887</v>
      </c>
      <c r="BZ590" t="s">
        <v>13808</v>
      </c>
      <c r="CA590" t="s">
        <v>14026</v>
      </c>
      <c r="CE590" t="s">
        <v>13887</v>
      </c>
      <c r="CF590" t="s">
        <v>13808</v>
      </c>
      <c r="CG590" t="s">
        <v>14437</v>
      </c>
      <c r="CL590" t="s">
        <v>13809</v>
      </c>
      <c r="CR590" t="s">
        <v>13809</v>
      </c>
      <c r="CT590" t="s">
        <v>22466</v>
      </c>
      <c r="CU590" t="s">
        <v>22467</v>
      </c>
      <c r="CV590" t="s">
        <v>13897</v>
      </c>
      <c r="DA590" t="s">
        <v>22468</v>
      </c>
      <c r="DB590" t="s">
        <v>13897</v>
      </c>
      <c r="DH590" t="s">
        <v>13809</v>
      </c>
      <c r="DM590" t="s">
        <v>22469</v>
      </c>
      <c r="DN590" t="s">
        <v>13808</v>
      </c>
      <c r="DP590" t="s">
        <v>22470</v>
      </c>
      <c r="DR590" t="s">
        <v>13808</v>
      </c>
      <c r="DY590" t="s">
        <v>15828</v>
      </c>
      <c r="DZ590" t="s">
        <v>22471</v>
      </c>
      <c r="EA590" t="s">
        <v>16557</v>
      </c>
      <c r="ED590" t="s">
        <v>13903</v>
      </c>
      <c r="EE590" t="s">
        <v>8005</v>
      </c>
    </row>
    <row r="591" spans="1:135">
      <c r="A591" t="s">
        <v>3300</v>
      </c>
      <c r="B591" t="s">
        <v>3161</v>
      </c>
      <c r="C591" t="s">
        <v>22472</v>
      </c>
      <c r="D591" s="24">
        <v>43735</v>
      </c>
      <c r="E591" s="24" t="s">
        <v>13553</v>
      </c>
      <c r="F591" s="24" t="s">
        <v>22473</v>
      </c>
      <c r="G591" s="24" t="s">
        <v>13808</v>
      </c>
      <c r="H591" s="24"/>
      <c r="I591" s="24" t="s">
        <v>13809</v>
      </c>
      <c r="J591" s="24"/>
      <c r="K591" s="24" t="s">
        <v>13808</v>
      </c>
      <c r="L591" s="24"/>
      <c r="M591" s="24" t="s">
        <v>14428</v>
      </c>
      <c r="N591" s="24" t="s">
        <v>13808</v>
      </c>
      <c r="O591" s="24"/>
      <c r="P591" s="24" t="s">
        <v>13808</v>
      </c>
      <c r="Q591" s="24"/>
      <c r="R591" s="24" t="s">
        <v>13808</v>
      </c>
      <c r="S591" s="24"/>
      <c r="T591" t="s">
        <v>16194</v>
      </c>
      <c r="U591" t="s">
        <v>13809</v>
      </c>
      <c r="W591" t="s">
        <v>13808</v>
      </c>
      <c r="X591" t="s">
        <v>22426</v>
      </c>
      <c r="Y591" t="s">
        <v>13808</v>
      </c>
      <c r="AA591" t="s">
        <v>13877</v>
      </c>
      <c r="AB591" t="s">
        <v>14851</v>
      </c>
      <c r="AC591" t="s">
        <v>13808</v>
      </c>
      <c r="AH591" t="s">
        <v>13909</v>
      </c>
      <c r="AI591" t="s">
        <v>13808</v>
      </c>
      <c r="AN591" t="s">
        <v>18762</v>
      </c>
      <c r="AO591" t="s">
        <v>13808</v>
      </c>
      <c r="AT591" t="s">
        <v>17084</v>
      </c>
      <c r="AU591" t="s">
        <v>13808</v>
      </c>
      <c r="AZ591" t="s">
        <v>22474</v>
      </c>
      <c r="BA591" t="s">
        <v>13808</v>
      </c>
      <c r="BF591" t="s">
        <v>14597</v>
      </c>
      <c r="BG591" t="s">
        <v>13808</v>
      </c>
      <c r="BL591" t="s">
        <v>22475</v>
      </c>
      <c r="BM591" t="s">
        <v>13808</v>
      </c>
      <c r="BR591" t="s">
        <v>22476</v>
      </c>
      <c r="BT591" t="s">
        <v>13809</v>
      </c>
      <c r="BY591" t="s">
        <v>13887</v>
      </c>
      <c r="BZ591" t="s">
        <v>13808</v>
      </c>
      <c r="CA591" t="s">
        <v>17638</v>
      </c>
      <c r="CE591" t="s">
        <v>14693</v>
      </c>
      <c r="CF591" t="s">
        <v>13808</v>
      </c>
      <c r="CK591" t="s">
        <v>14004</v>
      </c>
      <c r="CL591" t="s">
        <v>13808</v>
      </c>
      <c r="CM591" t="s">
        <v>22477</v>
      </c>
      <c r="CR591" t="s">
        <v>13809</v>
      </c>
      <c r="CT591" t="s">
        <v>22478</v>
      </c>
      <c r="CU591" t="s">
        <v>22479</v>
      </c>
      <c r="CV591" t="s">
        <v>13808</v>
      </c>
      <c r="DA591" t="s">
        <v>22480</v>
      </c>
      <c r="DB591" t="s">
        <v>13808</v>
      </c>
      <c r="DG591" t="s">
        <v>22481</v>
      </c>
      <c r="DH591" t="s">
        <v>13808</v>
      </c>
      <c r="DI591" t="s">
        <v>22482</v>
      </c>
      <c r="DM591" t="s">
        <v>22483</v>
      </c>
      <c r="DN591" t="s">
        <v>13808</v>
      </c>
      <c r="DO591" t="s">
        <v>22484</v>
      </c>
      <c r="DP591" t="s">
        <v>22485</v>
      </c>
      <c r="DQ591" t="s">
        <v>13808</v>
      </c>
      <c r="DY591" t="s">
        <v>13900</v>
      </c>
      <c r="DZ591" t="s">
        <v>22486</v>
      </c>
      <c r="EA591" t="s">
        <v>13871</v>
      </c>
      <c r="ED591" t="s">
        <v>14501</v>
      </c>
      <c r="EE591" t="s">
        <v>8007</v>
      </c>
    </row>
    <row r="592" spans="1:135">
      <c r="A592" t="s">
        <v>4138</v>
      </c>
      <c r="B592" t="s">
        <v>4051</v>
      </c>
      <c r="C592" t="s">
        <v>22487</v>
      </c>
      <c r="D592" s="24">
        <v>43768</v>
      </c>
      <c r="E592" s="24" t="s">
        <v>13555</v>
      </c>
      <c r="F592" s="24" t="s">
        <v>22488</v>
      </c>
      <c r="G592" s="24" t="s">
        <v>13808</v>
      </c>
      <c r="H592" s="24"/>
      <c r="I592" s="24" t="s">
        <v>13809</v>
      </c>
      <c r="J592" s="24"/>
      <c r="K592" s="24" t="s">
        <v>13809</v>
      </c>
      <c r="L592" s="24"/>
      <c r="M592" s="24" t="s">
        <v>14163</v>
      </c>
      <c r="N592" s="24" t="s">
        <v>13808</v>
      </c>
      <c r="O592" s="24"/>
      <c r="P592" s="24" t="s">
        <v>13808</v>
      </c>
      <c r="Q592" s="24"/>
      <c r="R592" s="24" t="s">
        <v>13808</v>
      </c>
      <c r="S592" s="24"/>
      <c r="T592" t="s">
        <v>14016</v>
      </c>
      <c r="U592" t="s">
        <v>13809</v>
      </c>
      <c r="W592" t="s">
        <v>13808</v>
      </c>
      <c r="X592" t="s">
        <v>22489</v>
      </c>
      <c r="Y592" t="s">
        <v>13808</v>
      </c>
      <c r="AA592" t="s">
        <v>13877</v>
      </c>
      <c r="AB592" t="s">
        <v>22490</v>
      </c>
      <c r="AC592" t="s">
        <v>13808</v>
      </c>
      <c r="AH592" t="s">
        <v>13909</v>
      </c>
      <c r="AI592" t="s">
        <v>13808</v>
      </c>
      <c r="AN592" t="s">
        <v>13880</v>
      </c>
      <c r="AO592" t="s">
        <v>13808</v>
      </c>
      <c r="AT592" t="s">
        <v>22491</v>
      </c>
      <c r="AU592" t="s">
        <v>13808</v>
      </c>
      <c r="AZ592" t="s">
        <v>13882</v>
      </c>
      <c r="BA592" t="s">
        <v>13808</v>
      </c>
      <c r="BF592" t="s">
        <v>22492</v>
      </c>
      <c r="BG592" t="s">
        <v>13808</v>
      </c>
      <c r="BL592" t="s">
        <v>22493</v>
      </c>
      <c r="BM592" t="s">
        <v>13808</v>
      </c>
      <c r="BR592" t="s">
        <v>22494</v>
      </c>
      <c r="BS592" t="s">
        <v>13885</v>
      </c>
      <c r="BT592" t="s">
        <v>13808</v>
      </c>
      <c r="BU592" t="s">
        <v>14437</v>
      </c>
      <c r="BY592" t="s">
        <v>13887</v>
      </c>
      <c r="BZ592" t="s">
        <v>13808</v>
      </c>
      <c r="CA592" t="s">
        <v>14026</v>
      </c>
      <c r="CE592" t="s">
        <v>13887</v>
      </c>
      <c r="CF592" t="s">
        <v>13808</v>
      </c>
      <c r="CG592" t="s">
        <v>14173</v>
      </c>
      <c r="CK592" t="s">
        <v>14265</v>
      </c>
      <c r="CL592" t="s">
        <v>13808</v>
      </c>
      <c r="CR592" t="s">
        <v>13809</v>
      </c>
      <c r="CT592" t="s">
        <v>22495</v>
      </c>
      <c r="CU592" t="s">
        <v>22496</v>
      </c>
      <c r="CV592" t="s">
        <v>13808</v>
      </c>
      <c r="DA592" t="s">
        <v>22497</v>
      </c>
      <c r="DB592" t="s">
        <v>13808</v>
      </c>
      <c r="DD592" t="s">
        <v>17868</v>
      </c>
      <c r="DE592" t="s">
        <v>13818</v>
      </c>
      <c r="DG592" t="s">
        <v>13892</v>
      </c>
      <c r="DH592" t="s">
        <v>13808</v>
      </c>
      <c r="DI592" t="s">
        <v>13893</v>
      </c>
      <c r="DJ592" t="s">
        <v>13894</v>
      </c>
      <c r="DK592" t="s">
        <v>13808</v>
      </c>
      <c r="DL592" t="s">
        <v>13895</v>
      </c>
      <c r="DM592" t="s">
        <v>22498</v>
      </c>
      <c r="DN592" t="s">
        <v>13808</v>
      </c>
      <c r="DO592" t="s">
        <v>22499</v>
      </c>
      <c r="DP592" t="s">
        <v>22500</v>
      </c>
      <c r="DQ592" t="s">
        <v>13808</v>
      </c>
      <c r="DY592" t="s">
        <v>13900</v>
      </c>
      <c r="DZ592" t="s">
        <v>22501</v>
      </c>
      <c r="EA592" t="s">
        <v>16115</v>
      </c>
      <c r="EC592">
        <v>43776</v>
      </c>
      <c r="ED592" t="s">
        <v>14501</v>
      </c>
      <c r="EE592" t="s">
        <v>9004</v>
      </c>
    </row>
    <row r="593" spans="1:135">
      <c r="A593" t="s">
        <v>3727</v>
      </c>
      <c r="B593" t="s">
        <v>4051</v>
      </c>
      <c r="C593" t="s">
        <v>22502</v>
      </c>
      <c r="D593" s="24">
        <v>44063</v>
      </c>
      <c r="E593" s="24" t="s">
        <v>13553</v>
      </c>
      <c r="F593" s="24" t="s">
        <v>22503</v>
      </c>
      <c r="G593" s="24" t="s">
        <v>13808</v>
      </c>
      <c r="H593" s="24"/>
      <c r="I593" s="24" t="s">
        <v>13809</v>
      </c>
      <c r="J593" s="24"/>
      <c r="K593" s="24" t="s">
        <v>13809</v>
      </c>
      <c r="L593" s="24"/>
      <c r="M593" s="24" t="s">
        <v>17316</v>
      </c>
      <c r="N593" s="24" t="s">
        <v>13808</v>
      </c>
      <c r="O593" s="24"/>
      <c r="P593" s="24" t="s">
        <v>13808</v>
      </c>
      <c r="Q593" s="24"/>
      <c r="R593" s="24" t="s">
        <v>13808</v>
      </c>
      <c r="S593" s="24"/>
      <c r="T593" t="s">
        <v>13847</v>
      </c>
      <c r="U593" t="s">
        <v>13809</v>
      </c>
      <c r="W593" t="s">
        <v>13808</v>
      </c>
      <c r="X593" t="s">
        <v>22504</v>
      </c>
      <c r="Y593" t="s">
        <v>13809</v>
      </c>
      <c r="AA593" t="s">
        <v>13877</v>
      </c>
      <c r="AB593" t="s">
        <v>14852</v>
      </c>
      <c r="AC593" t="s">
        <v>13808</v>
      </c>
      <c r="AH593" t="s">
        <v>13909</v>
      </c>
      <c r="AI593" t="s">
        <v>13808</v>
      </c>
      <c r="AN593" t="s">
        <v>13809</v>
      </c>
      <c r="AT593" t="s">
        <v>14598</v>
      </c>
      <c r="AU593" t="s">
        <v>13808</v>
      </c>
      <c r="AZ593" t="s">
        <v>15883</v>
      </c>
      <c r="BA593" t="s">
        <v>13808</v>
      </c>
      <c r="BF593" t="s">
        <v>14816</v>
      </c>
      <c r="BG593" t="s">
        <v>13808</v>
      </c>
      <c r="BL593" t="s">
        <v>22505</v>
      </c>
      <c r="BM593" t="s">
        <v>13808</v>
      </c>
      <c r="BR593" t="s">
        <v>22506</v>
      </c>
      <c r="BS593" t="s">
        <v>13809</v>
      </c>
      <c r="BY593" t="s">
        <v>13887</v>
      </c>
      <c r="BZ593" t="s">
        <v>13808</v>
      </c>
      <c r="CA593" t="s">
        <v>13861</v>
      </c>
      <c r="CE593" t="s">
        <v>13809</v>
      </c>
      <c r="CK593" t="s">
        <v>13809</v>
      </c>
      <c r="CR593" t="s">
        <v>13809</v>
      </c>
      <c r="CT593" t="s">
        <v>22507</v>
      </c>
      <c r="CU593" t="s">
        <v>22508</v>
      </c>
      <c r="CV593" t="s">
        <v>13808</v>
      </c>
      <c r="DA593" t="s">
        <v>22509</v>
      </c>
      <c r="DB593" t="s">
        <v>13808</v>
      </c>
      <c r="DM593" t="s">
        <v>22510</v>
      </c>
      <c r="DN593" t="s">
        <v>13808</v>
      </c>
      <c r="DY593" t="s">
        <v>15296</v>
      </c>
      <c r="DZ593" t="s">
        <v>17892</v>
      </c>
      <c r="EA593" t="s">
        <v>14500</v>
      </c>
      <c r="ED593" t="s">
        <v>13903</v>
      </c>
      <c r="EE593" t="s">
        <v>9006</v>
      </c>
    </row>
    <row r="594" spans="1:135">
      <c r="A594" t="s">
        <v>3307</v>
      </c>
      <c r="B594" t="s">
        <v>3161</v>
      </c>
      <c r="C594" t="s">
        <v>22511</v>
      </c>
      <c r="D594" s="24">
        <v>43690</v>
      </c>
      <c r="E594" s="24" t="s">
        <v>13553</v>
      </c>
      <c r="F594" s="24" t="s">
        <v>22512</v>
      </c>
      <c r="G594" s="24" t="s">
        <v>13808</v>
      </c>
      <c r="H594" s="24"/>
      <c r="I594" s="24" t="s">
        <v>13809</v>
      </c>
      <c r="J594" s="24"/>
      <c r="K594" s="24" t="s">
        <v>13808</v>
      </c>
      <c r="L594" s="24"/>
      <c r="M594" s="24" t="s">
        <v>14163</v>
      </c>
      <c r="N594" s="24" t="s">
        <v>13808</v>
      </c>
      <c r="O594" s="24"/>
      <c r="P594" s="24" t="s">
        <v>13808</v>
      </c>
      <c r="Q594" s="24"/>
      <c r="R594" s="24" t="s">
        <v>13808</v>
      </c>
      <c r="S594" s="24"/>
      <c r="T594" t="s">
        <v>14016</v>
      </c>
      <c r="U594" t="s">
        <v>13809</v>
      </c>
      <c r="W594" t="s">
        <v>13808</v>
      </c>
      <c r="X594" t="s">
        <v>22513</v>
      </c>
      <c r="Y594" t="s">
        <v>13809</v>
      </c>
      <c r="AA594" t="s">
        <v>13877</v>
      </c>
      <c r="AB594" t="s">
        <v>14005</v>
      </c>
      <c r="AC594" t="s">
        <v>13808</v>
      </c>
      <c r="AH594" t="s">
        <v>13909</v>
      </c>
      <c r="AI594" t="s">
        <v>13808</v>
      </c>
      <c r="AO594" t="s">
        <v>13809</v>
      </c>
      <c r="AT594" t="s">
        <v>20879</v>
      </c>
      <c r="AU594" t="s">
        <v>13808</v>
      </c>
      <c r="AZ594" t="s">
        <v>16048</v>
      </c>
      <c r="BA594" t="s">
        <v>13808</v>
      </c>
      <c r="BF594" t="s">
        <v>13894</v>
      </c>
      <c r="BG594" t="s">
        <v>13808</v>
      </c>
      <c r="BL594" t="s">
        <v>22514</v>
      </c>
      <c r="BM594" t="s">
        <v>13808</v>
      </c>
      <c r="BR594" t="s">
        <v>22515</v>
      </c>
      <c r="BT594" t="s">
        <v>13809</v>
      </c>
      <c r="BY594" t="s">
        <v>13887</v>
      </c>
      <c r="BZ594" t="s">
        <v>13808</v>
      </c>
      <c r="CA594" t="s">
        <v>14026</v>
      </c>
      <c r="CE594" t="s">
        <v>13885</v>
      </c>
      <c r="CF594" t="s">
        <v>13808</v>
      </c>
      <c r="CG594" t="s">
        <v>22516</v>
      </c>
      <c r="CH594" t="s">
        <v>14197</v>
      </c>
      <c r="CI594" t="s">
        <v>13808</v>
      </c>
      <c r="CJ594" t="s">
        <v>14173</v>
      </c>
      <c r="CK594" t="s">
        <v>14197</v>
      </c>
      <c r="CL594" t="s">
        <v>13808</v>
      </c>
      <c r="CR594" t="s">
        <v>13809</v>
      </c>
      <c r="CT594" t="s">
        <v>22517</v>
      </c>
      <c r="CU594" t="s">
        <v>22518</v>
      </c>
      <c r="CV594" t="s">
        <v>13808</v>
      </c>
      <c r="DA594" t="s">
        <v>22519</v>
      </c>
      <c r="DB594" t="s">
        <v>13808</v>
      </c>
      <c r="DH594" t="s">
        <v>13809</v>
      </c>
      <c r="DM594" t="s">
        <v>22520</v>
      </c>
      <c r="DN594" t="s">
        <v>13808</v>
      </c>
      <c r="DP594" t="s">
        <v>22521</v>
      </c>
      <c r="DQ594" t="s">
        <v>13808</v>
      </c>
      <c r="DY594" t="s">
        <v>15828</v>
      </c>
      <c r="DZ594" t="s">
        <v>22522</v>
      </c>
      <c r="EA594" t="s">
        <v>16557</v>
      </c>
      <c r="ED594" t="s">
        <v>13903</v>
      </c>
      <c r="EE594" t="s">
        <v>8013</v>
      </c>
    </row>
    <row r="595" spans="1:135">
      <c r="A595" t="s">
        <v>3312</v>
      </c>
      <c r="B595" t="s">
        <v>3161</v>
      </c>
      <c r="C595" t="s">
        <v>22523</v>
      </c>
      <c r="D595" s="24">
        <v>43587</v>
      </c>
      <c r="E595" s="24" t="s">
        <v>13553</v>
      </c>
      <c r="F595" s="24" t="s">
        <v>22524</v>
      </c>
      <c r="G595" s="24" t="s">
        <v>13808</v>
      </c>
      <c r="H595" s="24"/>
      <c r="I595" s="24" t="s">
        <v>13809</v>
      </c>
      <c r="J595" s="24"/>
      <c r="K595" s="24" t="s">
        <v>13808</v>
      </c>
      <c r="L595" s="24"/>
      <c r="M595" s="24" t="s">
        <v>17316</v>
      </c>
      <c r="N595" s="24" t="s">
        <v>13808</v>
      </c>
      <c r="O595" s="24"/>
      <c r="P595" s="24" t="s">
        <v>13808</v>
      </c>
      <c r="Q595" s="24"/>
      <c r="R595" s="24" t="s">
        <v>13808</v>
      </c>
      <c r="S595" s="24"/>
      <c r="T595" t="s">
        <v>14429</v>
      </c>
      <c r="U595" t="s">
        <v>13808</v>
      </c>
      <c r="W595" t="s">
        <v>13808</v>
      </c>
      <c r="X595" t="s">
        <v>22525</v>
      </c>
      <c r="Y595" t="s">
        <v>13809</v>
      </c>
      <c r="AA595" t="s">
        <v>13849</v>
      </c>
      <c r="AB595" t="s">
        <v>22526</v>
      </c>
      <c r="AC595" t="s">
        <v>13808</v>
      </c>
      <c r="AH595" t="s">
        <v>13909</v>
      </c>
      <c r="AI595" t="s">
        <v>13808</v>
      </c>
      <c r="AO595" t="s">
        <v>13809</v>
      </c>
      <c r="AT595" t="s">
        <v>19323</v>
      </c>
      <c r="AU595" t="s">
        <v>13808</v>
      </c>
      <c r="AZ595" t="s">
        <v>22527</v>
      </c>
      <c r="BA595" t="s">
        <v>13808</v>
      </c>
      <c r="BF595" t="s">
        <v>15276</v>
      </c>
      <c r="BG595" t="s">
        <v>13808</v>
      </c>
      <c r="BL595" t="s">
        <v>22528</v>
      </c>
      <c r="BM595" t="s">
        <v>13808</v>
      </c>
      <c r="BR595" t="s">
        <v>22529</v>
      </c>
      <c r="BT595" t="s">
        <v>13809</v>
      </c>
      <c r="BY595" t="s">
        <v>13887</v>
      </c>
      <c r="BZ595" t="s">
        <v>13808</v>
      </c>
      <c r="CA595" t="s">
        <v>13861</v>
      </c>
      <c r="CE595" t="s">
        <v>13885</v>
      </c>
      <c r="CF595" t="s">
        <v>13808</v>
      </c>
      <c r="CG595" t="s">
        <v>16530</v>
      </c>
      <c r="CK595" t="s">
        <v>15076</v>
      </c>
      <c r="CL595" t="s">
        <v>13808</v>
      </c>
      <c r="CM595" t="s">
        <v>13863</v>
      </c>
      <c r="CR595" t="s">
        <v>13809</v>
      </c>
      <c r="CT595" t="s">
        <v>22530</v>
      </c>
      <c r="CU595" t="s">
        <v>22531</v>
      </c>
      <c r="CV595" t="s">
        <v>13808</v>
      </c>
      <c r="DA595" t="s">
        <v>22532</v>
      </c>
      <c r="DB595" t="s">
        <v>13808</v>
      </c>
      <c r="DH595" t="s">
        <v>13809</v>
      </c>
      <c r="DM595" t="s">
        <v>22533</v>
      </c>
      <c r="DN595" t="s">
        <v>13808</v>
      </c>
      <c r="DY595" t="s">
        <v>13900</v>
      </c>
      <c r="DZ595" t="s">
        <v>22534</v>
      </c>
      <c r="EA595" t="s">
        <v>19083</v>
      </c>
      <c r="EC595">
        <v>44230</v>
      </c>
      <c r="ED595" t="s">
        <v>13903</v>
      </c>
      <c r="EE595" t="s">
        <v>8015</v>
      </c>
    </row>
    <row r="596" spans="1:135">
      <c r="A596" t="s">
        <v>3827</v>
      </c>
      <c r="B596" t="s">
        <v>4051</v>
      </c>
      <c r="C596" t="s">
        <v>22535</v>
      </c>
      <c r="D596" s="24">
        <v>44068</v>
      </c>
      <c r="E596" s="24" t="s">
        <v>13553</v>
      </c>
      <c r="F596" s="24" t="s">
        <v>22536</v>
      </c>
      <c r="G596" s="24" t="s">
        <v>13808</v>
      </c>
      <c r="H596" s="24" t="s">
        <v>22537</v>
      </c>
      <c r="I596" s="24" t="s">
        <v>13809</v>
      </c>
      <c r="J596" s="24"/>
      <c r="K596" s="24" t="s">
        <v>13809</v>
      </c>
      <c r="L596" s="24"/>
      <c r="M596" s="24" t="s">
        <v>14163</v>
      </c>
      <c r="N596" s="24" t="s">
        <v>13808</v>
      </c>
      <c r="O596" s="24"/>
      <c r="P596" s="24" t="s">
        <v>13808</v>
      </c>
      <c r="Q596" s="24"/>
      <c r="R596" s="24" t="s">
        <v>13808</v>
      </c>
      <c r="S596" s="24"/>
      <c r="T596" t="s">
        <v>14034</v>
      </c>
      <c r="U596" t="s">
        <v>13809</v>
      </c>
      <c r="W596" t="s">
        <v>13808</v>
      </c>
      <c r="X596" t="s">
        <v>22538</v>
      </c>
      <c r="Y596" t="s">
        <v>13809</v>
      </c>
      <c r="AA596" t="s">
        <v>19638</v>
      </c>
      <c r="AB596" t="s">
        <v>18959</v>
      </c>
      <c r="AC596" t="s">
        <v>13808</v>
      </c>
      <c r="AH596" t="s">
        <v>13909</v>
      </c>
      <c r="AI596" t="s">
        <v>13808</v>
      </c>
      <c r="AN596" t="s">
        <v>13809</v>
      </c>
      <c r="AT596" t="s">
        <v>14703</v>
      </c>
      <c r="AU596" t="s">
        <v>13808</v>
      </c>
      <c r="AZ596" t="s">
        <v>14433</v>
      </c>
      <c r="BA596" t="s">
        <v>13808</v>
      </c>
      <c r="BC596" t="s">
        <v>22539</v>
      </c>
      <c r="BD596" t="s">
        <v>13808</v>
      </c>
      <c r="BF596" t="s">
        <v>15820</v>
      </c>
      <c r="BG596" t="s">
        <v>13808</v>
      </c>
      <c r="BL596" t="s">
        <v>16405</v>
      </c>
      <c r="BM596" t="s">
        <v>13808</v>
      </c>
      <c r="BO596" t="s">
        <v>18625</v>
      </c>
      <c r="BP596" t="s">
        <v>13808</v>
      </c>
      <c r="BR596" t="s">
        <v>22540</v>
      </c>
      <c r="BS596" t="s">
        <v>13887</v>
      </c>
      <c r="BT596" t="s">
        <v>13808</v>
      </c>
      <c r="BU596" t="s">
        <v>22541</v>
      </c>
      <c r="BY596" t="s">
        <v>13887</v>
      </c>
      <c r="BZ596" t="s">
        <v>13808</v>
      </c>
      <c r="CA596" t="s">
        <v>17320</v>
      </c>
      <c r="CE596" t="s">
        <v>15138</v>
      </c>
      <c r="CF596" t="s">
        <v>13808</v>
      </c>
      <c r="CG596" t="s">
        <v>13863</v>
      </c>
      <c r="CK596" t="s">
        <v>13809</v>
      </c>
      <c r="CR596" t="s">
        <v>13809</v>
      </c>
      <c r="CT596" t="s">
        <v>22542</v>
      </c>
      <c r="CU596" t="s">
        <v>22543</v>
      </c>
      <c r="CV596" t="s">
        <v>13808</v>
      </c>
      <c r="DA596" t="s">
        <v>22544</v>
      </c>
      <c r="DB596" t="s">
        <v>13808</v>
      </c>
      <c r="DG596" t="s">
        <v>22545</v>
      </c>
      <c r="DH596" t="s">
        <v>13808</v>
      </c>
      <c r="DM596" t="s">
        <v>22546</v>
      </c>
      <c r="DN596" t="s">
        <v>13808</v>
      </c>
      <c r="DO596" t="s">
        <v>14947</v>
      </c>
      <c r="DP596" t="s">
        <v>22547</v>
      </c>
      <c r="DQ596" t="s">
        <v>13808</v>
      </c>
      <c r="DR596" t="s">
        <v>22548</v>
      </c>
      <c r="DY596" t="s">
        <v>13840</v>
      </c>
      <c r="DZ596" t="s">
        <v>22549</v>
      </c>
      <c r="EA596" t="s">
        <v>14500</v>
      </c>
      <c r="ED596" t="s">
        <v>14276</v>
      </c>
      <c r="EE596" t="s">
        <v>9009</v>
      </c>
    </row>
    <row r="597" spans="1:135">
      <c r="A597" t="s">
        <v>3316</v>
      </c>
      <c r="B597" t="s">
        <v>3161</v>
      </c>
      <c r="C597" t="s">
        <v>22550</v>
      </c>
      <c r="D597" s="24">
        <v>43693</v>
      </c>
      <c r="E597" s="24" t="s">
        <v>13553</v>
      </c>
      <c r="F597" s="24" t="s">
        <v>22551</v>
      </c>
      <c r="G597" s="24" t="s">
        <v>13808</v>
      </c>
      <c r="H597" s="24"/>
      <c r="I597" s="24" t="s">
        <v>13809</v>
      </c>
      <c r="J597" s="24"/>
      <c r="K597" s="24" t="s">
        <v>13809</v>
      </c>
      <c r="L597" s="24"/>
      <c r="M597" s="24" t="s">
        <v>14428</v>
      </c>
      <c r="N597" s="24" t="s">
        <v>13808</v>
      </c>
      <c r="O597" s="24"/>
      <c r="P597" s="24" t="s">
        <v>13808</v>
      </c>
      <c r="Q597" s="24"/>
      <c r="R597" s="24" t="s">
        <v>13808</v>
      </c>
      <c r="S597" s="24"/>
      <c r="T597" t="s">
        <v>14016</v>
      </c>
      <c r="U597" t="s">
        <v>13809</v>
      </c>
      <c r="W597" t="s">
        <v>13808</v>
      </c>
      <c r="X597" t="s">
        <v>22552</v>
      </c>
      <c r="Y597" t="s">
        <v>13808</v>
      </c>
      <c r="AA597" t="s">
        <v>13877</v>
      </c>
      <c r="AB597" t="s">
        <v>14706</v>
      </c>
      <c r="AC597" t="s">
        <v>13808</v>
      </c>
      <c r="AH597" t="s">
        <v>13909</v>
      </c>
      <c r="AI597" t="s">
        <v>13808</v>
      </c>
      <c r="AO597" t="s">
        <v>13809</v>
      </c>
      <c r="AT597" t="s">
        <v>22553</v>
      </c>
      <c r="AU597" t="s">
        <v>13808</v>
      </c>
      <c r="AZ597" t="s">
        <v>14169</v>
      </c>
      <c r="BA597" t="s">
        <v>13808</v>
      </c>
      <c r="BF597" t="s">
        <v>14170</v>
      </c>
      <c r="BG597" t="s">
        <v>13808</v>
      </c>
      <c r="BL597" t="s">
        <v>18625</v>
      </c>
      <c r="BM597" t="s">
        <v>13808</v>
      </c>
      <c r="BR597" t="s">
        <v>22554</v>
      </c>
      <c r="BT597" t="s">
        <v>13809</v>
      </c>
      <c r="BY597" t="s">
        <v>13887</v>
      </c>
      <c r="BZ597" t="s">
        <v>13808</v>
      </c>
      <c r="CA597" t="s">
        <v>14026</v>
      </c>
      <c r="CE597" t="s">
        <v>14265</v>
      </c>
      <c r="CF597" t="s">
        <v>13808</v>
      </c>
      <c r="CG597" t="s">
        <v>14025</v>
      </c>
      <c r="CL597" t="s">
        <v>13809</v>
      </c>
      <c r="CR597" t="s">
        <v>13809</v>
      </c>
      <c r="CT597" t="s">
        <v>14027</v>
      </c>
      <c r="CU597" t="s">
        <v>22555</v>
      </c>
      <c r="CV597" t="s">
        <v>13808</v>
      </c>
      <c r="DA597" t="s">
        <v>22556</v>
      </c>
      <c r="DB597" t="s">
        <v>13808</v>
      </c>
      <c r="DH597" t="s">
        <v>13809</v>
      </c>
      <c r="DM597" t="s">
        <v>22557</v>
      </c>
      <c r="DN597" t="s">
        <v>13808</v>
      </c>
      <c r="DO597" t="s">
        <v>22558</v>
      </c>
      <c r="DY597" t="s">
        <v>13900</v>
      </c>
      <c r="DZ597" t="s">
        <v>22559</v>
      </c>
      <c r="EA597" t="s">
        <v>22560</v>
      </c>
      <c r="EC597">
        <v>43782</v>
      </c>
      <c r="ED597" t="s">
        <v>14501</v>
      </c>
      <c r="EE597" t="s">
        <v>8021</v>
      </c>
    </row>
    <row r="598" spans="1:135">
      <c r="A598" t="s">
        <v>3730</v>
      </c>
      <c r="B598" t="s">
        <v>3808</v>
      </c>
      <c r="C598" t="s">
        <v>22561</v>
      </c>
      <c r="D598" s="24">
        <v>43754</v>
      </c>
      <c r="E598" s="24" t="s">
        <v>13553</v>
      </c>
      <c r="F598" s="24" t="s">
        <v>22562</v>
      </c>
      <c r="G598" s="24" t="s">
        <v>13808</v>
      </c>
      <c r="H598" s="24"/>
      <c r="I598" s="24" t="s">
        <v>13809</v>
      </c>
      <c r="J598" s="24"/>
      <c r="K598" s="24" t="s">
        <v>13809</v>
      </c>
      <c r="L598" s="24"/>
      <c r="M598" s="24" t="s">
        <v>14163</v>
      </c>
      <c r="N598" s="24" t="s">
        <v>13808</v>
      </c>
      <c r="O598" s="24"/>
      <c r="P598" s="24" t="s">
        <v>13808</v>
      </c>
      <c r="Q598" s="24"/>
      <c r="R598" s="24" t="s">
        <v>13808</v>
      </c>
      <c r="S598" s="24"/>
      <c r="T598" t="s">
        <v>14016</v>
      </c>
      <c r="U598" t="s">
        <v>13808</v>
      </c>
      <c r="W598" t="s">
        <v>13808</v>
      </c>
      <c r="X598" t="s">
        <v>22563</v>
      </c>
      <c r="Y598" t="s">
        <v>13809</v>
      </c>
      <c r="AA598" t="s">
        <v>13877</v>
      </c>
      <c r="AB598" t="s">
        <v>20907</v>
      </c>
      <c r="AC598" t="s">
        <v>13808</v>
      </c>
      <c r="AH598" t="s">
        <v>13909</v>
      </c>
      <c r="AI598" t="s">
        <v>13808</v>
      </c>
      <c r="AN598" t="s">
        <v>22564</v>
      </c>
      <c r="AO598" t="s">
        <v>13808</v>
      </c>
      <c r="AT598" t="s">
        <v>22565</v>
      </c>
      <c r="AU598" t="s">
        <v>13808</v>
      </c>
      <c r="AZ598" t="s">
        <v>22566</v>
      </c>
      <c r="BA598" t="s">
        <v>13808</v>
      </c>
      <c r="BF598" t="s">
        <v>15209</v>
      </c>
      <c r="BG598" t="s">
        <v>13808</v>
      </c>
      <c r="BL598" t="s">
        <v>22567</v>
      </c>
      <c r="BM598" t="s">
        <v>13808</v>
      </c>
      <c r="BR598" t="s">
        <v>22568</v>
      </c>
      <c r="BT598" t="s">
        <v>13809</v>
      </c>
      <c r="BY598" t="s">
        <v>16201</v>
      </c>
      <c r="BZ598" t="s">
        <v>13808</v>
      </c>
      <c r="CA598" t="s">
        <v>14026</v>
      </c>
      <c r="CE598" t="s">
        <v>13887</v>
      </c>
      <c r="CF598" t="s">
        <v>13808</v>
      </c>
      <c r="CG598" t="s">
        <v>14128</v>
      </c>
      <c r="CL598" t="s">
        <v>13809</v>
      </c>
      <c r="CR598" t="s">
        <v>13809</v>
      </c>
      <c r="CT598" t="s">
        <v>22569</v>
      </c>
      <c r="CU598" t="s">
        <v>22570</v>
      </c>
      <c r="CV598" t="s">
        <v>13808</v>
      </c>
      <c r="DA598" t="s">
        <v>22571</v>
      </c>
      <c r="DB598" t="s">
        <v>13808</v>
      </c>
      <c r="DH598" t="s">
        <v>13809</v>
      </c>
      <c r="DM598" t="s">
        <v>22572</v>
      </c>
      <c r="DN598" t="s">
        <v>13808</v>
      </c>
      <c r="DP598" t="s">
        <v>22573</v>
      </c>
      <c r="DQ598" t="s">
        <v>13808</v>
      </c>
      <c r="DY598" t="s">
        <v>13900</v>
      </c>
      <c r="DZ598" t="s">
        <v>22574</v>
      </c>
      <c r="EA598" t="s">
        <v>13922</v>
      </c>
      <c r="EC598">
        <v>43789</v>
      </c>
      <c r="ED598" t="s">
        <v>13903</v>
      </c>
      <c r="EE598" t="s">
        <v>8712</v>
      </c>
    </row>
    <row r="599" spans="1:135">
      <c r="A599" t="s">
        <v>3321</v>
      </c>
      <c r="B599" t="s">
        <v>3161</v>
      </c>
      <c r="C599" t="s">
        <v>22575</v>
      </c>
      <c r="D599" s="24">
        <v>43700</v>
      </c>
      <c r="E599" s="24" t="s">
        <v>13553</v>
      </c>
      <c r="F599" s="24" t="s">
        <v>22576</v>
      </c>
      <c r="G599" s="24" t="s">
        <v>13808</v>
      </c>
      <c r="H599" s="24"/>
      <c r="I599" s="24" t="s">
        <v>13809</v>
      </c>
      <c r="J599" s="24"/>
      <c r="K599" s="24" t="s">
        <v>13809</v>
      </c>
      <c r="L599" s="24"/>
      <c r="M599" s="24" t="s">
        <v>14163</v>
      </c>
      <c r="N599" s="24" t="s">
        <v>13808</v>
      </c>
      <c r="O599" s="24"/>
      <c r="P599" s="24" t="s">
        <v>13808</v>
      </c>
      <c r="Q599" s="24"/>
      <c r="R599" s="24" t="s">
        <v>13808</v>
      </c>
      <c r="S599" s="24"/>
      <c r="T599" t="s">
        <v>19261</v>
      </c>
      <c r="U599" t="s">
        <v>13809</v>
      </c>
      <c r="W599" t="s">
        <v>13808</v>
      </c>
      <c r="X599" t="s">
        <v>22577</v>
      </c>
      <c r="Y599" t="s">
        <v>13809</v>
      </c>
      <c r="AA599" t="s">
        <v>13877</v>
      </c>
      <c r="AB599" t="s">
        <v>22578</v>
      </c>
      <c r="AC599" t="s">
        <v>13808</v>
      </c>
      <c r="AH599" t="s">
        <v>13909</v>
      </c>
      <c r="AI599" t="s">
        <v>13808</v>
      </c>
      <c r="AN599" t="s">
        <v>16105</v>
      </c>
      <c r="AO599" t="s">
        <v>13808</v>
      </c>
      <c r="AT599" t="s">
        <v>22579</v>
      </c>
      <c r="AU599" t="s">
        <v>13808</v>
      </c>
      <c r="AZ599" t="s">
        <v>22580</v>
      </c>
      <c r="BA599" t="s">
        <v>13808</v>
      </c>
      <c r="BF599" t="s">
        <v>15883</v>
      </c>
      <c r="BG599" t="s">
        <v>13808</v>
      </c>
      <c r="BL599" t="s">
        <v>22581</v>
      </c>
      <c r="BM599" t="s">
        <v>13808</v>
      </c>
      <c r="BR599" t="s">
        <v>22582</v>
      </c>
      <c r="BS599" t="s">
        <v>14003</v>
      </c>
      <c r="BT599" t="s">
        <v>13808</v>
      </c>
      <c r="BU599" t="s">
        <v>22583</v>
      </c>
      <c r="BY599" t="s">
        <v>14003</v>
      </c>
      <c r="BZ599" t="s">
        <v>13808</v>
      </c>
      <c r="CA599" t="s">
        <v>14026</v>
      </c>
      <c r="CE599" t="s">
        <v>14003</v>
      </c>
      <c r="CF599" t="s">
        <v>13808</v>
      </c>
      <c r="CG599" t="s">
        <v>14173</v>
      </c>
      <c r="CK599" t="s">
        <v>14003</v>
      </c>
      <c r="CL599" t="s">
        <v>13808</v>
      </c>
      <c r="CR599" t="s">
        <v>13809</v>
      </c>
      <c r="CT599" t="s">
        <v>22584</v>
      </c>
      <c r="CU599" t="s">
        <v>22585</v>
      </c>
      <c r="CV599" t="s">
        <v>13808</v>
      </c>
      <c r="DA599" t="s">
        <v>22586</v>
      </c>
      <c r="DB599" t="s">
        <v>13808</v>
      </c>
      <c r="DH599" t="s">
        <v>13809</v>
      </c>
      <c r="DM599" t="s">
        <v>22587</v>
      </c>
      <c r="DN599" t="s">
        <v>13897</v>
      </c>
      <c r="DP599" t="s">
        <v>22588</v>
      </c>
      <c r="DQ599" t="s">
        <v>13808</v>
      </c>
      <c r="DY599" t="s">
        <v>15828</v>
      </c>
      <c r="DZ599" t="s">
        <v>22589</v>
      </c>
      <c r="EA599" t="s">
        <v>16557</v>
      </c>
      <c r="ED599" t="s">
        <v>13903</v>
      </c>
      <c r="EE599" t="s">
        <v>8024</v>
      </c>
    </row>
    <row r="600" spans="1:135">
      <c r="A600" t="s">
        <v>3754</v>
      </c>
      <c r="B600" t="s">
        <v>3619</v>
      </c>
      <c r="C600" t="s">
        <v>22590</v>
      </c>
      <c r="D600" s="24">
        <v>43697</v>
      </c>
      <c r="E600" s="24" t="s">
        <v>13553</v>
      </c>
      <c r="F600" s="24" t="s">
        <v>22591</v>
      </c>
      <c r="G600" s="24" t="s">
        <v>13808</v>
      </c>
      <c r="H600" s="24"/>
      <c r="I600" s="24" t="s">
        <v>13809</v>
      </c>
      <c r="J600" s="24"/>
      <c r="K600" s="24" t="s">
        <v>13808</v>
      </c>
      <c r="L600" s="24"/>
      <c r="M600" s="24" t="s">
        <v>14163</v>
      </c>
      <c r="N600" s="24" t="s">
        <v>13808</v>
      </c>
      <c r="O600" s="24"/>
      <c r="P600" s="24" t="s">
        <v>13808</v>
      </c>
      <c r="Q600" s="24"/>
      <c r="R600" s="24" t="s">
        <v>13808</v>
      </c>
      <c r="S600" s="24"/>
      <c r="T600" t="s">
        <v>14016</v>
      </c>
      <c r="U600" t="s">
        <v>13808</v>
      </c>
      <c r="W600" t="s">
        <v>13808</v>
      </c>
      <c r="X600" t="s">
        <v>22592</v>
      </c>
      <c r="Y600" t="s">
        <v>13809</v>
      </c>
      <c r="AA600" t="s">
        <v>13877</v>
      </c>
      <c r="AB600" t="s">
        <v>22593</v>
      </c>
      <c r="AC600" t="s">
        <v>13808</v>
      </c>
      <c r="AH600" t="s">
        <v>13909</v>
      </c>
      <c r="AI600" t="s">
        <v>13808</v>
      </c>
      <c r="AO600" t="s">
        <v>13809</v>
      </c>
      <c r="AT600" t="s">
        <v>14732</v>
      </c>
      <c r="AU600" t="s">
        <v>13808</v>
      </c>
      <c r="AZ600" t="s">
        <v>15883</v>
      </c>
      <c r="BA600" t="s">
        <v>13808</v>
      </c>
      <c r="BF600" t="s">
        <v>14416</v>
      </c>
      <c r="BG600" t="s">
        <v>13808</v>
      </c>
      <c r="BL600" t="s">
        <v>14705</v>
      </c>
      <c r="BM600" t="s">
        <v>13808</v>
      </c>
      <c r="BR600" t="s">
        <v>22594</v>
      </c>
      <c r="BT600" t="s">
        <v>13809</v>
      </c>
      <c r="BY600" t="s">
        <v>13887</v>
      </c>
      <c r="BZ600" t="s">
        <v>13808</v>
      </c>
      <c r="CA600" t="s">
        <v>14622</v>
      </c>
      <c r="CF600" t="s">
        <v>13809</v>
      </c>
      <c r="CK600" t="s">
        <v>13887</v>
      </c>
      <c r="CL600" t="s">
        <v>13808</v>
      </c>
      <c r="CM600" t="s">
        <v>22595</v>
      </c>
      <c r="CR600" t="s">
        <v>13809</v>
      </c>
      <c r="CT600" t="s">
        <v>22596</v>
      </c>
      <c r="CU600" t="s">
        <v>22597</v>
      </c>
      <c r="CV600" t="s">
        <v>13808</v>
      </c>
      <c r="DA600" t="s">
        <v>22598</v>
      </c>
      <c r="DB600" t="s">
        <v>13808</v>
      </c>
      <c r="DG600" t="s">
        <v>13909</v>
      </c>
      <c r="DH600" t="s">
        <v>13808</v>
      </c>
      <c r="DM600" t="s">
        <v>22599</v>
      </c>
      <c r="DN600" t="s">
        <v>13808</v>
      </c>
      <c r="DO600" t="s">
        <v>22600</v>
      </c>
      <c r="DP600" t="s">
        <v>22601</v>
      </c>
      <c r="DQ600" t="s">
        <v>13808</v>
      </c>
      <c r="DR600" t="s">
        <v>22602</v>
      </c>
      <c r="DY600" t="s">
        <v>22603</v>
      </c>
      <c r="DZ600" t="s">
        <v>22604</v>
      </c>
      <c r="EA600" t="s">
        <v>13922</v>
      </c>
      <c r="ED600" t="s">
        <v>13903</v>
      </c>
      <c r="EE600" t="s">
        <v>8547</v>
      </c>
    </row>
    <row r="601" spans="1:135">
      <c r="A601" t="s">
        <v>3768</v>
      </c>
      <c r="B601" t="s">
        <v>3161</v>
      </c>
      <c r="C601" t="s">
        <v>22605</v>
      </c>
      <c r="D601" s="24">
        <v>44063</v>
      </c>
      <c r="E601" s="24" t="s">
        <v>13553</v>
      </c>
      <c r="F601" s="24" t="s">
        <v>22606</v>
      </c>
      <c r="G601" s="24" t="s">
        <v>13808</v>
      </c>
      <c r="H601" s="24"/>
      <c r="I601" s="24" t="s">
        <v>13809</v>
      </c>
      <c r="J601" s="24"/>
      <c r="K601" s="24" t="s">
        <v>13809</v>
      </c>
      <c r="L601" s="24"/>
      <c r="M601" s="24" t="s">
        <v>17316</v>
      </c>
      <c r="N601" s="24" t="s">
        <v>13808</v>
      </c>
      <c r="O601" s="24"/>
      <c r="P601" s="24" t="s">
        <v>13808</v>
      </c>
      <c r="Q601" s="24"/>
      <c r="R601" s="24" t="s">
        <v>13808</v>
      </c>
      <c r="S601" s="24"/>
      <c r="T601" t="s">
        <v>14429</v>
      </c>
      <c r="U601" t="s">
        <v>13809</v>
      </c>
      <c r="W601" t="s">
        <v>13808</v>
      </c>
      <c r="X601" t="s">
        <v>22607</v>
      </c>
      <c r="Y601" t="s">
        <v>13809</v>
      </c>
      <c r="AA601" t="s">
        <v>13877</v>
      </c>
      <c r="AB601" t="s">
        <v>14366</v>
      </c>
      <c r="AC601" t="s">
        <v>13808</v>
      </c>
      <c r="AH601" t="s">
        <v>13909</v>
      </c>
      <c r="AI601" t="s">
        <v>13808</v>
      </c>
      <c r="AN601" t="s">
        <v>13809</v>
      </c>
      <c r="AT601" t="s">
        <v>14732</v>
      </c>
      <c r="AU601" t="s">
        <v>13808</v>
      </c>
      <c r="AZ601" t="s">
        <v>22608</v>
      </c>
      <c r="BA601" t="s">
        <v>13808</v>
      </c>
      <c r="BF601" t="s">
        <v>14046</v>
      </c>
      <c r="BG601" t="s">
        <v>13808</v>
      </c>
      <c r="BL601" t="s">
        <v>14705</v>
      </c>
      <c r="BM601" t="s">
        <v>13808</v>
      </c>
      <c r="BR601" t="s">
        <v>22609</v>
      </c>
      <c r="BS601" t="s">
        <v>14693</v>
      </c>
      <c r="BT601" t="s">
        <v>13808</v>
      </c>
      <c r="BU601" t="s">
        <v>22610</v>
      </c>
      <c r="BY601" t="s">
        <v>14265</v>
      </c>
      <c r="BZ601" t="s">
        <v>13808</v>
      </c>
      <c r="CA601" t="s">
        <v>14026</v>
      </c>
      <c r="CE601" t="s">
        <v>13809</v>
      </c>
      <c r="CK601" t="s">
        <v>13809</v>
      </c>
      <c r="CR601" t="s">
        <v>13809</v>
      </c>
      <c r="CT601" t="s">
        <v>22611</v>
      </c>
      <c r="CU601" t="s">
        <v>22612</v>
      </c>
      <c r="CV601" t="s">
        <v>13808</v>
      </c>
      <c r="DA601" t="s">
        <v>22613</v>
      </c>
      <c r="DB601" t="s">
        <v>13808</v>
      </c>
      <c r="DM601" t="s">
        <v>22614</v>
      </c>
      <c r="DN601" t="s">
        <v>13808</v>
      </c>
      <c r="DO601" t="s">
        <v>22615</v>
      </c>
      <c r="DP601" t="s">
        <v>22616</v>
      </c>
      <c r="DQ601" t="s">
        <v>13808</v>
      </c>
      <c r="DR601" t="s">
        <v>14947</v>
      </c>
      <c r="DY601" t="s">
        <v>13900</v>
      </c>
      <c r="DZ601" t="s">
        <v>22617</v>
      </c>
      <c r="EA601" t="s">
        <v>14500</v>
      </c>
      <c r="ED601" t="s">
        <v>13903</v>
      </c>
      <c r="EE601" t="s">
        <v>8026</v>
      </c>
    </row>
    <row r="602" spans="1:135">
      <c r="A602" t="s">
        <v>12060</v>
      </c>
      <c r="B602" t="s">
        <v>3161</v>
      </c>
      <c r="C602" t="s">
        <v>22618</v>
      </c>
      <c r="D602" s="24">
        <v>44764</v>
      </c>
      <c r="E602" s="24" t="s">
        <v>13561</v>
      </c>
      <c r="F602" s="24" t="s">
        <v>22619</v>
      </c>
      <c r="G602" s="24" t="s">
        <v>13818</v>
      </c>
      <c r="H602" s="24"/>
      <c r="I602" s="24" t="s">
        <v>13809</v>
      </c>
      <c r="J602" s="24"/>
      <c r="K602" s="24" t="s">
        <v>13809</v>
      </c>
      <c r="L602" s="24"/>
      <c r="M602" s="24" t="s">
        <v>22620</v>
      </c>
      <c r="N602" s="24" t="s">
        <v>13818</v>
      </c>
      <c r="O602" s="24"/>
      <c r="P602" s="24" t="s">
        <v>13808</v>
      </c>
      <c r="Q602" s="24"/>
      <c r="R602" s="24" t="s">
        <v>13808</v>
      </c>
      <c r="S602" s="24"/>
      <c r="T602" t="s">
        <v>18531</v>
      </c>
      <c r="U602" t="s">
        <v>13809</v>
      </c>
      <c r="Y602" t="s">
        <v>13809</v>
      </c>
      <c r="AA602" t="s">
        <v>22621</v>
      </c>
      <c r="AB602" t="s">
        <v>13699</v>
      </c>
      <c r="AC602" t="s">
        <v>13809</v>
      </c>
      <c r="AH602" t="s">
        <v>22622</v>
      </c>
      <c r="AI602" t="s">
        <v>13818</v>
      </c>
      <c r="AJ602" t="s">
        <v>13819</v>
      </c>
      <c r="AN602" t="s">
        <v>13711</v>
      </c>
      <c r="AO602" t="s">
        <v>13809</v>
      </c>
      <c r="AT602" t="s">
        <v>22623</v>
      </c>
      <c r="AU602" t="s">
        <v>13818</v>
      </c>
      <c r="AV602" t="s">
        <v>13819</v>
      </c>
      <c r="AZ602" t="s">
        <v>15501</v>
      </c>
      <c r="BA602" t="s">
        <v>13818</v>
      </c>
      <c r="BB602" t="s">
        <v>13819</v>
      </c>
      <c r="BF602" t="s">
        <v>22005</v>
      </c>
      <c r="BG602" t="s">
        <v>13818</v>
      </c>
      <c r="BH602" t="s">
        <v>13819</v>
      </c>
      <c r="BL602" t="s">
        <v>13735</v>
      </c>
      <c r="BM602" t="s">
        <v>13809</v>
      </c>
      <c r="BR602" t="s">
        <v>22624</v>
      </c>
      <c r="BS602" t="s">
        <v>13742</v>
      </c>
      <c r="BT602" t="s">
        <v>13809</v>
      </c>
      <c r="BY602" t="s">
        <v>13826</v>
      </c>
      <c r="BZ602" t="s">
        <v>13818</v>
      </c>
      <c r="CA602" t="s">
        <v>22625</v>
      </c>
      <c r="CE602" t="s">
        <v>13754</v>
      </c>
      <c r="CF602" t="s">
        <v>13809</v>
      </c>
      <c r="CK602" t="s">
        <v>13760</v>
      </c>
      <c r="CL602" t="s">
        <v>13809</v>
      </c>
      <c r="CQ602" t="s">
        <v>13766</v>
      </c>
      <c r="CR602" t="s">
        <v>13809</v>
      </c>
      <c r="CT602" t="s">
        <v>14781</v>
      </c>
      <c r="CU602" t="s">
        <v>22626</v>
      </c>
      <c r="CV602" t="s">
        <v>13818</v>
      </c>
      <c r="DA602" t="s">
        <v>22627</v>
      </c>
      <c r="DB602" t="s">
        <v>13818</v>
      </c>
      <c r="DM602" t="s">
        <v>22628</v>
      </c>
      <c r="DN602" t="s">
        <v>13818</v>
      </c>
      <c r="DO602" t="s">
        <v>13839</v>
      </c>
      <c r="DY602" t="s">
        <v>14606</v>
      </c>
      <c r="DZ602" t="s">
        <v>13841</v>
      </c>
      <c r="EA602" t="s">
        <v>13842</v>
      </c>
      <c r="EC602">
        <v>44775</v>
      </c>
      <c r="ED602" t="s">
        <v>14298</v>
      </c>
      <c r="EE602" t="s">
        <v>13632</v>
      </c>
    </row>
    <row r="603" spans="1:135">
      <c r="A603" t="s">
        <v>3579</v>
      </c>
      <c r="B603" t="s">
        <v>3506</v>
      </c>
      <c r="C603" t="s">
        <v>22629</v>
      </c>
      <c r="D603" s="24">
        <v>43742</v>
      </c>
      <c r="E603" s="24" t="s">
        <v>13553</v>
      </c>
      <c r="F603" s="24" t="s">
        <v>22630</v>
      </c>
      <c r="G603" s="24" t="s">
        <v>13808</v>
      </c>
      <c r="H603" s="24"/>
      <c r="I603" s="24" t="s">
        <v>13809</v>
      </c>
      <c r="J603" s="24"/>
      <c r="K603" s="24" t="s">
        <v>13809</v>
      </c>
      <c r="L603" s="24"/>
      <c r="M603" s="24" t="s">
        <v>13846</v>
      </c>
      <c r="N603" s="24" t="s">
        <v>13808</v>
      </c>
      <c r="O603" s="24"/>
      <c r="P603" s="24" t="s">
        <v>13808</v>
      </c>
      <c r="Q603" s="24"/>
      <c r="R603" s="24" t="s">
        <v>13808</v>
      </c>
      <c r="S603" s="24"/>
      <c r="T603" t="s">
        <v>14016</v>
      </c>
      <c r="U603" t="s">
        <v>13808</v>
      </c>
      <c r="W603" t="s">
        <v>13808</v>
      </c>
      <c r="X603" t="s">
        <v>22631</v>
      </c>
      <c r="Y603" t="s">
        <v>13809</v>
      </c>
      <c r="AA603" t="s">
        <v>13877</v>
      </c>
      <c r="AB603" t="s">
        <v>14732</v>
      </c>
      <c r="AC603" t="s">
        <v>13808</v>
      </c>
      <c r="AH603" t="s">
        <v>13909</v>
      </c>
      <c r="AI603" t="s">
        <v>13808</v>
      </c>
      <c r="AO603" t="s">
        <v>13809</v>
      </c>
      <c r="AT603" t="s">
        <v>15023</v>
      </c>
      <c r="AU603" t="s">
        <v>13808</v>
      </c>
      <c r="AZ603" t="s">
        <v>14945</v>
      </c>
      <c r="BA603" t="s">
        <v>13808</v>
      </c>
      <c r="BF603" t="s">
        <v>22632</v>
      </c>
      <c r="BG603" t="s">
        <v>13808</v>
      </c>
      <c r="BL603" t="s">
        <v>16405</v>
      </c>
      <c r="BM603" t="s">
        <v>13808</v>
      </c>
      <c r="BR603" t="s">
        <v>22633</v>
      </c>
      <c r="BT603" t="s">
        <v>13809</v>
      </c>
      <c r="BY603" t="s">
        <v>13887</v>
      </c>
      <c r="BZ603" t="s">
        <v>13808</v>
      </c>
      <c r="CA603" t="s">
        <v>14026</v>
      </c>
      <c r="CE603" t="s">
        <v>14265</v>
      </c>
      <c r="CF603" t="s">
        <v>13808</v>
      </c>
      <c r="CG603" t="s">
        <v>14128</v>
      </c>
      <c r="CL603" t="s">
        <v>13809</v>
      </c>
      <c r="CR603" t="s">
        <v>13809</v>
      </c>
      <c r="CT603" t="s">
        <v>22634</v>
      </c>
      <c r="CU603" t="s">
        <v>22635</v>
      </c>
      <c r="CV603" t="s">
        <v>13808</v>
      </c>
      <c r="DA603" t="s">
        <v>22636</v>
      </c>
      <c r="DB603" t="s">
        <v>13808</v>
      </c>
      <c r="DH603" t="s">
        <v>13809</v>
      </c>
      <c r="DM603" t="s">
        <v>22637</v>
      </c>
      <c r="DN603" t="s">
        <v>13808</v>
      </c>
      <c r="DP603" t="s">
        <v>22638</v>
      </c>
      <c r="DQ603" t="s">
        <v>13808</v>
      </c>
      <c r="DY603" t="s">
        <v>13900</v>
      </c>
      <c r="DZ603" t="s">
        <v>18736</v>
      </c>
      <c r="EA603" t="s">
        <v>14500</v>
      </c>
      <c r="EC603">
        <v>43753</v>
      </c>
      <c r="ED603" t="s">
        <v>13903</v>
      </c>
      <c r="EE603" t="s">
        <v>8366</v>
      </c>
    </row>
    <row r="604" spans="1:135">
      <c r="A604" t="s">
        <v>3758</v>
      </c>
      <c r="B604" t="s">
        <v>3619</v>
      </c>
      <c r="C604" t="s">
        <v>22639</v>
      </c>
      <c r="D604" s="24">
        <v>43704</v>
      </c>
      <c r="E604" s="24" t="s">
        <v>13553</v>
      </c>
      <c r="F604" s="24" t="s">
        <v>22640</v>
      </c>
      <c r="G604" s="24" t="s">
        <v>13808</v>
      </c>
      <c r="H604" s="24"/>
      <c r="I604" s="24" t="s">
        <v>13809</v>
      </c>
      <c r="J604" s="24"/>
      <c r="K604" s="24" t="s">
        <v>13809</v>
      </c>
      <c r="L604" s="24"/>
      <c r="M604" s="24" t="s">
        <v>14163</v>
      </c>
      <c r="N604" s="24" t="s">
        <v>13808</v>
      </c>
      <c r="O604" s="24"/>
      <c r="P604" s="24" t="s">
        <v>13808</v>
      </c>
      <c r="Q604" s="24"/>
      <c r="R604" s="24" t="s">
        <v>13808</v>
      </c>
      <c r="S604" s="24"/>
      <c r="T604" t="s">
        <v>14016</v>
      </c>
      <c r="U604" t="s">
        <v>13809</v>
      </c>
      <c r="W604" t="s">
        <v>13808</v>
      </c>
      <c r="X604" t="s">
        <v>22641</v>
      </c>
      <c r="Y604" t="s">
        <v>13809</v>
      </c>
      <c r="AA604" t="s">
        <v>13877</v>
      </c>
      <c r="AB604" t="s">
        <v>14852</v>
      </c>
      <c r="AC604" t="s">
        <v>13808</v>
      </c>
      <c r="AH604" t="s">
        <v>13909</v>
      </c>
      <c r="AI604" t="s">
        <v>13808</v>
      </c>
      <c r="AO604" t="s">
        <v>13809</v>
      </c>
      <c r="AT604" t="s">
        <v>15626</v>
      </c>
      <c r="AU604" t="s">
        <v>13808</v>
      </c>
      <c r="AZ604" t="s">
        <v>22642</v>
      </c>
      <c r="BA604" t="s">
        <v>13808</v>
      </c>
      <c r="BF604" t="s">
        <v>15123</v>
      </c>
      <c r="BG604" t="s">
        <v>13808</v>
      </c>
      <c r="BL604" t="s">
        <v>22643</v>
      </c>
      <c r="BM604" t="s">
        <v>13808</v>
      </c>
      <c r="BR604" t="s">
        <v>22644</v>
      </c>
      <c r="BT604" t="s">
        <v>13809</v>
      </c>
      <c r="BY604" t="s">
        <v>13887</v>
      </c>
      <c r="BZ604" t="s">
        <v>13808</v>
      </c>
      <c r="CA604" t="s">
        <v>14026</v>
      </c>
      <c r="CF604" t="s">
        <v>13809</v>
      </c>
      <c r="CK604" t="s">
        <v>13887</v>
      </c>
      <c r="CL604" t="s">
        <v>13808</v>
      </c>
      <c r="CM604" t="s">
        <v>17355</v>
      </c>
      <c r="CR604" t="s">
        <v>13809</v>
      </c>
      <c r="CT604" t="s">
        <v>22645</v>
      </c>
      <c r="CU604" t="s">
        <v>22646</v>
      </c>
      <c r="CV604" t="s">
        <v>13808</v>
      </c>
      <c r="DA604" t="s">
        <v>22647</v>
      </c>
      <c r="DB604" t="s">
        <v>13808</v>
      </c>
      <c r="DH604" t="s">
        <v>13809</v>
      </c>
      <c r="DM604" t="s">
        <v>22648</v>
      </c>
      <c r="DN604" t="s">
        <v>13808</v>
      </c>
      <c r="DP604" t="s">
        <v>22649</v>
      </c>
      <c r="DQ604" t="s">
        <v>13808</v>
      </c>
      <c r="DY604" t="s">
        <v>21736</v>
      </c>
      <c r="DZ604" t="s">
        <v>22650</v>
      </c>
      <c r="EA604" t="s">
        <v>16557</v>
      </c>
      <c r="EC604">
        <v>43776</v>
      </c>
      <c r="ED604" t="s">
        <v>13903</v>
      </c>
      <c r="EE604" t="s">
        <v>8549</v>
      </c>
    </row>
    <row r="605" spans="1:135">
      <c r="A605" t="s">
        <v>3485</v>
      </c>
      <c r="B605" t="s">
        <v>3399</v>
      </c>
      <c r="C605" t="s">
        <v>22651</v>
      </c>
      <c r="D605" s="24">
        <v>43623</v>
      </c>
      <c r="E605" s="24" t="s">
        <v>13555</v>
      </c>
      <c r="F605" s="24" t="s">
        <v>22652</v>
      </c>
      <c r="G605" s="24" t="s">
        <v>13808</v>
      </c>
      <c r="H605" s="24"/>
      <c r="I605" s="24" t="s">
        <v>13809</v>
      </c>
      <c r="J605" s="24"/>
      <c r="K605" s="24" t="s">
        <v>13808</v>
      </c>
      <c r="L605" s="24"/>
      <c r="M605" s="24" t="s">
        <v>14163</v>
      </c>
      <c r="N605" s="24" t="s">
        <v>13808</v>
      </c>
      <c r="O605" s="24"/>
      <c r="P605" s="24" t="s">
        <v>13808</v>
      </c>
      <c r="Q605" s="24"/>
      <c r="R605" s="24" t="s">
        <v>13808</v>
      </c>
      <c r="S605" s="24"/>
      <c r="T605" t="s">
        <v>22653</v>
      </c>
      <c r="U605" t="s">
        <v>13808</v>
      </c>
      <c r="V605" t="s">
        <v>22654</v>
      </c>
      <c r="W605" t="s">
        <v>13808</v>
      </c>
      <c r="X605" t="s">
        <v>22655</v>
      </c>
      <c r="Y605" t="s">
        <v>13808</v>
      </c>
      <c r="Z605" t="s">
        <v>22656</v>
      </c>
      <c r="AA605" t="s">
        <v>13877</v>
      </c>
      <c r="AB605" t="s">
        <v>22657</v>
      </c>
      <c r="AC605" t="s">
        <v>13808</v>
      </c>
      <c r="AH605" t="s">
        <v>13909</v>
      </c>
      <c r="AI605" t="s">
        <v>13808</v>
      </c>
      <c r="AJ605" t="s">
        <v>21710</v>
      </c>
      <c r="AO605" t="s">
        <v>13809</v>
      </c>
      <c r="AT605" t="s">
        <v>18925</v>
      </c>
      <c r="AU605" t="s">
        <v>13808</v>
      </c>
      <c r="AZ605" t="s">
        <v>16234</v>
      </c>
      <c r="BA605" t="s">
        <v>13808</v>
      </c>
      <c r="BF605" t="s">
        <v>15822</v>
      </c>
      <c r="BG605" t="s">
        <v>13808</v>
      </c>
      <c r="BL605" t="s">
        <v>16788</v>
      </c>
      <c r="BM605" t="s">
        <v>13897</v>
      </c>
      <c r="BR605" t="s">
        <v>22658</v>
      </c>
      <c r="BT605" t="s">
        <v>13809</v>
      </c>
      <c r="BY605" t="s">
        <v>14265</v>
      </c>
      <c r="BZ605" t="s">
        <v>13808</v>
      </c>
      <c r="CA605" t="s">
        <v>16568</v>
      </c>
      <c r="CE605" t="s">
        <v>14265</v>
      </c>
      <c r="CF605" t="s">
        <v>13808</v>
      </c>
      <c r="CG605" t="s">
        <v>14173</v>
      </c>
      <c r="CL605" t="s">
        <v>13809</v>
      </c>
      <c r="CR605" t="s">
        <v>13809</v>
      </c>
      <c r="CT605" t="s">
        <v>22659</v>
      </c>
      <c r="CU605" t="s">
        <v>22660</v>
      </c>
      <c r="CV605" t="s">
        <v>13808</v>
      </c>
      <c r="CX605" t="s">
        <v>14197</v>
      </c>
      <c r="CY605" t="s">
        <v>13818</v>
      </c>
      <c r="DA605" t="s">
        <v>13909</v>
      </c>
      <c r="DB605" t="s">
        <v>13818</v>
      </c>
      <c r="DH605" t="s">
        <v>13809</v>
      </c>
      <c r="DM605" t="s">
        <v>22661</v>
      </c>
      <c r="DN605" t="s">
        <v>13897</v>
      </c>
      <c r="DY605" t="s">
        <v>22662</v>
      </c>
      <c r="DZ605" t="s">
        <v>22663</v>
      </c>
      <c r="EA605" t="s">
        <v>14461</v>
      </c>
      <c r="EC605">
        <v>44230</v>
      </c>
      <c r="ED605" t="s">
        <v>13903</v>
      </c>
      <c r="EE605" t="s">
        <v>8242</v>
      </c>
    </row>
    <row r="606" spans="1:135">
      <c r="A606" t="s">
        <v>3963</v>
      </c>
      <c r="B606" t="s">
        <v>4051</v>
      </c>
      <c r="C606" t="s">
        <v>22664</v>
      </c>
      <c r="D606" s="24">
        <v>43742</v>
      </c>
      <c r="E606" s="24" t="s">
        <v>13553</v>
      </c>
      <c r="F606" s="24" t="s">
        <v>22665</v>
      </c>
      <c r="G606" s="24" t="s">
        <v>13808</v>
      </c>
      <c r="H606" s="24"/>
      <c r="I606" s="24" t="s">
        <v>13809</v>
      </c>
      <c r="J606" s="24"/>
      <c r="K606" s="24" t="s">
        <v>13809</v>
      </c>
      <c r="L606" s="24"/>
      <c r="M606" s="24" t="s">
        <v>14428</v>
      </c>
      <c r="N606" s="24" t="s">
        <v>13808</v>
      </c>
      <c r="O606" s="24"/>
      <c r="P606" s="24" t="s">
        <v>13808</v>
      </c>
      <c r="Q606" s="24"/>
      <c r="R606" s="24" t="s">
        <v>13808</v>
      </c>
      <c r="S606" s="24"/>
      <c r="T606" t="s">
        <v>16463</v>
      </c>
      <c r="U606" t="s">
        <v>13808</v>
      </c>
      <c r="W606" t="s">
        <v>13808</v>
      </c>
      <c r="X606" t="s">
        <v>22666</v>
      </c>
      <c r="Y606" t="s">
        <v>13809</v>
      </c>
      <c r="AA606" t="s">
        <v>13877</v>
      </c>
      <c r="AB606" t="s">
        <v>22667</v>
      </c>
      <c r="AC606" t="s">
        <v>13808</v>
      </c>
      <c r="AH606" t="s">
        <v>13909</v>
      </c>
      <c r="AI606" t="s">
        <v>13808</v>
      </c>
      <c r="AO606" t="s">
        <v>13809</v>
      </c>
      <c r="AT606" t="s">
        <v>22526</v>
      </c>
      <c r="AU606" t="s">
        <v>13808</v>
      </c>
      <c r="AZ606" t="s">
        <v>14170</v>
      </c>
      <c r="BA606" t="s">
        <v>13808</v>
      </c>
      <c r="BF606" t="s">
        <v>15025</v>
      </c>
      <c r="BG606" t="s">
        <v>13808</v>
      </c>
      <c r="BL606" t="s">
        <v>22668</v>
      </c>
      <c r="BM606" t="s">
        <v>13808</v>
      </c>
      <c r="BR606" t="s">
        <v>22669</v>
      </c>
      <c r="BT606" t="s">
        <v>13809</v>
      </c>
      <c r="BY606" t="s">
        <v>13887</v>
      </c>
      <c r="BZ606" t="s">
        <v>13808</v>
      </c>
      <c r="CA606" t="s">
        <v>14026</v>
      </c>
      <c r="CE606" t="s">
        <v>16201</v>
      </c>
      <c r="CF606" t="s">
        <v>13808</v>
      </c>
      <c r="CG606" t="s">
        <v>14128</v>
      </c>
      <c r="CK606" t="s">
        <v>15138</v>
      </c>
      <c r="CL606" t="s">
        <v>13808</v>
      </c>
      <c r="CR606" t="s">
        <v>13809</v>
      </c>
      <c r="CT606" t="s">
        <v>22670</v>
      </c>
      <c r="CU606" t="s">
        <v>22671</v>
      </c>
      <c r="CV606" t="s">
        <v>13808</v>
      </c>
      <c r="DA606" t="s">
        <v>22672</v>
      </c>
      <c r="DB606" t="s">
        <v>13808</v>
      </c>
      <c r="DH606" t="s">
        <v>13809</v>
      </c>
      <c r="DM606" t="s">
        <v>22673</v>
      </c>
      <c r="DN606" t="s">
        <v>13808</v>
      </c>
      <c r="DO606" t="s">
        <v>22674</v>
      </c>
      <c r="DP606" t="s">
        <v>22675</v>
      </c>
      <c r="DQ606" t="s">
        <v>13808</v>
      </c>
      <c r="DY606" t="s">
        <v>13900</v>
      </c>
      <c r="DZ606" t="s">
        <v>22676</v>
      </c>
      <c r="EA606" t="s">
        <v>16115</v>
      </c>
      <c r="EC606">
        <v>43753</v>
      </c>
      <c r="ED606" t="s">
        <v>14501</v>
      </c>
      <c r="EE606" t="s">
        <v>9013</v>
      </c>
    </row>
    <row r="607" spans="1:135">
      <c r="A607" t="s">
        <v>3584</v>
      </c>
      <c r="B607" t="s">
        <v>3506</v>
      </c>
      <c r="C607" t="s">
        <v>22677</v>
      </c>
      <c r="D607" s="24">
        <v>44288</v>
      </c>
      <c r="E607" s="24" t="s">
        <v>13560</v>
      </c>
      <c r="F607" s="24" t="s">
        <v>22678</v>
      </c>
      <c r="G607" s="24" t="s">
        <v>13808</v>
      </c>
      <c r="H607" s="24"/>
      <c r="I607" s="24" t="s">
        <v>13809</v>
      </c>
      <c r="J607" s="24"/>
      <c r="K607" s="24" t="s">
        <v>13808</v>
      </c>
      <c r="L607" s="24"/>
      <c r="M607" s="24" t="s">
        <v>13846</v>
      </c>
      <c r="N607" s="24" t="s">
        <v>13808</v>
      </c>
      <c r="O607" s="24"/>
      <c r="P607" s="24" t="s">
        <v>13808</v>
      </c>
      <c r="Q607" s="24"/>
      <c r="R607" s="24" t="s">
        <v>13808</v>
      </c>
      <c r="S607" s="24"/>
      <c r="T607" t="s">
        <v>22679</v>
      </c>
      <c r="U607" t="s">
        <v>13808</v>
      </c>
      <c r="V607" t="s">
        <v>22680</v>
      </c>
      <c r="W607" t="s">
        <v>13809</v>
      </c>
      <c r="Y607" t="s">
        <v>13809</v>
      </c>
      <c r="AA607" t="s">
        <v>22681</v>
      </c>
      <c r="AB607" t="s">
        <v>14595</v>
      </c>
      <c r="AC607" t="s">
        <v>13808</v>
      </c>
      <c r="AH607" t="s">
        <v>14003</v>
      </c>
      <c r="AI607" t="s">
        <v>13808</v>
      </c>
      <c r="AK607" t="s">
        <v>14004</v>
      </c>
      <c r="AL607" t="s">
        <v>13818</v>
      </c>
      <c r="AM607" t="s">
        <v>14259</v>
      </c>
      <c r="AO607" t="s">
        <v>13809</v>
      </c>
      <c r="AT607" t="s">
        <v>14189</v>
      </c>
      <c r="AU607" t="s">
        <v>13808</v>
      </c>
      <c r="AZ607" t="s">
        <v>15025</v>
      </c>
      <c r="BA607" t="s">
        <v>13808</v>
      </c>
      <c r="BF607" t="s">
        <v>13882</v>
      </c>
      <c r="BG607" t="s">
        <v>13808</v>
      </c>
      <c r="BM607" t="s">
        <v>13809</v>
      </c>
      <c r="BR607" t="s">
        <v>22682</v>
      </c>
      <c r="BT607" t="s">
        <v>13809</v>
      </c>
      <c r="BY607" t="s">
        <v>14003</v>
      </c>
      <c r="BZ607" t="s">
        <v>13808</v>
      </c>
      <c r="CA607" t="s">
        <v>14528</v>
      </c>
      <c r="CE607" t="s">
        <v>13885</v>
      </c>
      <c r="CF607" t="s">
        <v>13818</v>
      </c>
      <c r="CG607" t="s">
        <v>14259</v>
      </c>
      <c r="CL607" t="s">
        <v>13809</v>
      </c>
      <c r="CR607" t="s">
        <v>13809</v>
      </c>
      <c r="CT607" t="s">
        <v>22683</v>
      </c>
      <c r="CU607" t="s">
        <v>22684</v>
      </c>
      <c r="CV607" t="s">
        <v>13818</v>
      </c>
      <c r="DA607" t="s">
        <v>22685</v>
      </c>
      <c r="DB607" t="s">
        <v>13808</v>
      </c>
      <c r="DD607" t="s">
        <v>14170</v>
      </c>
      <c r="DE607" t="s">
        <v>13818</v>
      </c>
      <c r="DM607" t="s">
        <v>15836</v>
      </c>
      <c r="DN607" t="s">
        <v>13808</v>
      </c>
      <c r="DP607" t="s">
        <v>22686</v>
      </c>
      <c r="DQ607" t="s">
        <v>13818</v>
      </c>
      <c r="DR607" t="s">
        <v>22687</v>
      </c>
      <c r="DY607" t="s">
        <v>14606</v>
      </c>
      <c r="DZ607" t="s">
        <v>22688</v>
      </c>
      <c r="EA607" t="s">
        <v>13842</v>
      </c>
      <c r="ED607" t="s">
        <v>17223</v>
      </c>
      <c r="EE607" t="s">
        <v>8370</v>
      </c>
    </row>
    <row r="608" spans="1:135">
      <c r="A608" t="s">
        <v>12091</v>
      </c>
      <c r="B608" t="s">
        <v>3161</v>
      </c>
      <c r="C608" t="s">
        <v>22689</v>
      </c>
      <c r="D608" s="24">
        <v>43768</v>
      </c>
      <c r="E608" s="24" t="s">
        <v>13553</v>
      </c>
      <c r="F608" s="24" t="s">
        <v>22690</v>
      </c>
      <c r="G608" s="24" t="s">
        <v>13808</v>
      </c>
      <c r="H608" s="24"/>
      <c r="I608" s="24" t="s">
        <v>13809</v>
      </c>
      <c r="J608" s="24"/>
      <c r="K608" s="24" t="s">
        <v>13809</v>
      </c>
      <c r="L608" s="24"/>
      <c r="M608" s="24" t="s">
        <v>17316</v>
      </c>
      <c r="N608" s="24" t="s">
        <v>13808</v>
      </c>
      <c r="O608" s="24"/>
      <c r="P608" s="24" t="s">
        <v>13808</v>
      </c>
      <c r="Q608" s="24"/>
      <c r="R608" s="24" t="s">
        <v>13808</v>
      </c>
      <c r="S608" s="24"/>
      <c r="T608" t="s">
        <v>22691</v>
      </c>
      <c r="U608" t="s">
        <v>13809</v>
      </c>
      <c r="W608" t="s">
        <v>13808</v>
      </c>
      <c r="X608" t="s">
        <v>22692</v>
      </c>
      <c r="Y608" t="s">
        <v>13809</v>
      </c>
      <c r="AA608" t="s">
        <v>13877</v>
      </c>
      <c r="AB608" t="s">
        <v>13809</v>
      </c>
      <c r="AH608" t="s">
        <v>13887</v>
      </c>
      <c r="AI608" t="s">
        <v>13808</v>
      </c>
      <c r="AN608" t="s">
        <v>13809</v>
      </c>
      <c r="AT608" t="s">
        <v>13809</v>
      </c>
      <c r="AZ608" t="s">
        <v>14730</v>
      </c>
      <c r="BA608" t="s">
        <v>13808</v>
      </c>
      <c r="BF608" t="s">
        <v>15025</v>
      </c>
      <c r="BG608" t="s">
        <v>13808</v>
      </c>
      <c r="BL608" t="s">
        <v>13809</v>
      </c>
      <c r="BR608" t="s">
        <v>22693</v>
      </c>
      <c r="BS608" t="s">
        <v>13809</v>
      </c>
      <c r="BY608" t="s">
        <v>13809</v>
      </c>
      <c r="CE608" t="s">
        <v>13809</v>
      </c>
      <c r="CK608" t="s">
        <v>13809</v>
      </c>
      <c r="CR608" t="s">
        <v>13809</v>
      </c>
      <c r="CT608" t="s">
        <v>22694</v>
      </c>
      <c r="DM608" t="s">
        <v>16048</v>
      </c>
      <c r="DN608" t="s">
        <v>13808</v>
      </c>
      <c r="DP608" t="s">
        <v>22695</v>
      </c>
      <c r="DQ608" t="s">
        <v>13808</v>
      </c>
      <c r="DY608" t="s">
        <v>15296</v>
      </c>
      <c r="DZ608" t="s">
        <v>14696</v>
      </c>
      <c r="EA608" t="s">
        <v>14696</v>
      </c>
      <c r="EC608">
        <v>44020</v>
      </c>
      <c r="ED608" t="s">
        <v>14501</v>
      </c>
      <c r="EE608" t="s">
        <v>13633</v>
      </c>
    </row>
    <row r="609" spans="1:135">
      <c r="A609" t="s">
        <v>3783</v>
      </c>
      <c r="B609" t="s">
        <v>3161</v>
      </c>
      <c r="C609" t="s">
        <v>22696</v>
      </c>
      <c r="D609" s="24">
        <v>43768</v>
      </c>
      <c r="E609" s="24" t="s">
        <v>13553</v>
      </c>
      <c r="F609" s="24" t="s">
        <v>22697</v>
      </c>
      <c r="G609" s="24" t="s">
        <v>13808</v>
      </c>
      <c r="H609" s="24"/>
      <c r="I609" s="24" t="s">
        <v>13809</v>
      </c>
      <c r="J609" s="24"/>
      <c r="K609" s="24" t="s">
        <v>13808</v>
      </c>
      <c r="L609" s="24"/>
      <c r="M609" s="24" t="s">
        <v>14163</v>
      </c>
      <c r="N609" s="24" t="s">
        <v>13808</v>
      </c>
      <c r="O609" s="24"/>
      <c r="P609" s="24" t="s">
        <v>13808</v>
      </c>
      <c r="Q609" s="24"/>
      <c r="R609" s="24" t="s">
        <v>13808</v>
      </c>
      <c r="S609" s="24"/>
      <c r="T609" t="s">
        <v>22698</v>
      </c>
      <c r="U609" t="s">
        <v>13809</v>
      </c>
      <c r="W609" t="s">
        <v>13809</v>
      </c>
      <c r="Y609" t="s">
        <v>13809</v>
      </c>
      <c r="AA609" t="s">
        <v>13877</v>
      </c>
      <c r="AB609" t="s">
        <v>13809</v>
      </c>
      <c r="AH609" t="s">
        <v>13887</v>
      </c>
      <c r="AI609" t="s">
        <v>13808</v>
      </c>
      <c r="AN609" t="s">
        <v>13809</v>
      </c>
      <c r="AT609" t="s">
        <v>13809</v>
      </c>
      <c r="AZ609" t="s">
        <v>14416</v>
      </c>
      <c r="BA609" t="s">
        <v>13808</v>
      </c>
      <c r="BF609" t="s">
        <v>14189</v>
      </c>
      <c r="BG609" t="s">
        <v>13808</v>
      </c>
      <c r="BL609" t="s">
        <v>13809</v>
      </c>
      <c r="BR609" t="s">
        <v>22699</v>
      </c>
      <c r="BS609" t="s">
        <v>13809</v>
      </c>
      <c r="BY609" t="s">
        <v>13809</v>
      </c>
      <c r="CE609" t="s">
        <v>13809</v>
      </c>
      <c r="CK609" t="s">
        <v>13887</v>
      </c>
      <c r="CL609" t="s">
        <v>13808</v>
      </c>
      <c r="CM609" t="s">
        <v>22700</v>
      </c>
      <c r="CR609" t="s">
        <v>13809</v>
      </c>
      <c r="CT609" t="s">
        <v>14082</v>
      </c>
      <c r="DM609" t="s">
        <v>22701</v>
      </c>
      <c r="DN609" t="s">
        <v>13808</v>
      </c>
      <c r="DO609" t="s">
        <v>22702</v>
      </c>
      <c r="DY609" t="s">
        <v>14606</v>
      </c>
      <c r="DZ609" t="s">
        <v>13970</v>
      </c>
      <c r="EA609" t="s">
        <v>22703</v>
      </c>
      <c r="EC609">
        <v>44020</v>
      </c>
      <c r="ED609" t="s">
        <v>14501</v>
      </c>
      <c r="EE609" t="s">
        <v>13634</v>
      </c>
    </row>
    <row r="610" spans="1:135">
      <c r="A610" t="s">
        <v>3642</v>
      </c>
      <c r="B610" t="s">
        <v>4051</v>
      </c>
      <c r="C610" t="s">
        <v>22704</v>
      </c>
      <c r="D610" s="24">
        <v>44538</v>
      </c>
      <c r="E610" s="24" t="s">
        <v>13553</v>
      </c>
      <c r="F610" s="24" t="s">
        <v>22705</v>
      </c>
      <c r="G610" s="24" t="s">
        <v>13808</v>
      </c>
      <c r="H610" s="24"/>
      <c r="I610" s="24" t="s">
        <v>13809</v>
      </c>
      <c r="J610" s="24"/>
      <c r="K610" s="24" t="s">
        <v>13809</v>
      </c>
      <c r="L610" s="24"/>
      <c r="M610" s="24" t="s">
        <v>13846</v>
      </c>
      <c r="N610" s="24" t="s">
        <v>13808</v>
      </c>
      <c r="O610" s="24"/>
      <c r="P610" s="24" t="s">
        <v>13808</v>
      </c>
      <c r="Q610" s="24"/>
      <c r="R610" s="24" t="s">
        <v>13808</v>
      </c>
      <c r="S610" s="24"/>
      <c r="T610" t="s">
        <v>20520</v>
      </c>
      <c r="U610" t="s">
        <v>13808</v>
      </c>
      <c r="W610" t="s">
        <v>13808</v>
      </c>
      <c r="X610" t="s">
        <v>22706</v>
      </c>
      <c r="Y610" t="s">
        <v>13809</v>
      </c>
      <c r="AA610" t="s">
        <v>13849</v>
      </c>
      <c r="AB610" t="s">
        <v>16346</v>
      </c>
      <c r="AC610" t="s">
        <v>13808</v>
      </c>
      <c r="AH610" t="s">
        <v>13909</v>
      </c>
      <c r="AI610" t="s">
        <v>13808</v>
      </c>
      <c r="AO610" t="s">
        <v>13809</v>
      </c>
      <c r="AT610" t="s">
        <v>15883</v>
      </c>
      <c r="AU610" t="s">
        <v>13808</v>
      </c>
      <c r="AZ610" t="s">
        <v>16048</v>
      </c>
      <c r="BA610" t="s">
        <v>13808</v>
      </c>
      <c r="BF610" t="s">
        <v>14192</v>
      </c>
      <c r="BG610" t="s">
        <v>13808</v>
      </c>
      <c r="BL610" t="s">
        <v>16405</v>
      </c>
      <c r="BM610" t="s">
        <v>13808</v>
      </c>
      <c r="BR610" t="s">
        <v>22707</v>
      </c>
      <c r="BT610" t="s">
        <v>13809</v>
      </c>
      <c r="BY610" t="s">
        <v>13887</v>
      </c>
      <c r="BZ610" t="s">
        <v>13808</v>
      </c>
      <c r="CA610" t="s">
        <v>13861</v>
      </c>
      <c r="CE610" t="s">
        <v>13885</v>
      </c>
      <c r="CF610" t="s">
        <v>13808</v>
      </c>
      <c r="CG610" t="s">
        <v>13859</v>
      </c>
      <c r="CL610" t="s">
        <v>13809</v>
      </c>
      <c r="CR610" t="s">
        <v>13809</v>
      </c>
      <c r="CT610" t="s">
        <v>14293</v>
      </c>
      <c r="CU610" t="s">
        <v>22708</v>
      </c>
      <c r="CV610" t="s">
        <v>13808</v>
      </c>
      <c r="DA610" t="s">
        <v>22709</v>
      </c>
      <c r="DB610" t="s">
        <v>13808</v>
      </c>
      <c r="DM610" t="s">
        <v>22710</v>
      </c>
      <c r="DN610" t="s">
        <v>13808</v>
      </c>
      <c r="DO610" t="s">
        <v>22711</v>
      </c>
      <c r="DY610" t="s">
        <v>22712</v>
      </c>
      <c r="DZ610" t="s">
        <v>22713</v>
      </c>
      <c r="EA610" t="s">
        <v>14182</v>
      </c>
      <c r="ED610" t="s">
        <v>17223</v>
      </c>
      <c r="EE610" t="s">
        <v>9017</v>
      </c>
    </row>
    <row r="611" spans="1:135">
      <c r="A611" t="s">
        <v>3589</v>
      </c>
      <c r="B611" t="s">
        <v>3808</v>
      </c>
      <c r="C611" t="s">
        <v>22714</v>
      </c>
      <c r="D611" s="24">
        <v>44463</v>
      </c>
      <c r="E611" s="24" t="s">
        <v>13561</v>
      </c>
      <c r="F611" s="24" t="s">
        <v>22715</v>
      </c>
      <c r="G611" s="24" t="s">
        <v>13818</v>
      </c>
      <c r="H611" s="24" t="s">
        <v>21776</v>
      </c>
      <c r="I611" s="24" t="s">
        <v>13809</v>
      </c>
      <c r="J611" s="24"/>
      <c r="K611" s="24" t="s">
        <v>13809</v>
      </c>
      <c r="L611" s="24"/>
      <c r="M611" s="24" t="s">
        <v>14304</v>
      </c>
      <c r="N611" s="24" t="s">
        <v>13808</v>
      </c>
      <c r="O611" s="24"/>
      <c r="P611" s="24" t="s">
        <v>13808</v>
      </c>
      <c r="Q611" s="24"/>
      <c r="R611" s="24" t="s">
        <v>13808</v>
      </c>
      <c r="S611" s="24"/>
      <c r="T611" t="s">
        <v>21214</v>
      </c>
      <c r="U611" t="s">
        <v>13809</v>
      </c>
      <c r="W611" t="s">
        <v>13809</v>
      </c>
      <c r="Y611" t="s">
        <v>13809</v>
      </c>
      <c r="AA611" t="s">
        <v>14386</v>
      </c>
      <c r="AC611" t="s">
        <v>13809</v>
      </c>
      <c r="AH611" t="s">
        <v>13909</v>
      </c>
      <c r="AI611" t="s">
        <v>13818</v>
      </c>
      <c r="AJ611" t="s">
        <v>13819</v>
      </c>
      <c r="AO611" t="s">
        <v>13809</v>
      </c>
      <c r="AU611" t="s">
        <v>13809</v>
      </c>
      <c r="AZ611" t="s">
        <v>14046</v>
      </c>
      <c r="BA611" t="s">
        <v>13818</v>
      </c>
      <c r="BB611" t="s">
        <v>13819</v>
      </c>
      <c r="BF611" t="s">
        <v>14006</v>
      </c>
      <c r="BG611" t="s">
        <v>13818</v>
      </c>
      <c r="BH611" t="s">
        <v>13819</v>
      </c>
      <c r="BM611" t="s">
        <v>13809</v>
      </c>
      <c r="BR611" t="s">
        <v>22716</v>
      </c>
      <c r="BS611" t="s">
        <v>13887</v>
      </c>
      <c r="BT611" t="s">
        <v>13818</v>
      </c>
      <c r="BU611" t="s">
        <v>21778</v>
      </c>
      <c r="BY611" t="s">
        <v>14265</v>
      </c>
      <c r="BZ611" t="s">
        <v>13818</v>
      </c>
      <c r="CA611" t="s">
        <v>21779</v>
      </c>
      <c r="CF611" t="s">
        <v>13809</v>
      </c>
      <c r="CL611" t="s">
        <v>13809</v>
      </c>
      <c r="CR611" t="s">
        <v>13809</v>
      </c>
      <c r="CT611" t="s">
        <v>21781</v>
      </c>
      <c r="CU611" t="s">
        <v>22717</v>
      </c>
      <c r="CV611" t="s">
        <v>13818</v>
      </c>
      <c r="DA611" t="s">
        <v>22718</v>
      </c>
      <c r="DB611" t="s">
        <v>13818</v>
      </c>
      <c r="DG611" t="s">
        <v>22719</v>
      </c>
      <c r="DH611" t="s">
        <v>13818</v>
      </c>
      <c r="DY611" t="s">
        <v>15364</v>
      </c>
      <c r="DZ611" t="s">
        <v>13841</v>
      </c>
      <c r="EA611" t="s">
        <v>13842</v>
      </c>
      <c r="ED611" t="s">
        <v>17223</v>
      </c>
      <c r="EE611" t="s">
        <v>13635</v>
      </c>
    </row>
    <row r="612" spans="1:135">
      <c r="A612" t="s">
        <v>4150</v>
      </c>
      <c r="B612" t="s">
        <v>4051</v>
      </c>
      <c r="C612" t="s">
        <v>22720</v>
      </c>
      <c r="D612" s="24">
        <v>44035</v>
      </c>
      <c r="E612" s="24" t="s">
        <v>13553</v>
      </c>
      <c r="F612" s="24" t="s">
        <v>22721</v>
      </c>
      <c r="G612" s="24" t="s">
        <v>13808</v>
      </c>
      <c r="H612" s="24"/>
      <c r="I612" s="24" t="s">
        <v>13809</v>
      </c>
      <c r="J612" s="24"/>
      <c r="K612" s="24" t="s">
        <v>13809</v>
      </c>
      <c r="L612" s="24"/>
      <c r="M612" s="24" t="s">
        <v>14163</v>
      </c>
      <c r="N612" s="24" t="s">
        <v>13808</v>
      </c>
      <c r="O612" s="24"/>
      <c r="P612" s="24" t="s">
        <v>13808</v>
      </c>
      <c r="Q612" s="24"/>
      <c r="R612" s="24" t="s">
        <v>13808</v>
      </c>
      <c r="S612" s="24"/>
      <c r="T612" t="s">
        <v>22722</v>
      </c>
      <c r="U612" t="s">
        <v>13808</v>
      </c>
      <c r="W612" t="s">
        <v>13808</v>
      </c>
      <c r="X612" t="s">
        <v>22723</v>
      </c>
      <c r="Y612" t="s">
        <v>13809</v>
      </c>
      <c r="AA612" t="s">
        <v>13849</v>
      </c>
      <c r="AB612" t="s">
        <v>15625</v>
      </c>
      <c r="AC612" t="s">
        <v>13808</v>
      </c>
      <c r="AH612" t="s">
        <v>13909</v>
      </c>
      <c r="AI612" t="s">
        <v>13808</v>
      </c>
      <c r="AO612" t="s">
        <v>13809</v>
      </c>
      <c r="AT612" t="s">
        <v>15833</v>
      </c>
      <c r="AU612" t="s">
        <v>13808</v>
      </c>
      <c r="AZ612" t="s">
        <v>14432</v>
      </c>
      <c r="BA612" t="s">
        <v>13808</v>
      </c>
      <c r="BF612" t="s">
        <v>14596</v>
      </c>
      <c r="BG612" t="s">
        <v>13808</v>
      </c>
      <c r="BL612" t="s">
        <v>17776</v>
      </c>
      <c r="BM612" t="s">
        <v>13808</v>
      </c>
      <c r="BR612" t="s">
        <v>22724</v>
      </c>
      <c r="BT612" t="s">
        <v>13809</v>
      </c>
      <c r="BY612" t="s">
        <v>13887</v>
      </c>
      <c r="BZ612" t="s">
        <v>13808</v>
      </c>
      <c r="CA612" t="s">
        <v>13861</v>
      </c>
      <c r="CE612" t="s">
        <v>13887</v>
      </c>
      <c r="CF612" t="s">
        <v>13808</v>
      </c>
      <c r="CG612" t="s">
        <v>14291</v>
      </c>
      <c r="CL612" t="s">
        <v>13809</v>
      </c>
      <c r="CR612" t="s">
        <v>13809</v>
      </c>
      <c r="CT612" t="s">
        <v>22725</v>
      </c>
      <c r="CU612" t="s">
        <v>22726</v>
      </c>
      <c r="CV612" t="s">
        <v>13808</v>
      </c>
      <c r="DA612" t="s">
        <v>22727</v>
      </c>
      <c r="DB612" t="s">
        <v>13808</v>
      </c>
      <c r="DM612" t="s">
        <v>22728</v>
      </c>
      <c r="DN612" t="s">
        <v>13808</v>
      </c>
      <c r="DP612" t="s">
        <v>22729</v>
      </c>
      <c r="DQ612" t="s">
        <v>13808</v>
      </c>
      <c r="DR612" t="s">
        <v>13839</v>
      </c>
      <c r="DY612" t="s">
        <v>15828</v>
      </c>
      <c r="DZ612" t="s">
        <v>22730</v>
      </c>
      <c r="EA612" t="s">
        <v>14500</v>
      </c>
      <c r="ED612" t="s">
        <v>17223</v>
      </c>
      <c r="EE612" t="s">
        <v>9024</v>
      </c>
    </row>
    <row r="613" spans="1:135">
      <c r="A613" t="s">
        <v>3763</v>
      </c>
      <c r="B613" t="s">
        <v>3619</v>
      </c>
      <c r="C613" t="s">
        <v>22731</v>
      </c>
      <c r="D613" s="24">
        <v>43756</v>
      </c>
      <c r="E613" s="24" t="s">
        <v>13555</v>
      </c>
      <c r="F613" s="24" t="s">
        <v>22732</v>
      </c>
      <c r="G613" s="24" t="s">
        <v>13808</v>
      </c>
      <c r="H613" s="24"/>
      <c r="I613" s="24" t="s">
        <v>13809</v>
      </c>
      <c r="J613" s="24"/>
      <c r="K613" s="24" t="s">
        <v>13808</v>
      </c>
      <c r="L613" s="24"/>
      <c r="M613" s="24" t="s">
        <v>13874</v>
      </c>
      <c r="N613" s="24" t="s">
        <v>13808</v>
      </c>
      <c r="O613" s="24"/>
      <c r="P613" s="24" t="s">
        <v>13818</v>
      </c>
      <c r="Q613" s="24" t="s">
        <v>15815</v>
      </c>
      <c r="R613" s="24" t="s">
        <v>13808</v>
      </c>
      <c r="S613" s="24"/>
      <c r="T613" t="s">
        <v>15878</v>
      </c>
      <c r="U613" t="s">
        <v>13809</v>
      </c>
      <c r="W613" t="s">
        <v>13808</v>
      </c>
      <c r="X613" t="s">
        <v>22733</v>
      </c>
      <c r="Y613" t="s">
        <v>13808</v>
      </c>
      <c r="AA613" t="s">
        <v>13877</v>
      </c>
      <c r="AB613" t="s">
        <v>22734</v>
      </c>
      <c r="AC613" t="s">
        <v>13808</v>
      </c>
      <c r="AH613" t="s">
        <v>13909</v>
      </c>
      <c r="AI613" t="s">
        <v>13808</v>
      </c>
      <c r="AN613" t="s">
        <v>22735</v>
      </c>
      <c r="AO613" t="s">
        <v>13808</v>
      </c>
      <c r="AT613" t="s">
        <v>22736</v>
      </c>
      <c r="AU613" t="s">
        <v>13808</v>
      </c>
      <c r="AZ613" t="s">
        <v>22737</v>
      </c>
      <c r="BA613" t="s">
        <v>13808</v>
      </c>
      <c r="BF613" t="s">
        <v>22738</v>
      </c>
      <c r="BG613" t="s">
        <v>13808</v>
      </c>
      <c r="BL613" t="s">
        <v>22739</v>
      </c>
      <c r="BM613" t="s">
        <v>13808</v>
      </c>
      <c r="BR613" t="s">
        <v>22740</v>
      </c>
      <c r="BS613" t="s">
        <v>13887</v>
      </c>
      <c r="BT613" t="s">
        <v>13808</v>
      </c>
      <c r="BU613" t="s">
        <v>14515</v>
      </c>
      <c r="BY613" t="s">
        <v>13887</v>
      </c>
      <c r="BZ613" t="s">
        <v>13808</v>
      </c>
      <c r="CA613" t="s">
        <v>13888</v>
      </c>
      <c r="CE613" t="s">
        <v>13887</v>
      </c>
      <c r="CF613" t="s">
        <v>13808</v>
      </c>
      <c r="CL613" t="s">
        <v>13809</v>
      </c>
      <c r="CR613" t="s">
        <v>13809</v>
      </c>
      <c r="CT613" t="s">
        <v>22741</v>
      </c>
      <c r="CU613" t="s">
        <v>22742</v>
      </c>
      <c r="CV613" t="s">
        <v>13808</v>
      </c>
      <c r="DA613" t="s">
        <v>22743</v>
      </c>
      <c r="DB613" t="s">
        <v>13808</v>
      </c>
      <c r="DG613" t="s">
        <v>22744</v>
      </c>
      <c r="DH613" t="s">
        <v>13808</v>
      </c>
      <c r="DI613" t="s">
        <v>13893</v>
      </c>
      <c r="DJ613" t="s">
        <v>22745</v>
      </c>
      <c r="DK613" t="s">
        <v>13808</v>
      </c>
      <c r="DL613" t="s">
        <v>13895</v>
      </c>
      <c r="DM613" t="s">
        <v>22746</v>
      </c>
      <c r="DN613" t="s">
        <v>13808</v>
      </c>
      <c r="DY613" t="s">
        <v>15828</v>
      </c>
      <c r="DZ613" t="s">
        <v>15812</v>
      </c>
      <c r="EA613" t="s">
        <v>14049</v>
      </c>
      <c r="EC613">
        <v>43776</v>
      </c>
      <c r="ED613" t="s">
        <v>13903</v>
      </c>
      <c r="EE613" t="s">
        <v>8559</v>
      </c>
    </row>
    <row r="614" spans="1:135">
      <c r="A614" t="s">
        <v>4154</v>
      </c>
      <c r="B614" t="s">
        <v>4051</v>
      </c>
      <c r="C614" t="s">
        <v>22747</v>
      </c>
      <c r="D614" s="24">
        <v>43659</v>
      </c>
      <c r="E614" s="24" t="s">
        <v>13553</v>
      </c>
      <c r="F614" s="24" t="s">
        <v>22748</v>
      </c>
      <c r="G614" s="24" t="s">
        <v>13808</v>
      </c>
      <c r="H614" s="24"/>
      <c r="I614" s="24" t="s">
        <v>13809</v>
      </c>
      <c r="J614" s="24"/>
      <c r="K614" s="24" t="s">
        <v>13809</v>
      </c>
      <c r="L614" s="24"/>
      <c r="M614" s="24" t="s">
        <v>14428</v>
      </c>
      <c r="N614" s="24" t="s">
        <v>13808</v>
      </c>
      <c r="O614" s="24"/>
      <c r="P614" s="24" t="s">
        <v>13808</v>
      </c>
      <c r="Q614" s="24"/>
      <c r="R614" s="24" t="s">
        <v>13808</v>
      </c>
      <c r="S614" s="24"/>
      <c r="T614" t="s">
        <v>14016</v>
      </c>
      <c r="U614" t="s">
        <v>13809</v>
      </c>
      <c r="W614" t="s">
        <v>13808</v>
      </c>
      <c r="X614" t="s">
        <v>22749</v>
      </c>
      <c r="Y614" t="s">
        <v>13809</v>
      </c>
      <c r="AA614" t="s">
        <v>13877</v>
      </c>
      <c r="AB614" t="s">
        <v>22750</v>
      </c>
      <c r="AC614" t="s">
        <v>13808</v>
      </c>
      <c r="AH614" t="s">
        <v>13909</v>
      </c>
      <c r="AI614" t="s">
        <v>13808</v>
      </c>
      <c r="AN614" t="s">
        <v>18460</v>
      </c>
      <c r="AO614" t="s">
        <v>13808</v>
      </c>
      <c r="AT614" t="s">
        <v>14596</v>
      </c>
      <c r="AU614" t="s">
        <v>13808</v>
      </c>
      <c r="AZ614" t="s">
        <v>22751</v>
      </c>
      <c r="BA614" t="s">
        <v>13808</v>
      </c>
      <c r="BF614" t="s">
        <v>16954</v>
      </c>
      <c r="BG614" t="s">
        <v>13808</v>
      </c>
      <c r="BL614" t="s">
        <v>22752</v>
      </c>
      <c r="BM614" t="s">
        <v>13808</v>
      </c>
      <c r="BR614" t="s">
        <v>22753</v>
      </c>
      <c r="BS614" t="s">
        <v>14197</v>
      </c>
      <c r="BT614" t="s">
        <v>13808</v>
      </c>
      <c r="BU614" t="s">
        <v>22754</v>
      </c>
      <c r="BY614" t="s">
        <v>22755</v>
      </c>
      <c r="BZ614" t="s">
        <v>13808</v>
      </c>
      <c r="CA614" t="s">
        <v>14026</v>
      </c>
      <c r="CE614" t="s">
        <v>15280</v>
      </c>
      <c r="CF614" t="s">
        <v>13808</v>
      </c>
      <c r="CL614" t="s">
        <v>13809</v>
      </c>
      <c r="CR614" t="s">
        <v>13809</v>
      </c>
      <c r="CT614" t="s">
        <v>16202</v>
      </c>
      <c r="CU614" t="s">
        <v>22756</v>
      </c>
      <c r="CV614" t="s">
        <v>13897</v>
      </c>
      <c r="DA614" t="s">
        <v>22757</v>
      </c>
      <c r="DB614" t="s">
        <v>13897</v>
      </c>
      <c r="DH614" t="s">
        <v>13809</v>
      </c>
      <c r="DM614" t="s">
        <v>22758</v>
      </c>
      <c r="DN614" t="s">
        <v>13808</v>
      </c>
      <c r="DO614" t="s">
        <v>22759</v>
      </c>
      <c r="DY614" t="s">
        <v>13900</v>
      </c>
      <c r="DZ614" t="s">
        <v>22760</v>
      </c>
      <c r="EA614" t="s">
        <v>13922</v>
      </c>
      <c r="ED614" t="s">
        <v>14501</v>
      </c>
      <c r="EE614" t="s">
        <v>9026</v>
      </c>
    </row>
    <row r="615" spans="1:135">
      <c r="A615" t="s">
        <v>3592</v>
      </c>
      <c r="B615" t="s">
        <v>3506</v>
      </c>
      <c r="C615" t="s">
        <v>22761</v>
      </c>
      <c r="D615" s="24">
        <v>44806</v>
      </c>
      <c r="E615" s="24" t="s">
        <v>13565</v>
      </c>
      <c r="F615" s="24" t="s">
        <v>22762</v>
      </c>
      <c r="G615" s="24" t="s">
        <v>13808</v>
      </c>
      <c r="H615" s="24"/>
      <c r="I615" s="24" t="s">
        <v>13809</v>
      </c>
      <c r="J615" s="24"/>
      <c r="K615" s="24" t="s">
        <v>13808</v>
      </c>
      <c r="L615" s="24"/>
      <c r="M615" s="24" t="s">
        <v>15434</v>
      </c>
      <c r="N615" s="24" t="s">
        <v>13808</v>
      </c>
      <c r="O615" s="24"/>
      <c r="P615" s="24" t="s">
        <v>13808</v>
      </c>
      <c r="Q615" s="24"/>
      <c r="R615" s="24" t="s">
        <v>13808</v>
      </c>
      <c r="S615" s="24"/>
      <c r="T615" t="s">
        <v>22763</v>
      </c>
      <c r="U615" t="s">
        <v>13808</v>
      </c>
      <c r="V615" t="s">
        <v>22764</v>
      </c>
      <c r="W615" t="s">
        <v>13808</v>
      </c>
      <c r="X615" t="s">
        <v>22765</v>
      </c>
      <c r="Y615" t="s">
        <v>13809</v>
      </c>
      <c r="AA615" t="s">
        <v>15089</v>
      </c>
      <c r="AH615" t="s">
        <v>22766</v>
      </c>
      <c r="AI615" t="s">
        <v>13808</v>
      </c>
      <c r="AK615" t="s">
        <v>22767</v>
      </c>
      <c r="AL615" t="s">
        <v>13808</v>
      </c>
      <c r="AM615" t="s">
        <v>15354</v>
      </c>
      <c r="AN615" t="s">
        <v>22768</v>
      </c>
      <c r="AO615" t="s">
        <v>13808</v>
      </c>
      <c r="AT615" t="s">
        <v>15287</v>
      </c>
      <c r="AU615" t="s">
        <v>13808</v>
      </c>
      <c r="AZ615" t="s">
        <v>22769</v>
      </c>
      <c r="BA615" t="s">
        <v>13808</v>
      </c>
      <c r="BF615" t="s">
        <v>22770</v>
      </c>
      <c r="BG615" t="s">
        <v>13808</v>
      </c>
      <c r="BL615" t="s">
        <v>22771</v>
      </c>
      <c r="BM615" t="s">
        <v>13808</v>
      </c>
      <c r="BR615" t="s">
        <v>22772</v>
      </c>
      <c r="BS615" t="s">
        <v>13824</v>
      </c>
      <c r="BT615" t="s">
        <v>13808</v>
      </c>
      <c r="BU615" t="s">
        <v>19121</v>
      </c>
      <c r="BY615" t="s">
        <v>13826</v>
      </c>
      <c r="BZ615" t="s">
        <v>13808</v>
      </c>
      <c r="CA615" t="s">
        <v>17109</v>
      </c>
      <c r="CE615" t="s">
        <v>22773</v>
      </c>
      <c r="CF615" t="s">
        <v>13808</v>
      </c>
      <c r="CK615" t="s">
        <v>13760</v>
      </c>
      <c r="CL615" t="s">
        <v>13809</v>
      </c>
      <c r="CQ615" t="s">
        <v>16665</v>
      </c>
      <c r="CR615" t="s">
        <v>13818</v>
      </c>
      <c r="CS615" t="s">
        <v>22774</v>
      </c>
      <c r="CT615" t="s">
        <v>22775</v>
      </c>
      <c r="CU615" t="s">
        <v>22776</v>
      </c>
      <c r="CV615" t="s">
        <v>13808</v>
      </c>
      <c r="CX615" t="s">
        <v>22777</v>
      </c>
      <c r="CY615" t="s">
        <v>13818</v>
      </c>
      <c r="DA615" t="s">
        <v>14399</v>
      </c>
      <c r="DB615" t="s">
        <v>13808</v>
      </c>
      <c r="DD615" t="s">
        <v>20708</v>
      </c>
      <c r="DE615" t="s">
        <v>13818</v>
      </c>
      <c r="DG615" t="s">
        <v>22778</v>
      </c>
      <c r="DH615" t="s">
        <v>13808</v>
      </c>
      <c r="DJ615" t="s">
        <v>22779</v>
      </c>
      <c r="DK615" t="s">
        <v>13818</v>
      </c>
      <c r="DM615" t="s">
        <v>22780</v>
      </c>
      <c r="DN615" t="s">
        <v>13808</v>
      </c>
      <c r="DY615" t="s">
        <v>22781</v>
      </c>
      <c r="DZ615" t="s">
        <v>22782</v>
      </c>
      <c r="EA615" t="s">
        <v>13842</v>
      </c>
      <c r="EC615">
        <v>44819</v>
      </c>
      <c r="ED615" t="s">
        <v>14298</v>
      </c>
      <c r="EE615" t="s">
        <v>8374</v>
      </c>
    </row>
    <row r="616" spans="1:135">
      <c r="A616" t="s">
        <v>3773</v>
      </c>
      <c r="B616" t="s">
        <v>3619</v>
      </c>
      <c r="C616" t="s">
        <v>22783</v>
      </c>
      <c r="D616" s="24">
        <v>42905</v>
      </c>
      <c r="E616" s="24" t="s">
        <v>13557</v>
      </c>
      <c r="F616" s="24" t="s">
        <v>22784</v>
      </c>
      <c r="G616" s="24" t="s">
        <v>13808</v>
      </c>
      <c r="H616" s="24"/>
      <c r="I616" s="24" t="s">
        <v>13809</v>
      </c>
      <c r="J616" s="24"/>
      <c r="K616" s="24" t="s">
        <v>13808</v>
      </c>
      <c r="L616" s="24"/>
      <c r="M616" s="24" t="s">
        <v>13950</v>
      </c>
      <c r="N616" s="24" t="s">
        <v>13808</v>
      </c>
      <c r="O616" s="24"/>
      <c r="P616" s="24" t="s">
        <v>13808</v>
      </c>
      <c r="Q616" s="24"/>
      <c r="R616" s="24" t="s">
        <v>13808</v>
      </c>
      <c r="S616" s="24"/>
      <c r="T616" t="s">
        <v>22785</v>
      </c>
      <c r="U616" t="s">
        <v>13809</v>
      </c>
      <c r="W616" t="s">
        <v>13808</v>
      </c>
      <c r="Y616" t="s">
        <v>13809</v>
      </c>
      <c r="AA616" t="s">
        <v>22786</v>
      </c>
      <c r="AB616" t="s">
        <v>22787</v>
      </c>
      <c r="AC616" t="s">
        <v>13808</v>
      </c>
      <c r="AH616" t="s">
        <v>13909</v>
      </c>
      <c r="AI616" t="s">
        <v>13808</v>
      </c>
      <c r="AN616" t="s">
        <v>22788</v>
      </c>
      <c r="AO616" t="s">
        <v>13808</v>
      </c>
      <c r="AT616" t="s">
        <v>22789</v>
      </c>
      <c r="AU616" t="s">
        <v>13808</v>
      </c>
      <c r="AZ616" t="s">
        <v>22790</v>
      </c>
      <c r="BA616" t="s">
        <v>13808</v>
      </c>
      <c r="BF616" t="s">
        <v>22791</v>
      </c>
      <c r="BG616" t="s">
        <v>13808</v>
      </c>
      <c r="BL616" t="s">
        <v>22792</v>
      </c>
      <c r="BM616" t="s">
        <v>13808</v>
      </c>
      <c r="BR616" t="s">
        <v>22793</v>
      </c>
      <c r="BS616" t="s">
        <v>13887</v>
      </c>
      <c r="BT616" t="s">
        <v>13808</v>
      </c>
      <c r="BU616" t="s">
        <v>22794</v>
      </c>
      <c r="BY616" t="s">
        <v>17721</v>
      </c>
      <c r="BZ616" t="s">
        <v>13808</v>
      </c>
      <c r="CA616" t="s">
        <v>13937</v>
      </c>
      <c r="CE616" t="s">
        <v>22795</v>
      </c>
      <c r="CF616" t="s">
        <v>13808</v>
      </c>
      <c r="CH616" t="s">
        <v>22796</v>
      </c>
      <c r="CI616" t="s">
        <v>22797</v>
      </c>
      <c r="CK616" t="s">
        <v>13885</v>
      </c>
      <c r="CL616" t="s">
        <v>13808</v>
      </c>
      <c r="CQ616" t="s">
        <v>13887</v>
      </c>
      <c r="CR616" t="s">
        <v>13808</v>
      </c>
      <c r="CT616" t="s">
        <v>22798</v>
      </c>
      <c r="CU616" t="s">
        <v>13909</v>
      </c>
      <c r="CV616" t="s">
        <v>13808</v>
      </c>
      <c r="DA616" t="s">
        <v>13909</v>
      </c>
      <c r="DB616" t="s">
        <v>13808</v>
      </c>
      <c r="DG616" t="s">
        <v>13909</v>
      </c>
      <c r="DH616" t="s">
        <v>13808</v>
      </c>
      <c r="DZ616" t="s">
        <v>22799</v>
      </c>
      <c r="EA616" t="s">
        <v>18501</v>
      </c>
      <c r="EC616">
        <v>43480</v>
      </c>
      <c r="ED616" t="s">
        <v>14298</v>
      </c>
      <c r="EE616" t="s">
        <v>8565</v>
      </c>
    </row>
    <row r="617" spans="1:135">
      <c r="A617" t="s">
        <v>3600</v>
      </c>
      <c r="B617" t="s">
        <v>3506</v>
      </c>
      <c r="C617" t="s">
        <v>22800</v>
      </c>
      <c r="D617" s="24">
        <v>43214</v>
      </c>
      <c r="E617" s="24" t="s">
        <v>13559</v>
      </c>
      <c r="F617" s="24" t="s">
        <v>22801</v>
      </c>
      <c r="G617" s="24" t="s">
        <v>13808</v>
      </c>
      <c r="H617" s="24"/>
      <c r="I617" s="24" t="s">
        <v>13809</v>
      </c>
      <c r="J617" s="24"/>
      <c r="K617" s="24" t="s">
        <v>13809</v>
      </c>
      <c r="L617" s="24"/>
      <c r="M617" s="24" t="s">
        <v>13950</v>
      </c>
      <c r="N617" s="24" t="s">
        <v>13808</v>
      </c>
      <c r="O617" s="24"/>
      <c r="P617" s="24" t="s">
        <v>13808</v>
      </c>
      <c r="Q617" s="24"/>
      <c r="R617" s="24" t="s">
        <v>13808</v>
      </c>
      <c r="S617" s="24"/>
      <c r="T617" t="s">
        <v>14034</v>
      </c>
      <c r="U617" t="s">
        <v>13808</v>
      </c>
      <c r="W617" t="s">
        <v>13808</v>
      </c>
      <c r="X617" t="s">
        <v>22802</v>
      </c>
      <c r="Y617" t="s">
        <v>13809</v>
      </c>
      <c r="AA617" t="s">
        <v>16482</v>
      </c>
      <c r="AB617" t="s">
        <v>22803</v>
      </c>
      <c r="AC617" t="s">
        <v>13808</v>
      </c>
      <c r="AH617" t="s">
        <v>13909</v>
      </c>
      <c r="AI617" t="s">
        <v>13808</v>
      </c>
      <c r="AN617" t="s">
        <v>22804</v>
      </c>
      <c r="AO617" t="s">
        <v>13808</v>
      </c>
      <c r="AT617" t="s">
        <v>17084</v>
      </c>
      <c r="AU617" t="s">
        <v>13808</v>
      </c>
      <c r="AZ617" t="s">
        <v>22805</v>
      </c>
      <c r="BA617" t="s">
        <v>13808</v>
      </c>
      <c r="BF617" t="s">
        <v>22806</v>
      </c>
      <c r="BG617" t="s">
        <v>13818</v>
      </c>
      <c r="BH617" t="s">
        <v>22807</v>
      </c>
      <c r="BL617" t="s">
        <v>22808</v>
      </c>
      <c r="BM617" t="s">
        <v>13808</v>
      </c>
      <c r="BR617" t="s">
        <v>22809</v>
      </c>
      <c r="BS617" t="s">
        <v>13887</v>
      </c>
      <c r="BT617" t="s">
        <v>13808</v>
      </c>
      <c r="BU617" t="s">
        <v>21341</v>
      </c>
      <c r="BY617" t="s">
        <v>13887</v>
      </c>
      <c r="BZ617" t="s">
        <v>13808</v>
      </c>
      <c r="CA617" t="s">
        <v>13937</v>
      </c>
      <c r="CE617" t="s">
        <v>13887</v>
      </c>
      <c r="CF617" t="s">
        <v>13808</v>
      </c>
      <c r="CL617" t="s">
        <v>13809</v>
      </c>
      <c r="CR617" t="s">
        <v>13809</v>
      </c>
      <c r="CT617" t="s">
        <v>22810</v>
      </c>
      <c r="CU617" t="s">
        <v>13909</v>
      </c>
      <c r="CV617" t="s">
        <v>13818</v>
      </c>
      <c r="DA617" t="s">
        <v>13909</v>
      </c>
      <c r="DB617" t="s">
        <v>13818</v>
      </c>
      <c r="DG617" t="s">
        <v>13887</v>
      </c>
      <c r="DH617" t="s">
        <v>13808</v>
      </c>
      <c r="DI617" t="s">
        <v>22811</v>
      </c>
      <c r="DY617" t="s">
        <v>13900</v>
      </c>
      <c r="DZ617" t="s">
        <v>13970</v>
      </c>
      <c r="EA617" t="s">
        <v>22812</v>
      </c>
      <c r="EC617">
        <v>44230</v>
      </c>
      <c r="ED617" t="s">
        <v>14298</v>
      </c>
      <c r="EE617" t="s">
        <v>8379</v>
      </c>
    </row>
    <row r="618" spans="1:135">
      <c r="A618" t="s">
        <v>3326</v>
      </c>
      <c r="B618" t="s">
        <v>3161</v>
      </c>
      <c r="C618" t="s">
        <v>22813</v>
      </c>
      <c r="D618" s="24">
        <v>44842</v>
      </c>
      <c r="E618" s="24" t="s">
        <v>13553</v>
      </c>
      <c r="F618" s="24" t="s">
        <v>22814</v>
      </c>
      <c r="G618" s="24" t="s">
        <v>13808</v>
      </c>
      <c r="H618" s="24"/>
      <c r="I618" s="24" t="s">
        <v>13809</v>
      </c>
      <c r="J618" s="24"/>
      <c r="K618" s="24" t="s">
        <v>13809</v>
      </c>
      <c r="L618" s="24"/>
      <c r="M618" s="24" t="s">
        <v>13846</v>
      </c>
      <c r="N618" s="24" t="s">
        <v>13808</v>
      </c>
      <c r="O618" s="24"/>
      <c r="P618" s="24" t="s">
        <v>13808</v>
      </c>
      <c r="Q618" s="24"/>
      <c r="R618" s="24" t="s">
        <v>13808</v>
      </c>
      <c r="S618" s="24"/>
      <c r="T618" t="s">
        <v>22815</v>
      </c>
      <c r="U618" t="s">
        <v>13809</v>
      </c>
      <c r="W618" t="s">
        <v>13808</v>
      </c>
      <c r="X618" t="s">
        <v>22816</v>
      </c>
      <c r="Y618" t="s">
        <v>13809</v>
      </c>
      <c r="AA618" t="s">
        <v>13849</v>
      </c>
      <c r="AB618" t="s">
        <v>22817</v>
      </c>
      <c r="AC618" t="s">
        <v>13808</v>
      </c>
      <c r="AH618" t="s">
        <v>13851</v>
      </c>
      <c r="AI618" t="s">
        <v>13808</v>
      </c>
      <c r="AN618" t="s">
        <v>19519</v>
      </c>
      <c r="AO618" t="s">
        <v>13809</v>
      </c>
      <c r="AT618" t="s">
        <v>22818</v>
      </c>
      <c r="AU618" t="s">
        <v>13808</v>
      </c>
      <c r="AZ618" t="s">
        <v>15501</v>
      </c>
      <c r="BA618" t="s">
        <v>13808</v>
      </c>
      <c r="BF618" t="s">
        <v>20989</v>
      </c>
      <c r="BG618" t="s">
        <v>13808</v>
      </c>
      <c r="BL618" t="s">
        <v>22819</v>
      </c>
      <c r="BM618" t="s">
        <v>13808</v>
      </c>
      <c r="BR618" t="s">
        <v>22820</v>
      </c>
      <c r="BS618" t="s">
        <v>13858</v>
      </c>
      <c r="BT618" t="s">
        <v>13808</v>
      </c>
      <c r="BU618" t="s">
        <v>14291</v>
      </c>
      <c r="BY618" t="s">
        <v>17339</v>
      </c>
      <c r="BZ618" t="s">
        <v>13808</v>
      </c>
      <c r="CA618" t="s">
        <v>13861</v>
      </c>
      <c r="CE618" t="s">
        <v>13862</v>
      </c>
      <c r="CF618" t="s">
        <v>13808</v>
      </c>
      <c r="CG618" t="s">
        <v>13863</v>
      </c>
      <c r="CK618" t="s">
        <v>13760</v>
      </c>
      <c r="CL618" t="s">
        <v>13809</v>
      </c>
      <c r="CQ618" t="s">
        <v>13766</v>
      </c>
      <c r="CR618" t="s">
        <v>13809</v>
      </c>
      <c r="CT618" t="s">
        <v>14293</v>
      </c>
      <c r="CU618" t="s">
        <v>22821</v>
      </c>
      <c r="CV618" t="s">
        <v>13808</v>
      </c>
      <c r="DA618" t="s">
        <v>22822</v>
      </c>
      <c r="DB618" t="s">
        <v>13808</v>
      </c>
      <c r="DM618" t="s">
        <v>22823</v>
      </c>
      <c r="DN618" t="s">
        <v>13808</v>
      </c>
      <c r="DO618" t="s">
        <v>22824</v>
      </c>
      <c r="DY618" t="s">
        <v>13869</v>
      </c>
      <c r="DZ618" t="s">
        <v>22825</v>
      </c>
      <c r="EA618" t="s">
        <v>14182</v>
      </c>
      <c r="EC618">
        <v>44973</v>
      </c>
      <c r="ED618" t="s">
        <v>14298</v>
      </c>
      <c r="EE618" t="s">
        <v>8028</v>
      </c>
    </row>
    <row r="619" spans="1:135">
      <c r="A619" t="s">
        <v>4019</v>
      </c>
      <c r="B619" t="s">
        <v>3939</v>
      </c>
      <c r="C619" t="s">
        <v>22826</v>
      </c>
      <c r="D619" s="24">
        <v>44764</v>
      </c>
      <c r="E619" s="24" t="s">
        <v>13557</v>
      </c>
      <c r="F619" s="24" t="s">
        <v>22827</v>
      </c>
      <c r="G619" s="24" t="s">
        <v>13808</v>
      </c>
      <c r="H619" s="24"/>
      <c r="I619" s="24" t="s">
        <v>13808</v>
      </c>
      <c r="J619" s="24"/>
      <c r="K619" s="24" t="s">
        <v>13809</v>
      </c>
      <c r="L619" s="24"/>
      <c r="M619" s="24" t="s">
        <v>22828</v>
      </c>
      <c r="N619" s="24" t="s">
        <v>13808</v>
      </c>
      <c r="O619" s="24"/>
      <c r="P619" s="24" t="s">
        <v>13808</v>
      </c>
      <c r="Q619" s="24" t="s">
        <v>22829</v>
      </c>
      <c r="R619" s="24" t="s">
        <v>13808</v>
      </c>
      <c r="S619" s="24"/>
      <c r="T619" t="s">
        <v>15051</v>
      </c>
      <c r="U619" t="s">
        <v>13809</v>
      </c>
      <c r="W619" t="s">
        <v>13808</v>
      </c>
      <c r="X619" t="s">
        <v>22830</v>
      </c>
      <c r="Y619" t="s">
        <v>13809</v>
      </c>
      <c r="AA619" t="s">
        <v>15089</v>
      </c>
      <c r="AB619" t="s">
        <v>22831</v>
      </c>
      <c r="AC619" t="s">
        <v>13808</v>
      </c>
      <c r="AH619" t="s">
        <v>13851</v>
      </c>
      <c r="AI619" t="s">
        <v>13808</v>
      </c>
      <c r="AN619" t="s">
        <v>22832</v>
      </c>
      <c r="AO619" t="s">
        <v>13808</v>
      </c>
      <c r="AT619" t="s">
        <v>13820</v>
      </c>
      <c r="AU619" t="s">
        <v>13808</v>
      </c>
      <c r="AZ619" t="s">
        <v>22833</v>
      </c>
      <c r="BA619" t="s">
        <v>13808</v>
      </c>
      <c r="BF619" t="s">
        <v>22834</v>
      </c>
      <c r="BG619" t="s">
        <v>13808</v>
      </c>
      <c r="BL619" t="s">
        <v>22835</v>
      </c>
      <c r="BM619" t="s">
        <v>13808</v>
      </c>
      <c r="BR619" t="s">
        <v>22836</v>
      </c>
      <c r="BS619" t="s">
        <v>13824</v>
      </c>
      <c r="BT619" t="s">
        <v>13808</v>
      </c>
      <c r="BU619" t="s">
        <v>21286</v>
      </c>
      <c r="BY619" t="s">
        <v>13860</v>
      </c>
      <c r="BZ619" t="s">
        <v>13808</v>
      </c>
      <c r="CA619" t="s">
        <v>13937</v>
      </c>
      <c r="CE619" t="s">
        <v>13828</v>
      </c>
      <c r="CF619" t="s">
        <v>13808</v>
      </c>
      <c r="CG619" t="s">
        <v>13863</v>
      </c>
      <c r="CK619" t="s">
        <v>13760</v>
      </c>
      <c r="CL619" t="s">
        <v>13809</v>
      </c>
      <c r="CQ619" t="s">
        <v>13766</v>
      </c>
      <c r="CR619" t="s">
        <v>13809</v>
      </c>
      <c r="CT619" t="s">
        <v>22837</v>
      </c>
      <c r="CU619" t="s">
        <v>22838</v>
      </c>
      <c r="CV619" t="s">
        <v>13808</v>
      </c>
      <c r="CX619" t="s">
        <v>22839</v>
      </c>
      <c r="CY619" t="s">
        <v>13818</v>
      </c>
      <c r="DG619" t="s">
        <v>22840</v>
      </c>
      <c r="DH619" t="s">
        <v>13818</v>
      </c>
      <c r="DY619" t="s">
        <v>13869</v>
      </c>
      <c r="DZ619" t="s">
        <v>14923</v>
      </c>
      <c r="EA619" t="s">
        <v>16172</v>
      </c>
      <c r="EC619">
        <v>44775</v>
      </c>
      <c r="ED619" t="s">
        <v>14298</v>
      </c>
      <c r="EE619" t="s">
        <v>8868</v>
      </c>
    </row>
    <row r="620" spans="1:135">
      <c r="A620" t="s">
        <v>12166</v>
      </c>
      <c r="B620" t="s">
        <v>3161</v>
      </c>
      <c r="C620" t="s">
        <v>22841</v>
      </c>
      <c r="D620" s="24">
        <v>43768</v>
      </c>
      <c r="E620" s="24" t="s">
        <v>13553</v>
      </c>
      <c r="F620" s="24" t="s">
        <v>22842</v>
      </c>
      <c r="G620" s="24" t="s">
        <v>13808</v>
      </c>
      <c r="H620" s="24"/>
      <c r="I620" s="24" t="s">
        <v>13809</v>
      </c>
      <c r="J620" s="24"/>
      <c r="K620" s="24" t="s">
        <v>13809</v>
      </c>
      <c r="L620" s="24"/>
      <c r="M620" s="24" t="s">
        <v>16193</v>
      </c>
      <c r="N620" s="24" t="s">
        <v>13808</v>
      </c>
      <c r="O620" s="24"/>
      <c r="P620" s="24" t="s">
        <v>13808</v>
      </c>
      <c r="Q620" s="24"/>
      <c r="R620" s="24" t="s">
        <v>13808</v>
      </c>
      <c r="S620" s="24"/>
      <c r="T620" t="s">
        <v>22843</v>
      </c>
      <c r="U620" t="s">
        <v>13809</v>
      </c>
      <c r="W620" t="s">
        <v>13808</v>
      </c>
      <c r="X620" t="s">
        <v>22692</v>
      </c>
      <c r="Y620" t="s">
        <v>13809</v>
      </c>
      <c r="AA620" t="s">
        <v>13877</v>
      </c>
      <c r="AB620" t="s">
        <v>13809</v>
      </c>
      <c r="AH620" t="s">
        <v>13887</v>
      </c>
      <c r="AI620" t="s">
        <v>13808</v>
      </c>
      <c r="AN620" t="s">
        <v>13809</v>
      </c>
      <c r="AT620" t="s">
        <v>13809</v>
      </c>
      <c r="AZ620" t="s">
        <v>14416</v>
      </c>
      <c r="BA620" t="s">
        <v>13808</v>
      </c>
      <c r="BF620" t="s">
        <v>14490</v>
      </c>
      <c r="BG620" t="s">
        <v>13808</v>
      </c>
      <c r="BL620" t="s">
        <v>13809</v>
      </c>
      <c r="BR620" t="s">
        <v>22844</v>
      </c>
      <c r="BS620" t="s">
        <v>13809</v>
      </c>
      <c r="BY620" t="s">
        <v>13809</v>
      </c>
      <c r="CE620" t="s">
        <v>13809</v>
      </c>
      <c r="CK620" t="s">
        <v>13887</v>
      </c>
      <c r="CL620" t="s">
        <v>13808</v>
      </c>
      <c r="CM620" t="s">
        <v>22845</v>
      </c>
      <c r="CR620" t="s">
        <v>13809</v>
      </c>
      <c r="CT620" t="s">
        <v>22846</v>
      </c>
      <c r="DM620" t="s">
        <v>13892</v>
      </c>
      <c r="DN620" t="s">
        <v>13808</v>
      </c>
      <c r="DP620" t="s">
        <v>22847</v>
      </c>
      <c r="DQ620" t="s">
        <v>13808</v>
      </c>
      <c r="DR620" t="s">
        <v>14947</v>
      </c>
      <c r="DY620" t="s">
        <v>15296</v>
      </c>
      <c r="DZ620" t="s">
        <v>13970</v>
      </c>
      <c r="EA620" t="s">
        <v>16115</v>
      </c>
      <c r="EC620">
        <v>44020</v>
      </c>
      <c r="ED620" t="s">
        <v>14501</v>
      </c>
      <c r="EE620" t="s">
        <v>13636</v>
      </c>
    </row>
    <row r="621" spans="1:135">
      <c r="A621" t="s">
        <v>3490</v>
      </c>
      <c r="B621" t="s">
        <v>3399</v>
      </c>
      <c r="C621" t="s">
        <v>22848</v>
      </c>
      <c r="D621" s="24">
        <v>42961</v>
      </c>
      <c r="E621" s="24" t="s">
        <v>13571</v>
      </c>
      <c r="F621" s="24" t="s">
        <v>22849</v>
      </c>
      <c r="G621" s="24" t="s">
        <v>13808</v>
      </c>
      <c r="H621" s="24"/>
      <c r="I621" s="24" t="s">
        <v>13809</v>
      </c>
      <c r="J621" s="24"/>
      <c r="K621" s="24" t="s">
        <v>13808</v>
      </c>
      <c r="L621" s="24"/>
      <c r="M621" s="24" t="s">
        <v>22850</v>
      </c>
      <c r="N621" s="24" t="s">
        <v>13808</v>
      </c>
      <c r="O621" s="24"/>
      <c r="P621" s="24" t="s">
        <v>13808</v>
      </c>
      <c r="Q621" s="24"/>
      <c r="R621" s="24" t="s">
        <v>13808</v>
      </c>
      <c r="S621" s="24"/>
      <c r="T621" t="s">
        <v>22851</v>
      </c>
      <c r="U621" t="s">
        <v>13809</v>
      </c>
      <c r="W621" t="s">
        <v>13808</v>
      </c>
      <c r="X621" t="s">
        <v>22852</v>
      </c>
      <c r="Y621" t="s">
        <v>13809</v>
      </c>
      <c r="AA621" t="s">
        <v>13928</v>
      </c>
      <c r="AB621" t="s">
        <v>22853</v>
      </c>
      <c r="AC621" t="s">
        <v>13808</v>
      </c>
      <c r="AH621" t="s">
        <v>13909</v>
      </c>
      <c r="AI621" t="s">
        <v>13808</v>
      </c>
      <c r="AN621" t="s">
        <v>22854</v>
      </c>
      <c r="AO621" t="s">
        <v>13808</v>
      </c>
      <c r="AT621" t="s">
        <v>22855</v>
      </c>
      <c r="AU621" t="s">
        <v>13808</v>
      </c>
      <c r="AZ621" t="s">
        <v>14416</v>
      </c>
      <c r="BA621" t="s">
        <v>13808</v>
      </c>
      <c r="BF621" t="s">
        <v>22216</v>
      </c>
      <c r="BG621" t="s">
        <v>13808</v>
      </c>
      <c r="BL621" t="s">
        <v>22856</v>
      </c>
      <c r="BM621" t="s">
        <v>13808</v>
      </c>
      <c r="BR621" t="s">
        <v>22857</v>
      </c>
      <c r="BS621" t="s">
        <v>13887</v>
      </c>
      <c r="BT621" t="s">
        <v>13808</v>
      </c>
      <c r="BY621" t="s">
        <v>13887</v>
      </c>
      <c r="BZ621" t="s">
        <v>13818</v>
      </c>
      <c r="CA621" t="s">
        <v>22858</v>
      </c>
      <c r="CE621" t="s">
        <v>13887</v>
      </c>
      <c r="CF621" t="s">
        <v>13808</v>
      </c>
      <c r="CL621" t="s">
        <v>13809</v>
      </c>
      <c r="CR621" t="s">
        <v>13809</v>
      </c>
      <c r="CT621" t="s">
        <v>22859</v>
      </c>
      <c r="CU621" t="s">
        <v>21333</v>
      </c>
      <c r="CV621" t="s">
        <v>13808</v>
      </c>
      <c r="CX621" t="s">
        <v>13885</v>
      </c>
      <c r="CY621" t="s">
        <v>13818</v>
      </c>
      <c r="DA621" t="s">
        <v>16503</v>
      </c>
      <c r="DB621" t="s">
        <v>13808</v>
      </c>
      <c r="DD621" t="s">
        <v>13885</v>
      </c>
      <c r="DE621" t="s">
        <v>13818</v>
      </c>
      <c r="DG621" t="s">
        <v>13909</v>
      </c>
      <c r="DH621" t="s">
        <v>13818</v>
      </c>
      <c r="DZ621" t="s">
        <v>22860</v>
      </c>
      <c r="EA621" t="s">
        <v>15944</v>
      </c>
      <c r="EC621">
        <v>43480</v>
      </c>
      <c r="ED621" t="s">
        <v>13903</v>
      </c>
      <c r="EE621" t="s">
        <v>8246</v>
      </c>
    </row>
    <row r="622" spans="1:135">
      <c r="A622" t="s">
        <v>3604</v>
      </c>
      <c r="B622" t="s">
        <v>3506</v>
      </c>
      <c r="C622" t="s">
        <v>22861</v>
      </c>
      <c r="D622" s="24">
        <v>42968</v>
      </c>
      <c r="E622" s="24" t="s">
        <v>13555</v>
      </c>
      <c r="F622" s="24" t="s">
        <v>22862</v>
      </c>
      <c r="G622" s="24" t="s">
        <v>13808</v>
      </c>
      <c r="H622" s="24"/>
      <c r="I622" s="24" t="s">
        <v>13809</v>
      </c>
      <c r="J622" s="24"/>
      <c r="K622" s="24" t="s">
        <v>13808</v>
      </c>
      <c r="L622" s="24"/>
      <c r="M622" s="24" t="s">
        <v>14304</v>
      </c>
      <c r="N622" s="24" t="s">
        <v>13808</v>
      </c>
      <c r="O622" s="24"/>
      <c r="P622" s="24" t="s">
        <v>13808</v>
      </c>
      <c r="Q622" s="24"/>
      <c r="R622" s="24" t="s">
        <v>13808</v>
      </c>
      <c r="S622" s="24"/>
      <c r="T622" t="s">
        <v>22863</v>
      </c>
      <c r="U622" t="s">
        <v>13809</v>
      </c>
      <c r="W622" t="s">
        <v>13808</v>
      </c>
      <c r="X622" t="s">
        <v>22864</v>
      </c>
      <c r="Y622" t="s">
        <v>13809</v>
      </c>
      <c r="AA622" t="s">
        <v>14971</v>
      </c>
      <c r="AB622" t="s">
        <v>15529</v>
      </c>
      <c r="AC622" t="s">
        <v>13808</v>
      </c>
      <c r="AH622" t="s">
        <v>13909</v>
      </c>
      <c r="AI622" t="s">
        <v>13808</v>
      </c>
      <c r="AN622" t="s">
        <v>22865</v>
      </c>
      <c r="AO622" t="s">
        <v>13808</v>
      </c>
      <c r="AT622" t="s">
        <v>14816</v>
      </c>
      <c r="AU622" t="s">
        <v>13808</v>
      </c>
      <c r="AZ622" t="s">
        <v>22866</v>
      </c>
      <c r="BA622" t="s">
        <v>13808</v>
      </c>
      <c r="BF622" t="s">
        <v>22867</v>
      </c>
      <c r="BG622" t="s">
        <v>13808</v>
      </c>
      <c r="BL622" t="s">
        <v>22868</v>
      </c>
      <c r="BM622" t="s">
        <v>13808</v>
      </c>
      <c r="BR622" t="s">
        <v>22869</v>
      </c>
      <c r="BS622" t="s">
        <v>13887</v>
      </c>
      <c r="BT622" t="s">
        <v>13808</v>
      </c>
      <c r="BU622" t="s">
        <v>22870</v>
      </c>
      <c r="BY622" t="s">
        <v>13887</v>
      </c>
      <c r="BZ622" t="s">
        <v>13808</v>
      </c>
      <c r="CA622" t="s">
        <v>13937</v>
      </c>
      <c r="CE622" t="s">
        <v>13887</v>
      </c>
      <c r="CF622" t="s">
        <v>13808</v>
      </c>
      <c r="CL622" t="s">
        <v>13809</v>
      </c>
      <c r="CR622" t="s">
        <v>13809</v>
      </c>
      <c r="CT622" t="s">
        <v>22871</v>
      </c>
      <c r="CU622" t="s">
        <v>21333</v>
      </c>
      <c r="CV622" t="s">
        <v>13808</v>
      </c>
      <c r="CX622" t="s">
        <v>13885</v>
      </c>
      <c r="CY622" t="s">
        <v>13818</v>
      </c>
      <c r="DA622" t="s">
        <v>16503</v>
      </c>
      <c r="DB622" t="s">
        <v>13808</v>
      </c>
      <c r="DD622" t="s">
        <v>13885</v>
      </c>
      <c r="DE622" t="s">
        <v>13818</v>
      </c>
      <c r="DG622" t="s">
        <v>16503</v>
      </c>
      <c r="DH622" t="s">
        <v>13808</v>
      </c>
      <c r="DM622" t="s">
        <v>16608</v>
      </c>
      <c r="DN622" t="s">
        <v>13808</v>
      </c>
      <c r="DZ622" t="s">
        <v>22872</v>
      </c>
      <c r="EA622" t="s">
        <v>18501</v>
      </c>
      <c r="EC622">
        <v>43480</v>
      </c>
      <c r="ED622" t="s">
        <v>13903</v>
      </c>
      <c r="EE622" t="s">
        <v>8381</v>
      </c>
    </row>
    <row r="623" spans="1:135">
      <c r="A623" t="s">
        <v>8384</v>
      </c>
      <c r="B623" t="s">
        <v>3506</v>
      </c>
      <c r="C623" t="s">
        <v>22861</v>
      </c>
      <c r="D623" s="24">
        <v>44932</v>
      </c>
      <c r="E623" s="24" t="s">
        <v>13553</v>
      </c>
      <c r="F623" s="24" t="s">
        <v>22873</v>
      </c>
      <c r="G623" s="24" t="s">
        <v>13808</v>
      </c>
      <c r="H623" s="24"/>
      <c r="I623" s="24" t="s">
        <v>13809</v>
      </c>
      <c r="J623" s="24"/>
      <c r="K623" s="24" t="s">
        <v>13809</v>
      </c>
      <c r="L623" s="24"/>
      <c r="M623" s="24" t="s">
        <v>13846</v>
      </c>
      <c r="N623" s="24" t="s">
        <v>13808</v>
      </c>
      <c r="O623" s="24"/>
      <c r="P623" s="24" t="s">
        <v>13808</v>
      </c>
      <c r="Q623" s="24"/>
      <c r="R623" s="24" t="s">
        <v>13808</v>
      </c>
      <c r="S623" s="24"/>
      <c r="T623" t="s">
        <v>22874</v>
      </c>
      <c r="U623" t="s">
        <v>13809</v>
      </c>
      <c r="W623" t="s">
        <v>13808</v>
      </c>
      <c r="X623" t="s">
        <v>17135</v>
      </c>
      <c r="Y623" t="s">
        <v>13809</v>
      </c>
      <c r="AA623" t="s">
        <v>13849</v>
      </c>
      <c r="AB623" t="s">
        <v>13699</v>
      </c>
      <c r="AC623" t="s">
        <v>13809</v>
      </c>
      <c r="AD623" t="s">
        <v>22875</v>
      </c>
      <c r="AH623" t="s">
        <v>14889</v>
      </c>
      <c r="AI623" t="s">
        <v>13808</v>
      </c>
      <c r="AN623" t="s">
        <v>13711</v>
      </c>
      <c r="AO623" t="s">
        <v>13809</v>
      </c>
      <c r="AP623" t="s">
        <v>22876</v>
      </c>
      <c r="AT623" t="s">
        <v>20046</v>
      </c>
      <c r="AU623" t="s">
        <v>13809</v>
      </c>
      <c r="AV623" t="s">
        <v>22877</v>
      </c>
      <c r="AZ623" t="s">
        <v>13723</v>
      </c>
      <c r="BA623" t="s">
        <v>13809</v>
      </c>
      <c r="BB623" t="s">
        <v>22878</v>
      </c>
      <c r="BF623" t="s">
        <v>17058</v>
      </c>
      <c r="BG623" t="s">
        <v>13809</v>
      </c>
      <c r="BH623" t="s">
        <v>22879</v>
      </c>
      <c r="BL623" t="s">
        <v>22880</v>
      </c>
      <c r="BM623" t="s">
        <v>13808</v>
      </c>
      <c r="BR623" t="s">
        <v>22881</v>
      </c>
      <c r="BS623" t="s">
        <v>13742</v>
      </c>
      <c r="BT623" t="s">
        <v>13809</v>
      </c>
      <c r="BY623" t="s">
        <v>16927</v>
      </c>
      <c r="BZ623" t="s">
        <v>13808</v>
      </c>
      <c r="CA623" t="s">
        <v>13937</v>
      </c>
      <c r="CE623" t="s">
        <v>13828</v>
      </c>
      <c r="CF623" t="s">
        <v>13809</v>
      </c>
      <c r="CK623" t="s">
        <v>13760</v>
      </c>
      <c r="CL623" t="s">
        <v>13809</v>
      </c>
      <c r="CQ623" t="s">
        <v>13766</v>
      </c>
      <c r="CR623" t="s">
        <v>13809</v>
      </c>
      <c r="CT623" t="s">
        <v>14293</v>
      </c>
      <c r="CU623" t="s">
        <v>22882</v>
      </c>
      <c r="CV623" t="s">
        <v>13808</v>
      </c>
      <c r="CW623" t="s">
        <v>22883</v>
      </c>
      <c r="DA623" t="s">
        <v>22884</v>
      </c>
      <c r="DB623" t="s">
        <v>13808</v>
      </c>
      <c r="DC623" t="s">
        <v>22885</v>
      </c>
      <c r="DM623" t="s">
        <v>22886</v>
      </c>
      <c r="DN623" t="s">
        <v>13808</v>
      </c>
      <c r="DY623" t="s">
        <v>21382</v>
      </c>
      <c r="DZ623" t="s">
        <v>22887</v>
      </c>
      <c r="EA623" t="s">
        <v>14182</v>
      </c>
      <c r="EC623">
        <v>44981</v>
      </c>
      <c r="ED623" t="s">
        <v>14298</v>
      </c>
      <c r="EE623" t="s">
        <v>8385</v>
      </c>
    </row>
    <row r="624" spans="1:135">
      <c r="A624" t="s">
        <v>3608</v>
      </c>
      <c r="B624" t="s">
        <v>3506</v>
      </c>
      <c r="C624" t="s">
        <v>22888</v>
      </c>
      <c r="D624" s="24">
        <v>44650</v>
      </c>
      <c r="E624" s="24" t="s">
        <v>13557</v>
      </c>
      <c r="F624" s="24" t="s">
        <v>22889</v>
      </c>
      <c r="G624" s="24"/>
      <c r="H624" s="24"/>
      <c r="I624" s="24"/>
      <c r="J624" s="24"/>
      <c r="K624" s="24"/>
      <c r="L624" s="24"/>
      <c r="M624" s="24" t="s">
        <v>13907</v>
      </c>
      <c r="N624" s="24"/>
      <c r="O624" s="24"/>
      <c r="P624" s="24"/>
      <c r="Q624" s="24"/>
      <c r="R624" s="24"/>
      <c r="S624" s="24"/>
      <c r="T624" t="s">
        <v>14410</v>
      </c>
      <c r="U624" t="s">
        <v>13808</v>
      </c>
      <c r="W624" t="s">
        <v>13808</v>
      </c>
      <c r="X624" t="s">
        <v>22890</v>
      </c>
      <c r="Y624" t="s">
        <v>13809</v>
      </c>
      <c r="AA624" t="s">
        <v>15089</v>
      </c>
      <c r="AB624" t="s">
        <v>22891</v>
      </c>
      <c r="AC624" t="s">
        <v>13808</v>
      </c>
      <c r="AH624" t="s">
        <v>13851</v>
      </c>
      <c r="AI624" t="s">
        <v>13808</v>
      </c>
      <c r="AN624" t="s">
        <v>22892</v>
      </c>
      <c r="AO624" t="s">
        <v>13808</v>
      </c>
      <c r="AT624" t="s">
        <v>22893</v>
      </c>
      <c r="AU624" t="s">
        <v>13808</v>
      </c>
      <c r="AZ624" t="s">
        <v>22894</v>
      </c>
      <c r="BA624" t="s">
        <v>13808</v>
      </c>
      <c r="BF624" t="s">
        <v>16438</v>
      </c>
      <c r="BG624" t="s">
        <v>13808</v>
      </c>
      <c r="BL624" t="s">
        <v>22895</v>
      </c>
      <c r="BM624" t="s">
        <v>13808</v>
      </c>
      <c r="BR624" t="s">
        <v>22896</v>
      </c>
      <c r="BS624" t="s">
        <v>13824</v>
      </c>
      <c r="BT624" t="s">
        <v>13808</v>
      </c>
      <c r="BU624" t="s">
        <v>13985</v>
      </c>
      <c r="BY624" t="s">
        <v>13826</v>
      </c>
      <c r="BZ624" t="s">
        <v>13808</v>
      </c>
      <c r="CA624" t="s">
        <v>13937</v>
      </c>
      <c r="CE624" t="s">
        <v>22897</v>
      </c>
      <c r="CF624" t="s">
        <v>13808</v>
      </c>
      <c r="CK624" t="s">
        <v>13760</v>
      </c>
      <c r="CL624" t="s">
        <v>13809</v>
      </c>
      <c r="CQ624" t="s">
        <v>13766</v>
      </c>
      <c r="CR624" t="s">
        <v>13809</v>
      </c>
      <c r="CT624" t="s">
        <v>22898</v>
      </c>
      <c r="CU624" t="s">
        <v>22899</v>
      </c>
      <c r="CV624" t="s">
        <v>13808</v>
      </c>
      <c r="CX624" t="s">
        <v>22900</v>
      </c>
      <c r="CY624" t="s">
        <v>13818</v>
      </c>
      <c r="DA624" t="s">
        <v>22901</v>
      </c>
      <c r="DB624" t="s">
        <v>13808</v>
      </c>
      <c r="DD624" t="s">
        <v>22900</v>
      </c>
      <c r="DE624" t="s">
        <v>13818</v>
      </c>
      <c r="DG624" t="s">
        <v>22902</v>
      </c>
      <c r="DH624" t="s">
        <v>13808</v>
      </c>
      <c r="DM624" t="s">
        <v>22903</v>
      </c>
      <c r="DN624" t="s">
        <v>13808</v>
      </c>
      <c r="DY624" t="s">
        <v>13869</v>
      </c>
      <c r="DZ624" t="s">
        <v>13841</v>
      </c>
      <c r="EA624" t="s">
        <v>14118</v>
      </c>
      <c r="EC624">
        <v>44662</v>
      </c>
      <c r="ED624" t="s">
        <v>14298</v>
      </c>
      <c r="EE624" t="s">
        <v>8387</v>
      </c>
    </row>
    <row r="625" spans="1:135">
      <c r="A625" t="s">
        <v>8574</v>
      </c>
      <c r="B625" t="s">
        <v>3619</v>
      </c>
      <c r="C625" t="s">
        <v>22904</v>
      </c>
      <c r="D625" s="24">
        <v>44288</v>
      </c>
      <c r="E625" s="24" t="s">
        <v>13553</v>
      </c>
      <c r="F625" s="24" t="s">
        <v>22905</v>
      </c>
      <c r="G625" s="24" t="s">
        <v>13808</v>
      </c>
      <c r="H625" s="24"/>
      <c r="I625" s="24" t="s">
        <v>13809</v>
      </c>
      <c r="J625" s="24"/>
      <c r="K625" s="24" t="s">
        <v>13808</v>
      </c>
      <c r="L625" s="24"/>
      <c r="M625" s="24" t="s">
        <v>13846</v>
      </c>
      <c r="N625" s="24" t="s">
        <v>13808</v>
      </c>
      <c r="O625" s="24"/>
      <c r="P625" s="24" t="s">
        <v>13808</v>
      </c>
      <c r="Q625" s="24"/>
      <c r="R625" s="24" t="s">
        <v>13808</v>
      </c>
      <c r="S625" s="24"/>
      <c r="T625" t="s">
        <v>13907</v>
      </c>
      <c r="U625" t="s">
        <v>13809</v>
      </c>
      <c r="W625" t="s">
        <v>13808</v>
      </c>
      <c r="X625" t="s">
        <v>22906</v>
      </c>
      <c r="Y625" t="s">
        <v>13809</v>
      </c>
      <c r="AA625" t="s">
        <v>13849</v>
      </c>
      <c r="AB625" t="s">
        <v>13880</v>
      </c>
      <c r="AC625" t="s">
        <v>13808</v>
      </c>
      <c r="AH625" t="s">
        <v>13909</v>
      </c>
      <c r="AI625" t="s">
        <v>13808</v>
      </c>
      <c r="AO625" t="s">
        <v>13809</v>
      </c>
      <c r="AT625" t="s">
        <v>16048</v>
      </c>
      <c r="AU625" t="s">
        <v>13808</v>
      </c>
      <c r="AZ625" t="s">
        <v>14416</v>
      </c>
      <c r="BA625" t="s">
        <v>13808</v>
      </c>
      <c r="BF625" t="s">
        <v>22907</v>
      </c>
      <c r="BG625" t="s">
        <v>13808</v>
      </c>
      <c r="BM625" t="s">
        <v>13809</v>
      </c>
      <c r="BR625" t="s">
        <v>22908</v>
      </c>
      <c r="BT625" t="s">
        <v>13809</v>
      </c>
      <c r="BY625" t="s">
        <v>13887</v>
      </c>
      <c r="BZ625" t="s">
        <v>13808</v>
      </c>
      <c r="CA625" t="s">
        <v>13861</v>
      </c>
      <c r="CE625" t="s">
        <v>16346</v>
      </c>
      <c r="CF625" t="s">
        <v>13808</v>
      </c>
      <c r="CG625" t="s">
        <v>22909</v>
      </c>
      <c r="CK625" t="s">
        <v>22910</v>
      </c>
      <c r="CL625" t="s">
        <v>13808</v>
      </c>
      <c r="CR625" t="s">
        <v>13809</v>
      </c>
      <c r="CT625" t="s">
        <v>22911</v>
      </c>
      <c r="CU625" t="s">
        <v>22912</v>
      </c>
      <c r="CV625" t="s">
        <v>13808</v>
      </c>
      <c r="DA625" t="s">
        <v>22913</v>
      </c>
      <c r="DB625" t="s">
        <v>13808</v>
      </c>
      <c r="DM625" t="s">
        <v>18425</v>
      </c>
      <c r="DN625" t="s">
        <v>13808</v>
      </c>
      <c r="DO625" t="s">
        <v>22914</v>
      </c>
      <c r="DP625" t="s">
        <v>22915</v>
      </c>
      <c r="DQ625" t="s">
        <v>13808</v>
      </c>
      <c r="DR625" t="s">
        <v>22916</v>
      </c>
      <c r="DY625" t="s">
        <v>14606</v>
      </c>
      <c r="DZ625" t="s">
        <v>22917</v>
      </c>
      <c r="EA625" t="s">
        <v>14182</v>
      </c>
      <c r="ED625" t="s">
        <v>17223</v>
      </c>
      <c r="EE625" t="s">
        <v>8576</v>
      </c>
    </row>
    <row r="626" spans="1:135">
      <c r="A626" t="s">
        <v>3902</v>
      </c>
      <c r="B626" t="s">
        <v>3808</v>
      </c>
      <c r="C626" t="s">
        <v>22918</v>
      </c>
      <c r="D626" s="24">
        <v>42961</v>
      </c>
      <c r="E626" s="24" t="s">
        <v>13557</v>
      </c>
      <c r="F626" s="24" t="s">
        <v>22919</v>
      </c>
      <c r="G626" s="24" t="s">
        <v>13808</v>
      </c>
      <c r="H626" s="24"/>
      <c r="I626" s="24" t="s">
        <v>13809</v>
      </c>
      <c r="J626" s="24"/>
      <c r="K626" s="24" t="s">
        <v>13808</v>
      </c>
      <c r="L626" s="24"/>
      <c r="M626" s="24" t="s">
        <v>22920</v>
      </c>
      <c r="N626" s="24" t="s">
        <v>13808</v>
      </c>
      <c r="O626" s="24"/>
      <c r="P626" s="24" t="s">
        <v>13818</v>
      </c>
      <c r="Q626" s="24" t="s">
        <v>22921</v>
      </c>
      <c r="R626" s="24" t="s">
        <v>13818</v>
      </c>
      <c r="S626" s="24" t="s">
        <v>22922</v>
      </c>
      <c r="T626" t="s">
        <v>22923</v>
      </c>
      <c r="U626" t="s">
        <v>13809</v>
      </c>
      <c r="W626" t="s">
        <v>13808</v>
      </c>
      <c r="X626" t="s">
        <v>22924</v>
      </c>
      <c r="Y626" t="s">
        <v>13808</v>
      </c>
      <c r="AA626" t="s">
        <v>22925</v>
      </c>
      <c r="AH626" t="s">
        <v>13851</v>
      </c>
      <c r="AI626" t="s">
        <v>13808</v>
      </c>
      <c r="AK626" t="s">
        <v>22926</v>
      </c>
      <c r="AL626" t="s">
        <v>13818</v>
      </c>
      <c r="AM626" t="s">
        <v>19910</v>
      </c>
      <c r="AN626" t="s">
        <v>22927</v>
      </c>
      <c r="AO626" t="s">
        <v>13808</v>
      </c>
      <c r="AT626" t="s">
        <v>14390</v>
      </c>
      <c r="AU626" t="s">
        <v>13808</v>
      </c>
      <c r="AZ626" t="s">
        <v>14333</v>
      </c>
      <c r="BA626" t="s">
        <v>13808</v>
      </c>
      <c r="BF626" t="s">
        <v>22928</v>
      </c>
      <c r="BG626" t="s">
        <v>13808</v>
      </c>
      <c r="BL626" t="s">
        <v>22929</v>
      </c>
      <c r="BM626" t="s">
        <v>13808</v>
      </c>
      <c r="BR626" t="s">
        <v>22930</v>
      </c>
      <c r="BS626" t="s">
        <v>13824</v>
      </c>
      <c r="BT626" t="s">
        <v>13808</v>
      </c>
      <c r="BU626" t="s">
        <v>13985</v>
      </c>
      <c r="BY626" t="s">
        <v>13826</v>
      </c>
      <c r="BZ626" t="s">
        <v>13808</v>
      </c>
      <c r="CA626" t="s">
        <v>13937</v>
      </c>
      <c r="CE626" t="s">
        <v>16708</v>
      </c>
      <c r="CF626" t="s">
        <v>13808</v>
      </c>
      <c r="CG626" t="s">
        <v>22931</v>
      </c>
      <c r="CK626" t="s">
        <v>13760</v>
      </c>
      <c r="CL626" t="s">
        <v>13809</v>
      </c>
      <c r="CQ626" t="s">
        <v>13766</v>
      </c>
      <c r="CR626" t="s">
        <v>13809</v>
      </c>
      <c r="CT626" t="s">
        <v>22932</v>
      </c>
      <c r="CU626" t="s">
        <v>22933</v>
      </c>
      <c r="CV626" t="s">
        <v>13818</v>
      </c>
      <c r="DA626" t="s">
        <v>22934</v>
      </c>
      <c r="DB626" t="s">
        <v>13808</v>
      </c>
      <c r="DH626" t="s">
        <v>13808</v>
      </c>
      <c r="DM626" t="s">
        <v>22935</v>
      </c>
      <c r="DN626" t="s">
        <v>13808</v>
      </c>
      <c r="DY626" t="s">
        <v>13869</v>
      </c>
      <c r="DZ626" t="s">
        <v>22936</v>
      </c>
      <c r="EA626" t="s">
        <v>13842</v>
      </c>
      <c r="EC626">
        <v>44659</v>
      </c>
      <c r="ED626" t="s">
        <v>13843</v>
      </c>
      <c r="EE626" t="s">
        <v>8719</v>
      </c>
    </row>
    <row r="627" spans="1:135">
      <c r="A627" t="s">
        <v>12192</v>
      </c>
      <c r="B627" t="s">
        <v>4051</v>
      </c>
      <c r="C627" t="s">
        <v>22937</v>
      </c>
      <c r="D627" s="24">
        <v>44484</v>
      </c>
      <c r="E627" s="24" t="s">
        <v>13561</v>
      </c>
      <c r="F627" s="24" t="s">
        <v>22938</v>
      </c>
      <c r="G627" s="24" t="s">
        <v>13818</v>
      </c>
      <c r="H627" s="24"/>
      <c r="I627" s="24" t="s">
        <v>13809</v>
      </c>
      <c r="J627" s="24"/>
      <c r="K627" s="24" t="s">
        <v>13818</v>
      </c>
      <c r="L627" s="24"/>
      <c r="M627" s="24" t="s">
        <v>17459</v>
      </c>
      <c r="N627" s="24" t="s">
        <v>13808</v>
      </c>
      <c r="O627" s="24"/>
      <c r="P627" s="24" t="s">
        <v>13818</v>
      </c>
      <c r="Q627" s="24" t="s">
        <v>14305</v>
      </c>
      <c r="R627" s="24" t="s">
        <v>13808</v>
      </c>
      <c r="S627" s="24"/>
      <c r="T627" t="s">
        <v>13907</v>
      </c>
      <c r="U627" t="s">
        <v>13809</v>
      </c>
      <c r="W627" t="s">
        <v>13808</v>
      </c>
      <c r="X627" t="s">
        <v>22939</v>
      </c>
      <c r="Y627" t="s">
        <v>13809</v>
      </c>
      <c r="AA627" t="s">
        <v>14770</v>
      </c>
      <c r="AB627" t="s">
        <v>22940</v>
      </c>
      <c r="AC627" t="s">
        <v>13818</v>
      </c>
      <c r="AD627" t="s">
        <v>13819</v>
      </c>
      <c r="AH627" t="s">
        <v>13909</v>
      </c>
      <c r="AI627" t="s">
        <v>13818</v>
      </c>
      <c r="AJ627" t="s">
        <v>13819</v>
      </c>
      <c r="AN627" t="s">
        <v>22941</v>
      </c>
      <c r="AO627" t="s">
        <v>13818</v>
      </c>
      <c r="AP627" t="s">
        <v>13819</v>
      </c>
      <c r="AT627" t="s">
        <v>14197</v>
      </c>
      <c r="AU627" t="s">
        <v>13818</v>
      </c>
      <c r="AV627" t="s">
        <v>13819</v>
      </c>
      <c r="AZ627" t="s">
        <v>17154</v>
      </c>
      <c r="BA627" t="s">
        <v>13818</v>
      </c>
      <c r="BB627" t="s">
        <v>13819</v>
      </c>
      <c r="BF627" t="s">
        <v>15136</v>
      </c>
      <c r="BG627" t="s">
        <v>13818</v>
      </c>
      <c r="BH627" t="s">
        <v>13819</v>
      </c>
      <c r="BL627" t="s">
        <v>22942</v>
      </c>
      <c r="BM627" t="s">
        <v>13818</v>
      </c>
      <c r="BN627" t="s">
        <v>13819</v>
      </c>
      <c r="BR627" t="s">
        <v>22943</v>
      </c>
      <c r="BS627" t="s">
        <v>13887</v>
      </c>
      <c r="BT627" t="s">
        <v>13818</v>
      </c>
      <c r="BU627" t="s">
        <v>14214</v>
      </c>
      <c r="BY627" t="s">
        <v>14265</v>
      </c>
      <c r="BZ627" t="s">
        <v>13818</v>
      </c>
      <c r="CA627" t="s">
        <v>14780</v>
      </c>
      <c r="CE627" t="s">
        <v>13887</v>
      </c>
      <c r="CF627" t="s">
        <v>13818</v>
      </c>
      <c r="CG627" t="s">
        <v>13819</v>
      </c>
      <c r="CH627" t="s">
        <v>14693</v>
      </c>
      <c r="CI627" t="s">
        <v>13818</v>
      </c>
      <c r="CJ627" t="s">
        <v>13819</v>
      </c>
      <c r="CL627" t="s">
        <v>13809</v>
      </c>
      <c r="CR627" t="s">
        <v>13809</v>
      </c>
      <c r="CT627" t="s">
        <v>22944</v>
      </c>
      <c r="CU627" t="s">
        <v>22945</v>
      </c>
      <c r="CV627" t="s">
        <v>13808</v>
      </c>
      <c r="CW627" t="s">
        <v>13819</v>
      </c>
      <c r="CX627" t="s">
        <v>22946</v>
      </c>
      <c r="CY627" t="s">
        <v>13818</v>
      </c>
      <c r="CZ627" t="s">
        <v>13819</v>
      </c>
      <c r="DA627" t="s">
        <v>22947</v>
      </c>
      <c r="DB627" t="s">
        <v>13808</v>
      </c>
      <c r="DC627" t="s">
        <v>13819</v>
      </c>
      <c r="DD627" t="s">
        <v>22948</v>
      </c>
      <c r="DE627" t="s">
        <v>13818</v>
      </c>
      <c r="DF627" t="s">
        <v>13819</v>
      </c>
      <c r="DG627" t="s">
        <v>22949</v>
      </c>
      <c r="DH627" t="s">
        <v>13818</v>
      </c>
      <c r="DI627" t="s">
        <v>13819</v>
      </c>
      <c r="DY627" t="s">
        <v>13869</v>
      </c>
      <c r="DZ627" t="s">
        <v>13841</v>
      </c>
      <c r="EA627" t="s">
        <v>13842</v>
      </c>
      <c r="ED627" t="s">
        <v>17223</v>
      </c>
      <c r="EE627" t="s">
        <v>13637</v>
      </c>
    </row>
    <row r="628" spans="1:135">
      <c r="A628" t="s">
        <v>4162</v>
      </c>
      <c r="B628" t="s">
        <v>4051</v>
      </c>
      <c r="C628" t="s">
        <v>22950</v>
      </c>
      <c r="D628" s="24">
        <v>43679</v>
      </c>
      <c r="E628" s="24" t="s">
        <v>13553</v>
      </c>
      <c r="F628" s="24" t="s">
        <v>22951</v>
      </c>
      <c r="G628" s="24" t="s">
        <v>13808</v>
      </c>
      <c r="H628" s="24"/>
      <c r="I628" s="24" t="s">
        <v>13809</v>
      </c>
      <c r="J628" s="24"/>
      <c r="K628" s="24" t="s">
        <v>13808</v>
      </c>
      <c r="L628" s="24"/>
      <c r="M628" s="24" t="s">
        <v>22952</v>
      </c>
      <c r="N628" s="24" t="s">
        <v>13808</v>
      </c>
      <c r="O628" s="24"/>
      <c r="P628" s="24" t="s">
        <v>13808</v>
      </c>
      <c r="Q628" s="24"/>
      <c r="R628" s="24" t="s">
        <v>13808</v>
      </c>
      <c r="S628" s="24"/>
      <c r="T628" t="s">
        <v>22953</v>
      </c>
      <c r="U628" t="s">
        <v>13809</v>
      </c>
      <c r="W628" t="s">
        <v>13808</v>
      </c>
      <c r="X628" t="s">
        <v>22954</v>
      </c>
      <c r="Y628" t="s">
        <v>13808</v>
      </c>
      <c r="AA628" t="s">
        <v>13877</v>
      </c>
      <c r="AB628" t="s">
        <v>22955</v>
      </c>
      <c r="AC628" t="s">
        <v>13808</v>
      </c>
      <c r="AH628" t="s">
        <v>13909</v>
      </c>
      <c r="AI628" t="s">
        <v>13808</v>
      </c>
      <c r="AN628" t="s">
        <v>22956</v>
      </c>
      <c r="AO628" t="s">
        <v>13808</v>
      </c>
      <c r="AT628" t="s">
        <v>22957</v>
      </c>
      <c r="AU628" t="s">
        <v>13808</v>
      </c>
      <c r="AZ628" t="s">
        <v>22958</v>
      </c>
      <c r="BA628" t="s">
        <v>13808</v>
      </c>
      <c r="BF628" t="s">
        <v>22959</v>
      </c>
      <c r="BG628" t="s">
        <v>13808</v>
      </c>
      <c r="BL628" t="s">
        <v>22960</v>
      </c>
      <c r="BM628" t="s">
        <v>13808</v>
      </c>
      <c r="BR628" t="s">
        <v>22961</v>
      </c>
      <c r="BS628" t="s">
        <v>13887</v>
      </c>
      <c r="BT628" t="s">
        <v>13808</v>
      </c>
      <c r="BU628" t="s">
        <v>15827</v>
      </c>
      <c r="BY628" t="s">
        <v>16141</v>
      </c>
      <c r="BZ628" t="s">
        <v>13808</v>
      </c>
      <c r="CA628" t="s">
        <v>13888</v>
      </c>
      <c r="CE628" t="s">
        <v>15197</v>
      </c>
      <c r="CF628" t="s">
        <v>13808</v>
      </c>
      <c r="CL628" t="s">
        <v>13809</v>
      </c>
      <c r="CQ628" t="s">
        <v>13887</v>
      </c>
      <c r="CR628" t="s">
        <v>13808</v>
      </c>
      <c r="CS628" t="s">
        <v>22962</v>
      </c>
      <c r="CT628" t="s">
        <v>22963</v>
      </c>
      <c r="CU628" t="s">
        <v>22964</v>
      </c>
      <c r="CV628" t="s">
        <v>13897</v>
      </c>
      <c r="CW628" t="s">
        <v>22965</v>
      </c>
      <c r="DA628" t="s">
        <v>22966</v>
      </c>
      <c r="DB628" t="s">
        <v>13897</v>
      </c>
      <c r="DC628" t="s">
        <v>22967</v>
      </c>
      <c r="DG628" t="s">
        <v>22968</v>
      </c>
      <c r="DH628" t="s">
        <v>13897</v>
      </c>
      <c r="DJ628" t="s">
        <v>22969</v>
      </c>
      <c r="DK628" t="s">
        <v>13818</v>
      </c>
      <c r="DL628" t="s">
        <v>15889</v>
      </c>
      <c r="DM628" t="s">
        <v>22970</v>
      </c>
      <c r="DN628" t="s">
        <v>13808</v>
      </c>
      <c r="DY628" t="s">
        <v>22971</v>
      </c>
      <c r="DZ628" t="s">
        <v>14696</v>
      </c>
      <c r="EA628" t="s">
        <v>13902</v>
      </c>
      <c r="ED628" t="s">
        <v>14501</v>
      </c>
      <c r="EE628" t="s">
        <v>9039</v>
      </c>
    </row>
    <row r="629" spans="1:135">
      <c r="A629" t="s">
        <v>12213</v>
      </c>
      <c r="B629" t="s">
        <v>3161</v>
      </c>
      <c r="C629" t="s">
        <v>22972</v>
      </c>
      <c r="D629" s="24">
        <v>44568</v>
      </c>
      <c r="E629" s="24" t="s">
        <v>13550</v>
      </c>
      <c r="F629" s="24" t="s">
        <v>22973</v>
      </c>
      <c r="G629" s="24" t="s">
        <v>13808</v>
      </c>
      <c r="H629" s="24"/>
      <c r="I629" s="24" t="s">
        <v>13809</v>
      </c>
      <c r="J629" s="24"/>
      <c r="K629" s="24" t="s">
        <v>13809</v>
      </c>
      <c r="L629" s="24"/>
      <c r="M629" s="24" t="s">
        <v>15106</v>
      </c>
      <c r="N629" s="24"/>
      <c r="O629" s="24"/>
      <c r="P629" s="24"/>
      <c r="Q629" s="24"/>
      <c r="R629" s="24"/>
      <c r="S629" s="24"/>
      <c r="T629" t="s">
        <v>16463</v>
      </c>
      <c r="U629" t="s">
        <v>13809</v>
      </c>
      <c r="W629" t="s">
        <v>13808</v>
      </c>
      <c r="X629" t="s">
        <v>22974</v>
      </c>
      <c r="Y629" t="s">
        <v>13809</v>
      </c>
      <c r="AA629" t="s">
        <v>18643</v>
      </c>
      <c r="AH629" t="s">
        <v>22975</v>
      </c>
      <c r="AI629" t="s">
        <v>22976</v>
      </c>
      <c r="AJ629" t="s">
        <v>22977</v>
      </c>
      <c r="AT629" t="s">
        <v>22978</v>
      </c>
      <c r="AU629" t="s">
        <v>13808</v>
      </c>
      <c r="AV629" t="s">
        <v>22977</v>
      </c>
      <c r="BL629" t="s">
        <v>22979</v>
      </c>
      <c r="BM629" t="s">
        <v>13818</v>
      </c>
      <c r="BN629" t="s">
        <v>14309</v>
      </c>
      <c r="BR629" t="s">
        <v>22980</v>
      </c>
      <c r="BS629" t="s">
        <v>14290</v>
      </c>
      <c r="BT629" t="s">
        <v>13818</v>
      </c>
      <c r="BU629" t="s">
        <v>13985</v>
      </c>
      <c r="BY629" t="s">
        <v>13826</v>
      </c>
      <c r="BZ629" t="s">
        <v>13808</v>
      </c>
      <c r="CA629" t="s">
        <v>22981</v>
      </c>
      <c r="CE629" t="s">
        <v>22982</v>
      </c>
      <c r="CF629" t="s">
        <v>13808</v>
      </c>
      <c r="CK629" t="s">
        <v>15044</v>
      </c>
      <c r="CL629" t="s">
        <v>13808</v>
      </c>
      <c r="CQ629" t="s">
        <v>13766</v>
      </c>
      <c r="CR629" t="s">
        <v>13809</v>
      </c>
      <c r="CT629" t="s">
        <v>13830</v>
      </c>
      <c r="CU629" t="s">
        <v>15268</v>
      </c>
      <c r="CV629" t="s">
        <v>13818</v>
      </c>
      <c r="CW629" t="s">
        <v>14309</v>
      </c>
      <c r="DA629" t="s">
        <v>15063</v>
      </c>
      <c r="DB629" t="s">
        <v>13818</v>
      </c>
      <c r="DC629" t="s">
        <v>14309</v>
      </c>
      <c r="DG629" t="s">
        <v>22983</v>
      </c>
      <c r="DH629" t="s">
        <v>13818</v>
      </c>
      <c r="DM629" t="s">
        <v>22984</v>
      </c>
      <c r="DN629" t="s">
        <v>13818</v>
      </c>
      <c r="DO629" t="s">
        <v>22985</v>
      </c>
      <c r="DP629" t="s">
        <v>22986</v>
      </c>
      <c r="DQ629" t="s">
        <v>13808</v>
      </c>
      <c r="DR629" t="s">
        <v>13839</v>
      </c>
      <c r="DY629" t="s">
        <v>22987</v>
      </c>
      <c r="DZ629" t="s">
        <v>13841</v>
      </c>
      <c r="EA629" t="s">
        <v>13842</v>
      </c>
      <c r="EC629">
        <v>44691</v>
      </c>
      <c r="ED629" t="s">
        <v>14298</v>
      </c>
      <c r="EE629" t="s">
        <v>13638</v>
      </c>
    </row>
    <row r="630" spans="1:135">
      <c r="A630" t="s">
        <v>12223</v>
      </c>
      <c r="B630" t="s">
        <v>3399</v>
      </c>
      <c r="C630" t="s">
        <v>22988</v>
      </c>
      <c r="D630" s="24">
        <v>44687</v>
      </c>
      <c r="E630" s="24" t="s">
        <v>13550</v>
      </c>
      <c r="F630" s="24" t="s">
        <v>22989</v>
      </c>
      <c r="G630" s="24" t="s">
        <v>13808</v>
      </c>
      <c r="H630" s="24"/>
      <c r="I630" s="24" t="s">
        <v>13809</v>
      </c>
      <c r="J630" s="24"/>
      <c r="K630" s="24" t="s">
        <v>13809</v>
      </c>
      <c r="L630" s="24"/>
      <c r="M630" s="24" t="s">
        <v>22990</v>
      </c>
      <c r="N630" s="24" t="s">
        <v>13808</v>
      </c>
      <c r="O630" s="24"/>
      <c r="P630" s="24" t="s">
        <v>13818</v>
      </c>
      <c r="Q630" s="24" t="s">
        <v>21385</v>
      </c>
      <c r="R630" s="24" t="s">
        <v>13808</v>
      </c>
      <c r="S630" s="24"/>
      <c r="T630" t="s">
        <v>22991</v>
      </c>
      <c r="U630" t="s">
        <v>13809</v>
      </c>
      <c r="W630" t="s">
        <v>13808</v>
      </c>
      <c r="X630" t="s">
        <v>22992</v>
      </c>
      <c r="Y630" t="s">
        <v>13809</v>
      </c>
      <c r="AA630" t="s">
        <v>22993</v>
      </c>
      <c r="AB630" t="s">
        <v>22994</v>
      </c>
      <c r="AC630" t="s">
        <v>13808</v>
      </c>
      <c r="AH630" t="s">
        <v>22995</v>
      </c>
      <c r="AI630" t="s">
        <v>13808</v>
      </c>
      <c r="AJ630" t="s">
        <v>22996</v>
      </c>
      <c r="AK630" t="s">
        <v>22997</v>
      </c>
      <c r="AL630" t="s">
        <v>13818</v>
      </c>
      <c r="AM630" t="s">
        <v>22998</v>
      </c>
      <c r="AN630" t="s">
        <v>22999</v>
      </c>
      <c r="AO630" t="s">
        <v>13818</v>
      </c>
      <c r="AP630" t="s">
        <v>13819</v>
      </c>
      <c r="AT630" t="s">
        <v>23000</v>
      </c>
      <c r="AU630" t="s">
        <v>13818</v>
      </c>
      <c r="AV630" t="s">
        <v>23001</v>
      </c>
      <c r="AZ630" t="s">
        <v>23002</v>
      </c>
      <c r="BA630" t="s">
        <v>13808</v>
      </c>
      <c r="BF630" t="s">
        <v>23003</v>
      </c>
      <c r="BG630" t="s">
        <v>13818</v>
      </c>
      <c r="BH630" t="s">
        <v>13819</v>
      </c>
      <c r="BL630" t="s">
        <v>23004</v>
      </c>
      <c r="BM630" t="s">
        <v>13818</v>
      </c>
      <c r="BN630" t="s">
        <v>13819</v>
      </c>
      <c r="BR630" t="s">
        <v>23005</v>
      </c>
      <c r="BS630" t="s">
        <v>13824</v>
      </c>
      <c r="BT630" t="s">
        <v>13818</v>
      </c>
      <c r="BU630" t="s">
        <v>23006</v>
      </c>
      <c r="BY630" t="s">
        <v>13860</v>
      </c>
      <c r="BZ630" t="s">
        <v>13808</v>
      </c>
      <c r="CA630" t="s">
        <v>13861</v>
      </c>
      <c r="CE630" t="s">
        <v>13828</v>
      </c>
      <c r="CF630" t="s">
        <v>13818</v>
      </c>
      <c r="CG630" t="s">
        <v>16051</v>
      </c>
      <c r="CK630" t="s">
        <v>13760</v>
      </c>
      <c r="CL630" t="s">
        <v>13809</v>
      </c>
      <c r="CQ630" t="s">
        <v>13766</v>
      </c>
      <c r="CR630" t="s">
        <v>13809</v>
      </c>
      <c r="CT630" t="s">
        <v>13830</v>
      </c>
      <c r="CU630" t="s">
        <v>23007</v>
      </c>
      <c r="CV630" t="s">
        <v>13818</v>
      </c>
      <c r="DA630" t="s">
        <v>23008</v>
      </c>
      <c r="DB630" t="s">
        <v>13818</v>
      </c>
      <c r="DG630" t="s">
        <v>23009</v>
      </c>
      <c r="DH630" t="s">
        <v>13818</v>
      </c>
      <c r="DM630" t="s">
        <v>23010</v>
      </c>
      <c r="DN630" t="s">
        <v>13818</v>
      </c>
      <c r="DO630" t="s">
        <v>23011</v>
      </c>
      <c r="DY630" t="s">
        <v>14606</v>
      </c>
      <c r="DZ630" t="s">
        <v>13841</v>
      </c>
      <c r="EA630" t="s">
        <v>13842</v>
      </c>
      <c r="EC630">
        <v>44698</v>
      </c>
      <c r="ED630" t="s">
        <v>14298</v>
      </c>
      <c r="EE630" t="s">
        <v>13639</v>
      </c>
    </row>
    <row r="631" spans="1:135">
      <c r="A631" t="s">
        <v>12237</v>
      </c>
      <c r="B631" t="s">
        <v>3619</v>
      </c>
      <c r="C631" t="s">
        <v>23012</v>
      </c>
      <c r="D631" s="24">
        <v>44638</v>
      </c>
      <c r="E631" s="24" t="s">
        <v>13561</v>
      </c>
      <c r="F631" s="24" t="s">
        <v>23013</v>
      </c>
      <c r="G631" s="24" t="s">
        <v>13818</v>
      </c>
      <c r="H631" s="24" t="s">
        <v>23014</v>
      </c>
      <c r="I631" s="24" t="s">
        <v>13809</v>
      </c>
      <c r="J631" s="24"/>
      <c r="K631" s="24" t="s">
        <v>13809</v>
      </c>
      <c r="L631" s="24"/>
      <c r="M631" s="24" t="s">
        <v>15106</v>
      </c>
      <c r="N631" s="24" t="s">
        <v>13808</v>
      </c>
      <c r="O631" s="24"/>
      <c r="P631" s="24" t="s">
        <v>13818</v>
      </c>
      <c r="Q631" s="24" t="s">
        <v>23015</v>
      </c>
      <c r="R631" s="24" t="s">
        <v>13818</v>
      </c>
      <c r="S631" s="24" t="s">
        <v>23016</v>
      </c>
      <c r="T631" t="s">
        <v>13907</v>
      </c>
      <c r="U631" t="s">
        <v>13809</v>
      </c>
      <c r="W631" t="s">
        <v>23017</v>
      </c>
      <c r="X631" t="s">
        <v>23018</v>
      </c>
      <c r="Y631" t="s">
        <v>13809</v>
      </c>
      <c r="AA631" t="s">
        <v>23019</v>
      </c>
      <c r="AB631" t="s">
        <v>13699</v>
      </c>
      <c r="AC631" t="s">
        <v>13809</v>
      </c>
      <c r="AH631" t="s">
        <v>13851</v>
      </c>
      <c r="AI631" t="s">
        <v>13818</v>
      </c>
      <c r="AJ631" t="s">
        <v>13819</v>
      </c>
      <c r="AN631" t="s">
        <v>23020</v>
      </c>
      <c r="AO631" t="s">
        <v>13818</v>
      </c>
      <c r="AP631" t="s">
        <v>13819</v>
      </c>
      <c r="AT631" t="s">
        <v>23021</v>
      </c>
      <c r="AU631" t="s">
        <v>13818</v>
      </c>
      <c r="AV631" t="s">
        <v>13819</v>
      </c>
      <c r="AZ631" t="s">
        <v>23022</v>
      </c>
      <c r="BA631" t="s">
        <v>13818</v>
      </c>
      <c r="BB631" t="s">
        <v>13819</v>
      </c>
      <c r="BF631" t="s">
        <v>19574</v>
      </c>
      <c r="BG631" t="s">
        <v>13818</v>
      </c>
      <c r="BH631" t="s">
        <v>13819</v>
      </c>
      <c r="BL631" t="s">
        <v>23023</v>
      </c>
      <c r="BM631" t="s">
        <v>13818</v>
      </c>
      <c r="BN631" t="s">
        <v>13819</v>
      </c>
      <c r="BR631" t="s">
        <v>23024</v>
      </c>
      <c r="BS631" t="s">
        <v>13824</v>
      </c>
      <c r="BT631" t="s">
        <v>13818</v>
      </c>
      <c r="BU631" t="s">
        <v>23025</v>
      </c>
      <c r="BY631" t="s">
        <v>13826</v>
      </c>
      <c r="BZ631" t="s">
        <v>13818</v>
      </c>
      <c r="CA631" t="s">
        <v>16646</v>
      </c>
      <c r="CE631" t="s">
        <v>13828</v>
      </c>
      <c r="CF631" t="s">
        <v>13818</v>
      </c>
      <c r="CG631" t="s">
        <v>13819</v>
      </c>
      <c r="CK631" t="s">
        <v>13760</v>
      </c>
      <c r="CL631" t="s">
        <v>13809</v>
      </c>
      <c r="CQ631" t="s">
        <v>13766</v>
      </c>
      <c r="CR631" t="s">
        <v>13818</v>
      </c>
      <c r="CS631" t="s">
        <v>13819</v>
      </c>
      <c r="CT631" t="s">
        <v>13830</v>
      </c>
      <c r="CU631" t="s">
        <v>15268</v>
      </c>
      <c r="CV631" t="s">
        <v>13818</v>
      </c>
      <c r="DA631" t="s">
        <v>15063</v>
      </c>
      <c r="DB631" t="s">
        <v>13818</v>
      </c>
      <c r="DG631" t="s">
        <v>14240</v>
      </c>
      <c r="DH631" t="s">
        <v>13818</v>
      </c>
      <c r="DM631" t="s">
        <v>17650</v>
      </c>
      <c r="DN631" t="s">
        <v>13818</v>
      </c>
      <c r="DY631" t="s">
        <v>21995</v>
      </c>
      <c r="DZ631" t="s">
        <v>21996</v>
      </c>
      <c r="EA631" t="s">
        <v>13842</v>
      </c>
      <c r="EC631">
        <v>44651</v>
      </c>
      <c r="ED631" t="s">
        <v>14298</v>
      </c>
      <c r="EE631" t="s">
        <v>13640</v>
      </c>
    </row>
    <row r="632" spans="1:135">
      <c r="A632" t="s">
        <v>12256</v>
      </c>
      <c r="B632" t="s">
        <v>3808</v>
      </c>
      <c r="C632" t="s">
        <v>23026</v>
      </c>
      <c r="D632" s="24">
        <v>44673</v>
      </c>
      <c r="E632" s="24" t="s">
        <v>13561</v>
      </c>
      <c r="F632" s="24" t="s">
        <v>23027</v>
      </c>
      <c r="G632" s="24" t="s">
        <v>13818</v>
      </c>
      <c r="H632" s="24"/>
      <c r="I632" s="24" t="s">
        <v>13809</v>
      </c>
      <c r="J632" s="24"/>
      <c r="K632" s="24" t="s">
        <v>13809</v>
      </c>
      <c r="L632" s="24"/>
      <c r="M632" s="24" t="s">
        <v>13811</v>
      </c>
      <c r="N632" s="24" t="s">
        <v>13818</v>
      </c>
      <c r="O632" s="24" t="s">
        <v>14305</v>
      </c>
      <c r="P632" s="24" t="s">
        <v>13818</v>
      </c>
      <c r="Q632" s="24" t="s">
        <v>14305</v>
      </c>
      <c r="R632" s="24" t="s">
        <v>13808</v>
      </c>
      <c r="S632" s="24"/>
      <c r="T632" t="s">
        <v>13907</v>
      </c>
      <c r="U632" t="s">
        <v>13809</v>
      </c>
      <c r="W632" t="s">
        <v>13808</v>
      </c>
      <c r="X632" t="s">
        <v>23028</v>
      </c>
      <c r="Y632" t="s">
        <v>13809</v>
      </c>
      <c r="AA632" t="s">
        <v>14466</v>
      </c>
      <c r="AB632" t="s">
        <v>21927</v>
      </c>
      <c r="AC632" t="s">
        <v>13818</v>
      </c>
      <c r="AD632" t="s">
        <v>13819</v>
      </c>
      <c r="AH632" t="s">
        <v>13851</v>
      </c>
      <c r="AI632" t="s">
        <v>13818</v>
      </c>
      <c r="AJ632" t="s">
        <v>13819</v>
      </c>
      <c r="AN632" t="s">
        <v>23029</v>
      </c>
      <c r="AO632" t="s">
        <v>13818</v>
      </c>
      <c r="AP632" t="s">
        <v>13819</v>
      </c>
      <c r="AT632" t="s">
        <v>23030</v>
      </c>
      <c r="AU632" t="s">
        <v>13818</v>
      </c>
      <c r="AV632" t="s">
        <v>13819</v>
      </c>
      <c r="AZ632" t="s">
        <v>23031</v>
      </c>
      <c r="BA632" t="s">
        <v>13818</v>
      </c>
      <c r="BB632" t="s">
        <v>23032</v>
      </c>
      <c r="BF632" t="s">
        <v>21361</v>
      </c>
      <c r="BG632" t="s">
        <v>13818</v>
      </c>
      <c r="BH632" t="s">
        <v>13819</v>
      </c>
      <c r="BL632" t="s">
        <v>23033</v>
      </c>
      <c r="BM632" t="s">
        <v>13818</v>
      </c>
      <c r="BN632" t="s">
        <v>13819</v>
      </c>
      <c r="BR632" t="s">
        <v>23034</v>
      </c>
      <c r="BS632" t="s">
        <v>13824</v>
      </c>
      <c r="BT632" t="s">
        <v>13818</v>
      </c>
      <c r="BU632" t="s">
        <v>23035</v>
      </c>
      <c r="BY632" t="s">
        <v>13826</v>
      </c>
      <c r="BZ632" t="s">
        <v>13818</v>
      </c>
      <c r="CA632" t="s">
        <v>14309</v>
      </c>
      <c r="CE632" t="s">
        <v>23036</v>
      </c>
      <c r="CF632" t="s">
        <v>13818</v>
      </c>
      <c r="CG632" t="s">
        <v>14309</v>
      </c>
      <c r="CK632" t="s">
        <v>13760</v>
      </c>
      <c r="CL632" t="s">
        <v>13809</v>
      </c>
      <c r="CQ632" t="s">
        <v>16665</v>
      </c>
      <c r="CR632" t="s">
        <v>13818</v>
      </c>
      <c r="CS632" t="s">
        <v>14309</v>
      </c>
      <c r="CT632" t="s">
        <v>13830</v>
      </c>
      <c r="CU632" t="s">
        <v>23037</v>
      </c>
      <c r="CV632" t="s">
        <v>13818</v>
      </c>
      <c r="DA632" t="s">
        <v>23038</v>
      </c>
      <c r="DB632" t="s">
        <v>13818</v>
      </c>
      <c r="DG632" t="s">
        <v>23039</v>
      </c>
      <c r="DH632" t="s">
        <v>13818</v>
      </c>
      <c r="DY632" t="s">
        <v>15364</v>
      </c>
      <c r="DZ632" t="s">
        <v>13841</v>
      </c>
      <c r="EA632" t="s">
        <v>13842</v>
      </c>
      <c r="EC632">
        <v>44685</v>
      </c>
      <c r="ED632" t="s">
        <v>14298</v>
      </c>
      <c r="EE632" t="s">
        <v>13641</v>
      </c>
    </row>
    <row r="633" spans="1:135">
      <c r="A633" t="s">
        <v>3786</v>
      </c>
      <c r="B633" t="s">
        <v>3619</v>
      </c>
      <c r="C633" t="s">
        <v>23040</v>
      </c>
      <c r="D633" s="24">
        <v>44323</v>
      </c>
      <c r="E633" s="24" t="s">
        <v>13558</v>
      </c>
      <c r="F633" s="24" t="s">
        <v>23041</v>
      </c>
      <c r="G633" s="24" t="s">
        <v>13808</v>
      </c>
      <c r="H633" s="24"/>
      <c r="I633" s="24" t="s">
        <v>13809</v>
      </c>
      <c r="J633" s="24"/>
      <c r="K633" s="24" t="s">
        <v>13818</v>
      </c>
      <c r="L633" s="24"/>
      <c r="M633" s="24" t="s">
        <v>15106</v>
      </c>
      <c r="N633" s="24" t="s">
        <v>13808</v>
      </c>
      <c r="O633" s="24"/>
      <c r="P633" s="24" t="s">
        <v>13808</v>
      </c>
      <c r="Q633" s="24"/>
      <c r="R633" s="24" t="s">
        <v>13808</v>
      </c>
      <c r="S633" s="24"/>
      <c r="T633" t="s">
        <v>13907</v>
      </c>
      <c r="U633" t="s">
        <v>13809</v>
      </c>
      <c r="W633" t="s">
        <v>13808</v>
      </c>
      <c r="X633" t="s">
        <v>23042</v>
      </c>
      <c r="Y633" t="s">
        <v>13809</v>
      </c>
      <c r="AA633" t="s">
        <v>14594</v>
      </c>
      <c r="AB633" t="s">
        <v>23043</v>
      </c>
      <c r="AC633" t="s">
        <v>13808</v>
      </c>
      <c r="AH633" t="s">
        <v>13909</v>
      </c>
      <c r="AI633" t="s">
        <v>13808</v>
      </c>
      <c r="AN633" t="s">
        <v>23044</v>
      </c>
      <c r="AO633" t="s">
        <v>13809</v>
      </c>
      <c r="AT633" t="s">
        <v>13878</v>
      </c>
      <c r="AU633" t="s">
        <v>13808</v>
      </c>
      <c r="AZ633" t="s">
        <v>18925</v>
      </c>
      <c r="BA633" t="s">
        <v>13808</v>
      </c>
      <c r="BF633" t="s">
        <v>16078</v>
      </c>
      <c r="BG633" t="s">
        <v>13808</v>
      </c>
      <c r="BL633" t="s">
        <v>23045</v>
      </c>
      <c r="BM633" t="s">
        <v>13808</v>
      </c>
      <c r="BR633" t="s">
        <v>23046</v>
      </c>
      <c r="BS633" t="s">
        <v>13887</v>
      </c>
      <c r="BT633" t="s">
        <v>13808</v>
      </c>
      <c r="BU633" t="s">
        <v>14233</v>
      </c>
      <c r="BY633" t="s">
        <v>14265</v>
      </c>
      <c r="BZ633" t="s">
        <v>13818</v>
      </c>
      <c r="CA633" t="s">
        <v>23047</v>
      </c>
      <c r="CE633" t="s">
        <v>13887</v>
      </c>
      <c r="CF633" t="s">
        <v>13808</v>
      </c>
      <c r="CH633" t="s">
        <v>14197</v>
      </c>
      <c r="CI633" t="s">
        <v>13818</v>
      </c>
      <c r="CJ633" t="s">
        <v>23048</v>
      </c>
      <c r="CL633" t="s">
        <v>13809</v>
      </c>
      <c r="CR633" t="s">
        <v>13809</v>
      </c>
      <c r="CT633" t="s">
        <v>23049</v>
      </c>
      <c r="CU633" t="s">
        <v>23050</v>
      </c>
      <c r="CV633" t="s">
        <v>13818</v>
      </c>
      <c r="DA633" t="s">
        <v>23051</v>
      </c>
      <c r="DB633" t="s">
        <v>13818</v>
      </c>
      <c r="DM633" t="s">
        <v>18627</v>
      </c>
      <c r="DN633" t="s">
        <v>13808</v>
      </c>
      <c r="DY633" t="s">
        <v>13869</v>
      </c>
      <c r="DZ633" t="s">
        <v>13841</v>
      </c>
      <c r="EA633" t="s">
        <v>13842</v>
      </c>
      <c r="ED633" t="s">
        <v>17223</v>
      </c>
      <c r="EE633" t="s">
        <v>8580</v>
      </c>
    </row>
    <row r="634" spans="1:135">
      <c r="A634" t="s">
        <v>3790</v>
      </c>
      <c r="B634" t="s">
        <v>3619</v>
      </c>
      <c r="C634" t="s">
        <v>23052</v>
      </c>
      <c r="D634" s="24">
        <v>42934</v>
      </c>
      <c r="E634" s="24" t="s">
        <v>13555</v>
      </c>
      <c r="F634" s="24" t="s">
        <v>23053</v>
      </c>
      <c r="G634" s="24" t="s">
        <v>13808</v>
      </c>
      <c r="H634" s="24"/>
      <c r="I634" s="24" t="s">
        <v>13809</v>
      </c>
      <c r="J634" s="24"/>
      <c r="K634" s="24" t="s">
        <v>13808</v>
      </c>
      <c r="L634" s="24"/>
      <c r="M634" s="24" t="s">
        <v>23054</v>
      </c>
      <c r="N634" s="24" t="s">
        <v>13808</v>
      </c>
      <c r="O634" s="24"/>
      <c r="P634" s="24" t="s">
        <v>13808</v>
      </c>
      <c r="Q634" s="24"/>
      <c r="R634" s="24" t="s">
        <v>13808</v>
      </c>
      <c r="S634" s="24"/>
      <c r="T634" t="s">
        <v>23055</v>
      </c>
      <c r="U634" t="s">
        <v>13809</v>
      </c>
      <c r="W634" t="s">
        <v>13808</v>
      </c>
      <c r="X634" t="s">
        <v>23056</v>
      </c>
      <c r="Y634" t="s">
        <v>13809</v>
      </c>
      <c r="AA634" t="s">
        <v>14971</v>
      </c>
      <c r="AC634" t="s">
        <v>13809</v>
      </c>
      <c r="AH634" t="s">
        <v>13909</v>
      </c>
      <c r="AI634" t="s">
        <v>13808</v>
      </c>
      <c r="AN634" t="s">
        <v>23057</v>
      </c>
      <c r="AO634" t="s">
        <v>13808</v>
      </c>
      <c r="AT634" t="s">
        <v>14370</v>
      </c>
      <c r="AU634" t="s">
        <v>13808</v>
      </c>
      <c r="AZ634" t="s">
        <v>23058</v>
      </c>
      <c r="BA634" t="s">
        <v>13808</v>
      </c>
      <c r="BG634" t="s">
        <v>13809</v>
      </c>
      <c r="BL634" t="s">
        <v>23059</v>
      </c>
      <c r="BM634" t="s">
        <v>13808</v>
      </c>
      <c r="BR634" t="s">
        <v>23060</v>
      </c>
      <c r="BS634" t="s">
        <v>13887</v>
      </c>
      <c r="BT634" t="s">
        <v>13808</v>
      </c>
      <c r="BU634" t="s">
        <v>23061</v>
      </c>
      <c r="BY634" t="s">
        <v>14265</v>
      </c>
      <c r="BZ634" t="s">
        <v>13808</v>
      </c>
      <c r="CA634" t="s">
        <v>13937</v>
      </c>
      <c r="CE634" t="s">
        <v>13887</v>
      </c>
      <c r="CF634" t="s">
        <v>13808</v>
      </c>
      <c r="CL634" t="s">
        <v>13809</v>
      </c>
      <c r="CQ634" t="s">
        <v>14265</v>
      </c>
      <c r="CR634" t="s">
        <v>13808</v>
      </c>
      <c r="CS634" t="s">
        <v>23062</v>
      </c>
      <c r="CT634" t="s">
        <v>23063</v>
      </c>
      <c r="CU634" t="s">
        <v>21977</v>
      </c>
      <c r="CV634" t="s">
        <v>13808</v>
      </c>
      <c r="DA634" t="s">
        <v>23064</v>
      </c>
      <c r="DB634" t="s">
        <v>13808</v>
      </c>
      <c r="DG634" t="s">
        <v>16503</v>
      </c>
      <c r="DH634" t="s">
        <v>13808</v>
      </c>
      <c r="DI634" t="s">
        <v>15016</v>
      </c>
      <c r="DJ634" t="s">
        <v>16608</v>
      </c>
      <c r="DK634" t="s">
        <v>13818</v>
      </c>
      <c r="DM634" t="s">
        <v>21977</v>
      </c>
      <c r="DN634" t="s">
        <v>13808</v>
      </c>
      <c r="DZ634" t="s">
        <v>23065</v>
      </c>
      <c r="EA634" t="s">
        <v>15944</v>
      </c>
      <c r="EC634">
        <v>43480</v>
      </c>
      <c r="ED634" t="s">
        <v>13903</v>
      </c>
      <c r="EE634" t="s">
        <v>8584</v>
      </c>
    </row>
    <row r="635" spans="1:135">
      <c r="A635" t="s">
        <v>3330</v>
      </c>
      <c r="B635" t="s">
        <v>3161</v>
      </c>
      <c r="C635" t="s">
        <v>23066</v>
      </c>
      <c r="D635" s="24">
        <v>44722</v>
      </c>
      <c r="E635" s="24" t="s">
        <v>13557</v>
      </c>
      <c r="F635" s="24" t="s">
        <v>23067</v>
      </c>
      <c r="G635" s="24" t="s">
        <v>13808</v>
      </c>
      <c r="H635" s="24"/>
      <c r="I635" s="24" t="s">
        <v>13809</v>
      </c>
      <c r="J635" s="24"/>
      <c r="K635" s="24" t="s">
        <v>13809</v>
      </c>
      <c r="L635" s="24"/>
      <c r="M635" s="24" t="s">
        <v>23068</v>
      </c>
      <c r="N635" s="24" t="s">
        <v>13808</v>
      </c>
      <c r="O635" s="24"/>
      <c r="P635" s="24" t="s">
        <v>13808</v>
      </c>
      <c r="Q635" s="24" t="s">
        <v>23069</v>
      </c>
      <c r="R635" s="24" t="s">
        <v>13808</v>
      </c>
      <c r="S635" s="24"/>
      <c r="T635" t="s">
        <v>13907</v>
      </c>
      <c r="U635" t="s">
        <v>13809</v>
      </c>
      <c r="W635" t="s">
        <v>13808</v>
      </c>
      <c r="X635" t="s">
        <v>23070</v>
      </c>
      <c r="Y635" t="s">
        <v>13809</v>
      </c>
      <c r="AA635" t="s">
        <v>13928</v>
      </c>
      <c r="AB635" t="s">
        <v>23071</v>
      </c>
      <c r="AC635" t="s">
        <v>13808</v>
      </c>
      <c r="AH635" t="s">
        <v>13851</v>
      </c>
      <c r="AI635" t="s">
        <v>13808</v>
      </c>
      <c r="AN635" t="s">
        <v>23072</v>
      </c>
      <c r="AO635" t="s">
        <v>13808</v>
      </c>
      <c r="AT635" t="s">
        <v>16660</v>
      </c>
      <c r="AU635" t="s">
        <v>13808</v>
      </c>
      <c r="AZ635" t="s">
        <v>23073</v>
      </c>
      <c r="BA635" t="s">
        <v>13808</v>
      </c>
      <c r="BF635" t="s">
        <v>23074</v>
      </c>
      <c r="BG635" t="s">
        <v>13808</v>
      </c>
      <c r="BL635" t="s">
        <v>23075</v>
      </c>
      <c r="BM635" t="s">
        <v>13808</v>
      </c>
      <c r="BR635" t="s">
        <v>23076</v>
      </c>
      <c r="BS635" t="s">
        <v>13824</v>
      </c>
      <c r="BT635" t="s">
        <v>13808</v>
      </c>
      <c r="BU635" t="s">
        <v>23077</v>
      </c>
      <c r="BY635" t="s">
        <v>13826</v>
      </c>
      <c r="BZ635" t="s">
        <v>13808</v>
      </c>
      <c r="CA635" t="s">
        <v>13937</v>
      </c>
      <c r="CE635" t="s">
        <v>23078</v>
      </c>
      <c r="CF635" t="s">
        <v>13808</v>
      </c>
      <c r="CK635" t="s">
        <v>13760</v>
      </c>
      <c r="CL635" t="s">
        <v>13809</v>
      </c>
      <c r="CQ635" t="s">
        <v>23079</v>
      </c>
      <c r="CR635" t="s">
        <v>13818</v>
      </c>
      <c r="CS635" t="s">
        <v>14421</v>
      </c>
      <c r="CT635" t="s">
        <v>23080</v>
      </c>
      <c r="CU635" t="s">
        <v>23081</v>
      </c>
      <c r="CV635" t="s">
        <v>13818</v>
      </c>
      <c r="DA635" t="s">
        <v>23082</v>
      </c>
      <c r="DB635" t="s">
        <v>13808</v>
      </c>
      <c r="DD635" t="s">
        <v>23083</v>
      </c>
      <c r="DE635" t="s">
        <v>13818</v>
      </c>
      <c r="DG635" t="s">
        <v>23084</v>
      </c>
      <c r="DH635" t="s">
        <v>13818</v>
      </c>
      <c r="DM635" t="s">
        <v>23085</v>
      </c>
      <c r="DN635" t="s">
        <v>13808</v>
      </c>
      <c r="DO635" t="s">
        <v>15894</v>
      </c>
      <c r="DY635" t="s">
        <v>15364</v>
      </c>
      <c r="DZ635" t="s">
        <v>23086</v>
      </c>
      <c r="EA635" t="s">
        <v>23087</v>
      </c>
      <c r="EC635">
        <v>44734</v>
      </c>
      <c r="ED635" t="s">
        <v>14298</v>
      </c>
      <c r="EE635" t="s">
        <v>8038</v>
      </c>
    </row>
    <row r="636" spans="1:135">
      <c r="A636" t="s">
        <v>4033</v>
      </c>
      <c r="B636" t="s">
        <v>3939</v>
      </c>
      <c r="C636" t="s">
        <v>23088</v>
      </c>
      <c r="D636" s="24">
        <v>44729</v>
      </c>
      <c r="E636" s="24" t="s">
        <v>13555</v>
      </c>
      <c r="F636" s="24" t="s">
        <v>23089</v>
      </c>
      <c r="G636" s="24" t="s">
        <v>13808</v>
      </c>
      <c r="H636" s="24"/>
      <c r="I636" s="24" t="s">
        <v>13809</v>
      </c>
      <c r="J636" s="24"/>
      <c r="K636" s="24" t="s">
        <v>13808</v>
      </c>
      <c r="L636" s="24"/>
      <c r="M636" s="24" t="s">
        <v>15106</v>
      </c>
      <c r="N636" s="24" t="s">
        <v>13808</v>
      </c>
      <c r="O636" s="24"/>
      <c r="P636" s="24" t="s">
        <v>13808</v>
      </c>
      <c r="Q636" s="24"/>
      <c r="R636" s="24" t="s">
        <v>13808</v>
      </c>
      <c r="S636" s="24"/>
      <c r="T636" t="s">
        <v>18821</v>
      </c>
      <c r="U636" t="s">
        <v>13808</v>
      </c>
      <c r="V636" t="s">
        <v>23090</v>
      </c>
      <c r="W636" t="s">
        <v>13808</v>
      </c>
      <c r="X636" t="s">
        <v>23091</v>
      </c>
      <c r="Y636" t="s">
        <v>13809</v>
      </c>
      <c r="AA636" t="s">
        <v>23092</v>
      </c>
      <c r="AB636" t="s">
        <v>23093</v>
      </c>
      <c r="AC636" t="s">
        <v>13808</v>
      </c>
      <c r="AD636" t="s">
        <v>23094</v>
      </c>
      <c r="AH636" t="s">
        <v>13851</v>
      </c>
      <c r="AI636" t="s">
        <v>13808</v>
      </c>
      <c r="AK636" t="s">
        <v>23095</v>
      </c>
      <c r="AL636" t="s">
        <v>13808</v>
      </c>
      <c r="AM636" t="s">
        <v>23096</v>
      </c>
      <c r="AN636" t="s">
        <v>23097</v>
      </c>
      <c r="AO636" t="s">
        <v>13808</v>
      </c>
      <c r="AT636" t="s">
        <v>16660</v>
      </c>
      <c r="AU636" t="s">
        <v>13808</v>
      </c>
      <c r="AZ636" t="s">
        <v>23098</v>
      </c>
      <c r="BA636" t="s">
        <v>13808</v>
      </c>
      <c r="BB636" t="s">
        <v>23099</v>
      </c>
      <c r="BF636" t="s">
        <v>23100</v>
      </c>
      <c r="BG636" t="s">
        <v>13808</v>
      </c>
      <c r="BL636" t="s">
        <v>23101</v>
      </c>
      <c r="BM636" t="s">
        <v>13808</v>
      </c>
      <c r="BR636" t="s">
        <v>23102</v>
      </c>
      <c r="BS636" t="s">
        <v>13824</v>
      </c>
      <c r="BT636" t="s">
        <v>13808</v>
      </c>
      <c r="BU636" t="s">
        <v>14291</v>
      </c>
      <c r="BY636" t="s">
        <v>13826</v>
      </c>
      <c r="BZ636" t="s">
        <v>13808</v>
      </c>
      <c r="CA636" t="s">
        <v>13937</v>
      </c>
      <c r="CE636" t="s">
        <v>13828</v>
      </c>
      <c r="CF636" t="s">
        <v>13808</v>
      </c>
      <c r="CK636" t="s">
        <v>14581</v>
      </c>
      <c r="CL636" t="s">
        <v>13808</v>
      </c>
      <c r="CQ636" t="s">
        <v>16710</v>
      </c>
      <c r="CR636" t="s">
        <v>13808</v>
      </c>
      <c r="CS636" t="s">
        <v>23103</v>
      </c>
      <c r="CT636" t="s">
        <v>23104</v>
      </c>
      <c r="CU636" t="s">
        <v>23105</v>
      </c>
      <c r="CV636" t="s">
        <v>13808</v>
      </c>
      <c r="CX636" t="s">
        <v>23106</v>
      </c>
      <c r="CY636" t="s">
        <v>13818</v>
      </c>
      <c r="DA636" t="s">
        <v>23107</v>
      </c>
      <c r="DB636" t="s">
        <v>13808</v>
      </c>
      <c r="DD636" t="s">
        <v>23108</v>
      </c>
      <c r="DE636" t="s">
        <v>13818</v>
      </c>
      <c r="DG636" t="s">
        <v>23109</v>
      </c>
      <c r="DH636" t="s">
        <v>13808</v>
      </c>
      <c r="DJ636" t="s">
        <v>23110</v>
      </c>
      <c r="DK636" t="s">
        <v>13818</v>
      </c>
      <c r="DY636" t="s">
        <v>13869</v>
      </c>
      <c r="DZ636" t="s">
        <v>14923</v>
      </c>
      <c r="EA636" t="s">
        <v>23111</v>
      </c>
      <c r="EC636">
        <v>44735</v>
      </c>
      <c r="ED636" t="s">
        <v>14298</v>
      </c>
      <c r="EE636" t="s">
        <v>8878</v>
      </c>
    </row>
    <row r="637" spans="1:135">
      <c r="A637" t="s">
        <v>3494</v>
      </c>
      <c r="B637" t="s">
        <v>3399</v>
      </c>
      <c r="C637" t="s">
        <v>23112</v>
      </c>
      <c r="D637" s="24">
        <v>43756</v>
      </c>
      <c r="E637" s="24" t="s">
        <v>13553</v>
      </c>
      <c r="F637" s="24" t="s">
        <v>23113</v>
      </c>
      <c r="G637" s="24" t="s">
        <v>13808</v>
      </c>
      <c r="H637" s="24"/>
      <c r="I637" s="24" t="s">
        <v>13809</v>
      </c>
      <c r="J637" s="24"/>
      <c r="K637" s="24" t="s">
        <v>13809</v>
      </c>
      <c r="L637" s="24"/>
      <c r="M637" s="24" t="s">
        <v>14163</v>
      </c>
      <c r="N637" s="24" t="s">
        <v>13808</v>
      </c>
      <c r="O637" s="24"/>
      <c r="P637" s="24" t="s">
        <v>13808</v>
      </c>
      <c r="Q637" s="24"/>
      <c r="R637" s="24" t="s">
        <v>13808</v>
      </c>
      <c r="S637" s="24"/>
      <c r="T637" t="s">
        <v>14016</v>
      </c>
      <c r="U637" t="s">
        <v>13809</v>
      </c>
      <c r="W637" t="s">
        <v>13808</v>
      </c>
      <c r="X637" t="s">
        <v>23114</v>
      </c>
      <c r="Y637" t="s">
        <v>13809</v>
      </c>
      <c r="AA637" t="s">
        <v>13877</v>
      </c>
      <c r="AB637" t="s">
        <v>23115</v>
      </c>
      <c r="AC637" t="s">
        <v>13808</v>
      </c>
      <c r="AH637" t="s">
        <v>13909</v>
      </c>
      <c r="AI637" t="s">
        <v>13808</v>
      </c>
      <c r="AN637" t="s">
        <v>15462</v>
      </c>
      <c r="AO637" t="s">
        <v>13808</v>
      </c>
      <c r="AT637" t="s">
        <v>15077</v>
      </c>
      <c r="AU637" t="s">
        <v>13808</v>
      </c>
      <c r="AZ637" t="s">
        <v>23116</v>
      </c>
      <c r="BA637" t="s">
        <v>13808</v>
      </c>
      <c r="BF637" t="s">
        <v>14416</v>
      </c>
      <c r="BG637" t="s">
        <v>13808</v>
      </c>
      <c r="BL637" t="s">
        <v>23117</v>
      </c>
      <c r="BM637" t="s">
        <v>13808</v>
      </c>
      <c r="BR637" t="s">
        <v>23118</v>
      </c>
      <c r="BS637" t="s">
        <v>14693</v>
      </c>
      <c r="BT637" t="s">
        <v>13808</v>
      </c>
      <c r="BU637" t="s">
        <v>23119</v>
      </c>
      <c r="BY637" t="s">
        <v>13887</v>
      </c>
      <c r="BZ637" t="s">
        <v>13808</v>
      </c>
      <c r="CA637" t="s">
        <v>14026</v>
      </c>
      <c r="CE637" t="s">
        <v>13885</v>
      </c>
      <c r="CF637" t="s">
        <v>13808</v>
      </c>
      <c r="CG637" t="s">
        <v>14173</v>
      </c>
      <c r="CL637" t="s">
        <v>13809</v>
      </c>
      <c r="CR637" t="s">
        <v>13809</v>
      </c>
      <c r="CT637" t="s">
        <v>23120</v>
      </c>
      <c r="CU637" t="s">
        <v>23121</v>
      </c>
      <c r="CV637" t="s">
        <v>13808</v>
      </c>
      <c r="DA637" t="s">
        <v>23122</v>
      </c>
      <c r="DB637" t="s">
        <v>13808</v>
      </c>
      <c r="DH637" t="s">
        <v>13809</v>
      </c>
      <c r="DM637" t="s">
        <v>23123</v>
      </c>
      <c r="DN637" t="s">
        <v>13808</v>
      </c>
      <c r="DO637" t="s">
        <v>23124</v>
      </c>
      <c r="DP637" t="s">
        <v>23125</v>
      </c>
      <c r="DQ637" t="s">
        <v>13808</v>
      </c>
      <c r="DY637" t="s">
        <v>13900</v>
      </c>
      <c r="DZ637" t="s">
        <v>23126</v>
      </c>
      <c r="EA637" t="s">
        <v>14500</v>
      </c>
      <c r="EC637">
        <v>43776</v>
      </c>
      <c r="ED637" t="s">
        <v>13903</v>
      </c>
      <c r="EE637" t="s">
        <v>8250</v>
      </c>
    </row>
    <row r="638" spans="1:135">
      <c r="A638" t="s">
        <v>3906</v>
      </c>
      <c r="B638" t="s">
        <v>3808</v>
      </c>
      <c r="C638" t="s">
        <v>23127</v>
      </c>
      <c r="D638" s="24">
        <v>42989</v>
      </c>
      <c r="E638" s="24" t="s">
        <v>13557</v>
      </c>
      <c r="F638" s="24" t="s">
        <v>23128</v>
      </c>
      <c r="G638" s="24" t="s">
        <v>13808</v>
      </c>
      <c r="H638" s="24"/>
      <c r="I638" s="24" t="s">
        <v>13809</v>
      </c>
      <c r="J638" s="24"/>
      <c r="K638" s="24" t="s">
        <v>13808</v>
      </c>
      <c r="L638" s="24"/>
      <c r="M638" s="24" t="s">
        <v>23129</v>
      </c>
      <c r="N638" s="24" t="s">
        <v>13808</v>
      </c>
      <c r="O638" s="24"/>
      <c r="P638" s="24" t="s">
        <v>13808</v>
      </c>
      <c r="Q638" s="24"/>
      <c r="R638" s="24" t="s">
        <v>13808</v>
      </c>
      <c r="S638" s="24"/>
      <c r="T638" t="s">
        <v>23130</v>
      </c>
      <c r="U638" t="s">
        <v>13808</v>
      </c>
      <c r="W638" t="s">
        <v>13808</v>
      </c>
      <c r="X638" t="s">
        <v>23131</v>
      </c>
      <c r="Y638" t="s">
        <v>13809</v>
      </c>
      <c r="AA638" t="s">
        <v>16563</v>
      </c>
      <c r="AB638" t="s">
        <v>23132</v>
      </c>
      <c r="AC638" t="s">
        <v>13808</v>
      </c>
      <c r="AH638" t="s">
        <v>13909</v>
      </c>
      <c r="AI638" t="s">
        <v>13808</v>
      </c>
      <c r="AN638" t="s">
        <v>23133</v>
      </c>
      <c r="AO638" t="s">
        <v>13808</v>
      </c>
      <c r="AT638" t="s">
        <v>14023</v>
      </c>
      <c r="AU638" t="s">
        <v>13808</v>
      </c>
      <c r="AZ638" t="s">
        <v>18846</v>
      </c>
      <c r="BA638" t="s">
        <v>13808</v>
      </c>
      <c r="BF638" t="s">
        <v>23134</v>
      </c>
      <c r="BG638" t="s">
        <v>13808</v>
      </c>
      <c r="BL638" t="s">
        <v>23135</v>
      </c>
      <c r="BM638" t="s">
        <v>13808</v>
      </c>
      <c r="BR638" t="s">
        <v>23136</v>
      </c>
      <c r="BS638" t="s">
        <v>13887</v>
      </c>
      <c r="BT638" t="s">
        <v>13808</v>
      </c>
      <c r="BU638" t="s">
        <v>23137</v>
      </c>
      <c r="BY638" t="s">
        <v>23138</v>
      </c>
      <c r="BZ638" t="s">
        <v>13808</v>
      </c>
      <c r="CA638" t="s">
        <v>13937</v>
      </c>
      <c r="CE638" t="s">
        <v>13887</v>
      </c>
      <c r="CF638" t="s">
        <v>13808</v>
      </c>
      <c r="CL638" t="s">
        <v>23139</v>
      </c>
      <c r="CM638" t="s">
        <v>13808</v>
      </c>
      <c r="CR638" t="s">
        <v>13809</v>
      </c>
      <c r="CT638" t="s">
        <v>23140</v>
      </c>
      <c r="CU638" t="s">
        <v>15128</v>
      </c>
      <c r="CV638" t="s">
        <v>13808</v>
      </c>
      <c r="CX638" t="s">
        <v>14840</v>
      </c>
      <c r="CY638" t="s">
        <v>13818</v>
      </c>
      <c r="DA638" t="s">
        <v>23141</v>
      </c>
      <c r="DB638" t="s">
        <v>13808</v>
      </c>
      <c r="DD638" t="s">
        <v>14197</v>
      </c>
      <c r="DE638" t="s">
        <v>13818</v>
      </c>
      <c r="DG638" t="s">
        <v>15280</v>
      </c>
      <c r="DH638" t="s">
        <v>13808</v>
      </c>
      <c r="DM638" t="s">
        <v>23142</v>
      </c>
      <c r="DN638" t="s">
        <v>13808</v>
      </c>
      <c r="DY638" t="s">
        <v>9410</v>
      </c>
      <c r="DZ638" t="s">
        <v>22872</v>
      </c>
      <c r="EA638" t="s">
        <v>18501</v>
      </c>
      <c r="EC638">
        <v>43998</v>
      </c>
      <c r="ED638" t="s">
        <v>13903</v>
      </c>
      <c r="EE638" t="s">
        <v>8723</v>
      </c>
    </row>
    <row r="639" spans="1:135">
      <c r="A639" t="s">
        <v>3501</v>
      </c>
      <c r="B639" t="s">
        <v>3399</v>
      </c>
      <c r="C639" t="s">
        <v>23143</v>
      </c>
      <c r="D639" s="24">
        <v>43756</v>
      </c>
      <c r="E639" s="24" t="s">
        <v>13553</v>
      </c>
      <c r="F639" s="24" t="s">
        <v>23144</v>
      </c>
      <c r="G639" s="24" t="s">
        <v>13808</v>
      </c>
      <c r="H639" s="24"/>
      <c r="I639" s="24" t="s">
        <v>13809</v>
      </c>
      <c r="J639" s="24"/>
      <c r="K639" s="24" t="s">
        <v>13808</v>
      </c>
      <c r="L639" s="24"/>
      <c r="M639" s="24" t="s">
        <v>14163</v>
      </c>
      <c r="N639" s="24" t="s">
        <v>13808</v>
      </c>
      <c r="O639" s="24"/>
      <c r="P639" s="24" t="s">
        <v>13808</v>
      </c>
      <c r="Q639" s="24"/>
      <c r="R639" s="24" t="s">
        <v>13808</v>
      </c>
      <c r="S639" s="24"/>
      <c r="T639" t="s">
        <v>14429</v>
      </c>
      <c r="U639" t="s">
        <v>13809</v>
      </c>
      <c r="W639" t="s">
        <v>13808</v>
      </c>
      <c r="X639" t="s">
        <v>23145</v>
      </c>
      <c r="Y639" t="s">
        <v>13809</v>
      </c>
      <c r="AA639" t="s">
        <v>13877</v>
      </c>
      <c r="AB639" t="s">
        <v>23146</v>
      </c>
      <c r="AC639" t="s">
        <v>13808</v>
      </c>
      <c r="AH639" t="s">
        <v>13909</v>
      </c>
      <c r="AI639" t="s">
        <v>13808</v>
      </c>
      <c r="AN639" t="s">
        <v>23147</v>
      </c>
      <c r="AO639" t="s">
        <v>13808</v>
      </c>
      <c r="AT639" t="s">
        <v>14812</v>
      </c>
      <c r="AU639" t="s">
        <v>13808</v>
      </c>
      <c r="AZ639" t="s">
        <v>15076</v>
      </c>
      <c r="BA639" t="s">
        <v>13808</v>
      </c>
      <c r="BF639" t="s">
        <v>14059</v>
      </c>
      <c r="BG639" t="s">
        <v>13808</v>
      </c>
      <c r="BL639" t="s">
        <v>23148</v>
      </c>
      <c r="BM639" t="s">
        <v>13808</v>
      </c>
      <c r="BR639" t="s">
        <v>23149</v>
      </c>
      <c r="BS639" t="s">
        <v>13885</v>
      </c>
      <c r="BT639" t="s">
        <v>13808</v>
      </c>
      <c r="BU639" t="s">
        <v>23119</v>
      </c>
      <c r="BY639" t="s">
        <v>13887</v>
      </c>
      <c r="BZ639" t="s">
        <v>13808</v>
      </c>
      <c r="CA639" t="s">
        <v>13888</v>
      </c>
      <c r="CE639" t="s">
        <v>13887</v>
      </c>
      <c r="CF639" t="s">
        <v>13808</v>
      </c>
      <c r="CL639" t="s">
        <v>13809</v>
      </c>
      <c r="CR639" t="s">
        <v>13809</v>
      </c>
      <c r="CT639" t="s">
        <v>14293</v>
      </c>
      <c r="CU639" t="s">
        <v>23150</v>
      </c>
      <c r="CV639" t="s">
        <v>13808</v>
      </c>
      <c r="DA639" t="s">
        <v>23151</v>
      </c>
      <c r="DB639" t="s">
        <v>13808</v>
      </c>
      <c r="DH639" t="s">
        <v>13809</v>
      </c>
      <c r="DM639" t="s">
        <v>23152</v>
      </c>
      <c r="DN639" t="s">
        <v>13808</v>
      </c>
      <c r="DY639" t="s">
        <v>15296</v>
      </c>
      <c r="DZ639" t="s">
        <v>23153</v>
      </c>
      <c r="EA639" t="s">
        <v>14500</v>
      </c>
      <c r="EC639">
        <v>43776</v>
      </c>
      <c r="ED639" t="s">
        <v>13903</v>
      </c>
      <c r="EE639" t="s">
        <v>8253</v>
      </c>
    </row>
    <row r="640" spans="1:135">
      <c r="A640" t="s">
        <v>3334</v>
      </c>
      <c r="B640" t="s">
        <v>3161</v>
      </c>
      <c r="C640" t="s">
        <v>23154</v>
      </c>
      <c r="D640" s="24">
        <v>42975</v>
      </c>
      <c r="E640" s="24" t="s">
        <v>13553</v>
      </c>
      <c r="F640" s="24" t="s">
        <v>23155</v>
      </c>
      <c r="G640" s="24" t="s">
        <v>13808</v>
      </c>
      <c r="H640" s="24"/>
      <c r="I640" s="24" t="s">
        <v>13809</v>
      </c>
      <c r="J640" s="24"/>
      <c r="K640" s="24" t="s">
        <v>13808</v>
      </c>
      <c r="L640" s="24"/>
      <c r="M640" s="24" t="s">
        <v>15494</v>
      </c>
      <c r="N640" s="24" t="s">
        <v>13808</v>
      </c>
      <c r="O640" s="24"/>
      <c r="P640" s="24" t="s">
        <v>13808</v>
      </c>
      <c r="Q640" s="24"/>
      <c r="R640" s="24" t="s">
        <v>13808</v>
      </c>
      <c r="S640" s="24"/>
      <c r="T640" t="s">
        <v>23156</v>
      </c>
      <c r="U640" t="s">
        <v>13809</v>
      </c>
      <c r="W640" t="s">
        <v>13808</v>
      </c>
      <c r="X640" t="s">
        <v>23157</v>
      </c>
      <c r="Y640" t="s">
        <v>13808</v>
      </c>
      <c r="AA640" t="s">
        <v>14971</v>
      </c>
      <c r="AB640" t="s">
        <v>23158</v>
      </c>
      <c r="AC640" t="s">
        <v>13808</v>
      </c>
      <c r="AH640" t="s">
        <v>13909</v>
      </c>
      <c r="AI640" t="s">
        <v>13808</v>
      </c>
      <c r="AN640" t="s">
        <v>23159</v>
      </c>
      <c r="AO640" t="s">
        <v>13808</v>
      </c>
      <c r="AU640" t="s">
        <v>13809</v>
      </c>
      <c r="AZ640" t="s">
        <v>23160</v>
      </c>
      <c r="BA640" t="s">
        <v>13808</v>
      </c>
      <c r="BF640" t="s">
        <v>14730</v>
      </c>
      <c r="BG640" t="s">
        <v>13808</v>
      </c>
      <c r="BL640" t="s">
        <v>23161</v>
      </c>
      <c r="BM640" t="s">
        <v>13808</v>
      </c>
      <c r="BR640" t="s">
        <v>23162</v>
      </c>
      <c r="BT640" t="s">
        <v>13809</v>
      </c>
      <c r="BY640" t="s">
        <v>13887</v>
      </c>
      <c r="BZ640" t="s">
        <v>13808</v>
      </c>
      <c r="CA640" t="s">
        <v>13861</v>
      </c>
      <c r="CF640" t="s">
        <v>13809</v>
      </c>
      <c r="CL640" t="s">
        <v>13809</v>
      </c>
      <c r="CR640" t="s">
        <v>13809</v>
      </c>
      <c r="CT640" t="s">
        <v>23163</v>
      </c>
      <c r="CU640" t="s">
        <v>13909</v>
      </c>
      <c r="CV640" t="s">
        <v>13808</v>
      </c>
      <c r="DA640" t="s">
        <v>13909</v>
      </c>
      <c r="DB640" t="s">
        <v>13808</v>
      </c>
      <c r="DG640" t="s">
        <v>13909</v>
      </c>
      <c r="DH640" t="s">
        <v>13808</v>
      </c>
      <c r="DZ640" t="s">
        <v>23164</v>
      </c>
      <c r="EA640" t="s">
        <v>19934</v>
      </c>
      <c r="EC640">
        <v>43480</v>
      </c>
      <c r="ED640" t="s">
        <v>13903</v>
      </c>
      <c r="EE640" t="s">
        <v>8050</v>
      </c>
    </row>
    <row r="641" spans="1:135">
      <c r="A641" t="s">
        <v>3614</v>
      </c>
      <c r="B641" t="s">
        <v>3506</v>
      </c>
      <c r="C641" t="s">
        <v>23165</v>
      </c>
      <c r="D641" s="24">
        <v>43742</v>
      </c>
      <c r="E641" s="24" t="s">
        <v>13553</v>
      </c>
      <c r="F641" s="24" t="s">
        <v>23166</v>
      </c>
      <c r="G641" s="24" t="s">
        <v>13808</v>
      </c>
      <c r="H641" s="24"/>
      <c r="I641" s="24" t="s">
        <v>13809</v>
      </c>
      <c r="J641" s="24"/>
      <c r="K641" s="24" t="s">
        <v>13809</v>
      </c>
      <c r="L641" s="24"/>
      <c r="M641" s="24" t="s">
        <v>13846</v>
      </c>
      <c r="N641" s="24" t="s">
        <v>13808</v>
      </c>
      <c r="O641" s="24"/>
      <c r="P641" s="24" t="s">
        <v>13808</v>
      </c>
      <c r="Q641" s="24"/>
      <c r="R641" s="24" t="s">
        <v>13808</v>
      </c>
      <c r="S641" s="24"/>
      <c r="T641" t="s">
        <v>14016</v>
      </c>
      <c r="U641" t="s">
        <v>13808</v>
      </c>
      <c r="W641" t="s">
        <v>13808</v>
      </c>
      <c r="X641" t="s">
        <v>23167</v>
      </c>
      <c r="Y641" t="s">
        <v>13808</v>
      </c>
      <c r="AA641" t="s">
        <v>13877</v>
      </c>
      <c r="AB641" t="s">
        <v>23168</v>
      </c>
      <c r="AC641" t="s">
        <v>13808</v>
      </c>
      <c r="AH641" t="s">
        <v>13909</v>
      </c>
      <c r="AI641" t="s">
        <v>13808</v>
      </c>
      <c r="AO641" t="s">
        <v>13809</v>
      </c>
      <c r="AT641" t="s">
        <v>18382</v>
      </c>
      <c r="AU641" t="s">
        <v>13808</v>
      </c>
      <c r="AZ641" t="s">
        <v>23169</v>
      </c>
      <c r="BA641" t="s">
        <v>13808</v>
      </c>
      <c r="BF641" t="s">
        <v>23170</v>
      </c>
      <c r="BG641" t="s">
        <v>13808</v>
      </c>
      <c r="BL641" t="s">
        <v>23171</v>
      </c>
      <c r="BM641" t="s">
        <v>13808</v>
      </c>
      <c r="BR641" t="s">
        <v>23172</v>
      </c>
      <c r="BS641" t="s">
        <v>13887</v>
      </c>
      <c r="BT641" t="s">
        <v>13808</v>
      </c>
      <c r="BU641" t="s">
        <v>22023</v>
      </c>
      <c r="BY641" t="s">
        <v>13887</v>
      </c>
      <c r="BZ641" t="s">
        <v>13808</v>
      </c>
      <c r="CA641" t="s">
        <v>13888</v>
      </c>
      <c r="CE641" t="s">
        <v>13887</v>
      </c>
      <c r="CF641" t="s">
        <v>13808</v>
      </c>
      <c r="CL641" t="s">
        <v>13809</v>
      </c>
      <c r="CR641" t="s">
        <v>13809</v>
      </c>
      <c r="CT641" t="s">
        <v>23173</v>
      </c>
      <c r="CU641" t="s">
        <v>23174</v>
      </c>
      <c r="CV641" t="s">
        <v>13808</v>
      </c>
      <c r="DA641" t="s">
        <v>23175</v>
      </c>
      <c r="DB641" t="s">
        <v>13808</v>
      </c>
      <c r="DH641" t="s">
        <v>13809</v>
      </c>
      <c r="DM641" t="s">
        <v>23176</v>
      </c>
      <c r="DN641" t="s">
        <v>13808</v>
      </c>
      <c r="DP641" t="s">
        <v>23177</v>
      </c>
      <c r="DQ641" t="s">
        <v>13808</v>
      </c>
      <c r="DY641" t="s">
        <v>15828</v>
      </c>
      <c r="DZ641" t="s">
        <v>23178</v>
      </c>
      <c r="EA641" t="s">
        <v>14500</v>
      </c>
      <c r="EC641">
        <v>43753</v>
      </c>
      <c r="ED641" t="s">
        <v>13903</v>
      </c>
      <c r="EE641" t="s">
        <v>8398</v>
      </c>
    </row>
    <row r="642" spans="1:135">
      <c r="A642" t="s">
        <v>4167</v>
      </c>
      <c r="B642" t="s">
        <v>4051</v>
      </c>
      <c r="C642" t="s">
        <v>23179</v>
      </c>
      <c r="D642" s="24">
        <v>43690</v>
      </c>
      <c r="E642" s="24" t="s">
        <v>13553</v>
      </c>
      <c r="F642" s="24" t="s">
        <v>23180</v>
      </c>
      <c r="G642" s="24" t="s">
        <v>13808</v>
      </c>
      <c r="H642" s="24"/>
      <c r="I642" s="24" t="s">
        <v>13809</v>
      </c>
      <c r="J642" s="24"/>
      <c r="K642" s="24" t="s">
        <v>13808</v>
      </c>
      <c r="L642" s="24" t="s">
        <v>23181</v>
      </c>
      <c r="M642" s="24" t="s">
        <v>14163</v>
      </c>
      <c r="N642" s="24" t="s">
        <v>13808</v>
      </c>
      <c r="O642" s="24"/>
      <c r="P642" s="24" t="s">
        <v>13808</v>
      </c>
      <c r="Q642" s="24"/>
      <c r="R642" s="24" t="s">
        <v>13808</v>
      </c>
      <c r="S642" s="24"/>
      <c r="T642" t="s">
        <v>23182</v>
      </c>
      <c r="U642" t="s">
        <v>13808</v>
      </c>
      <c r="W642" t="s">
        <v>13808</v>
      </c>
      <c r="X642" t="s">
        <v>23183</v>
      </c>
      <c r="Y642" t="s">
        <v>13808</v>
      </c>
      <c r="AA642" t="s">
        <v>13877</v>
      </c>
      <c r="AB642" t="s">
        <v>23184</v>
      </c>
      <c r="AC642" t="s">
        <v>13808</v>
      </c>
      <c r="AH642" t="s">
        <v>13909</v>
      </c>
      <c r="AI642" t="s">
        <v>13808</v>
      </c>
      <c r="AO642" t="s">
        <v>13809</v>
      </c>
      <c r="AT642" t="s">
        <v>13878</v>
      </c>
      <c r="AU642" t="s">
        <v>13808</v>
      </c>
      <c r="AZ642" t="s">
        <v>23185</v>
      </c>
      <c r="BA642" t="s">
        <v>13808</v>
      </c>
      <c r="BF642" t="s">
        <v>23186</v>
      </c>
      <c r="BG642" t="s">
        <v>13808</v>
      </c>
      <c r="BL642" t="s">
        <v>23187</v>
      </c>
      <c r="BM642" t="s">
        <v>13808</v>
      </c>
      <c r="BR642" t="s">
        <v>23188</v>
      </c>
      <c r="BS642" t="s">
        <v>13887</v>
      </c>
      <c r="BT642" t="s">
        <v>13808</v>
      </c>
      <c r="BU642" t="s">
        <v>23189</v>
      </c>
      <c r="BY642" t="s">
        <v>15138</v>
      </c>
      <c r="BZ642" t="s">
        <v>13808</v>
      </c>
      <c r="CA642" t="s">
        <v>13888</v>
      </c>
      <c r="CE642" t="s">
        <v>13885</v>
      </c>
      <c r="CF642" t="s">
        <v>13808</v>
      </c>
      <c r="CK642" t="s">
        <v>23190</v>
      </c>
      <c r="CL642" t="s">
        <v>13808</v>
      </c>
      <c r="CR642" t="s">
        <v>13809</v>
      </c>
      <c r="CT642" t="s">
        <v>16202</v>
      </c>
      <c r="CU642" t="s">
        <v>23191</v>
      </c>
      <c r="CV642" t="s">
        <v>13897</v>
      </c>
      <c r="DA642" t="s">
        <v>23192</v>
      </c>
      <c r="DB642" t="s">
        <v>13897</v>
      </c>
      <c r="DG642" t="s">
        <v>23193</v>
      </c>
      <c r="DH642" t="s">
        <v>13897</v>
      </c>
      <c r="DM642" t="s">
        <v>23194</v>
      </c>
      <c r="DN642" t="s">
        <v>13808</v>
      </c>
      <c r="DO642" t="s">
        <v>23195</v>
      </c>
      <c r="DP642" t="s">
        <v>23196</v>
      </c>
      <c r="DQ642" t="s">
        <v>13808</v>
      </c>
      <c r="DR642" t="s">
        <v>14947</v>
      </c>
      <c r="DY642" t="s">
        <v>15828</v>
      </c>
      <c r="DZ642" t="s">
        <v>14696</v>
      </c>
      <c r="EA642" t="s">
        <v>16115</v>
      </c>
      <c r="ED642" t="s">
        <v>14501</v>
      </c>
      <c r="EE642" t="s">
        <v>9043</v>
      </c>
    </row>
    <row r="643" spans="1:135">
      <c r="A643" t="s">
        <v>4172</v>
      </c>
      <c r="B643" t="s">
        <v>4051</v>
      </c>
      <c r="C643" t="s">
        <v>23197</v>
      </c>
      <c r="D643" s="24">
        <v>44659</v>
      </c>
      <c r="E643" s="24" t="s">
        <v>13553</v>
      </c>
      <c r="F643" s="24" t="s">
        <v>23198</v>
      </c>
      <c r="G643" s="24" t="s">
        <v>13808</v>
      </c>
      <c r="H643" s="24"/>
      <c r="I643" s="24" t="s">
        <v>13809</v>
      </c>
      <c r="J643" s="24"/>
      <c r="K643" s="24" t="s">
        <v>13809</v>
      </c>
      <c r="L643" s="24"/>
      <c r="M643" s="24" t="s">
        <v>13846</v>
      </c>
      <c r="N643" s="24" t="s">
        <v>13808</v>
      </c>
      <c r="O643" s="24"/>
      <c r="P643" s="24" t="s">
        <v>13808</v>
      </c>
      <c r="Q643" s="24"/>
      <c r="R643" s="24" t="s">
        <v>13808</v>
      </c>
      <c r="S643" s="24"/>
      <c r="T643" t="s">
        <v>13847</v>
      </c>
      <c r="U643" t="s">
        <v>13809</v>
      </c>
      <c r="W643" t="s">
        <v>13808</v>
      </c>
      <c r="X643" t="s">
        <v>23199</v>
      </c>
      <c r="Y643" t="s">
        <v>13809</v>
      </c>
      <c r="AA643" t="s">
        <v>13849</v>
      </c>
      <c r="AB643" t="s">
        <v>23200</v>
      </c>
      <c r="AC643" t="s">
        <v>13808</v>
      </c>
      <c r="AH643" t="s">
        <v>23201</v>
      </c>
      <c r="AI643" t="s">
        <v>13808</v>
      </c>
      <c r="AN643" t="s">
        <v>18906</v>
      </c>
      <c r="AO643" t="s">
        <v>13808</v>
      </c>
      <c r="AT643" t="s">
        <v>23202</v>
      </c>
      <c r="AU643" t="s">
        <v>13808</v>
      </c>
      <c r="AZ643" t="s">
        <v>17669</v>
      </c>
      <c r="BA643" t="s">
        <v>13808</v>
      </c>
      <c r="BF643" t="s">
        <v>17138</v>
      </c>
      <c r="BG643" t="s">
        <v>13808</v>
      </c>
      <c r="BL643" t="s">
        <v>23203</v>
      </c>
      <c r="BM643" t="s">
        <v>13808</v>
      </c>
      <c r="BR643" t="s">
        <v>23204</v>
      </c>
      <c r="BS643" t="s">
        <v>13742</v>
      </c>
      <c r="BT643" t="s">
        <v>13809</v>
      </c>
      <c r="BY643" t="s">
        <v>17070</v>
      </c>
      <c r="BZ643" t="s">
        <v>13808</v>
      </c>
      <c r="CA643" t="s">
        <v>13861</v>
      </c>
      <c r="CE643" t="s">
        <v>14292</v>
      </c>
      <c r="CF643" t="s">
        <v>13808</v>
      </c>
      <c r="CG643" t="s">
        <v>13863</v>
      </c>
      <c r="CK643" t="s">
        <v>13760</v>
      </c>
      <c r="CL643" t="s">
        <v>13809</v>
      </c>
      <c r="CQ643" t="s">
        <v>13766</v>
      </c>
      <c r="CR643" t="s">
        <v>13809</v>
      </c>
      <c r="CT643" t="s">
        <v>14293</v>
      </c>
      <c r="CU643" t="s">
        <v>23205</v>
      </c>
      <c r="CV643" t="s">
        <v>13808</v>
      </c>
      <c r="CW643" t="s">
        <v>23206</v>
      </c>
      <c r="DA643" t="s">
        <v>23207</v>
      </c>
      <c r="DB643" t="s">
        <v>13808</v>
      </c>
      <c r="DC643" t="s">
        <v>23208</v>
      </c>
      <c r="DH643" t="s">
        <v>13808</v>
      </c>
      <c r="DM643" t="s">
        <v>23209</v>
      </c>
      <c r="DN643" t="s">
        <v>13808</v>
      </c>
      <c r="DO643" t="s">
        <v>15996</v>
      </c>
      <c r="DY643" t="s">
        <v>13869</v>
      </c>
      <c r="DZ643" t="s">
        <v>23210</v>
      </c>
      <c r="EA643" t="s">
        <v>14182</v>
      </c>
      <c r="EC643">
        <v>44664</v>
      </c>
      <c r="ED643" t="s">
        <v>14298</v>
      </c>
      <c r="EE643" t="s">
        <v>9047</v>
      </c>
    </row>
    <row r="644" spans="1:135">
      <c r="A644" t="s">
        <v>3341</v>
      </c>
      <c r="B644" t="s">
        <v>3161</v>
      </c>
      <c r="C644" t="s">
        <v>23211</v>
      </c>
      <c r="D644" s="24">
        <v>43700</v>
      </c>
      <c r="E644" s="24" t="s">
        <v>13553</v>
      </c>
      <c r="F644" s="24" t="s">
        <v>23212</v>
      </c>
      <c r="G644" s="24" t="s">
        <v>13808</v>
      </c>
      <c r="H644" s="24"/>
      <c r="I644" s="24" t="s">
        <v>13809</v>
      </c>
      <c r="J644" s="24"/>
      <c r="K644" s="24" t="s">
        <v>13809</v>
      </c>
      <c r="L644" s="24"/>
      <c r="M644" s="24" t="s">
        <v>14163</v>
      </c>
      <c r="N644" s="24" t="s">
        <v>13808</v>
      </c>
      <c r="O644" s="24"/>
      <c r="P644" s="24" t="s">
        <v>13808</v>
      </c>
      <c r="Q644" s="24"/>
      <c r="R644" s="24" t="s">
        <v>13808</v>
      </c>
      <c r="S644" s="24"/>
      <c r="T644" t="s">
        <v>14016</v>
      </c>
      <c r="U644" t="s">
        <v>13809</v>
      </c>
      <c r="W644" t="s">
        <v>13808</v>
      </c>
      <c r="X644" t="s">
        <v>23213</v>
      </c>
      <c r="Y644" t="s">
        <v>13809</v>
      </c>
      <c r="AA644" t="s">
        <v>13877</v>
      </c>
      <c r="AB644" t="s">
        <v>23214</v>
      </c>
      <c r="AC644" t="s">
        <v>13808</v>
      </c>
      <c r="AH644" t="s">
        <v>13909</v>
      </c>
      <c r="AI644" t="s">
        <v>13808</v>
      </c>
      <c r="AO644" t="s">
        <v>13809</v>
      </c>
      <c r="AT644" t="s">
        <v>14544</v>
      </c>
      <c r="AU644" t="s">
        <v>13808</v>
      </c>
      <c r="AZ644" t="s">
        <v>23215</v>
      </c>
      <c r="BA644" t="s">
        <v>13808</v>
      </c>
      <c r="BF644" t="s">
        <v>23216</v>
      </c>
      <c r="BG644" t="s">
        <v>13808</v>
      </c>
      <c r="BH644" t="s">
        <v>23217</v>
      </c>
      <c r="BL644" t="s">
        <v>23218</v>
      </c>
      <c r="BM644" t="s">
        <v>13808</v>
      </c>
      <c r="BR644" t="s">
        <v>23219</v>
      </c>
      <c r="BS644" t="s">
        <v>13887</v>
      </c>
      <c r="BT644" t="s">
        <v>13808</v>
      </c>
      <c r="BU644" t="s">
        <v>15613</v>
      </c>
      <c r="BY644" t="s">
        <v>13887</v>
      </c>
      <c r="BZ644" t="s">
        <v>13808</v>
      </c>
      <c r="CA644" t="s">
        <v>14026</v>
      </c>
      <c r="CE644" t="s">
        <v>14265</v>
      </c>
      <c r="CF644" t="s">
        <v>13808</v>
      </c>
      <c r="CG644" t="s">
        <v>14173</v>
      </c>
      <c r="CL644" t="s">
        <v>13809</v>
      </c>
      <c r="CR644" t="s">
        <v>13809</v>
      </c>
      <c r="CT644" t="s">
        <v>23220</v>
      </c>
      <c r="CU644" t="s">
        <v>23221</v>
      </c>
      <c r="CV644" t="s">
        <v>13808</v>
      </c>
      <c r="DA644" t="s">
        <v>23222</v>
      </c>
      <c r="DB644" t="s">
        <v>13808</v>
      </c>
      <c r="DH644" t="s">
        <v>13809</v>
      </c>
      <c r="DM644" t="s">
        <v>23223</v>
      </c>
      <c r="DN644" t="s">
        <v>13897</v>
      </c>
      <c r="DY644" t="s">
        <v>15828</v>
      </c>
      <c r="DZ644" t="s">
        <v>23224</v>
      </c>
      <c r="EA644" t="s">
        <v>16557</v>
      </c>
      <c r="ED644" t="s">
        <v>13903</v>
      </c>
      <c r="EE644" t="s">
        <v>8056</v>
      </c>
    </row>
    <row r="645" spans="1:135">
      <c r="A645" t="s">
        <v>3794</v>
      </c>
      <c r="B645" t="s">
        <v>3619</v>
      </c>
      <c r="C645" t="s">
        <v>23225</v>
      </c>
      <c r="D645" s="24">
        <v>44260</v>
      </c>
      <c r="E645" s="24" t="s">
        <v>13558</v>
      </c>
      <c r="F645" s="24" t="s">
        <v>23226</v>
      </c>
      <c r="G645" s="24" t="s">
        <v>13808</v>
      </c>
      <c r="H645" s="24"/>
      <c r="I645" s="24" t="s">
        <v>13809</v>
      </c>
      <c r="J645" s="24"/>
      <c r="K645" s="24" t="s">
        <v>13809</v>
      </c>
      <c r="L645" s="24"/>
      <c r="M645" s="24" t="s">
        <v>13846</v>
      </c>
      <c r="N645" s="24" t="s">
        <v>13818</v>
      </c>
      <c r="O645" s="24" t="s">
        <v>15087</v>
      </c>
      <c r="P645" s="24" t="s">
        <v>13808</v>
      </c>
      <c r="Q645" s="24"/>
      <c r="R645" s="24" t="s">
        <v>13808</v>
      </c>
      <c r="S645" s="24"/>
      <c r="T645" t="s">
        <v>13907</v>
      </c>
      <c r="U645" t="s">
        <v>13809</v>
      </c>
      <c r="W645" t="s">
        <v>13808</v>
      </c>
      <c r="X645" t="s">
        <v>23227</v>
      </c>
      <c r="Y645" t="s">
        <v>13809</v>
      </c>
      <c r="AA645" t="s">
        <v>14594</v>
      </c>
      <c r="AB645" t="s">
        <v>14597</v>
      </c>
      <c r="AC645" t="s">
        <v>13808</v>
      </c>
      <c r="AH645" t="s">
        <v>13909</v>
      </c>
      <c r="AI645" t="s">
        <v>13808</v>
      </c>
      <c r="AO645" t="s">
        <v>13809</v>
      </c>
      <c r="AU645" t="s">
        <v>13809</v>
      </c>
      <c r="AZ645" t="s">
        <v>15883</v>
      </c>
      <c r="BA645" t="s">
        <v>13808</v>
      </c>
      <c r="BF645" t="s">
        <v>14490</v>
      </c>
      <c r="BG645" t="s">
        <v>13808</v>
      </c>
      <c r="BL645" t="s">
        <v>14544</v>
      </c>
      <c r="BM645" t="s">
        <v>13808</v>
      </c>
      <c r="BR645" t="s">
        <v>23228</v>
      </c>
      <c r="BT645" t="s">
        <v>13809</v>
      </c>
      <c r="BY645" t="s">
        <v>13887</v>
      </c>
      <c r="BZ645" t="s">
        <v>13808</v>
      </c>
      <c r="CA645" t="s">
        <v>13937</v>
      </c>
      <c r="CE645" t="s">
        <v>13887</v>
      </c>
      <c r="CF645" t="s">
        <v>13808</v>
      </c>
      <c r="CG645" t="s">
        <v>15921</v>
      </c>
      <c r="CL645" t="s">
        <v>13809</v>
      </c>
      <c r="CR645" t="s">
        <v>13809</v>
      </c>
      <c r="CT645" t="s">
        <v>13830</v>
      </c>
      <c r="CU645" t="s">
        <v>23229</v>
      </c>
      <c r="CV645" t="s">
        <v>13818</v>
      </c>
      <c r="DA645" t="s">
        <v>23230</v>
      </c>
      <c r="DB645" t="s">
        <v>13818</v>
      </c>
      <c r="DG645" t="s">
        <v>18075</v>
      </c>
      <c r="DH645" t="s">
        <v>13818</v>
      </c>
      <c r="DY645" t="s">
        <v>14606</v>
      </c>
      <c r="DZ645" t="s">
        <v>13841</v>
      </c>
      <c r="EA645" t="s">
        <v>17222</v>
      </c>
      <c r="ED645" t="s">
        <v>17223</v>
      </c>
      <c r="EE645" t="s">
        <v>8589</v>
      </c>
    </row>
    <row r="646" spans="1:135">
      <c r="A646" t="s">
        <v>3348</v>
      </c>
      <c r="B646" t="s">
        <v>3161</v>
      </c>
      <c r="C646" t="s">
        <v>23231</v>
      </c>
      <c r="D646" s="24">
        <v>42934</v>
      </c>
      <c r="E646" s="24" t="s">
        <v>13555</v>
      </c>
      <c r="F646" s="24" t="s">
        <v>23232</v>
      </c>
      <c r="G646" s="24" t="s">
        <v>13808</v>
      </c>
      <c r="H646" s="24"/>
      <c r="I646" s="24" t="s">
        <v>13809</v>
      </c>
      <c r="J646" s="24"/>
      <c r="K646" s="24" t="s">
        <v>13808</v>
      </c>
      <c r="L646" s="24"/>
      <c r="M646" s="24" t="s">
        <v>14504</v>
      </c>
      <c r="N646" s="24" t="s">
        <v>13808</v>
      </c>
      <c r="O646" s="24"/>
      <c r="P646" s="24" t="s">
        <v>13818</v>
      </c>
      <c r="Q646" s="24" t="s">
        <v>23233</v>
      </c>
      <c r="R646" s="24" t="s">
        <v>13808</v>
      </c>
      <c r="S646" s="24"/>
      <c r="T646" t="s">
        <v>23234</v>
      </c>
      <c r="U646" t="s">
        <v>13809</v>
      </c>
      <c r="W646" t="s">
        <v>13808</v>
      </c>
      <c r="X646" t="s">
        <v>23235</v>
      </c>
      <c r="Y646" t="s">
        <v>13809</v>
      </c>
      <c r="AA646" t="s">
        <v>14971</v>
      </c>
      <c r="AB646" t="s">
        <v>23236</v>
      </c>
      <c r="AC646" t="s">
        <v>13808</v>
      </c>
      <c r="AH646" t="s">
        <v>13909</v>
      </c>
      <c r="AI646" t="s">
        <v>13808</v>
      </c>
      <c r="AN646" t="s">
        <v>23237</v>
      </c>
      <c r="AO646" t="s">
        <v>13808</v>
      </c>
      <c r="AT646" t="s">
        <v>23238</v>
      </c>
      <c r="AU646" t="s">
        <v>13808</v>
      </c>
      <c r="AZ646" t="s">
        <v>14189</v>
      </c>
      <c r="BA646" t="s">
        <v>13808</v>
      </c>
      <c r="BF646" t="s">
        <v>14544</v>
      </c>
      <c r="BG646" t="s">
        <v>13808</v>
      </c>
      <c r="BL646" t="s">
        <v>23239</v>
      </c>
      <c r="BM646" t="s">
        <v>13808</v>
      </c>
      <c r="BR646" t="s">
        <v>23240</v>
      </c>
      <c r="BS646" t="s">
        <v>13887</v>
      </c>
      <c r="BT646" t="s">
        <v>13808</v>
      </c>
      <c r="BU646" t="s">
        <v>23241</v>
      </c>
      <c r="BY646" t="s">
        <v>13885</v>
      </c>
      <c r="BZ646" t="s">
        <v>13808</v>
      </c>
      <c r="CA646" t="s">
        <v>13937</v>
      </c>
      <c r="CE646" t="s">
        <v>14265</v>
      </c>
      <c r="CF646" t="s">
        <v>13808</v>
      </c>
      <c r="CL646" t="s">
        <v>13809</v>
      </c>
      <c r="CR646" t="s">
        <v>13809</v>
      </c>
      <c r="CT646" t="s">
        <v>23242</v>
      </c>
      <c r="CU646" t="s">
        <v>13909</v>
      </c>
      <c r="CV646" t="s">
        <v>13808</v>
      </c>
      <c r="DA646" t="s">
        <v>13909</v>
      </c>
      <c r="DB646" t="s">
        <v>13808</v>
      </c>
      <c r="DG646" t="s">
        <v>13909</v>
      </c>
      <c r="DH646" t="s">
        <v>13808</v>
      </c>
      <c r="DZ646" t="s">
        <v>23243</v>
      </c>
      <c r="EA646" t="s">
        <v>15944</v>
      </c>
      <c r="EC646">
        <v>43480</v>
      </c>
      <c r="ED646" t="s">
        <v>13903</v>
      </c>
      <c r="EE646" t="s">
        <v>8062</v>
      </c>
    </row>
    <row r="647" spans="1:135">
      <c r="A647" t="s">
        <v>3352</v>
      </c>
      <c r="B647" t="s">
        <v>3161</v>
      </c>
      <c r="C647" t="s">
        <v>23244</v>
      </c>
      <c r="D647" s="24">
        <v>42975</v>
      </c>
      <c r="E647" s="24" t="s">
        <v>13564</v>
      </c>
      <c r="F647" s="24" t="s">
        <v>23245</v>
      </c>
      <c r="G647" s="24" t="s">
        <v>13808</v>
      </c>
      <c r="H647" s="24"/>
      <c r="I647" s="24" t="s">
        <v>13809</v>
      </c>
      <c r="J647" s="24"/>
      <c r="K647" s="24" t="s">
        <v>13808</v>
      </c>
      <c r="L647" s="24"/>
      <c r="M647" s="24" t="s">
        <v>15494</v>
      </c>
      <c r="N647" s="24" t="s">
        <v>13808</v>
      </c>
      <c r="O647" s="24"/>
      <c r="P647" s="24" t="s">
        <v>13808</v>
      </c>
      <c r="Q647" s="24"/>
      <c r="R647" s="24" t="s">
        <v>13818</v>
      </c>
      <c r="S647" s="24"/>
      <c r="T647" t="s">
        <v>23246</v>
      </c>
      <c r="U647" t="s">
        <v>13809</v>
      </c>
      <c r="W647" t="s">
        <v>13808</v>
      </c>
      <c r="X647" t="s">
        <v>23247</v>
      </c>
      <c r="Y647" t="s">
        <v>13808</v>
      </c>
      <c r="AA647" t="s">
        <v>13928</v>
      </c>
      <c r="AC647" t="s">
        <v>13809</v>
      </c>
      <c r="AH647" t="s">
        <v>13909</v>
      </c>
      <c r="AI647" t="s">
        <v>13808</v>
      </c>
      <c r="AN647" t="s">
        <v>23248</v>
      </c>
      <c r="AO647" t="s">
        <v>13808</v>
      </c>
      <c r="AT647" t="s">
        <v>15936</v>
      </c>
      <c r="AU647" t="s">
        <v>13808</v>
      </c>
      <c r="AZ647" t="s">
        <v>17947</v>
      </c>
      <c r="BA647" t="s">
        <v>13808</v>
      </c>
      <c r="BF647" t="s">
        <v>17780</v>
      </c>
      <c r="BG647" t="s">
        <v>13808</v>
      </c>
      <c r="BL647" t="s">
        <v>23249</v>
      </c>
      <c r="BM647" t="s">
        <v>13808</v>
      </c>
      <c r="BR647" t="s">
        <v>23250</v>
      </c>
      <c r="BS647" t="s">
        <v>13885</v>
      </c>
      <c r="BT647" t="s">
        <v>13808</v>
      </c>
      <c r="BU647" t="s">
        <v>15484</v>
      </c>
      <c r="BY647" t="s">
        <v>14003</v>
      </c>
      <c r="BZ647" t="s">
        <v>13808</v>
      </c>
      <c r="CA647" t="s">
        <v>17557</v>
      </c>
      <c r="CE647" t="s">
        <v>14003</v>
      </c>
      <c r="CF647" t="s">
        <v>13808</v>
      </c>
      <c r="CL647" t="s">
        <v>13809</v>
      </c>
      <c r="CR647" t="s">
        <v>13809</v>
      </c>
      <c r="CT647" t="s">
        <v>23251</v>
      </c>
      <c r="CU647" t="s">
        <v>14003</v>
      </c>
      <c r="CV647" t="s">
        <v>13808</v>
      </c>
      <c r="CX647" t="s">
        <v>23252</v>
      </c>
      <c r="CY647" t="s">
        <v>13818</v>
      </c>
      <c r="DA647" t="s">
        <v>14003</v>
      </c>
      <c r="DB647" t="s">
        <v>13808</v>
      </c>
      <c r="DD647" t="s">
        <v>23252</v>
      </c>
      <c r="DE647" t="s">
        <v>13818</v>
      </c>
      <c r="DG647" t="s">
        <v>14003</v>
      </c>
      <c r="DH647" t="s">
        <v>13808</v>
      </c>
      <c r="DI647" t="s">
        <v>15017</v>
      </c>
      <c r="DZ647" t="s">
        <v>23065</v>
      </c>
      <c r="EA647" t="s">
        <v>19934</v>
      </c>
      <c r="EC647">
        <v>43480</v>
      </c>
      <c r="ED647" t="s">
        <v>13903</v>
      </c>
      <c r="EE647" t="s">
        <v>8066</v>
      </c>
    </row>
    <row r="648" spans="1:135">
      <c r="A648" t="s">
        <v>3910</v>
      </c>
      <c r="B648" t="s">
        <v>3808</v>
      </c>
      <c r="C648" t="s">
        <v>23253</v>
      </c>
      <c r="D648" s="24">
        <v>42989</v>
      </c>
      <c r="E648" s="24" t="s">
        <v>13559</v>
      </c>
      <c r="F648" s="24" t="s">
        <v>23254</v>
      </c>
      <c r="G648" s="24" t="s">
        <v>13808</v>
      </c>
      <c r="H648" s="24"/>
      <c r="I648" s="24" t="s">
        <v>13809</v>
      </c>
      <c r="J648" s="24"/>
      <c r="K648" s="24" t="s">
        <v>13808</v>
      </c>
      <c r="L648" s="24"/>
      <c r="M648" s="24" t="s">
        <v>15163</v>
      </c>
      <c r="N648" s="24" t="s">
        <v>13808</v>
      </c>
      <c r="O648" s="24"/>
      <c r="P648" s="24" t="s">
        <v>13808</v>
      </c>
      <c r="Q648" s="24"/>
      <c r="R648" s="24" t="s">
        <v>13808</v>
      </c>
      <c r="S648" s="24"/>
      <c r="T648" t="s">
        <v>23246</v>
      </c>
      <c r="U648" t="s">
        <v>13809</v>
      </c>
      <c r="W648" t="s">
        <v>13808</v>
      </c>
      <c r="X648" t="s">
        <v>23255</v>
      </c>
      <c r="Y648" t="s">
        <v>13808</v>
      </c>
      <c r="AA648" t="s">
        <v>13928</v>
      </c>
      <c r="AB648" t="s">
        <v>23256</v>
      </c>
      <c r="AC648" t="s">
        <v>13808</v>
      </c>
      <c r="AH648" t="s">
        <v>13909</v>
      </c>
      <c r="AI648" t="s">
        <v>13808</v>
      </c>
      <c r="AN648" t="s">
        <v>23257</v>
      </c>
      <c r="AO648" t="s">
        <v>13808</v>
      </c>
      <c r="AT648" t="s">
        <v>18842</v>
      </c>
      <c r="AU648" t="s">
        <v>13808</v>
      </c>
      <c r="AZ648" t="s">
        <v>23258</v>
      </c>
      <c r="BA648" t="s">
        <v>13808</v>
      </c>
      <c r="BF648" t="s">
        <v>16368</v>
      </c>
      <c r="BG648" t="s">
        <v>13808</v>
      </c>
      <c r="BL648" t="s">
        <v>23259</v>
      </c>
      <c r="BM648" t="s">
        <v>13808</v>
      </c>
      <c r="BR648" t="s">
        <v>23260</v>
      </c>
      <c r="BS648" t="s">
        <v>13887</v>
      </c>
      <c r="BT648" t="s">
        <v>13808</v>
      </c>
      <c r="BU648" t="s">
        <v>15484</v>
      </c>
      <c r="BY648" t="s">
        <v>14265</v>
      </c>
      <c r="BZ648" t="s">
        <v>13808</v>
      </c>
      <c r="CA648" t="s">
        <v>13937</v>
      </c>
      <c r="CE648" t="s">
        <v>13887</v>
      </c>
      <c r="CF648" t="s">
        <v>13808</v>
      </c>
      <c r="CL648" t="s">
        <v>13809</v>
      </c>
      <c r="CR648" t="s">
        <v>13809</v>
      </c>
      <c r="CT648" t="s">
        <v>23261</v>
      </c>
      <c r="CU648" t="s">
        <v>13909</v>
      </c>
      <c r="CV648" t="s">
        <v>13818</v>
      </c>
      <c r="DA648" t="s">
        <v>13909</v>
      </c>
      <c r="DB648" t="s">
        <v>13818</v>
      </c>
      <c r="DG648" t="s">
        <v>13909</v>
      </c>
      <c r="DH648" t="s">
        <v>13818</v>
      </c>
      <c r="DZ648" t="s">
        <v>22872</v>
      </c>
      <c r="EA648" t="s">
        <v>18501</v>
      </c>
      <c r="EC648">
        <v>43480</v>
      </c>
      <c r="ED648" t="s">
        <v>13903</v>
      </c>
      <c r="EE648" t="s">
        <v>8727</v>
      </c>
    </row>
    <row r="649" spans="1:135">
      <c r="A649" t="s">
        <v>4046</v>
      </c>
      <c r="B649" t="s">
        <v>3939</v>
      </c>
      <c r="C649" t="s">
        <v>23262</v>
      </c>
      <c r="D649" s="24">
        <v>43651</v>
      </c>
      <c r="E649" s="24" t="s">
        <v>13558</v>
      </c>
      <c r="F649" s="24" t="s">
        <v>23263</v>
      </c>
      <c r="G649" s="24" t="s">
        <v>13808</v>
      </c>
      <c r="H649" s="24"/>
      <c r="I649" s="24" t="s">
        <v>13809</v>
      </c>
      <c r="J649" s="24"/>
      <c r="K649" s="24" t="s">
        <v>13809</v>
      </c>
      <c r="L649" s="24"/>
      <c r="M649" s="24" t="s">
        <v>14163</v>
      </c>
      <c r="N649" s="24" t="s">
        <v>13808</v>
      </c>
      <c r="O649" s="24"/>
      <c r="P649" s="24" t="s">
        <v>13808</v>
      </c>
      <c r="Q649" s="24"/>
      <c r="R649" s="24" t="s">
        <v>13808</v>
      </c>
      <c r="S649" s="24"/>
      <c r="T649" t="s">
        <v>14034</v>
      </c>
      <c r="U649" t="s">
        <v>13809</v>
      </c>
      <c r="W649" t="s">
        <v>13808</v>
      </c>
      <c r="X649" t="s">
        <v>23264</v>
      </c>
      <c r="Y649" t="s">
        <v>13809</v>
      </c>
      <c r="AA649" t="s">
        <v>15624</v>
      </c>
      <c r="AB649" t="s">
        <v>14598</v>
      </c>
      <c r="AC649" t="s">
        <v>13808</v>
      </c>
      <c r="AH649" t="s">
        <v>13909</v>
      </c>
      <c r="AI649" t="s">
        <v>13808</v>
      </c>
      <c r="AO649" t="s">
        <v>13809</v>
      </c>
      <c r="AT649" t="s">
        <v>15008</v>
      </c>
      <c r="AU649" t="s">
        <v>13808</v>
      </c>
      <c r="AZ649" t="s">
        <v>18680</v>
      </c>
      <c r="BA649" t="s">
        <v>13808</v>
      </c>
      <c r="BF649" t="s">
        <v>14046</v>
      </c>
      <c r="BG649" t="s">
        <v>13808</v>
      </c>
      <c r="BL649" t="s">
        <v>23265</v>
      </c>
      <c r="BM649" t="s">
        <v>13808</v>
      </c>
      <c r="BR649" t="s">
        <v>23266</v>
      </c>
      <c r="BT649" t="s">
        <v>13809</v>
      </c>
      <c r="BY649" t="s">
        <v>14265</v>
      </c>
      <c r="BZ649" t="s">
        <v>13808</v>
      </c>
      <c r="CA649" t="s">
        <v>13888</v>
      </c>
      <c r="CE649" t="s">
        <v>14265</v>
      </c>
      <c r="CF649" t="s">
        <v>13808</v>
      </c>
      <c r="CL649" t="s">
        <v>13809</v>
      </c>
      <c r="CR649" t="s">
        <v>13809</v>
      </c>
      <c r="CT649" t="s">
        <v>16229</v>
      </c>
      <c r="CU649" t="s">
        <v>23267</v>
      </c>
      <c r="CV649" t="s">
        <v>13818</v>
      </c>
      <c r="CW649" t="s">
        <v>23268</v>
      </c>
      <c r="DA649" t="s">
        <v>23269</v>
      </c>
      <c r="DB649" t="s">
        <v>13818</v>
      </c>
      <c r="DC649" t="s">
        <v>23268</v>
      </c>
      <c r="DG649" t="s">
        <v>23270</v>
      </c>
      <c r="DH649" t="s">
        <v>13818</v>
      </c>
      <c r="DY649" t="s">
        <v>15296</v>
      </c>
      <c r="DZ649" t="s">
        <v>23271</v>
      </c>
      <c r="EA649" t="s">
        <v>16557</v>
      </c>
      <c r="ED649" t="s">
        <v>13903</v>
      </c>
      <c r="EE649" t="s">
        <v>8888</v>
      </c>
    </row>
    <row r="650" spans="1:135">
      <c r="A650" t="s">
        <v>3799</v>
      </c>
      <c r="B650" t="s">
        <v>3619</v>
      </c>
      <c r="C650" t="s">
        <v>23272</v>
      </c>
      <c r="D650" s="24">
        <v>43704</v>
      </c>
      <c r="E650" s="24" t="s">
        <v>13553</v>
      </c>
      <c r="F650" s="24" t="s">
        <v>23273</v>
      </c>
      <c r="G650" s="24" t="s">
        <v>13808</v>
      </c>
      <c r="H650" s="24"/>
      <c r="I650" s="24" t="s">
        <v>13809</v>
      </c>
      <c r="J650" s="24"/>
      <c r="K650" s="24" t="s">
        <v>13809</v>
      </c>
      <c r="L650" s="24"/>
      <c r="M650" s="24" t="s">
        <v>14163</v>
      </c>
      <c r="N650" s="24" t="s">
        <v>13808</v>
      </c>
      <c r="O650" s="24"/>
      <c r="P650" s="24" t="s">
        <v>13808</v>
      </c>
      <c r="Q650" s="24"/>
      <c r="R650" s="24" t="s">
        <v>13808</v>
      </c>
      <c r="S650" s="24"/>
      <c r="T650" t="s">
        <v>14016</v>
      </c>
      <c r="U650" t="s">
        <v>13809</v>
      </c>
      <c r="W650" t="s">
        <v>13808</v>
      </c>
      <c r="X650" t="s">
        <v>23274</v>
      </c>
      <c r="Y650" t="s">
        <v>13809</v>
      </c>
      <c r="AA650" t="s">
        <v>13877</v>
      </c>
      <c r="AB650" t="s">
        <v>18690</v>
      </c>
      <c r="AC650" t="s">
        <v>13808</v>
      </c>
      <c r="AH650" t="s">
        <v>13909</v>
      </c>
      <c r="AI650" t="s">
        <v>13808</v>
      </c>
      <c r="AN650" t="s">
        <v>23275</v>
      </c>
      <c r="AO650" t="s">
        <v>13808</v>
      </c>
      <c r="AT650" t="s">
        <v>14705</v>
      </c>
      <c r="AU650" t="s">
        <v>13808</v>
      </c>
      <c r="AZ650" t="s">
        <v>23276</v>
      </c>
      <c r="BA650" t="s">
        <v>13808</v>
      </c>
      <c r="BF650" t="s">
        <v>23277</v>
      </c>
      <c r="BG650" t="s">
        <v>13808</v>
      </c>
      <c r="BL650" t="s">
        <v>23278</v>
      </c>
      <c r="BM650" t="s">
        <v>13808</v>
      </c>
      <c r="BR650" t="s">
        <v>23279</v>
      </c>
      <c r="BS650" t="s">
        <v>13887</v>
      </c>
      <c r="BT650" t="s">
        <v>13808</v>
      </c>
      <c r="BU650" t="s">
        <v>23280</v>
      </c>
      <c r="BY650" t="s">
        <v>14265</v>
      </c>
      <c r="BZ650" t="s">
        <v>13808</v>
      </c>
      <c r="CA650" t="s">
        <v>13888</v>
      </c>
      <c r="CE650" t="s">
        <v>14265</v>
      </c>
      <c r="CF650" t="s">
        <v>13808</v>
      </c>
      <c r="CL650" t="s">
        <v>13809</v>
      </c>
      <c r="CR650" t="s">
        <v>13809</v>
      </c>
      <c r="CT650" t="s">
        <v>23281</v>
      </c>
      <c r="CU650" t="s">
        <v>23282</v>
      </c>
      <c r="CV650" t="s">
        <v>13808</v>
      </c>
      <c r="DA650" t="s">
        <v>23283</v>
      </c>
      <c r="DB650" t="s">
        <v>13808</v>
      </c>
      <c r="DH650" t="s">
        <v>13809</v>
      </c>
      <c r="DM650" t="s">
        <v>23284</v>
      </c>
      <c r="DN650" t="s">
        <v>13808</v>
      </c>
      <c r="DO650" t="s">
        <v>13898</v>
      </c>
      <c r="DP650" t="s">
        <v>23285</v>
      </c>
      <c r="DQ650" t="s">
        <v>13808</v>
      </c>
      <c r="DR650" t="s">
        <v>23286</v>
      </c>
      <c r="DY650" t="s">
        <v>21736</v>
      </c>
      <c r="DZ650" t="s">
        <v>23287</v>
      </c>
      <c r="EA650" t="s">
        <v>23288</v>
      </c>
      <c r="ED650" t="s">
        <v>13903</v>
      </c>
      <c r="EE650" t="s">
        <v>8591</v>
      </c>
    </row>
    <row r="651" spans="1:135">
      <c r="A651" t="s">
        <v>9048</v>
      </c>
      <c r="B651" t="s">
        <v>4051</v>
      </c>
      <c r="C651" t="s">
        <v>23289</v>
      </c>
      <c r="D651" s="24">
        <v>42996</v>
      </c>
      <c r="E651" s="24" t="s">
        <v>13555</v>
      </c>
      <c r="F651" s="24" t="s">
        <v>23290</v>
      </c>
      <c r="G651" s="24" t="s">
        <v>13808</v>
      </c>
      <c r="H651" s="24"/>
      <c r="I651" s="24" t="s">
        <v>13809</v>
      </c>
      <c r="J651" s="24"/>
      <c r="K651" s="24" t="s">
        <v>13809</v>
      </c>
      <c r="L651" s="24"/>
      <c r="M651" s="24" t="s">
        <v>15494</v>
      </c>
      <c r="N651" s="24" t="s">
        <v>13808</v>
      </c>
      <c r="O651" s="24"/>
      <c r="P651" s="24" t="s">
        <v>13808</v>
      </c>
      <c r="Q651" s="24"/>
      <c r="R651" s="24" t="s">
        <v>13808</v>
      </c>
      <c r="S651" s="24"/>
      <c r="T651" t="s">
        <v>23246</v>
      </c>
      <c r="U651" t="s">
        <v>13808</v>
      </c>
      <c r="W651" t="s">
        <v>13808</v>
      </c>
      <c r="X651" t="s">
        <v>23291</v>
      </c>
      <c r="Y651" t="s">
        <v>13809</v>
      </c>
      <c r="AA651" t="s">
        <v>14971</v>
      </c>
      <c r="AC651" t="s">
        <v>13809</v>
      </c>
      <c r="AH651" t="s">
        <v>13909</v>
      </c>
      <c r="AI651" t="s">
        <v>13808</v>
      </c>
      <c r="AO651" t="s">
        <v>13809</v>
      </c>
      <c r="AT651" t="s">
        <v>13892</v>
      </c>
      <c r="AU651" t="s">
        <v>13808</v>
      </c>
      <c r="AZ651" t="s">
        <v>17084</v>
      </c>
      <c r="BA651" t="s">
        <v>13808</v>
      </c>
      <c r="BF651" t="s">
        <v>15883</v>
      </c>
      <c r="BG651" t="s">
        <v>13808</v>
      </c>
      <c r="BM651" t="s">
        <v>13809</v>
      </c>
      <c r="BR651" t="s">
        <v>23292</v>
      </c>
      <c r="BT651" t="s">
        <v>13809</v>
      </c>
      <c r="BY651" t="s">
        <v>13887</v>
      </c>
      <c r="BZ651" t="s">
        <v>13808</v>
      </c>
      <c r="CA651" t="s">
        <v>13937</v>
      </c>
      <c r="CF651" t="s">
        <v>13809</v>
      </c>
      <c r="CK651" t="s">
        <v>23293</v>
      </c>
      <c r="CL651" t="s">
        <v>13808</v>
      </c>
      <c r="CR651" t="s">
        <v>13809</v>
      </c>
      <c r="CT651" t="s">
        <v>23294</v>
      </c>
      <c r="CU651" t="s">
        <v>13909</v>
      </c>
      <c r="CV651" t="s">
        <v>13808</v>
      </c>
      <c r="DA651" t="s">
        <v>13909</v>
      </c>
      <c r="DB651" t="s">
        <v>13808</v>
      </c>
      <c r="DG651" t="s">
        <v>13909</v>
      </c>
      <c r="DH651" t="s">
        <v>13808</v>
      </c>
      <c r="DY651" t="s">
        <v>14606</v>
      </c>
      <c r="DZ651" t="s">
        <v>23164</v>
      </c>
      <c r="EA651" t="s">
        <v>14182</v>
      </c>
      <c r="EC651">
        <v>43480</v>
      </c>
      <c r="ED651" t="s">
        <v>13903</v>
      </c>
      <c r="EE651" t="s">
        <v>9050</v>
      </c>
    </row>
    <row r="652" spans="1:135">
      <c r="A652" t="s">
        <v>3914</v>
      </c>
      <c r="B652" t="s">
        <v>3808</v>
      </c>
      <c r="C652" t="s">
        <v>23295</v>
      </c>
      <c r="D652" s="24">
        <v>43763</v>
      </c>
      <c r="E652" s="24" t="s">
        <v>13560</v>
      </c>
      <c r="F652" s="24" t="s">
        <v>23296</v>
      </c>
      <c r="G652" s="24" t="s">
        <v>13808</v>
      </c>
      <c r="H652" s="24"/>
      <c r="I652" s="24" t="s">
        <v>13809</v>
      </c>
      <c r="J652" s="24" t="s">
        <v>23297</v>
      </c>
      <c r="K652" s="24" t="s">
        <v>13808</v>
      </c>
      <c r="L652" s="24" t="s">
        <v>23298</v>
      </c>
      <c r="M652" s="24" t="s">
        <v>15021</v>
      </c>
      <c r="N652" s="24" t="s">
        <v>13808</v>
      </c>
      <c r="O652" s="24"/>
      <c r="P652" s="24" t="s">
        <v>13808</v>
      </c>
      <c r="Q652" s="24"/>
      <c r="R652" s="24" t="s">
        <v>13808</v>
      </c>
      <c r="S652" s="24"/>
      <c r="T652" t="s">
        <v>14034</v>
      </c>
      <c r="U652" t="s">
        <v>13809</v>
      </c>
      <c r="W652" t="s">
        <v>13808</v>
      </c>
      <c r="X652" t="s">
        <v>23299</v>
      </c>
      <c r="Y652" t="s">
        <v>13809</v>
      </c>
      <c r="AA652" t="s">
        <v>16563</v>
      </c>
      <c r="AB652" t="s">
        <v>17931</v>
      </c>
      <c r="AC652" t="s">
        <v>13808</v>
      </c>
      <c r="AH652" t="s">
        <v>13909</v>
      </c>
      <c r="AI652" t="s">
        <v>13808</v>
      </c>
      <c r="AN652" t="s">
        <v>22081</v>
      </c>
      <c r="AO652" t="s">
        <v>13808</v>
      </c>
      <c r="AU652" t="s">
        <v>13809</v>
      </c>
      <c r="AZ652" t="s">
        <v>15898</v>
      </c>
      <c r="BA652" t="s">
        <v>13808</v>
      </c>
      <c r="BF652" t="s">
        <v>14177</v>
      </c>
      <c r="BG652" t="s">
        <v>13808</v>
      </c>
      <c r="BL652" t="s">
        <v>23300</v>
      </c>
      <c r="BM652" t="s">
        <v>13808</v>
      </c>
      <c r="BR652" t="s">
        <v>23301</v>
      </c>
      <c r="BT652" t="s">
        <v>13809</v>
      </c>
      <c r="BY652" t="s">
        <v>13885</v>
      </c>
      <c r="BZ652" t="s">
        <v>13808</v>
      </c>
      <c r="CA652" t="s">
        <v>13888</v>
      </c>
      <c r="CE652" t="s">
        <v>14265</v>
      </c>
      <c r="CF652" t="s">
        <v>13808</v>
      </c>
      <c r="CG652" t="s">
        <v>14173</v>
      </c>
      <c r="CL652" t="s">
        <v>13809</v>
      </c>
      <c r="CR652" t="s">
        <v>13809</v>
      </c>
      <c r="CT652" t="s">
        <v>23302</v>
      </c>
      <c r="CU652" t="s">
        <v>23303</v>
      </c>
      <c r="CV652" t="s">
        <v>13818</v>
      </c>
      <c r="DA652" t="s">
        <v>23304</v>
      </c>
      <c r="DB652" t="s">
        <v>13818</v>
      </c>
      <c r="DH652" t="s">
        <v>13809</v>
      </c>
      <c r="DM652" t="s">
        <v>23305</v>
      </c>
      <c r="DN652" t="s">
        <v>13808</v>
      </c>
      <c r="DP652" t="s">
        <v>23306</v>
      </c>
      <c r="DQ652" t="s">
        <v>13818</v>
      </c>
      <c r="DY652" t="s">
        <v>15296</v>
      </c>
      <c r="DZ652" t="s">
        <v>23307</v>
      </c>
      <c r="EA652" t="s">
        <v>16115</v>
      </c>
      <c r="EC652">
        <v>43776</v>
      </c>
      <c r="ED652" t="s">
        <v>14501</v>
      </c>
      <c r="EE652" t="s">
        <v>8731</v>
      </c>
    </row>
    <row r="653" spans="1:135">
      <c r="A653" t="s">
        <v>3919</v>
      </c>
      <c r="B653" t="s">
        <v>3808</v>
      </c>
      <c r="C653" t="s">
        <v>23308</v>
      </c>
      <c r="D653" s="24">
        <v>43756</v>
      </c>
      <c r="E653" s="24" t="s">
        <v>13553</v>
      </c>
      <c r="F653" s="24" t="s">
        <v>23309</v>
      </c>
      <c r="G653" s="24" t="s">
        <v>13808</v>
      </c>
      <c r="H653" s="24"/>
      <c r="I653" s="24" t="s">
        <v>13809</v>
      </c>
      <c r="J653" s="24"/>
      <c r="K653" s="24" t="s">
        <v>13808</v>
      </c>
      <c r="L653" s="24"/>
      <c r="M653" s="24" t="s">
        <v>14163</v>
      </c>
      <c r="N653" s="24" t="s">
        <v>13808</v>
      </c>
      <c r="O653" s="24"/>
      <c r="P653" s="24" t="s">
        <v>13808</v>
      </c>
      <c r="Q653" s="24"/>
      <c r="R653" s="24" t="s">
        <v>13808</v>
      </c>
      <c r="S653" s="24"/>
      <c r="T653" t="s">
        <v>16463</v>
      </c>
      <c r="U653" t="s">
        <v>13809</v>
      </c>
      <c r="W653" t="s">
        <v>13808</v>
      </c>
      <c r="X653" t="s">
        <v>23310</v>
      </c>
      <c r="Y653" t="s">
        <v>13808</v>
      </c>
      <c r="AA653" t="s">
        <v>13877</v>
      </c>
      <c r="AB653" t="s">
        <v>23311</v>
      </c>
      <c r="AC653" t="s">
        <v>13808</v>
      </c>
      <c r="AH653" t="s">
        <v>13909</v>
      </c>
      <c r="AI653" t="s">
        <v>13808</v>
      </c>
      <c r="AN653" t="s">
        <v>23312</v>
      </c>
      <c r="AO653" t="s">
        <v>13808</v>
      </c>
      <c r="AT653" t="s">
        <v>23313</v>
      </c>
      <c r="AU653" t="s">
        <v>13808</v>
      </c>
      <c r="AZ653" t="s">
        <v>23314</v>
      </c>
      <c r="BA653" t="s">
        <v>13808</v>
      </c>
      <c r="BF653" t="s">
        <v>23315</v>
      </c>
      <c r="BG653" t="s">
        <v>13808</v>
      </c>
      <c r="BL653" t="s">
        <v>23316</v>
      </c>
      <c r="BM653" t="s">
        <v>13808</v>
      </c>
      <c r="BR653" t="s">
        <v>23317</v>
      </c>
      <c r="BS653" t="s">
        <v>13887</v>
      </c>
      <c r="BT653" t="s">
        <v>13808</v>
      </c>
      <c r="BU653" t="s">
        <v>23318</v>
      </c>
      <c r="BY653" t="s">
        <v>23319</v>
      </c>
      <c r="BZ653" t="s">
        <v>13808</v>
      </c>
      <c r="CA653" t="s">
        <v>14026</v>
      </c>
      <c r="CE653" t="s">
        <v>16503</v>
      </c>
      <c r="CF653" t="s">
        <v>13808</v>
      </c>
      <c r="CG653" t="s">
        <v>14173</v>
      </c>
      <c r="CL653" t="s">
        <v>13809</v>
      </c>
      <c r="CR653" t="s">
        <v>13809</v>
      </c>
      <c r="CT653" t="s">
        <v>23320</v>
      </c>
      <c r="CU653" t="s">
        <v>23321</v>
      </c>
      <c r="CV653" t="s">
        <v>13808</v>
      </c>
      <c r="DA653" t="s">
        <v>23322</v>
      </c>
      <c r="DB653" t="s">
        <v>13808</v>
      </c>
      <c r="DH653" t="s">
        <v>13809</v>
      </c>
      <c r="DM653" t="s">
        <v>23323</v>
      </c>
      <c r="DN653" t="s">
        <v>13808</v>
      </c>
      <c r="DO653" t="s">
        <v>23324</v>
      </c>
      <c r="DY653" t="s">
        <v>13900</v>
      </c>
      <c r="DZ653" t="s">
        <v>23325</v>
      </c>
      <c r="EA653" t="s">
        <v>16115</v>
      </c>
      <c r="ED653" t="s">
        <v>14501</v>
      </c>
      <c r="EE653" t="s">
        <v>8735</v>
      </c>
    </row>
    <row r="654" spans="1:135">
      <c r="A654" t="s">
        <v>3926</v>
      </c>
      <c r="B654" t="s">
        <v>3808</v>
      </c>
      <c r="C654" t="s">
        <v>23326</v>
      </c>
      <c r="D654" s="24">
        <v>43753</v>
      </c>
      <c r="E654" s="24" t="s">
        <v>13553</v>
      </c>
      <c r="F654" s="24" t="s">
        <v>23327</v>
      </c>
      <c r="G654" s="24" t="s">
        <v>13808</v>
      </c>
      <c r="H654" s="24"/>
      <c r="I654" s="24" t="s">
        <v>13809</v>
      </c>
      <c r="J654" s="24"/>
      <c r="K654" s="24" t="s">
        <v>13808</v>
      </c>
      <c r="L654" s="24"/>
      <c r="M654" s="24" t="s">
        <v>14163</v>
      </c>
      <c r="N654" s="24" t="s">
        <v>13808</v>
      </c>
      <c r="O654" s="24"/>
      <c r="P654" s="24" t="s">
        <v>13808</v>
      </c>
      <c r="Q654" s="24"/>
      <c r="R654" s="24" t="s">
        <v>13808</v>
      </c>
      <c r="S654" s="24"/>
      <c r="T654" t="s">
        <v>14016</v>
      </c>
      <c r="U654" t="s">
        <v>13809</v>
      </c>
      <c r="W654" t="s">
        <v>13808</v>
      </c>
      <c r="X654" t="s">
        <v>23328</v>
      </c>
      <c r="Y654" t="s">
        <v>13809</v>
      </c>
      <c r="AA654" t="s">
        <v>13877</v>
      </c>
      <c r="AB654" t="s">
        <v>20907</v>
      </c>
      <c r="AC654" t="s">
        <v>13808</v>
      </c>
      <c r="AH654" t="s">
        <v>13909</v>
      </c>
      <c r="AI654" t="s">
        <v>13808</v>
      </c>
      <c r="AN654" t="s">
        <v>22564</v>
      </c>
      <c r="AO654" t="s">
        <v>13808</v>
      </c>
      <c r="AT654" t="s">
        <v>22565</v>
      </c>
      <c r="AU654" t="s">
        <v>13808</v>
      </c>
      <c r="AZ654" t="s">
        <v>23329</v>
      </c>
      <c r="BA654" t="s">
        <v>13808</v>
      </c>
      <c r="BF654" t="s">
        <v>15209</v>
      </c>
      <c r="BG654" t="s">
        <v>13808</v>
      </c>
      <c r="BL654" t="s">
        <v>22567</v>
      </c>
      <c r="BM654" t="s">
        <v>13808</v>
      </c>
      <c r="BR654" t="s">
        <v>23330</v>
      </c>
      <c r="BS654" t="s">
        <v>13887</v>
      </c>
      <c r="BT654" t="s">
        <v>13808</v>
      </c>
      <c r="BU654" t="s">
        <v>23331</v>
      </c>
      <c r="BY654" t="s">
        <v>15138</v>
      </c>
      <c r="BZ654" t="s">
        <v>13808</v>
      </c>
      <c r="CA654" t="s">
        <v>14026</v>
      </c>
      <c r="CE654" t="s">
        <v>23332</v>
      </c>
      <c r="CF654" t="s">
        <v>13808</v>
      </c>
      <c r="CG654" t="s">
        <v>14173</v>
      </c>
      <c r="CL654" t="s">
        <v>13809</v>
      </c>
      <c r="CR654" t="s">
        <v>13809</v>
      </c>
      <c r="CT654" t="s">
        <v>23333</v>
      </c>
      <c r="CU654" t="s">
        <v>23334</v>
      </c>
      <c r="CV654" t="s">
        <v>13808</v>
      </c>
      <c r="DA654" t="s">
        <v>23335</v>
      </c>
      <c r="DB654" t="s">
        <v>13808</v>
      </c>
      <c r="DH654" t="s">
        <v>13809</v>
      </c>
      <c r="DM654" t="s">
        <v>23336</v>
      </c>
      <c r="DN654" t="s">
        <v>13808</v>
      </c>
      <c r="DO654" t="s">
        <v>23337</v>
      </c>
      <c r="DP654" t="s">
        <v>23338</v>
      </c>
      <c r="DQ654" t="s">
        <v>13818</v>
      </c>
      <c r="DY654" t="s">
        <v>23339</v>
      </c>
      <c r="DZ654" t="s">
        <v>23340</v>
      </c>
      <c r="EA654" t="s">
        <v>13922</v>
      </c>
      <c r="EC654">
        <v>43789</v>
      </c>
      <c r="ED654" t="s">
        <v>13903</v>
      </c>
      <c r="EE654" t="s">
        <v>8741</v>
      </c>
    </row>
    <row r="655" spans="1:135">
      <c r="A655" t="s">
        <v>3930</v>
      </c>
      <c r="B655" t="s">
        <v>3808</v>
      </c>
      <c r="C655" t="s">
        <v>23341</v>
      </c>
      <c r="D655" s="24">
        <v>43754</v>
      </c>
      <c r="E655" s="24" t="s">
        <v>13553</v>
      </c>
      <c r="F655" s="24" t="s">
        <v>23342</v>
      </c>
      <c r="G655" s="24" t="s">
        <v>13808</v>
      </c>
      <c r="H655" s="24"/>
      <c r="I655" s="24" t="s">
        <v>13809</v>
      </c>
      <c r="J655" s="24"/>
      <c r="K655" s="24" t="s">
        <v>13808</v>
      </c>
      <c r="L655" s="24"/>
      <c r="M655" s="24" t="s">
        <v>14163</v>
      </c>
      <c r="N655" s="24" t="s">
        <v>13808</v>
      </c>
      <c r="O655" s="24"/>
      <c r="P655" s="24" t="s">
        <v>13808</v>
      </c>
      <c r="Q655" s="24"/>
      <c r="R655" s="24" t="s">
        <v>13808</v>
      </c>
      <c r="S655" s="24"/>
      <c r="T655" t="s">
        <v>14016</v>
      </c>
      <c r="U655" t="s">
        <v>13809</v>
      </c>
      <c r="W655" t="s">
        <v>13808</v>
      </c>
      <c r="X655" t="s">
        <v>23343</v>
      </c>
      <c r="Y655" t="s">
        <v>13809</v>
      </c>
      <c r="AA655" t="s">
        <v>13877</v>
      </c>
      <c r="AB655" t="s">
        <v>14489</v>
      </c>
      <c r="AC655" t="s">
        <v>13808</v>
      </c>
      <c r="AH655" t="s">
        <v>13909</v>
      </c>
      <c r="AI655" t="s">
        <v>13808</v>
      </c>
      <c r="AO655" t="s">
        <v>13809</v>
      </c>
      <c r="AT655" t="s">
        <v>16528</v>
      </c>
      <c r="AU655" t="s">
        <v>13808</v>
      </c>
      <c r="AZ655" t="s">
        <v>23344</v>
      </c>
      <c r="BA655" t="s">
        <v>13808</v>
      </c>
      <c r="BF655" t="s">
        <v>23345</v>
      </c>
      <c r="BG655" t="s">
        <v>13808</v>
      </c>
      <c r="BL655" t="s">
        <v>23346</v>
      </c>
      <c r="BM655" t="s">
        <v>13808</v>
      </c>
      <c r="BR655" t="s">
        <v>23347</v>
      </c>
      <c r="BS655" t="s">
        <v>13887</v>
      </c>
      <c r="BT655" t="s">
        <v>13808</v>
      </c>
      <c r="BU655" t="s">
        <v>23348</v>
      </c>
      <c r="BY655" t="s">
        <v>13887</v>
      </c>
      <c r="BZ655" t="s">
        <v>13808</v>
      </c>
      <c r="CA655" t="s">
        <v>14438</v>
      </c>
      <c r="CE655" t="s">
        <v>13887</v>
      </c>
      <c r="CF655" t="s">
        <v>13808</v>
      </c>
      <c r="CL655" t="s">
        <v>13809</v>
      </c>
      <c r="CR655" t="s">
        <v>13809</v>
      </c>
      <c r="CT655" t="s">
        <v>23349</v>
      </c>
      <c r="CU655" t="s">
        <v>23350</v>
      </c>
      <c r="CV655" t="s">
        <v>13808</v>
      </c>
      <c r="DA655" t="s">
        <v>23351</v>
      </c>
      <c r="DB655" t="s">
        <v>13808</v>
      </c>
      <c r="DH655" t="s">
        <v>13809</v>
      </c>
      <c r="DM655" t="s">
        <v>23352</v>
      </c>
      <c r="DN655" t="s">
        <v>13808</v>
      </c>
      <c r="DP655" t="s">
        <v>23353</v>
      </c>
      <c r="DQ655" t="s">
        <v>13808</v>
      </c>
      <c r="DR655" t="s">
        <v>23354</v>
      </c>
      <c r="DY655" t="s">
        <v>15296</v>
      </c>
      <c r="DZ655" t="s">
        <v>23355</v>
      </c>
      <c r="EA655" t="s">
        <v>13922</v>
      </c>
      <c r="EC655">
        <v>43789</v>
      </c>
      <c r="ED655" t="s">
        <v>13903</v>
      </c>
      <c r="EE655" t="s">
        <v>8745</v>
      </c>
    </row>
    <row r="656" spans="1:135">
      <c r="A656" t="s">
        <v>3345</v>
      </c>
      <c r="B656" t="s">
        <v>3161</v>
      </c>
      <c r="C656" t="s">
        <v>23356</v>
      </c>
      <c r="D656" s="24">
        <v>43630</v>
      </c>
      <c r="E656" s="24" t="s">
        <v>13553</v>
      </c>
      <c r="F656" s="24" t="s">
        <v>23357</v>
      </c>
      <c r="G656" s="24" t="s">
        <v>13808</v>
      </c>
      <c r="H656" s="24"/>
      <c r="I656" s="24" t="s">
        <v>13809</v>
      </c>
      <c r="J656" s="24"/>
      <c r="K656" s="24" t="s">
        <v>13808</v>
      </c>
      <c r="L656" s="24" t="s">
        <v>23358</v>
      </c>
      <c r="M656" s="24" t="s">
        <v>14163</v>
      </c>
      <c r="N656" s="24" t="s">
        <v>13808</v>
      </c>
      <c r="O656" s="24"/>
      <c r="P656" s="24" t="s">
        <v>13808</v>
      </c>
      <c r="Q656" s="24"/>
      <c r="R656" s="24" t="s">
        <v>13808</v>
      </c>
      <c r="S656" s="24"/>
      <c r="T656" t="s">
        <v>13847</v>
      </c>
      <c r="U656" t="s">
        <v>13809</v>
      </c>
      <c r="W656" t="s">
        <v>13808</v>
      </c>
      <c r="X656" t="s">
        <v>23359</v>
      </c>
      <c r="Y656" t="s">
        <v>13809</v>
      </c>
      <c r="AA656" t="s">
        <v>13877</v>
      </c>
      <c r="AB656" t="s">
        <v>14544</v>
      </c>
      <c r="AC656" t="s">
        <v>13808</v>
      </c>
      <c r="AH656" t="s">
        <v>13909</v>
      </c>
      <c r="AI656" t="s">
        <v>13808</v>
      </c>
      <c r="AN656" t="s">
        <v>14674</v>
      </c>
      <c r="AO656" t="s">
        <v>13808</v>
      </c>
      <c r="AT656" t="s">
        <v>14166</v>
      </c>
      <c r="AU656" t="s">
        <v>13808</v>
      </c>
      <c r="AZ656" t="s">
        <v>13883</v>
      </c>
      <c r="BA656" t="s">
        <v>13808</v>
      </c>
      <c r="BF656" t="s">
        <v>14007</v>
      </c>
      <c r="BG656" t="s">
        <v>13808</v>
      </c>
      <c r="BH656" t="s">
        <v>23360</v>
      </c>
      <c r="BM656" t="s">
        <v>13809</v>
      </c>
      <c r="BR656" t="s">
        <v>23361</v>
      </c>
      <c r="BS656" t="s">
        <v>13887</v>
      </c>
      <c r="BT656" t="s">
        <v>13808</v>
      </c>
      <c r="BU656" t="s">
        <v>14128</v>
      </c>
      <c r="BY656" t="s">
        <v>14265</v>
      </c>
      <c r="BZ656" t="s">
        <v>13808</v>
      </c>
      <c r="CA656" t="s">
        <v>13888</v>
      </c>
      <c r="CE656" t="s">
        <v>14693</v>
      </c>
      <c r="CF656" t="s">
        <v>13808</v>
      </c>
      <c r="CG656" t="s">
        <v>14173</v>
      </c>
      <c r="CL656" t="s">
        <v>13809</v>
      </c>
      <c r="CR656" t="s">
        <v>13809</v>
      </c>
      <c r="CT656" t="s">
        <v>23362</v>
      </c>
      <c r="CU656" t="s">
        <v>23363</v>
      </c>
      <c r="CV656" t="s">
        <v>13808</v>
      </c>
      <c r="DA656" t="s">
        <v>23364</v>
      </c>
      <c r="DB656" t="s">
        <v>13808</v>
      </c>
      <c r="DH656" t="s">
        <v>13809</v>
      </c>
      <c r="DM656" t="s">
        <v>23365</v>
      </c>
      <c r="DN656" t="s">
        <v>13897</v>
      </c>
      <c r="DP656" t="s">
        <v>23366</v>
      </c>
      <c r="DQ656" t="s">
        <v>13808</v>
      </c>
      <c r="DR656" t="s">
        <v>23367</v>
      </c>
      <c r="DY656" t="s">
        <v>13840</v>
      </c>
      <c r="DZ656" t="s">
        <v>23368</v>
      </c>
      <c r="EA656" t="s">
        <v>23369</v>
      </c>
      <c r="EC656">
        <v>43647</v>
      </c>
      <c r="ED656" t="s">
        <v>13903</v>
      </c>
      <c r="EE656" t="s">
        <v>8070</v>
      </c>
    </row>
    <row r="657" spans="1:135">
      <c r="A657" t="s">
        <v>3360</v>
      </c>
      <c r="B657" t="s">
        <v>3161</v>
      </c>
      <c r="C657" t="s">
        <v>23370</v>
      </c>
      <c r="D657" s="24">
        <v>43700</v>
      </c>
      <c r="E657" s="24" t="s">
        <v>13553</v>
      </c>
      <c r="F657" s="24" t="s">
        <v>23371</v>
      </c>
      <c r="G657" s="24" t="s">
        <v>13808</v>
      </c>
      <c r="H657" s="24"/>
      <c r="I657" s="24" t="s">
        <v>13809</v>
      </c>
      <c r="J657" s="24"/>
      <c r="K657" s="24" t="s">
        <v>13809</v>
      </c>
      <c r="L657" s="24"/>
      <c r="M657" s="24" t="s">
        <v>14163</v>
      </c>
      <c r="N657" s="24" t="s">
        <v>13808</v>
      </c>
      <c r="O657" s="24"/>
      <c r="P657" s="24" t="s">
        <v>13808</v>
      </c>
      <c r="Q657" s="24"/>
      <c r="R657" s="24" t="s">
        <v>13808</v>
      </c>
      <c r="S657" s="24"/>
      <c r="T657" t="s">
        <v>14016</v>
      </c>
      <c r="U657" t="s">
        <v>13809</v>
      </c>
      <c r="W657" t="s">
        <v>13808</v>
      </c>
      <c r="X657" t="s">
        <v>23372</v>
      </c>
      <c r="Y657" t="s">
        <v>13808</v>
      </c>
      <c r="AA657" t="s">
        <v>13877</v>
      </c>
      <c r="AB657" t="s">
        <v>13910</v>
      </c>
      <c r="AC657" t="s">
        <v>13808</v>
      </c>
      <c r="AH657" t="s">
        <v>13909</v>
      </c>
      <c r="AI657" t="s">
        <v>13808</v>
      </c>
      <c r="AN657" t="s">
        <v>23373</v>
      </c>
      <c r="AO657" t="s">
        <v>13808</v>
      </c>
      <c r="AT657" t="s">
        <v>15833</v>
      </c>
      <c r="AU657" t="s">
        <v>13808</v>
      </c>
      <c r="AZ657" t="s">
        <v>14059</v>
      </c>
      <c r="BA657" t="s">
        <v>13808</v>
      </c>
      <c r="BF657" t="s">
        <v>23374</v>
      </c>
      <c r="BG657" t="s">
        <v>13808</v>
      </c>
      <c r="BM657" t="s">
        <v>13809</v>
      </c>
      <c r="BR657" t="s">
        <v>23375</v>
      </c>
      <c r="BS657" t="s">
        <v>13887</v>
      </c>
      <c r="BT657" t="s">
        <v>13808</v>
      </c>
      <c r="BU657" t="s">
        <v>14437</v>
      </c>
      <c r="BY657" t="s">
        <v>13887</v>
      </c>
      <c r="BZ657" t="s">
        <v>13808</v>
      </c>
      <c r="CA657" t="s">
        <v>14026</v>
      </c>
      <c r="CE657" t="s">
        <v>13887</v>
      </c>
      <c r="CF657" t="s">
        <v>13808</v>
      </c>
      <c r="CG657" t="s">
        <v>14173</v>
      </c>
      <c r="CL657" t="s">
        <v>13809</v>
      </c>
      <c r="CR657" t="s">
        <v>13809</v>
      </c>
      <c r="CT657" t="s">
        <v>23376</v>
      </c>
      <c r="CU657" t="s">
        <v>23377</v>
      </c>
      <c r="CV657" t="s">
        <v>13808</v>
      </c>
      <c r="DA657" t="s">
        <v>23378</v>
      </c>
      <c r="DB657" t="s">
        <v>13808</v>
      </c>
      <c r="DG657" t="s">
        <v>14490</v>
      </c>
      <c r="DH657" t="s">
        <v>13808</v>
      </c>
      <c r="DI657" t="s">
        <v>13893</v>
      </c>
      <c r="DJ657" t="s">
        <v>23379</v>
      </c>
      <c r="DK657" t="s">
        <v>13808</v>
      </c>
      <c r="DL657" t="s">
        <v>13895</v>
      </c>
      <c r="DM657" t="s">
        <v>23380</v>
      </c>
      <c r="DN657" t="s">
        <v>13897</v>
      </c>
      <c r="DP657" t="s">
        <v>23381</v>
      </c>
      <c r="DQ657" t="s">
        <v>13808</v>
      </c>
      <c r="DY657" t="s">
        <v>15828</v>
      </c>
      <c r="DZ657" t="s">
        <v>23382</v>
      </c>
      <c r="EA657" t="s">
        <v>16557</v>
      </c>
      <c r="ED657" t="s">
        <v>13903</v>
      </c>
      <c r="EE657" t="s">
        <v>8072</v>
      </c>
    </row>
    <row r="658" spans="1:135">
      <c r="A658" t="s">
        <v>4176</v>
      </c>
      <c r="B658" t="s">
        <v>4051</v>
      </c>
      <c r="C658" t="s">
        <v>23383</v>
      </c>
      <c r="D658" s="24">
        <v>42996</v>
      </c>
      <c r="E658" s="24" t="s">
        <v>13553</v>
      </c>
      <c r="F658" s="24" t="s">
        <v>23384</v>
      </c>
      <c r="G658" s="24" t="s">
        <v>13808</v>
      </c>
      <c r="H658" s="24"/>
      <c r="I658" s="24" t="s">
        <v>13809</v>
      </c>
      <c r="J658" s="24"/>
      <c r="K658" s="24" t="s">
        <v>13809</v>
      </c>
      <c r="L658" s="24"/>
      <c r="M658" s="24" t="s">
        <v>14185</v>
      </c>
      <c r="N658" s="24" t="s">
        <v>13808</v>
      </c>
      <c r="O658" s="24"/>
      <c r="P658" s="24" t="s">
        <v>13808</v>
      </c>
      <c r="Q658" s="24"/>
      <c r="R658" s="24" t="s">
        <v>13808</v>
      </c>
      <c r="S658" s="24"/>
      <c r="T658" t="s">
        <v>23385</v>
      </c>
      <c r="U658" t="s">
        <v>13809</v>
      </c>
      <c r="W658" t="s">
        <v>13808</v>
      </c>
      <c r="X658" t="s">
        <v>23386</v>
      </c>
      <c r="Y658" t="s">
        <v>13809</v>
      </c>
      <c r="AA658" t="s">
        <v>14865</v>
      </c>
      <c r="AB658" t="s">
        <v>14816</v>
      </c>
      <c r="AC658" t="s">
        <v>13808</v>
      </c>
      <c r="AH658" t="s">
        <v>13909</v>
      </c>
      <c r="AI658" t="s">
        <v>13808</v>
      </c>
      <c r="AN658" t="s">
        <v>23387</v>
      </c>
      <c r="AO658" t="s">
        <v>13808</v>
      </c>
      <c r="AT658" t="s">
        <v>23388</v>
      </c>
      <c r="AU658" t="s">
        <v>13808</v>
      </c>
      <c r="AZ658" t="s">
        <v>23389</v>
      </c>
      <c r="BA658" t="s">
        <v>13808</v>
      </c>
      <c r="BF658" t="s">
        <v>14730</v>
      </c>
      <c r="BG658" t="s">
        <v>13808</v>
      </c>
      <c r="BL658" t="s">
        <v>23390</v>
      </c>
      <c r="BM658" t="s">
        <v>13808</v>
      </c>
      <c r="BR658" t="s">
        <v>23391</v>
      </c>
      <c r="BT658" t="s">
        <v>13809</v>
      </c>
      <c r="BY658" t="s">
        <v>13887</v>
      </c>
      <c r="BZ658" t="s">
        <v>13808</v>
      </c>
      <c r="CA658" t="s">
        <v>15080</v>
      </c>
      <c r="CE658" t="s">
        <v>14693</v>
      </c>
      <c r="CF658" t="s">
        <v>13808</v>
      </c>
      <c r="CG658" t="s">
        <v>13863</v>
      </c>
      <c r="CL658" t="s">
        <v>13809</v>
      </c>
      <c r="CR658" t="s">
        <v>13809</v>
      </c>
      <c r="CT658" t="s">
        <v>23392</v>
      </c>
      <c r="CU658" t="s">
        <v>13909</v>
      </c>
      <c r="CV658" t="s">
        <v>13808</v>
      </c>
      <c r="DA658" t="s">
        <v>13909</v>
      </c>
      <c r="DB658" t="s">
        <v>13808</v>
      </c>
      <c r="DG658" t="s">
        <v>13909</v>
      </c>
      <c r="DH658" t="s">
        <v>13808</v>
      </c>
      <c r="DI658" t="s">
        <v>15016</v>
      </c>
      <c r="DJ658" t="s">
        <v>13909</v>
      </c>
      <c r="DK658" t="s">
        <v>13808</v>
      </c>
      <c r="DL658" t="s">
        <v>15017</v>
      </c>
      <c r="DZ658" t="s">
        <v>23393</v>
      </c>
      <c r="EA658" t="s">
        <v>23394</v>
      </c>
      <c r="EC658">
        <v>43480</v>
      </c>
      <c r="ED658" t="s">
        <v>13903</v>
      </c>
      <c r="EE658" t="s">
        <v>9054</v>
      </c>
    </row>
    <row r="659" spans="1:135">
      <c r="A659" t="s">
        <v>3362</v>
      </c>
      <c r="B659" t="s">
        <v>3161</v>
      </c>
      <c r="C659" t="s">
        <v>23395</v>
      </c>
      <c r="D659" s="24">
        <v>42968</v>
      </c>
      <c r="E659" s="24" t="s">
        <v>13553</v>
      </c>
      <c r="F659" s="24" t="s">
        <v>23396</v>
      </c>
      <c r="G659" s="24" t="s">
        <v>13808</v>
      </c>
      <c r="H659" s="24"/>
      <c r="I659" s="24" t="s">
        <v>13809</v>
      </c>
      <c r="J659" s="24"/>
      <c r="K659" s="24" t="s">
        <v>13808</v>
      </c>
      <c r="L659" s="24"/>
      <c r="M659" s="24" t="s">
        <v>15494</v>
      </c>
      <c r="N659" s="24" t="s">
        <v>13808</v>
      </c>
      <c r="O659" s="24"/>
      <c r="P659" s="24" t="s">
        <v>13808</v>
      </c>
      <c r="Q659" s="24"/>
      <c r="R659" s="24" t="s">
        <v>13808</v>
      </c>
      <c r="S659" s="24"/>
      <c r="T659" t="s">
        <v>23397</v>
      </c>
      <c r="U659" t="s">
        <v>13809</v>
      </c>
      <c r="W659" t="s">
        <v>13808</v>
      </c>
      <c r="X659" t="s">
        <v>23398</v>
      </c>
      <c r="Y659" t="s">
        <v>13809</v>
      </c>
      <c r="AA659" t="s">
        <v>14188</v>
      </c>
      <c r="AB659" t="s">
        <v>23399</v>
      </c>
      <c r="AC659" t="s">
        <v>13808</v>
      </c>
      <c r="AH659" t="s">
        <v>13909</v>
      </c>
      <c r="AI659" t="s">
        <v>13808</v>
      </c>
      <c r="AN659" t="s">
        <v>23400</v>
      </c>
      <c r="AO659" t="s">
        <v>13808</v>
      </c>
      <c r="AT659" t="s">
        <v>23401</v>
      </c>
      <c r="AU659" t="s">
        <v>13808</v>
      </c>
      <c r="AZ659" t="s">
        <v>23402</v>
      </c>
      <c r="BA659" t="s">
        <v>13808</v>
      </c>
      <c r="BF659" t="s">
        <v>23403</v>
      </c>
      <c r="BG659" t="s">
        <v>13808</v>
      </c>
      <c r="BL659" t="s">
        <v>23404</v>
      </c>
      <c r="BM659" t="s">
        <v>13808</v>
      </c>
      <c r="BR659" t="s">
        <v>23405</v>
      </c>
      <c r="BS659" t="s">
        <v>19993</v>
      </c>
      <c r="BT659" t="s">
        <v>13808</v>
      </c>
      <c r="BU659" t="s">
        <v>23406</v>
      </c>
      <c r="BY659" t="s">
        <v>23407</v>
      </c>
      <c r="BZ659" t="s">
        <v>13808</v>
      </c>
      <c r="CA659" t="s">
        <v>13937</v>
      </c>
      <c r="CF659" t="s">
        <v>13809</v>
      </c>
      <c r="CK659" t="s">
        <v>23408</v>
      </c>
      <c r="CL659" t="s">
        <v>13808</v>
      </c>
      <c r="CR659" t="s">
        <v>13809</v>
      </c>
      <c r="CT659" t="s">
        <v>23409</v>
      </c>
      <c r="CU659" t="s">
        <v>23410</v>
      </c>
      <c r="CV659" t="s">
        <v>13808</v>
      </c>
      <c r="DA659" t="s">
        <v>23410</v>
      </c>
      <c r="DB659" t="s">
        <v>13808</v>
      </c>
      <c r="DH659" t="s">
        <v>13809</v>
      </c>
      <c r="DM659" t="s">
        <v>23410</v>
      </c>
      <c r="DN659" t="s">
        <v>13808</v>
      </c>
      <c r="DZ659" t="s">
        <v>23393</v>
      </c>
      <c r="EA659" t="s">
        <v>23411</v>
      </c>
      <c r="EC659">
        <v>43480</v>
      </c>
      <c r="ED659" t="s">
        <v>13903</v>
      </c>
      <c r="EE659" t="s">
        <v>8076</v>
      </c>
    </row>
    <row r="660" spans="1:135">
      <c r="A660" t="s">
        <v>4181</v>
      </c>
      <c r="B660" t="s">
        <v>4051</v>
      </c>
      <c r="C660" t="s">
        <v>23412</v>
      </c>
      <c r="D660" s="24">
        <v>42961</v>
      </c>
      <c r="E660" s="24" t="s">
        <v>13557</v>
      </c>
      <c r="F660" s="24" t="s">
        <v>23413</v>
      </c>
      <c r="G660" s="24" t="s">
        <v>13808</v>
      </c>
      <c r="H660" s="24"/>
      <c r="I660" s="24" t="s">
        <v>13809</v>
      </c>
      <c r="J660" s="24"/>
      <c r="K660" s="24" t="s">
        <v>13809</v>
      </c>
      <c r="L660" s="24"/>
      <c r="M660" s="24" t="s">
        <v>23414</v>
      </c>
      <c r="N660" s="24" t="s">
        <v>13808</v>
      </c>
      <c r="O660" s="24"/>
      <c r="P660" s="24" t="s">
        <v>13808</v>
      </c>
      <c r="Q660" s="24"/>
      <c r="R660" s="24" t="s">
        <v>13808</v>
      </c>
      <c r="S660" s="24"/>
      <c r="T660" t="s">
        <v>23415</v>
      </c>
      <c r="U660" t="s">
        <v>13809</v>
      </c>
      <c r="W660" t="s">
        <v>13808</v>
      </c>
      <c r="X660" t="s">
        <v>23416</v>
      </c>
      <c r="Y660" t="s">
        <v>13809</v>
      </c>
      <c r="AA660" t="s">
        <v>13928</v>
      </c>
      <c r="AB660" t="s">
        <v>14732</v>
      </c>
      <c r="AC660" t="s">
        <v>13808</v>
      </c>
      <c r="AH660" t="s">
        <v>13909</v>
      </c>
      <c r="AI660" t="s">
        <v>13808</v>
      </c>
      <c r="AO660" t="s">
        <v>13809</v>
      </c>
      <c r="AU660" t="s">
        <v>13809</v>
      </c>
      <c r="AZ660" t="s">
        <v>15973</v>
      </c>
      <c r="BA660" t="s">
        <v>13808</v>
      </c>
      <c r="BF660" t="s">
        <v>13882</v>
      </c>
      <c r="BG660" t="s">
        <v>13808</v>
      </c>
      <c r="BL660" t="s">
        <v>23417</v>
      </c>
      <c r="BM660" t="s">
        <v>13808</v>
      </c>
      <c r="BR660" t="s">
        <v>23418</v>
      </c>
      <c r="BT660" t="s">
        <v>13809</v>
      </c>
      <c r="BY660" t="s">
        <v>13887</v>
      </c>
      <c r="BZ660" t="s">
        <v>13808</v>
      </c>
      <c r="CA660" t="s">
        <v>13937</v>
      </c>
      <c r="CF660" t="s">
        <v>13809</v>
      </c>
      <c r="CL660" t="s">
        <v>13809</v>
      </c>
      <c r="CR660" t="s">
        <v>13809</v>
      </c>
      <c r="CT660" t="s">
        <v>23419</v>
      </c>
      <c r="CV660" t="s">
        <v>13809</v>
      </c>
      <c r="DA660" t="s">
        <v>23420</v>
      </c>
      <c r="DB660" t="s">
        <v>13808</v>
      </c>
      <c r="DD660" t="s">
        <v>23421</v>
      </c>
      <c r="DE660" t="s">
        <v>13818</v>
      </c>
      <c r="DG660" t="s">
        <v>19073</v>
      </c>
      <c r="DH660" t="s">
        <v>13808</v>
      </c>
      <c r="DM660" t="s">
        <v>16024</v>
      </c>
      <c r="DN660" t="s">
        <v>13808</v>
      </c>
      <c r="DZ660" t="s">
        <v>15812</v>
      </c>
      <c r="EA660" t="s">
        <v>14201</v>
      </c>
      <c r="EC660">
        <v>43480</v>
      </c>
      <c r="ED660" t="s">
        <v>13903</v>
      </c>
      <c r="EE660" t="s">
        <v>9058</v>
      </c>
    </row>
    <row r="661" spans="1:135">
      <c r="A661" t="s">
        <v>3373</v>
      </c>
      <c r="B661" t="s">
        <v>3161</v>
      </c>
      <c r="C661" t="s">
        <v>23422</v>
      </c>
      <c r="D661" s="24">
        <v>43700</v>
      </c>
      <c r="E661" s="24" t="s">
        <v>13553</v>
      </c>
      <c r="F661" s="24" t="s">
        <v>23423</v>
      </c>
      <c r="G661" s="24" t="s">
        <v>13808</v>
      </c>
      <c r="H661" s="24"/>
      <c r="I661" s="24" t="s">
        <v>13809</v>
      </c>
      <c r="J661" s="24"/>
      <c r="K661" s="24" t="s">
        <v>13809</v>
      </c>
      <c r="L661" s="24"/>
      <c r="M661" s="24" t="s">
        <v>14163</v>
      </c>
      <c r="N661" s="24" t="s">
        <v>13808</v>
      </c>
      <c r="O661" s="24"/>
      <c r="P661" s="24" t="s">
        <v>13808</v>
      </c>
      <c r="Q661" s="24"/>
      <c r="R661" s="24" t="s">
        <v>13808</v>
      </c>
      <c r="S661" s="24"/>
      <c r="T661" t="s">
        <v>14016</v>
      </c>
      <c r="U661" t="s">
        <v>13809</v>
      </c>
      <c r="W661" t="s">
        <v>13808</v>
      </c>
      <c r="X661" t="s">
        <v>23424</v>
      </c>
      <c r="Y661" t="s">
        <v>13809</v>
      </c>
      <c r="AA661" t="s">
        <v>13877</v>
      </c>
      <c r="AB661" t="s">
        <v>23425</v>
      </c>
      <c r="AC661" t="s">
        <v>13808</v>
      </c>
      <c r="AH661" t="s">
        <v>13909</v>
      </c>
      <c r="AI661" t="s">
        <v>13808</v>
      </c>
      <c r="AN661" t="s">
        <v>23426</v>
      </c>
      <c r="AO661" t="s">
        <v>13808</v>
      </c>
      <c r="AT661" t="s">
        <v>23427</v>
      </c>
      <c r="AU661" t="s">
        <v>13808</v>
      </c>
      <c r="AZ661" t="s">
        <v>23428</v>
      </c>
      <c r="BA661" t="s">
        <v>13808</v>
      </c>
      <c r="BF661" t="s">
        <v>14369</v>
      </c>
      <c r="BG661" t="s">
        <v>13808</v>
      </c>
      <c r="BL661" t="s">
        <v>23429</v>
      </c>
      <c r="BM661" t="s">
        <v>13808</v>
      </c>
      <c r="BR661" t="s">
        <v>23430</v>
      </c>
      <c r="BT661" t="s">
        <v>13809</v>
      </c>
      <c r="BY661" t="s">
        <v>13887</v>
      </c>
      <c r="BZ661" t="s">
        <v>13808</v>
      </c>
      <c r="CA661" t="s">
        <v>14026</v>
      </c>
      <c r="CE661" t="s">
        <v>23421</v>
      </c>
      <c r="CF661" t="s">
        <v>13808</v>
      </c>
      <c r="CG661" t="s">
        <v>14173</v>
      </c>
      <c r="CK661" t="s">
        <v>23431</v>
      </c>
      <c r="CL661" t="s">
        <v>13808</v>
      </c>
      <c r="CM661" t="s">
        <v>14173</v>
      </c>
      <c r="CR661" t="s">
        <v>13809</v>
      </c>
      <c r="CT661" t="s">
        <v>23432</v>
      </c>
      <c r="CU661" t="s">
        <v>23433</v>
      </c>
      <c r="CV661" t="s">
        <v>13808</v>
      </c>
      <c r="DA661" t="s">
        <v>23434</v>
      </c>
      <c r="DB661" t="s">
        <v>13808</v>
      </c>
      <c r="DH661" t="s">
        <v>13809</v>
      </c>
      <c r="DM661" t="s">
        <v>23435</v>
      </c>
      <c r="DN661" t="s">
        <v>13897</v>
      </c>
      <c r="DY661" t="s">
        <v>15828</v>
      </c>
      <c r="DZ661" t="s">
        <v>23436</v>
      </c>
      <c r="EA661" t="s">
        <v>16557</v>
      </c>
      <c r="ED661" t="s">
        <v>13903</v>
      </c>
      <c r="EE661" t="s">
        <v>8084</v>
      </c>
    </row>
    <row r="662" spans="1:135">
      <c r="A662" t="s">
        <v>8594</v>
      </c>
      <c r="B662" t="s">
        <v>3619</v>
      </c>
      <c r="C662" t="s">
        <v>23437</v>
      </c>
      <c r="D662" s="24">
        <v>44680</v>
      </c>
      <c r="E662" s="24" t="s">
        <v>13555</v>
      </c>
      <c r="F662" s="24" t="s">
        <v>23438</v>
      </c>
      <c r="G662" s="24" t="s">
        <v>13808</v>
      </c>
      <c r="H662" s="24"/>
      <c r="I662" s="24" t="s">
        <v>13809</v>
      </c>
      <c r="J662" s="24"/>
      <c r="K662" s="24" t="s">
        <v>13809</v>
      </c>
      <c r="L662" s="24"/>
      <c r="M662" s="24" t="s">
        <v>23439</v>
      </c>
      <c r="N662" s="24" t="s">
        <v>13808</v>
      </c>
      <c r="O662" s="24"/>
      <c r="P662" s="24" t="s">
        <v>13808</v>
      </c>
      <c r="Q662" s="24"/>
      <c r="R662" s="24" t="s">
        <v>13808</v>
      </c>
      <c r="S662" s="24"/>
      <c r="T662" t="s">
        <v>19402</v>
      </c>
      <c r="U662" t="s">
        <v>13809</v>
      </c>
      <c r="W662" t="s">
        <v>13809</v>
      </c>
      <c r="Y662" t="s">
        <v>13809</v>
      </c>
      <c r="AA662" t="s">
        <v>23440</v>
      </c>
      <c r="AB662" t="s">
        <v>13699</v>
      </c>
      <c r="AC662" t="s">
        <v>13809</v>
      </c>
      <c r="AH662" t="s">
        <v>14073</v>
      </c>
      <c r="AI662" t="s">
        <v>13808</v>
      </c>
      <c r="AN662" t="s">
        <v>19519</v>
      </c>
      <c r="AO662" t="s">
        <v>13809</v>
      </c>
      <c r="AT662" t="s">
        <v>13717</v>
      </c>
      <c r="AU662" t="s">
        <v>13809</v>
      </c>
      <c r="AZ662" t="s">
        <v>23441</v>
      </c>
      <c r="BA662" t="s">
        <v>13808</v>
      </c>
      <c r="BF662" t="s">
        <v>17058</v>
      </c>
      <c r="BG662" t="s">
        <v>13809</v>
      </c>
      <c r="BL662" t="s">
        <v>13735</v>
      </c>
      <c r="BM662" t="s">
        <v>13809</v>
      </c>
      <c r="BR662" t="s">
        <v>23442</v>
      </c>
      <c r="BY662" t="s">
        <v>13860</v>
      </c>
      <c r="BZ662" t="s">
        <v>13808</v>
      </c>
      <c r="CA662" t="s">
        <v>23443</v>
      </c>
      <c r="CE662" t="s">
        <v>13828</v>
      </c>
      <c r="CF662" t="s">
        <v>13808</v>
      </c>
      <c r="CG662" t="s">
        <v>23444</v>
      </c>
      <c r="CK662" t="s">
        <v>17486</v>
      </c>
      <c r="CL662" t="s">
        <v>13808</v>
      </c>
      <c r="CM662" t="s">
        <v>23444</v>
      </c>
      <c r="CQ662" t="s">
        <v>13766</v>
      </c>
      <c r="CR662" t="s">
        <v>13809</v>
      </c>
      <c r="CT662" t="s">
        <v>14959</v>
      </c>
      <c r="CU662" t="s">
        <v>14960</v>
      </c>
      <c r="CV662" t="s">
        <v>13808</v>
      </c>
      <c r="DA662" t="s">
        <v>23445</v>
      </c>
      <c r="DB662" t="s">
        <v>13808</v>
      </c>
      <c r="DG662" t="s">
        <v>23446</v>
      </c>
      <c r="DH662" t="s">
        <v>13808</v>
      </c>
      <c r="DM662" t="s">
        <v>23447</v>
      </c>
      <c r="DN662" t="s">
        <v>13808</v>
      </c>
      <c r="DY662" t="s">
        <v>14606</v>
      </c>
      <c r="DZ662" t="s">
        <v>13841</v>
      </c>
      <c r="EA662" t="s">
        <v>14182</v>
      </c>
      <c r="EC662">
        <v>44685</v>
      </c>
      <c r="ED662" t="s">
        <v>14298</v>
      </c>
      <c r="EE662" t="s">
        <v>8596</v>
      </c>
    </row>
    <row r="663" spans="1:135">
      <c r="A663" t="s">
        <v>3934</v>
      </c>
      <c r="B663" t="s">
        <v>3808</v>
      </c>
      <c r="C663" t="s">
        <v>23448</v>
      </c>
      <c r="D663" s="24">
        <v>42989</v>
      </c>
      <c r="E663" s="24" t="s">
        <v>13553</v>
      </c>
      <c r="F663" s="24" t="s">
        <v>23449</v>
      </c>
      <c r="G663" s="24" t="s">
        <v>13808</v>
      </c>
      <c r="H663" s="24"/>
      <c r="I663" s="24" t="s">
        <v>13809</v>
      </c>
      <c r="J663" s="24"/>
      <c r="K663" s="24" t="s">
        <v>13809</v>
      </c>
      <c r="L663" s="24"/>
      <c r="M663" s="24" t="s">
        <v>23450</v>
      </c>
      <c r="N663" s="24" t="s">
        <v>13808</v>
      </c>
      <c r="O663" s="24"/>
      <c r="P663" s="24" t="s">
        <v>13808</v>
      </c>
      <c r="Q663" s="24"/>
      <c r="R663" s="24" t="s">
        <v>13808</v>
      </c>
      <c r="S663" s="24"/>
      <c r="T663" t="s">
        <v>23451</v>
      </c>
      <c r="U663" t="s">
        <v>13809</v>
      </c>
      <c r="W663" t="s">
        <v>13808</v>
      </c>
      <c r="X663" t="s">
        <v>23452</v>
      </c>
      <c r="Y663" t="s">
        <v>13809</v>
      </c>
      <c r="AA663" t="s">
        <v>14188</v>
      </c>
      <c r="AC663" t="s">
        <v>13809</v>
      </c>
      <c r="AH663" t="s">
        <v>13909</v>
      </c>
      <c r="AI663" t="s">
        <v>13808</v>
      </c>
      <c r="AN663" t="s">
        <v>23453</v>
      </c>
      <c r="AO663" t="s">
        <v>13808</v>
      </c>
      <c r="AT663" t="s">
        <v>23388</v>
      </c>
      <c r="AU663" t="s">
        <v>13808</v>
      </c>
      <c r="AZ663" t="s">
        <v>14433</v>
      </c>
      <c r="BA663" t="s">
        <v>13808</v>
      </c>
      <c r="BG663" t="s">
        <v>13809</v>
      </c>
      <c r="BL663" t="s">
        <v>23454</v>
      </c>
      <c r="BM663" t="s">
        <v>13808</v>
      </c>
      <c r="BR663" t="s">
        <v>23455</v>
      </c>
      <c r="BT663" t="s">
        <v>13809</v>
      </c>
      <c r="BY663" t="s">
        <v>13887</v>
      </c>
      <c r="BZ663" t="s">
        <v>13808</v>
      </c>
      <c r="CA663" t="s">
        <v>13937</v>
      </c>
      <c r="CE663" t="s">
        <v>13887</v>
      </c>
      <c r="CF663" t="s">
        <v>13808</v>
      </c>
      <c r="CL663" t="s">
        <v>13809</v>
      </c>
      <c r="CR663" t="s">
        <v>13809</v>
      </c>
      <c r="CT663" t="s">
        <v>23409</v>
      </c>
      <c r="CU663" t="s">
        <v>13885</v>
      </c>
      <c r="CV663" t="s">
        <v>13808</v>
      </c>
      <c r="DA663" t="s">
        <v>13885</v>
      </c>
      <c r="DB663" t="s">
        <v>13808</v>
      </c>
      <c r="DH663" t="s">
        <v>13809</v>
      </c>
      <c r="DM663" t="s">
        <v>13885</v>
      </c>
      <c r="DN663" t="s">
        <v>13808</v>
      </c>
      <c r="DZ663" t="s">
        <v>23393</v>
      </c>
      <c r="EA663" t="s">
        <v>16850</v>
      </c>
      <c r="EC663">
        <v>43480</v>
      </c>
      <c r="ED663" t="s">
        <v>13903</v>
      </c>
      <c r="EE663" t="s">
        <v>8749</v>
      </c>
    </row>
    <row r="664" spans="1:135">
      <c r="A664" t="s">
        <v>4186</v>
      </c>
      <c r="B664" t="s">
        <v>4051</v>
      </c>
      <c r="C664" t="s">
        <v>23456</v>
      </c>
      <c r="D664" s="24">
        <v>42989</v>
      </c>
      <c r="E664" s="24" t="s">
        <v>13553</v>
      </c>
      <c r="F664" s="24" t="s">
        <v>23457</v>
      </c>
      <c r="G664" s="24" t="s">
        <v>13808</v>
      </c>
      <c r="H664" s="24"/>
      <c r="I664" s="24" t="s">
        <v>13809</v>
      </c>
      <c r="J664" s="24"/>
      <c r="K664" s="24" t="s">
        <v>13809</v>
      </c>
      <c r="L664" s="24"/>
      <c r="M664" s="24" t="s">
        <v>23458</v>
      </c>
      <c r="N664" s="24" t="s">
        <v>13808</v>
      </c>
      <c r="O664" s="24"/>
      <c r="P664" s="24" t="s">
        <v>13808</v>
      </c>
      <c r="Q664" s="24"/>
      <c r="R664" s="24" t="s">
        <v>13808</v>
      </c>
      <c r="S664" s="24"/>
      <c r="T664" t="s">
        <v>23459</v>
      </c>
      <c r="U664" t="s">
        <v>13809</v>
      </c>
      <c r="W664" t="s">
        <v>13808</v>
      </c>
      <c r="X664" t="s">
        <v>23460</v>
      </c>
      <c r="Y664" t="s">
        <v>13809</v>
      </c>
      <c r="AA664" t="s">
        <v>23461</v>
      </c>
      <c r="AB664" t="s">
        <v>16326</v>
      </c>
      <c r="AC664" t="s">
        <v>13808</v>
      </c>
      <c r="AH664" t="s">
        <v>13909</v>
      </c>
      <c r="AI664" t="s">
        <v>13808</v>
      </c>
      <c r="AO664" t="s">
        <v>13809</v>
      </c>
      <c r="AT664" t="s">
        <v>13880</v>
      </c>
      <c r="AU664" t="s">
        <v>13808</v>
      </c>
      <c r="AZ664" t="s">
        <v>14730</v>
      </c>
      <c r="BA664" t="s">
        <v>13808</v>
      </c>
      <c r="BF664" t="s">
        <v>14189</v>
      </c>
      <c r="BG664" t="s">
        <v>13808</v>
      </c>
      <c r="BL664" t="s">
        <v>23462</v>
      </c>
      <c r="BM664" t="s">
        <v>13808</v>
      </c>
      <c r="BR664" t="s">
        <v>23463</v>
      </c>
      <c r="BT664" t="s">
        <v>13809</v>
      </c>
      <c r="BY664" t="s">
        <v>13887</v>
      </c>
      <c r="BZ664" t="s">
        <v>13808</v>
      </c>
      <c r="CA664" t="s">
        <v>17109</v>
      </c>
      <c r="CF664" t="s">
        <v>13809</v>
      </c>
      <c r="CL664" t="s">
        <v>13809</v>
      </c>
      <c r="CR664" t="s">
        <v>13809</v>
      </c>
      <c r="CT664" t="s">
        <v>23464</v>
      </c>
      <c r="CU664" t="s">
        <v>13909</v>
      </c>
      <c r="CV664" t="s">
        <v>13808</v>
      </c>
      <c r="DA664" t="s">
        <v>13909</v>
      </c>
      <c r="DB664" t="s">
        <v>13808</v>
      </c>
      <c r="DG664" t="s">
        <v>13909</v>
      </c>
      <c r="DH664" t="s">
        <v>13808</v>
      </c>
      <c r="DZ664" t="s">
        <v>23465</v>
      </c>
      <c r="EA664" t="s">
        <v>16850</v>
      </c>
      <c r="ED664" t="s">
        <v>13903</v>
      </c>
      <c r="EE664" t="s">
        <v>9062</v>
      </c>
    </row>
    <row r="665" spans="1:135">
      <c r="A665" t="s">
        <v>8399</v>
      </c>
      <c r="B665" t="s">
        <v>3506</v>
      </c>
      <c r="C665" t="s">
        <v>23466</v>
      </c>
      <c r="D665" s="24">
        <v>44547</v>
      </c>
      <c r="E665" s="24" t="s">
        <v>13558</v>
      </c>
      <c r="F665" s="24" t="s">
        <v>23467</v>
      </c>
      <c r="G665" s="24" t="s">
        <v>13808</v>
      </c>
      <c r="H665" s="24"/>
      <c r="I665" s="24" t="s">
        <v>13809</v>
      </c>
      <c r="J665" s="24"/>
      <c r="K665" s="24" t="s">
        <v>13809</v>
      </c>
      <c r="L665" s="24"/>
      <c r="M665" s="24" t="s">
        <v>15021</v>
      </c>
      <c r="N665" s="24" t="s">
        <v>13808</v>
      </c>
      <c r="O665" s="24"/>
      <c r="P665" s="24" t="s">
        <v>13808</v>
      </c>
      <c r="Q665" s="24"/>
      <c r="R665" s="24" t="s">
        <v>13808</v>
      </c>
      <c r="S665" s="24"/>
      <c r="T665" t="s">
        <v>14450</v>
      </c>
      <c r="U665" t="s">
        <v>13809</v>
      </c>
      <c r="W665" t="s">
        <v>13809</v>
      </c>
      <c r="Y665" t="s">
        <v>13809</v>
      </c>
      <c r="AA665" t="s">
        <v>23468</v>
      </c>
      <c r="AC665" t="s">
        <v>13809</v>
      </c>
      <c r="AH665" t="s">
        <v>13887</v>
      </c>
      <c r="AI665" t="s">
        <v>13808</v>
      </c>
      <c r="AO665" t="s">
        <v>13809</v>
      </c>
      <c r="AU665" t="s">
        <v>13809</v>
      </c>
      <c r="AZ665" t="s">
        <v>13887</v>
      </c>
      <c r="BA665" t="s">
        <v>13808</v>
      </c>
      <c r="BF665" t="s">
        <v>14265</v>
      </c>
      <c r="BG665" t="s">
        <v>13818</v>
      </c>
      <c r="BH665" t="s">
        <v>14309</v>
      </c>
      <c r="BM665" t="s">
        <v>13809</v>
      </c>
      <c r="BR665" t="s">
        <v>23469</v>
      </c>
      <c r="BT665" t="s">
        <v>13809</v>
      </c>
      <c r="BY665" t="s">
        <v>14265</v>
      </c>
      <c r="BZ665" t="s">
        <v>13818</v>
      </c>
      <c r="CA665" t="s">
        <v>13937</v>
      </c>
      <c r="CF665" t="s">
        <v>13809</v>
      </c>
      <c r="CK665" t="s">
        <v>14062</v>
      </c>
      <c r="CL665" t="s">
        <v>13818</v>
      </c>
      <c r="CM665" t="s">
        <v>14309</v>
      </c>
      <c r="CR665" t="s">
        <v>13809</v>
      </c>
      <c r="CT665" t="s">
        <v>14459</v>
      </c>
      <c r="CU665" t="s">
        <v>13909</v>
      </c>
      <c r="CV665" t="s">
        <v>13818</v>
      </c>
      <c r="DA665" t="s">
        <v>13909</v>
      </c>
      <c r="DB665" t="s">
        <v>13818</v>
      </c>
      <c r="DG665" t="s">
        <v>13909</v>
      </c>
      <c r="DH665" t="s">
        <v>13818</v>
      </c>
      <c r="DY665" t="s">
        <v>13900</v>
      </c>
      <c r="DZ665" t="s">
        <v>13970</v>
      </c>
      <c r="EA665" t="s">
        <v>13842</v>
      </c>
      <c r="ED665" t="s">
        <v>14276</v>
      </c>
      <c r="EE665" t="s">
        <v>8401</v>
      </c>
    </row>
    <row r="666" spans="1:135">
      <c r="A666" t="s">
        <v>3597</v>
      </c>
      <c r="B666" t="s">
        <v>3506</v>
      </c>
      <c r="C666" t="s">
        <v>23470</v>
      </c>
      <c r="D666" s="24">
        <v>42986</v>
      </c>
      <c r="E666" s="24" t="s">
        <v>13558</v>
      </c>
      <c r="F666" s="24" t="s">
        <v>23471</v>
      </c>
      <c r="G666" s="24" t="s">
        <v>13808</v>
      </c>
      <c r="H666" s="24"/>
      <c r="I666" s="24" t="s">
        <v>13809</v>
      </c>
      <c r="J666" s="24"/>
      <c r="K666" s="24" t="s">
        <v>13808</v>
      </c>
      <c r="L666" s="24"/>
      <c r="M666" s="24" t="s">
        <v>15163</v>
      </c>
      <c r="N666" s="24" t="s">
        <v>13808</v>
      </c>
      <c r="O666" s="24"/>
      <c r="P666" s="24" t="s">
        <v>13808</v>
      </c>
      <c r="Q666" s="24"/>
      <c r="R666" s="24" t="s">
        <v>13808</v>
      </c>
      <c r="S666" s="24"/>
      <c r="T666" t="s">
        <v>23451</v>
      </c>
      <c r="U666" t="s">
        <v>13809</v>
      </c>
      <c r="W666" t="s">
        <v>13808</v>
      </c>
      <c r="X666" t="s">
        <v>23472</v>
      </c>
      <c r="Y666" t="s">
        <v>13809</v>
      </c>
      <c r="AA666" t="s">
        <v>14594</v>
      </c>
      <c r="AB666" t="s">
        <v>14544</v>
      </c>
      <c r="AC666" t="s">
        <v>13808</v>
      </c>
      <c r="AH666" t="s">
        <v>13909</v>
      </c>
      <c r="AI666" t="s">
        <v>13808</v>
      </c>
      <c r="AN666" t="s">
        <v>13883</v>
      </c>
      <c r="AO666" t="s">
        <v>13808</v>
      </c>
      <c r="AU666" t="s">
        <v>13809</v>
      </c>
      <c r="AZ666" t="s">
        <v>13892</v>
      </c>
      <c r="BA666" t="s">
        <v>13808</v>
      </c>
      <c r="BF666" t="s">
        <v>23473</v>
      </c>
      <c r="BG666" t="s">
        <v>13808</v>
      </c>
      <c r="BM666" t="s">
        <v>13809</v>
      </c>
      <c r="BR666" t="s">
        <v>23474</v>
      </c>
      <c r="BS666" t="s">
        <v>13887</v>
      </c>
      <c r="BT666" t="s">
        <v>13808</v>
      </c>
      <c r="BU666" t="s">
        <v>15484</v>
      </c>
      <c r="BY666" t="s">
        <v>13887</v>
      </c>
      <c r="BZ666" t="s">
        <v>13808</v>
      </c>
      <c r="CA666" t="s">
        <v>13937</v>
      </c>
      <c r="CE666" t="s">
        <v>13887</v>
      </c>
      <c r="CF666" t="s">
        <v>13808</v>
      </c>
      <c r="CL666" t="s">
        <v>13809</v>
      </c>
      <c r="CR666" t="s">
        <v>13809</v>
      </c>
      <c r="CT666" t="s">
        <v>23475</v>
      </c>
      <c r="CU666" t="s">
        <v>13909</v>
      </c>
      <c r="CV666" t="s">
        <v>13818</v>
      </c>
      <c r="DA666" t="s">
        <v>13909</v>
      </c>
      <c r="DB666" t="s">
        <v>13818</v>
      </c>
      <c r="DG666" t="s">
        <v>13909</v>
      </c>
      <c r="DH666" t="s">
        <v>13818</v>
      </c>
      <c r="DM666" t="s">
        <v>13885</v>
      </c>
      <c r="DN666" t="s">
        <v>13808</v>
      </c>
      <c r="DZ666" t="s">
        <v>23476</v>
      </c>
      <c r="EA666" t="s">
        <v>19185</v>
      </c>
      <c r="EC666">
        <v>43480</v>
      </c>
      <c r="ED666" t="s">
        <v>13903</v>
      </c>
      <c r="EE666" t="s">
        <v>8403</v>
      </c>
    </row>
    <row r="667" spans="1:135">
      <c r="A667" t="s">
        <v>8889</v>
      </c>
      <c r="B667" t="s">
        <v>3939</v>
      </c>
      <c r="C667" t="s">
        <v>23477</v>
      </c>
      <c r="D667" s="24">
        <v>44027</v>
      </c>
      <c r="E667" s="24" t="s">
        <v>13555</v>
      </c>
      <c r="F667" s="24" t="s">
        <v>23478</v>
      </c>
      <c r="G667" s="24" t="s">
        <v>13808</v>
      </c>
      <c r="H667" s="24"/>
      <c r="I667" s="24" t="s">
        <v>13809</v>
      </c>
      <c r="J667" s="24"/>
      <c r="K667" s="24" t="s">
        <v>13809</v>
      </c>
      <c r="L667" s="24"/>
      <c r="M667" s="24" t="s">
        <v>14304</v>
      </c>
      <c r="N667" s="24" t="s">
        <v>13808</v>
      </c>
      <c r="O667" s="24"/>
      <c r="P667" s="24" t="s">
        <v>13808</v>
      </c>
      <c r="Q667" s="24"/>
      <c r="R667" s="24" t="s">
        <v>13808</v>
      </c>
      <c r="S667" s="24"/>
      <c r="T667" t="s">
        <v>23479</v>
      </c>
      <c r="U667" t="s">
        <v>13809</v>
      </c>
      <c r="W667" t="s">
        <v>13809</v>
      </c>
      <c r="Y667" t="s">
        <v>13809</v>
      </c>
      <c r="AA667" t="s">
        <v>23480</v>
      </c>
      <c r="AC667" t="s">
        <v>13809</v>
      </c>
      <c r="AD667" t="s">
        <v>23481</v>
      </c>
      <c r="AH667" t="s">
        <v>13887</v>
      </c>
      <c r="AI667" t="s">
        <v>13808</v>
      </c>
      <c r="AO667" t="s">
        <v>13809</v>
      </c>
      <c r="AP667" t="s">
        <v>23481</v>
      </c>
      <c r="AU667" t="s">
        <v>13809</v>
      </c>
      <c r="AV667" t="s">
        <v>23481</v>
      </c>
      <c r="AZ667" t="s">
        <v>23482</v>
      </c>
      <c r="BA667" t="s">
        <v>13808</v>
      </c>
      <c r="BF667" t="s">
        <v>23483</v>
      </c>
      <c r="BG667" t="s">
        <v>13808</v>
      </c>
      <c r="BM667" t="s">
        <v>13809</v>
      </c>
      <c r="BR667" t="s">
        <v>23484</v>
      </c>
      <c r="BT667" t="s">
        <v>13809</v>
      </c>
      <c r="BU667" t="s">
        <v>23481</v>
      </c>
      <c r="BZ667" t="s">
        <v>13809</v>
      </c>
      <c r="CA667" t="s">
        <v>23481</v>
      </c>
      <c r="CF667" t="s">
        <v>13809</v>
      </c>
      <c r="CG667" t="s">
        <v>23481</v>
      </c>
      <c r="CL667" t="s">
        <v>13809</v>
      </c>
      <c r="CR667" t="s">
        <v>13809</v>
      </c>
      <c r="CT667" t="s">
        <v>15599</v>
      </c>
      <c r="CU667" t="s">
        <v>13887</v>
      </c>
      <c r="CV667" t="s">
        <v>13808</v>
      </c>
      <c r="DA667" t="s">
        <v>13887</v>
      </c>
      <c r="DB667" t="s">
        <v>13808</v>
      </c>
      <c r="DM667" t="s">
        <v>13887</v>
      </c>
      <c r="DN667" t="s">
        <v>13818</v>
      </c>
      <c r="DY667" t="s">
        <v>13840</v>
      </c>
      <c r="DZ667" t="s">
        <v>13841</v>
      </c>
      <c r="EA667" t="s">
        <v>13842</v>
      </c>
      <c r="ED667" t="s">
        <v>13903</v>
      </c>
      <c r="EE667" t="s">
        <v>8891</v>
      </c>
    </row>
    <row r="668" spans="1:135">
      <c r="A668" t="s">
        <v>3386</v>
      </c>
      <c r="B668" t="s">
        <v>3161</v>
      </c>
      <c r="C668" t="s">
        <v>23485</v>
      </c>
      <c r="D668" s="24">
        <v>44028</v>
      </c>
      <c r="E668" s="24" t="s">
        <v>13555</v>
      </c>
      <c r="F668" s="24" t="s">
        <v>23486</v>
      </c>
      <c r="G668" s="24" t="s">
        <v>13808</v>
      </c>
      <c r="H668" s="24"/>
      <c r="I668" s="24" t="s">
        <v>13809</v>
      </c>
      <c r="J668" s="24"/>
      <c r="K668" s="24" t="s">
        <v>13809</v>
      </c>
      <c r="L668" s="24"/>
      <c r="M668" s="24" t="s">
        <v>23487</v>
      </c>
      <c r="N668" s="24" t="s">
        <v>13808</v>
      </c>
      <c r="O668" s="24"/>
      <c r="P668" s="24" t="s">
        <v>13808</v>
      </c>
      <c r="Q668" s="24"/>
      <c r="R668" s="24" t="s">
        <v>13808</v>
      </c>
      <c r="S668" s="24"/>
      <c r="T668" t="s">
        <v>13847</v>
      </c>
      <c r="U668" t="s">
        <v>13809</v>
      </c>
      <c r="W668" t="s">
        <v>13808</v>
      </c>
      <c r="X668" t="s">
        <v>23488</v>
      </c>
      <c r="Y668" t="s">
        <v>13809</v>
      </c>
      <c r="AA668" t="s">
        <v>13877</v>
      </c>
      <c r="AB668" t="s">
        <v>23489</v>
      </c>
      <c r="AC668" t="s">
        <v>13808</v>
      </c>
      <c r="AH668" t="s">
        <v>13909</v>
      </c>
      <c r="AI668" t="s">
        <v>13808</v>
      </c>
      <c r="AN668" t="s">
        <v>15076</v>
      </c>
      <c r="AO668" t="s">
        <v>13808</v>
      </c>
      <c r="AT668" t="s">
        <v>20807</v>
      </c>
      <c r="AU668" t="s">
        <v>13808</v>
      </c>
      <c r="AZ668" t="s">
        <v>14169</v>
      </c>
      <c r="BA668" t="s">
        <v>13808</v>
      </c>
      <c r="BF668" t="s">
        <v>14544</v>
      </c>
      <c r="BG668" t="s">
        <v>13808</v>
      </c>
      <c r="BL668" t="s">
        <v>23490</v>
      </c>
      <c r="BM668" t="s">
        <v>13808</v>
      </c>
      <c r="BR668" t="s">
        <v>23491</v>
      </c>
      <c r="BS668" t="s">
        <v>14003</v>
      </c>
      <c r="BT668" t="s">
        <v>13808</v>
      </c>
      <c r="BU668" t="s">
        <v>14336</v>
      </c>
      <c r="BY668" t="s">
        <v>14003</v>
      </c>
      <c r="BZ668" t="s">
        <v>13808</v>
      </c>
      <c r="CA668" t="s">
        <v>13937</v>
      </c>
      <c r="CE668" t="s">
        <v>13885</v>
      </c>
      <c r="CF668" t="s">
        <v>13808</v>
      </c>
      <c r="CL668" t="s">
        <v>13809</v>
      </c>
      <c r="CR668" t="s">
        <v>13809</v>
      </c>
      <c r="CT668" t="s">
        <v>23492</v>
      </c>
      <c r="CU668" t="s">
        <v>23493</v>
      </c>
      <c r="CV668" t="s">
        <v>13808</v>
      </c>
      <c r="CX668" t="s">
        <v>23494</v>
      </c>
      <c r="CY668" t="s">
        <v>13818</v>
      </c>
      <c r="DA668" t="s">
        <v>23495</v>
      </c>
      <c r="DB668" t="s">
        <v>13808</v>
      </c>
      <c r="DD668" t="s">
        <v>23496</v>
      </c>
      <c r="DE668" t="s">
        <v>13818</v>
      </c>
      <c r="DG668" t="s">
        <v>23497</v>
      </c>
      <c r="DH668" t="s">
        <v>13818</v>
      </c>
      <c r="DM668" t="s">
        <v>23498</v>
      </c>
      <c r="DN668" t="s">
        <v>13808</v>
      </c>
      <c r="DY668" t="s">
        <v>13869</v>
      </c>
      <c r="DZ668" t="s">
        <v>23499</v>
      </c>
      <c r="EA668" t="s">
        <v>23500</v>
      </c>
      <c r="ED668" t="s">
        <v>17223</v>
      </c>
      <c r="EE668" t="s">
        <v>8094</v>
      </c>
    </row>
    <row r="669" spans="1:135">
      <c r="A669" t="s">
        <v>8750</v>
      </c>
      <c r="B669" t="s">
        <v>3808</v>
      </c>
      <c r="C669" t="s">
        <v>23501</v>
      </c>
      <c r="D669" s="24">
        <v>44176</v>
      </c>
      <c r="E669" s="24" t="s">
        <v>13553</v>
      </c>
      <c r="F669" s="24" t="s">
        <v>23502</v>
      </c>
      <c r="G669" s="24" t="s">
        <v>13808</v>
      </c>
      <c r="H669" s="24"/>
      <c r="I669" s="24" t="s">
        <v>13809</v>
      </c>
      <c r="J669" s="24"/>
      <c r="K669" s="24" t="s">
        <v>13808</v>
      </c>
      <c r="L669" s="24"/>
      <c r="M669" s="24" t="s">
        <v>23503</v>
      </c>
      <c r="N669" s="24" t="s">
        <v>13808</v>
      </c>
      <c r="O669" s="24"/>
      <c r="P669" s="24" t="s">
        <v>13808</v>
      </c>
      <c r="Q669" s="24"/>
      <c r="R669" s="24" t="s">
        <v>13808</v>
      </c>
      <c r="S669" s="24"/>
      <c r="T669" t="s">
        <v>23504</v>
      </c>
      <c r="U669" t="s">
        <v>13809</v>
      </c>
      <c r="W669" t="s">
        <v>13809</v>
      </c>
      <c r="X669" t="s">
        <v>23505</v>
      </c>
      <c r="Y669" t="s">
        <v>13809</v>
      </c>
      <c r="AA669" t="s">
        <v>13849</v>
      </c>
      <c r="AB669" t="s">
        <v>13699</v>
      </c>
      <c r="AC669" t="s">
        <v>13809</v>
      </c>
      <c r="AH669" t="s">
        <v>14073</v>
      </c>
      <c r="AI669" t="s">
        <v>13808</v>
      </c>
      <c r="AN669" t="s">
        <v>13711</v>
      </c>
      <c r="AO669" t="s">
        <v>13809</v>
      </c>
      <c r="AT669" t="s">
        <v>13717</v>
      </c>
      <c r="AU669" t="s">
        <v>13809</v>
      </c>
      <c r="AZ669" t="s">
        <v>13723</v>
      </c>
      <c r="BA669" t="s">
        <v>13809</v>
      </c>
      <c r="BF669" t="s">
        <v>17058</v>
      </c>
      <c r="BG669" t="s">
        <v>13809</v>
      </c>
      <c r="BL669" t="s">
        <v>13735</v>
      </c>
      <c r="BM669" t="s">
        <v>13809</v>
      </c>
      <c r="BR669" t="s">
        <v>23506</v>
      </c>
      <c r="BS669" t="s">
        <v>17108</v>
      </c>
      <c r="BT669" t="s">
        <v>13809</v>
      </c>
      <c r="BY669" t="s">
        <v>13860</v>
      </c>
      <c r="BZ669" t="s">
        <v>13808</v>
      </c>
      <c r="CA669" t="s">
        <v>23507</v>
      </c>
      <c r="CE669" t="s">
        <v>13828</v>
      </c>
      <c r="CF669" t="s">
        <v>13809</v>
      </c>
      <c r="CK669" t="s">
        <v>13760</v>
      </c>
      <c r="CL669" t="s">
        <v>13809</v>
      </c>
      <c r="CQ669" t="s">
        <v>13766</v>
      </c>
      <c r="CR669" t="s">
        <v>13809</v>
      </c>
      <c r="CT669" t="s">
        <v>23508</v>
      </c>
      <c r="CU669" t="s">
        <v>23509</v>
      </c>
      <c r="CV669" t="s">
        <v>13808</v>
      </c>
      <c r="DA669" t="s">
        <v>23510</v>
      </c>
      <c r="DB669" t="s">
        <v>13808</v>
      </c>
      <c r="DH669" t="s">
        <v>13808</v>
      </c>
      <c r="DM669" t="s">
        <v>23511</v>
      </c>
      <c r="DN669" t="s">
        <v>13808</v>
      </c>
      <c r="DO669" t="s">
        <v>23512</v>
      </c>
      <c r="DP669" t="s">
        <v>23513</v>
      </c>
      <c r="DQ669" t="s">
        <v>13808</v>
      </c>
      <c r="DR669" t="s">
        <v>13839</v>
      </c>
      <c r="DY669" t="s">
        <v>23514</v>
      </c>
      <c r="DZ669" t="s">
        <v>13841</v>
      </c>
      <c r="EA669" t="s">
        <v>13842</v>
      </c>
      <c r="EC669">
        <v>44627</v>
      </c>
      <c r="ED669" t="s">
        <v>13843</v>
      </c>
      <c r="EE669" t="s">
        <v>8755</v>
      </c>
    </row>
    <row r="670" spans="1:135">
      <c r="A670" t="s">
        <v>8756</v>
      </c>
      <c r="B670" t="s">
        <v>3808</v>
      </c>
      <c r="C670" t="s">
        <v>20916</v>
      </c>
      <c r="D670" s="24">
        <v>44035</v>
      </c>
      <c r="E670" s="24" t="s">
        <v>13555</v>
      </c>
      <c r="F670" s="24" t="s">
        <v>23515</v>
      </c>
      <c r="G670" s="24" t="s">
        <v>13808</v>
      </c>
      <c r="H670" s="24"/>
      <c r="I670" s="24" t="s">
        <v>13809</v>
      </c>
      <c r="J670" s="24"/>
      <c r="K670" s="24" t="s">
        <v>13808</v>
      </c>
      <c r="L670" s="24"/>
      <c r="M670" s="24" t="s">
        <v>13846</v>
      </c>
      <c r="N670" s="24" t="s">
        <v>13808</v>
      </c>
      <c r="O670" s="24"/>
      <c r="P670" s="24" t="s">
        <v>13808</v>
      </c>
      <c r="Q670" s="24"/>
      <c r="R670" s="24" t="s">
        <v>13808</v>
      </c>
      <c r="S670" s="24"/>
      <c r="T670" t="s">
        <v>23516</v>
      </c>
      <c r="U670" t="s">
        <v>13809</v>
      </c>
      <c r="W670" t="s">
        <v>13809</v>
      </c>
      <c r="Y670" t="s">
        <v>13808</v>
      </c>
      <c r="AA670" t="s">
        <v>13849</v>
      </c>
      <c r="AC670" t="s">
        <v>13809</v>
      </c>
      <c r="AH670" t="s">
        <v>13887</v>
      </c>
      <c r="AI670" t="s">
        <v>13808</v>
      </c>
      <c r="AO670" t="s">
        <v>13809</v>
      </c>
      <c r="AT670" t="s">
        <v>18959</v>
      </c>
      <c r="AU670" t="s">
        <v>13818</v>
      </c>
      <c r="AV670" t="s">
        <v>23517</v>
      </c>
      <c r="AZ670" t="s">
        <v>14598</v>
      </c>
      <c r="BA670" t="s">
        <v>13818</v>
      </c>
      <c r="BB670" t="s">
        <v>23517</v>
      </c>
      <c r="BF670" t="s">
        <v>18846</v>
      </c>
      <c r="BG670" t="s">
        <v>13808</v>
      </c>
      <c r="BM670" t="s">
        <v>13809</v>
      </c>
      <c r="BR670" t="s">
        <v>23518</v>
      </c>
      <c r="BT670" t="s">
        <v>13809</v>
      </c>
      <c r="BY670" t="s">
        <v>13887</v>
      </c>
      <c r="BZ670" t="s">
        <v>13808</v>
      </c>
      <c r="CA670" t="s">
        <v>23519</v>
      </c>
      <c r="CF670" t="s">
        <v>13809</v>
      </c>
      <c r="CK670" t="s">
        <v>16074</v>
      </c>
      <c r="CL670" t="s">
        <v>13808</v>
      </c>
      <c r="CM670" t="s">
        <v>17320</v>
      </c>
      <c r="CR670" t="s">
        <v>13809</v>
      </c>
      <c r="CT670" t="s">
        <v>21987</v>
      </c>
      <c r="CU670" t="s">
        <v>23520</v>
      </c>
      <c r="CV670" t="s">
        <v>13808</v>
      </c>
      <c r="DA670" t="s">
        <v>23521</v>
      </c>
      <c r="DB670" t="s">
        <v>13808</v>
      </c>
      <c r="DM670" t="s">
        <v>23522</v>
      </c>
      <c r="DN670" t="s">
        <v>13808</v>
      </c>
      <c r="DO670" t="s">
        <v>13839</v>
      </c>
      <c r="DY670" t="s">
        <v>13840</v>
      </c>
      <c r="DZ670" t="s">
        <v>13841</v>
      </c>
      <c r="EA670" t="s">
        <v>14500</v>
      </c>
      <c r="ED670" t="s">
        <v>17223</v>
      </c>
      <c r="EE670" t="s">
        <v>8757</v>
      </c>
    </row>
    <row r="671" spans="1:135">
      <c r="A671" t="s">
        <v>4191</v>
      </c>
      <c r="B671" t="s">
        <v>4051</v>
      </c>
      <c r="C671" t="s">
        <v>23523</v>
      </c>
      <c r="D671" s="24">
        <v>43690</v>
      </c>
      <c r="E671" s="24" t="s">
        <v>13553</v>
      </c>
      <c r="F671" s="24" t="s">
        <v>23524</v>
      </c>
      <c r="G671" s="24" t="s">
        <v>13808</v>
      </c>
      <c r="H671" s="24"/>
      <c r="I671" s="24" t="s">
        <v>13809</v>
      </c>
      <c r="J671" s="24"/>
      <c r="K671" s="24" t="s">
        <v>13808</v>
      </c>
      <c r="L671" s="24" t="s">
        <v>23525</v>
      </c>
      <c r="M671" s="24" t="s">
        <v>23525</v>
      </c>
      <c r="N671" s="24" t="s">
        <v>13808</v>
      </c>
      <c r="O671" s="24"/>
      <c r="P671" s="24" t="s">
        <v>13808</v>
      </c>
      <c r="Q671" s="24"/>
      <c r="R671" s="24" t="s">
        <v>13808</v>
      </c>
      <c r="S671" s="24"/>
      <c r="T671" t="s">
        <v>14034</v>
      </c>
      <c r="U671" t="s">
        <v>13808</v>
      </c>
      <c r="V671" t="s">
        <v>23526</v>
      </c>
      <c r="W671" t="s">
        <v>13808</v>
      </c>
      <c r="X671" t="s">
        <v>23527</v>
      </c>
      <c r="Y671" t="s">
        <v>13809</v>
      </c>
      <c r="AA671" t="s">
        <v>13877</v>
      </c>
      <c r="AC671" t="s">
        <v>13809</v>
      </c>
      <c r="AH671" t="s">
        <v>13909</v>
      </c>
      <c r="AI671" t="s">
        <v>13808</v>
      </c>
      <c r="AO671" t="s">
        <v>13809</v>
      </c>
      <c r="AT671" t="s">
        <v>14597</v>
      </c>
      <c r="AU671" t="s">
        <v>13808</v>
      </c>
      <c r="AZ671" t="s">
        <v>13892</v>
      </c>
      <c r="BA671" t="s">
        <v>13808</v>
      </c>
      <c r="BF671" t="s">
        <v>15820</v>
      </c>
      <c r="BG671" t="s">
        <v>13808</v>
      </c>
      <c r="BM671" t="s">
        <v>13809</v>
      </c>
      <c r="BR671" t="s">
        <v>23528</v>
      </c>
      <c r="BT671" t="s">
        <v>13809</v>
      </c>
      <c r="BY671" t="s">
        <v>13885</v>
      </c>
      <c r="BZ671" t="s">
        <v>13808</v>
      </c>
      <c r="CA671" t="s">
        <v>13888</v>
      </c>
      <c r="CF671" t="s">
        <v>13809</v>
      </c>
      <c r="CK671" t="s">
        <v>13887</v>
      </c>
      <c r="CL671" t="s">
        <v>13808</v>
      </c>
      <c r="CM671" t="s">
        <v>23529</v>
      </c>
      <c r="CR671" t="s">
        <v>13809</v>
      </c>
      <c r="CT671" t="s">
        <v>23530</v>
      </c>
      <c r="CV671" t="s">
        <v>13809</v>
      </c>
      <c r="DB671" t="s">
        <v>13809</v>
      </c>
      <c r="DH671" t="s">
        <v>13809</v>
      </c>
      <c r="DM671" t="s">
        <v>23531</v>
      </c>
      <c r="DN671" t="s">
        <v>13808</v>
      </c>
      <c r="DO671" t="s">
        <v>23532</v>
      </c>
      <c r="DP671" t="s">
        <v>23533</v>
      </c>
      <c r="DQ671" t="s">
        <v>13818</v>
      </c>
      <c r="DR671" t="s">
        <v>23534</v>
      </c>
      <c r="DY671" t="s">
        <v>13900</v>
      </c>
      <c r="DZ671" t="s">
        <v>23535</v>
      </c>
      <c r="EA671" t="s">
        <v>13922</v>
      </c>
      <c r="ED671" t="s">
        <v>14501</v>
      </c>
      <c r="EE671" t="s">
        <v>9064</v>
      </c>
    </row>
    <row r="672" spans="1:135">
      <c r="A672" t="s">
        <v>13642</v>
      </c>
      <c r="B672" t="s">
        <v>10870</v>
      </c>
      <c r="C672" t="s">
        <v>13903</v>
      </c>
      <c r="D672" s="24">
        <v>43439</v>
      </c>
      <c r="E672" s="24" t="s">
        <v>13565</v>
      </c>
      <c r="F672" s="24" t="s">
        <v>23536</v>
      </c>
      <c r="G672" s="24" t="s">
        <v>13808</v>
      </c>
      <c r="H672" s="24"/>
      <c r="I672" s="24" t="s">
        <v>13809</v>
      </c>
      <c r="J672" s="24"/>
      <c r="K672" s="24" t="s">
        <v>13808</v>
      </c>
      <c r="L672" s="24"/>
      <c r="M672" s="24" t="s">
        <v>23537</v>
      </c>
      <c r="N672" s="24" t="s">
        <v>13818</v>
      </c>
      <c r="O672" s="24"/>
      <c r="P672" s="24" t="s">
        <v>13808</v>
      </c>
      <c r="Q672" s="24"/>
      <c r="R672" s="24" t="s">
        <v>13808</v>
      </c>
      <c r="S672" s="24"/>
      <c r="T672" t="s">
        <v>23538</v>
      </c>
      <c r="U672" t="s">
        <v>13809</v>
      </c>
      <c r="W672" t="s">
        <v>13808</v>
      </c>
      <c r="X672" t="s">
        <v>21089</v>
      </c>
      <c r="Y672" t="s">
        <v>13809</v>
      </c>
      <c r="AA672" t="s">
        <v>21090</v>
      </c>
      <c r="AB672" t="s">
        <v>13850</v>
      </c>
      <c r="AC672" t="s">
        <v>13809</v>
      </c>
      <c r="AH672" t="s">
        <v>21091</v>
      </c>
      <c r="AI672" t="s">
        <v>13808</v>
      </c>
      <c r="AK672" t="s">
        <v>21092</v>
      </c>
      <c r="AL672" t="s">
        <v>13808</v>
      </c>
      <c r="AN672" t="s">
        <v>15388</v>
      </c>
      <c r="AO672" t="s">
        <v>13818</v>
      </c>
      <c r="AT672" t="s">
        <v>15674</v>
      </c>
      <c r="AU672" t="s">
        <v>13818</v>
      </c>
      <c r="AZ672" t="s">
        <v>21093</v>
      </c>
      <c r="BA672" t="s">
        <v>13818</v>
      </c>
      <c r="BF672" t="s">
        <v>21094</v>
      </c>
      <c r="BG672" t="s">
        <v>13818</v>
      </c>
      <c r="BL672" t="s">
        <v>21095</v>
      </c>
      <c r="BM672" t="s">
        <v>13818</v>
      </c>
      <c r="BR672" t="s">
        <v>21096</v>
      </c>
      <c r="BS672" t="s">
        <v>13824</v>
      </c>
      <c r="BT672" t="s">
        <v>13808</v>
      </c>
      <c r="BU672" t="s">
        <v>14147</v>
      </c>
      <c r="BY672" t="s">
        <v>13986</v>
      </c>
      <c r="BZ672" t="s">
        <v>13808</v>
      </c>
      <c r="CA672" t="s">
        <v>13937</v>
      </c>
      <c r="CE672" t="s">
        <v>13862</v>
      </c>
      <c r="CF672" t="s">
        <v>13818</v>
      </c>
      <c r="CG672" t="s">
        <v>21097</v>
      </c>
      <c r="CH672" t="s">
        <v>14215</v>
      </c>
      <c r="CI672" t="s">
        <v>13818</v>
      </c>
      <c r="CJ672" t="s">
        <v>21098</v>
      </c>
      <c r="CK672" t="s">
        <v>13760</v>
      </c>
      <c r="CL672" t="s">
        <v>13809</v>
      </c>
      <c r="CQ672" t="s">
        <v>13766</v>
      </c>
      <c r="CR672" t="s">
        <v>13809</v>
      </c>
      <c r="CT672" t="s">
        <v>21099</v>
      </c>
      <c r="CU672" t="s">
        <v>21100</v>
      </c>
      <c r="CV672" t="s">
        <v>13808</v>
      </c>
      <c r="CX672" t="s">
        <v>21101</v>
      </c>
      <c r="CY672" t="s">
        <v>13818</v>
      </c>
      <c r="DA672" t="s">
        <v>21102</v>
      </c>
      <c r="DB672" t="s">
        <v>13808</v>
      </c>
      <c r="DD672" t="s">
        <v>21103</v>
      </c>
      <c r="DE672" t="s">
        <v>13818</v>
      </c>
      <c r="DM672" t="s">
        <v>21104</v>
      </c>
      <c r="DN672" t="s">
        <v>13808</v>
      </c>
      <c r="DY672" t="s">
        <v>23539</v>
      </c>
      <c r="DZ672" t="s">
        <v>19693</v>
      </c>
      <c r="EA672" t="s">
        <v>14201</v>
      </c>
      <c r="EC672">
        <v>44721</v>
      </c>
      <c r="ED672" t="s">
        <v>17062</v>
      </c>
      <c r="EE672" t="s">
        <v>13643</v>
      </c>
    </row>
    <row r="673" spans="1:135">
      <c r="A673" t="s">
        <v>8758</v>
      </c>
      <c r="B673" t="s">
        <v>3808</v>
      </c>
      <c r="C673" t="s">
        <v>23540</v>
      </c>
      <c r="D673" s="24">
        <v>44176</v>
      </c>
      <c r="E673" s="24" t="s">
        <v>13553</v>
      </c>
      <c r="F673" s="24" t="s">
        <v>23541</v>
      </c>
      <c r="G673" s="24" t="s">
        <v>13808</v>
      </c>
      <c r="H673" s="24"/>
      <c r="I673" s="24" t="s">
        <v>13809</v>
      </c>
      <c r="J673" s="24"/>
      <c r="K673" s="24" t="s">
        <v>13809</v>
      </c>
      <c r="L673" s="24"/>
      <c r="M673" s="24" t="s">
        <v>13846</v>
      </c>
      <c r="N673" s="24" t="s">
        <v>13808</v>
      </c>
      <c r="O673" s="24"/>
      <c r="P673" s="24" t="s">
        <v>13808</v>
      </c>
      <c r="Q673" s="24"/>
      <c r="R673" s="24" t="s">
        <v>13808</v>
      </c>
      <c r="S673" s="24"/>
      <c r="T673" t="s">
        <v>23542</v>
      </c>
      <c r="U673" t="s">
        <v>13809</v>
      </c>
      <c r="W673" t="s">
        <v>13809</v>
      </c>
      <c r="Y673" t="s">
        <v>13809</v>
      </c>
      <c r="AA673" t="s">
        <v>13849</v>
      </c>
      <c r="AC673" t="s">
        <v>13809</v>
      </c>
      <c r="AH673" t="s">
        <v>13887</v>
      </c>
      <c r="AI673" t="s">
        <v>13808</v>
      </c>
      <c r="AO673" t="s">
        <v>13809</v>
      </c>
      <c r="AU673" t="s">
        <v>13809</v>
      </c>
      <c r="AZ673" t="s">
        <v>15883</v>
      </c>
      <c r="BA673" t="s">
        <v>13808</v>
      </c>
      <c r="BF673" t="s">
        <v>14419</v>
      </c>
      <c r="BG673" t="s">
        <v>13808</v>
      </c>
      <c r="BM673" t="s">
        <v>13809</v>
      </c>
      <c r="BR673" t="s">
        <v>23543</v>
      </c>
      <c r="BT673" t="s">
        <v>13809</v>
      </c>
      <c r="BY673" t="s">
        <v>13887</v>
      </c>
      <c r="BZ673" t="s">
        <v>13808</v>
      </c>
      <c r="CA673" t="s">
        <v>13937</v>
      </c>
      <c r="CF673" t="s">
        <v>13809</v>
      </c>
      <c r="CL673" t="s">
        <v>13809</v>
      </c>
      <c r="CR673" t="s">
        <v>13809</v>
      </c>
      <c r="CT673" t="s">
        <v>23544</v>
      </c>
      <c r="CU673" t="s">
        <v>15025</v>
      </c>
      <c r="CV673" t="s">
        <v>13808</v>
      </c>
      <c r="DA673" t="s">
        <v>14046</v>
      </c>
      <c r="DB673" t="s">
        <v>13808</v>
      </c>
      <c r="DG673" t="s">
        <v>14007</v>
      </c>
      <c r="DH673" t="s">
        <v>13808</v>
      </c>
      <c r="DY673" t="s">
        <v>13869</v>
      </c>
      <c r="DZ673" t="s">
        <v>13841</v>
      </c>
      <c r="EA673" t="s">
        <v>13842</v>
      </c>
      <c r="ED673" t="s">
        <v>17223</v>
      </c>
      <c r="EE673" t="s">
        <v>8760</v>
      </c>
    </row>
    <row r="674" spans="1:135">
      <c r="A674" t="s">
        <v>8097</v>
      </c>
      <c r="B674" t="s">
        <v>3161</v>
      </c>
      <c r="C674" t="s">
        <v>23545</v>
      </c>
      <c r="D674" s="24">
        <v>44316</v>
      </c>
      <c r="E674" s="24" t="s">
        <v>13560</v>
      </c>
      <c r="F674" s="24" t="s">
        <v>23546</v>
      </c>
      <c r="G674" s="24" t="s">
        <v>13808</v>
      </c>
      <c r="H674" s="24"/>
      <c r="I674" s="24" t="s">
        <v>13809</v>
      </c>
      <c r="J674" s="24"/>
      <c r="K674" s="24" t="s">
        <v>13809</v>
      </c>
      <c r="L674" s="24"/>
      <c r="M674" s="24" t="s">
        <v>15106</v>
      </c>
      <c r="N674" s="24" t="s">
        <v>13808</v>
      </c>
      <c r="O674" s="24"/>
      <c r="P674" s="24" t="s">
        <v>13808</v>
      </c>
      <c r="Q674" s="24"/>
      <c r="R674" s="24" t="s">
        <v>13808</v>
      </c>
      <c r="S674" s="24"/>
      <c r="T674" t="s">
        <v>23547</v>
      </c>
      <c r="U674" t="s">
        <v>13809</v>
      </c>
      <c r="W674" t="s">
        <v>13818</v>
      </c>
      <c r="X674" t="s">
        <v>23548</v>
      </c>
      <c r="Y674" t="s">
        <v>13809</v>
      </c>
      <c r="AA674" t="s">
        <v>14551</v>
      </c>
      <c r="AC674" t="s">
        <v>13809</v>
      </c>
      <c r="AH674" t="s">
        <v>13887</v>
      </c>
      <c r="AI674" t="s">
        <v>13808</v>
      </c>
      <c r="AK674" t="s">
        <v>13885</v>
      </c>
      <c r="AL674" t="s">
        <v>13818</v>
      </c>
      <c r="AM674" t="s">
        <v>14259</v>
      </c>
      <c r="AO674" t="s">
        <v>13809</v>
      </c>
      <c r="AU674" t="s">
        <v>13809</v>
      </c>
      <c r="AZ674" t="s">
        <v>14706</v>
      </c>
      <c r="BA674" t="s">
        <v>13818</v>
      </c>
      <c r="BB674" t="s">
        <v>14259</v>
      </c>
      <c r="BF674" t="s">
        <v>15820</v>
      </c>
      <c r="BG674" t="s">
        <v>13818</v>
      </c>
      <c r="BH674" t="s">
        <v>14259</v>
      </c>
      <c r="BM674" t="s">
        <v>13809</v>
      </c>
      <c r="BR674" t="s">
        <v>23549</v>
      </c>
      <c r="BT674" t="s">
        <v>13809</v>
      </c>
      <c r="BY674" t="s">
        <v>13887</v>
      </c>
      <c r="BZ674" t="s">
        <v>13808</v>
      </c>
      <c r="CA674" t="s">
        <v>13937</v>
      </c>
      <c r="CF674" t="s">
        <v>13809</v>
      </c>
      <c r="CL674" t="s">
        <v>13809</v>
      </c>
      <c r="CR674" t="s">
        <v>13809</v>
      </c>
      <c r="CT674" t="s">
        <v>23550</v>
      </c>
      <c r="CU674" t="s">
        <v>23551</v>
      </c>
      <c r="CV674" t="s">
        <v>13818</v>
      </c>
      <c r="DA674" t="s">
        <v>23552</v>
      </c>
      <c r="DB674" t="s">
        <v>13818</v>
      </c>
      <c r="DM674" t="s">
        <v>23553</v>
      </c>
      <c r="DN674" t="s">
        <v>13808</v>
      </c>
      <c r="DY674" t="s">
        <v>14606</v>
      </c>
      <c r="DZ674" t="s">
        <v>13841</v>
      </c>
      <c r="EA674" t="s">
        <v>13842</v>
      </c>
      <c r="ED674" t="s">
        <v>17223</v>
      </c>
      <c r="EE674" t="s">
        <v>8099</v>
      </c>
    </row>
    <row r="675" spans="1:135">
      <c r="A675" t="s">
        <v>8100</v>
      </c>
      <c r="B675" t="s">
        <v>3161</v>
      </c>
      <c r="C675" t="s">
        <v>23554</v>
      </c>
      <c r="D675" s="24">
        <v>45154</v>
      </c>
      <c r="E675" s="24" t="s">
        <v>13555</v>
      </c>
      <c r="F675" s="24" t="s">
        <v>23555</v>
      </c>
      <c r="G675" s="24" t="s">
        <v>13808</v>
      </c>
      <c r="H675" s="24"/>
      <c r="I675" s="24" t="s">
        <v>13809</v>
      </c>
      <c r="J675" s="24"/>
      <c r="K675" s="24" t="s">
        <v>13808</v>
      </c>
      <c r="L675" s="24"/>
      <c r="M675" s="24" t="s">
        <v>14304</v>
      </c>
      <c r="N675" s="24" t="s">
        <v>13808</v>
      </c>
      <c r="O675" s="24"/>
      <c r="P675" s="24" t="s">
        <v>13808</v>
      </c>
      <c r="Q675" s="24"/>
      <c r="R675" s="24" t="s">
        <v>13808</v>
      </c>
      <c r="S675" s="24"/>
      <c r="T675" t="s">
        <v>23556</v>
      </c>
      <c r="U675" t="s">
        <v>13809</v>
      </c>
      <c r="W675" t="s">
        <v>13809</v>
      </c>
      <c r="Y675" t="s">
        <v>13809</v>
      </c>
      <c r="AA675" t="s">
        <v>13849</v>
      </c>
      <c r="AB675" t="s">
        <v>23557</v>
      </c>
      <c r="AC675" t="s">
        <v>13808</v>
      </c>
      <c r="AD675" t="s">
        <v>23558</v>
      </c>
      <c r="AH675" t="s">
        <v>14073</v>
      </c>
      <c r="AI675" t="s">
        <v>13808</v>
      </c>
      <c r="AN675" t="s">
        <v>23559</v>
      </c>
      <c r="AO675" t="s">
        <v>13808</v>
      </c>
      <c r="AP675" t="s">
        <v>23558</v>
      </c>
      <c r="AT675" t="s">
        <v>23560</v>
      </c>
      <c r="AU675" t="s">
        <v>13808</v>
      </c>
      <c r="AV675" t="s">
        <v>23558</v>
      </c>
      <c r="AZ675" t="s">
        <v>14775</v>
      </c>
      <c r="BA675" t="s">
        <v>13808</v>
      </c>
      <c r="BF675" t="s">
        <v>23561</v>
      </c>
      <c r="BG675" t="s">
        <v>13808</v>
      </c>
      <c r="BL675" t="s">
        <v>13735</v>
      </c>
      <c r="BM675" t="s">
        <v>13809</v>
      </c>
      <c r="BR675" t="s">
        <v>23562</v>
      </c>
      <c r="BS675" t="s">
        <v>13824</v>
      </c>
      <c r="BT675" t="s">
        <v>13808</v>
      </c>
      <c r="BU675" t="s">
        <v>23558</v>
      </c>
      <c r="BY675" t="s">
        <v>13860</v>
      </c>
      <c r="BZ675" t="s">
        <v>13808</v>
      </c>
      <c r="CE675" t="s">
        <v>13828</v>
      </c>
      <c r="CF675" t="s">
        <v>13808</v>
      </c>
      <c r="CG675" t="s">
        <v>23558</v>
      </c>
      <c r="CK675" t="s">
        <v>14581</v>
      </c>
      <c r="CL675" t="s">
        <v>13808</v>
      </c>
      <c r="CQ675" t="s">
        <v>13766</v>
      </c>
      <c r="CR675" t="s">
        <v>13809</v>
      </c>
      <c r="CT675" t="s">
        <v>23563</v>
      </c>
      <c r="CU675" t="s">
        <v>23564</v>
      </c>
      <c r="CV675" t="s">
        <v>13808</v>
      </c>
      <c r="DA675" t="s">
        <v>23565</v>
      </c>
      <c r="DB675" t="s">
        <v>13808</v>
      </c>
      <c r="DG675" t="s">
        <v>23566</v>
      </c>
      <c r="DH675" t="s">
        <v>13808</v>
      </c>
      <c r="DY675" t="s">
        <v>13869</v>
      </c>
      <c r="DZ675" t="s">
        <v>13841</v>
      </c>
      <c r="EA675" t="s">
        <v>14182</v>
      </c>
      <c r="EC675">
        <v>45159</v>
      </c>
      <c r="ED675" t="s">
        <v>14298</v>
      </c>
      <c r="EE675" t="s">
        <v>8102</v>
      </c>
    </row>
    <row r="676" spans="1:135">
      <c r="A676" t="s">
        <v>12423</v>
      </c>
      <c r="B676" t="s">
        <v>3161</v>
      </c>
      <c r="C676" t="s">
        <v>23567</v>
      </c>
      <c r="D676" s="24">
        <v>44720</v>
      </c>
      <c r="E676" s="24" t="s">
        <v>13560</v>
      </c>
      <c r="F676" s="24" t="s">
        <v>23568</v>
      </c>
      <c r="G676" s="24" t="s">
        <v>13808</v>
      </c>
      <c r="H676" s="24" t="s">
        <v>23569</v>
      </c>
      <c r="I676" s="24" t="s">
        <v>13809</v>
      </c>
      <c r="J676" s="24"/>
      <c r="K676" s="24" t="s">
        <v>13808</v>
      </c>
      <c r="L676" s="24"/>
      <c r="M676" s="24" t="s">
        <v>14304</v>
      </c>
      <c r="N676" s="24" t="s">
        <v>13808</v>
      </c>
      <c r="O676" s="24"/>
      <c r="P676" s="24" t="s">
        <v>13808</v>
      </c>
      <c r="Q676" s="24"/>
      <c r="R676" s="24" t="s">
        <v>13808</v>
      </c>
      <c r="S676" s="24"/>
      <c r="T676" t="s">
        <v>23570</v>
      </c>
      <c r="U676" t="s">
        <v>13809</v>
      </c>
      <c r="W676" t="s">
        <v>13809</v>
      </c>
      <c r="Y676" t="s">
        <v>13809</v>
      </c>
      <c r="AA676" t="s">
        <v>23571</v>
      </c>
      <c r="AB676" t="s">
        <v>23572</v>
      </c>
      <c r="AC676" t="s">
        <v>13808</v>
      </c>
      <c r="AH676" t="s">
        <v>15953</v>
      </c>
      <c r="AI676" t="s">
        <v>13808</v>
      </c>
      <c r="AJ676" t="s">
        <v>23573</v>
      </c>
      <c r="AN676" t="s">
        <v>13711</v>
      </c>
      <c r="AO676" t="s">
        <v>13809</v>
      </c>
      <c r="AT676" t="s">
        <v>13717</v>
      </c>
      <c r="AU676" t="s">
        <v>13809</v>
      </c>
      <c r="AZ676" t="s">
        <v>14638</v>
      </c>
      <c r="BA676" t="s">
        <v>13808</v>
      </c>
      <c r="BF676" t="s">
        <v>23574</v>
      </c>
      <c r="BG676" t="s">
        <v>13808</v>
      </c>
      <c r="BH676" t="s">
        <v>23573</v>
      </c>
      <c r="BL676" t="s">
        <v>13735</v>
      </c>
      <c r="BM676" t="s">
        <v>13809</v>
      </c>
      <c r="BR676" t="s">
        <v>23575</v>
      </c>
      <c r="BS676" t="s">
        <v>13742</v>
      </c>
      <c r="BT676" t="s">
        <v>13809</v>
      </c>
      <c r="BU676" t="s">
        <v>23576</v>
      </c>
      <c r="BY676" t="s">
        <v>13826</v>
      </c>
      <c r="BZ676" t="s">
        <v>13808</v>
      </c>
      <c r="CA676" t="s">
        <v>23577</v>
      </c>
      <c r="CE676" t="s">
        <v>13754</v>
      </c>
      <c r="CF676" t="s">
        <v>13809</v>
      </c>
      <c r="CK676" t="s">
        <v>14581</v>
      </c>
      <c r="CL676" t="s">
        <v>13808</v>
      </c>
      <c r="CQ676" t="s">
        <v>13766</v>
      </c>
      <c r="CR676" t="s">
        <v>13809</v>
      </c>
      <c r="CT676" t="s">
        <v>14293</v>
      </c>
      <c r="CU676" t="s">
        <v>23578</v>
      </c>
      <c r="CV676" t="s">
        <v>13808</v>
      </c>
      <c r="DA676" t="s">
        <v>23579</v>
      </c>
      <c r="DB676" t="s">
        <v>13808</v>
      </c>
      <c r="DM676" t="s">
        <v>23580</v>
      </c>
      <c r="DN676" t="s">
        <v>13808</v>
      </c>
      <c r="DY676" t="s">
        <v>14606</v>
      </c>
      <c r="DZ676" t="s">
        <v>13841</v>
      </c>
      <c r="EA676" t="s">
        <v>14182</v>
      </c>
      <c r="EC676">
        <v>44734</v>
      </c>
      <c r="ED676" t="s">
        <v>14298</v>
      </c>
      <c r="EE676" t="s">
        <v>13644</v>
      </c>
    </row>
    <row r="677" spans="1:135">
      <c r="A677" t="s">
        <v>12426</v>
      </c>
      <c r="B677" t="s">
        <v>3808</v>
      </c>
      <c r="C677" t="s">
        <v>23581</v>
      </c>
      <c r="D677" s="24">
        <v>44673</v>
      </c>
      <c r="E677" s="24" t="s">
        <v>13561</v>
      </c>
      <c r="F677" s="24" t="s">
        <v>23582</v>
      </c>
      <c r="G677" s="24" t="s">
        <v>13818</v>
      </c>
      <c r="H677" s="24" t="s">
        <v>23583</v>
      </c>
      <c r="I677" s="24" t="s">
        <v>13809</v>
      </c>
      <c r="J677" s="24"/>
      <c r="K677" s="24" t="s">
        <v>13809</v>
      </c>
      <c r="L677" s="24"/>
      <c r="M677" s="24" t="s">
        <v>17678</v>
      </c>
      <c r="N677" s="24" t="s">
        <v>13808</v>
      </c>
      <c r="O677" s="24"/>
      <c r="P677" s="24" t="s">
        <v>13818</v>
      </c>
      <c r="Q677" s="24" t="s">
        <v>14305</v>
      </c>
      <c r="R677" s="24" t="s">
        <v>13808</v>
      </c>
      <c r="S677" s="24"/>
      <c r="T677" t="s">
        <v>13907</v>
      </c>
      <c r="U677" t="s">
        <v>13809</v>
      </c>
      <c r="Y677" t="s">
        <v>13809</v>
      </c>
      <c r="AA677" t="s">
        <v>23584</v>
      </c>
      <c r="AB677" t="s">
        <v>23585</v>
      </c>
      <c r="AC677" t="s">
        <v>13818</v>
      </c>
      <c r="AD677" t="s">
        <v>13819</v>
      </c>
      <c r="AH677" t="s">
        <v>13851</v>
      </c>
      <c r="AI677" t="s">
        <v>13818</v>
      </c>
      <c r="AJ677" t="s">
        <v>13819</v>
      </c>
      <c r="AN677" t="s">
        <v>23586</v>
      </c>
      <c r="AO677" t="s">
        <v>13818</v>
      </c>
      <c r="AP677" t="s">
        <v>13819</v>
      </c>
      <c r="AT677" t="s">
        <v>15091</v>
      </c>
      <c r="AU677" t="s">
        <v>13818</v>
      </c>
      <c r="AV677" t="s">
        <v>13819</v>
      </c>
      <c r="AZ677" t="s">
        <v>23587</v>
      </c>
      <c r="BA677" t="s">
        <v>13818</v>
      </c>
      <c r="BB677" t="s">
        <v>13819</v>
      </c>
      <c r="BF677" t="s">
        <v>23588</v>
      </c>
      <c r="BG677" t="s">
        <v>13818</v>
      </c>
      <c r="BH677" t="s">
        <v>13819</v>
      </c>
      <c r="BL677" t="s">
        <v>13735</v>
      </c>
      <c r="BM677" t="s">
        <v>13809</v>
      </c>
      <c r="BR677" t="s">
        <v>23589</v>
      </c>
      <c r="BS677" t="s">
        <v>13742</v>
      </c>
      <c r="BT677" t="s">
        <v>13809</v>
      </c>
      <c r="BY677" t="s">
        <v>13826</v>
      </c>
      <c r="BZ677" t="s">
        <v>13818</v>
      </c>
      <c r="CA677" t="s">
        <v>14780</v>
      </c>
      <c r="CE677" t="s">
        <v>14215</v>
      </c>
      <c r="CF677" t="s">
        <v>13818</v>
      </c>
      <c r="CG677" t="s">
        <v>23590</v>
      </c>
      <c r="CK677" t="s">
        <v>13760</v>
      </c>
      <c r="CL677" t="s">
        <v>13809</v>
      </c>
      <c r="CQ677" t="s">
        <v>13766</v>
      </c>
      <c r="CR677" t="s">
        <v>13809</v>
      </c>
      <c r="CT677" t="s">
        <v>13830</v>
      </c>
      <c r="CU677" t="s">
        <v>23591</v>
      </c>
      <c r="CV677" t="s">
        <v>13818</v>
      </c>
      <c r="DA677" t="s">
        <v>23592</v>
      </c>
      <c r="DB677" t="s">
        <v>13818</v>
      </c>
      <c r="DG677" t="s">
        <v>23593</v>
      </c>
      <c r="DH677" t="s">
        <v>13818</v>
      </c>
      <c r="DY677" t="s">
        <v>14606</v>
      </c>
      <c r="DZ677" t="s">
        <v>13841</v>
      </c>
      <c r="EA677" t="s">
        <v>13842</v>
      </c>
      <c r="EC677">
        <v>44690</v>
      </c>
      <c r="ED677" t="s">
        <v>14298</v>
      </c>
      <c r="EE677" t="s">
        <v>13645</v>
      </c>
    </row>
    <row r="678" spans="1:135">
      <c r="A678" t="s">
        <v>13646</v>
      </c>
      <c r="B678" t="s">
        <v>3808</v>
      </c>
      <c r="C678" t="s">
        <v>23594</v>
      </c>
      <c r="D678" s="24">
        <v>44673</v>
      </c>
      <c r="E678" s="24" t="s">
        <v>13561</v>
      </c>
      <c r="F678" s="24" t="s">
        <v>23595</v>
      </c>
      <c r="G678" s="24" t="s">
        <v>13818</v>
      </c>
      <c r="H678" s="24" t="s">
        <v>23596</v>
      </c>
      <c r="I678" s="24" t="s">
        <v>13809</v>
      </c>
      <c r="J678" s="24"/>
      <c r="K678" s="24" t="s">
        <v>13809</v>
      </c>
      <c r="L678" s="24"/>
      <c r="M678" s="24" t="s">
        <v>17678</v>
      </c>
      <c r="N678" s="24" t="s">
        <v>13818</v>
      </c>
      <c r="O678" s="24" t="s">
        <v>14305</v>
      </c>
      <c r="P678" s="24" t="s">
        <v>13818</v>
      </c>
      <c r="Q678" s="24" t="s">
        <v>14305</v>
      </c>
      <c r="R678" s="24" t="s">
        <v>13808</v>
      </c>
      <c r="S678" s="24"/>
      <c r="T678" t="s">
        <v>18391</v>
      </c>
      <c r="U678" t="s">
        <v>13809</v>
      </c>
      <c r="Y678" t="s">
        <v>13809</v>
      </c>
      <c r="AA678" t="s">
        <v>23597</v>
      </c>
      <c r="AB678" t="s">
        <v>23598</v>
      </c>
      <c r="AC678" t="s">
        <v>13818</v>
      </c>
      <c r="AD678" t="s">
        <v>13819</v>
      </c>
      <c r="AH678" t="s">
        <v>13851</v>
      </c>
      <c r="AI678" t="s">
        <v>13818</v>
      </c>
      <c r="AJ678" t="s">
        <v>13819</v>
      </c>
      <c r="AN678" t="s">
        <v>14773</v>
      </c>
      <c r="AO678" t="s">
        <v>13818</v>
      </c>
      <c r="AP678" t="s">
        <v>13819</v>
      </c>
      <c r="AT678" t="s">
        <v>15091</v>
      </c>
      <c r="AU678" t="s">
        <v>13818</v>
      </c>
      <c r="AV678" t="s">
        <v>13819</v>
      </c>
      <c r="AZ678" t="s">
        <v>23587</v>
      </c>
      <c r="BA678" t="s">
        <v>13818</v>
      </c>
      <c r="BB678" t="s">
        <v>13819</v>
      </c>
      <c r="BF678" t="s">
        <v>17058</v>
      </c>
      <c r="BG678" t="s">
        <v>13809</v>
      </c>
      <c r="BL678" t="s">
        <v>13735</v>
      </c>
      <c r="BM678" t="s">
        <v>13809</v>
      </c>
      <c r="BR678" t="s">
        <v>23599</v>
      </c>
      <c r="BS678" t="s">
        <v>13742</v>
      </c>
      <c r="BT678" t="s">
        <v>13809</v>
      </c>
      <c r="BY678" t="s">
        <v>13748</v>
      </c>
      <c r="BZ678" t="s">
        <v>13809</v>
      </c>
      <c r="CE678" t="s">
        <v>13754</v>
      </c>
      <c r="CF678" t="s">
        <v>13809</v>
      </c>
      <c r="CK678" t="s">
        <v>20115</v>
      </c>
      <c r="CL678" t="s">
        <v>13818</v>
      </c>
      <c r="CM678" t="s">
        <v>23600</v>
      </c>
      <c r="CQ678" t="s">
        <v>13766</v>
      </c>
      <c r="CR678" t="s">
        <v>13809</v>
      </c>
      <c r="CT678" t="s">
        <v>13830</v>
      </c>
      <c r="CU678" t="s">
        <v>23601</v>
      </c>
      <c r="CV678" t="s">
        <v>13818</v>
      </c>
      <c r="DA678" t="s">
        <v>23602</v>
      </c>
      <c r="DB678" t="s">
        <v>13818</v>
      </c>
      <c r="DG678" t="s">
        <v>23603</v>
      </c>
      <c r="DH678" t="s">
        <v>13818</v>
      </c>
      <c r="DY678" t="s">
        <v>14606</v>
      </c>
      <c r="DZ678" t="s">
        <v>13841</v>
      </c>
      <c r="EA678" t="s">
        <v>13842</v>
      </c>
      <c r="EC678">
        <v>44690</v>
      </c>
      <c r="ED678" t="s">
        <v>14298</v>
      </c>
      <c r="EE678" t="s">
        <v>13647</v>
      </c>
    </row>
    <row r="679" spans="1:135">
      <c r="A679" t="s">
        <v>3803</v>
      </c>
      <c r="B679" t="s">
        <v>3619</v>
      </c>
      <c r="C679" t="s">
        <v>23604</v>
      </c>
      <c r="D679" s="24">
        <v>43413</v>
      </c>
      <c r="E679" s="24" t="s">
        <v>13555</v>
      </c>
      <c r="F679" s="24" t="s">
        <v>23605</v>
      </c>
      <c r="G679" s="24" t="s">
        <v>13808</v>
      </c>
      <c r="H679" s="24"/>
      <c r="I679" s="24" t="s">
        <v>13809</v>
      </c>
      <c r="J679" s="24"/>
      <c r="K679" s="24" t="s">
        <v>13809</v>
      </c>
      <c r="L679" s="24"/>
      <c r="M679" s="24" t="s">
        <v>23606</v>
      </c>
      <c r="N679" s="24" t="s">
        <v>13808</v>
      </c>
      <c r="O679" s="24"/>
      <c r="P679" s="24" t="s">
        <v>13808</v>
      </c>
      <c r="Q679" s="24"/>
      <c r="R679" s="24" t="s">
        <v>13808</v>
      </c>
      <c r="S679" s="24"/>
      <c r="T679" t="s">
        <v>18721</v>
      </c>
      <c r="U679" t="s">
        <v>13808</v>
      </c>
      <c r="W679" t="s">
        <v>13808</v>
      </c>
      <c r="X679" t="s">
        <v>23607</v>
      </c>
      <c r="Y679" t="s">
        <v>13808</v>
      </c>
      <c r="AA679" t="s">
        <v>14971</v>
      </c>
      <c r="AB679" t="s">
        <v>14423</v>
      </c>
      <c r="AC679" t="s">
        <v>13808</v>
      </c>
      <c r="AH679" t="s">
        <v>13909</v>
      </c>
      <c r="AI679" t="s">
        <v>13808</v>
      </c>
      <c r="AO679" t="s">
        <v>13809</v>
      </c>
      <c r="AT679" t="s">
        <v>18958</v>
      </c>
      <c r="AU679" t="s">
        <v>13808</v>
      </c>
      <c r="AZ679" t="s">
        <v>15025</v>
      </c>
      <c r="BA679" t="s">
        <v>13808</v>
      </c>
      <c r="BF679" t="s">
        <v>23482</v>
      </c>
      <c r="BG679" t="s">
        <v>13808</v>
      </c>
      <c r="BM679" t="s">
        <v>13809</v>
      </c>
      <c r="BR679" t="s">
        <v>23608</v>
      </c>
      <c r="BT679" t="s">
        <v>13809</v>
      </c>
      <c r="BY679" t="s">
        <v>13887</v>
      </c>
      <c r="BZ679" t="s">
        <v>13808</v>
      </c>
      <c r="CA679" t="s">
        <v>13937</v>
      </c>
      <c r="CF679" t="s">
        <v>13809</v>
      </c>
      <c r="CK679" t="s">
        <v>13887</v>
      </c>
      <c r="CL679" t="s">
        <v>13808</v>
      </c>
      <c r="CR679" t="s">
        <v>13809</v>
      </c>
      <c r="CT679" t="s">
        <v>23609</v>
      </c>
      <c r="CU679" t="s">
        <v>23610</v>
      </c>
      <c r="CV679" t="s">
        <v>13808</v>
      </c>
      <c r="CX679" t="s">
        <v>13885</v>
      </c>
      <c r="CY679" t="s">
        <v>13818</v>
      </c>
      <c r="DA679" t="s">
        <v>23610</v>
      </c>
      <c r="DB679" t="s">
        <v>13808</v>
      </c>
      <c r="DD679" t="s">
        <v>13885</v>
      </c>
      <c r="DE679" t="s">
        <v>13818</v>
      </c>
      <c r="DH679" t="s">
        <v>13809</v>
      </c>
      <c r="DM679" t="s">
        <v>13909</v>
      </c>
      <c r="DN679" t="s">
        <v>13808</v>
      </c>
      <c r="DZ679" t="s">
        <v>15812</v>
      </c>
      <c r="EA679" t="s">
        <v>14201</v>
      </c>
      <c r="EC679">
        <v>43480</v>
      </c>
      <c r="ED679" t="s">
        <v>13903</v>
      </c>
      <c r="EE679" t="s">
        <v>8600</v>
      </c>
    </row>
    <row r="680" spans="1:135">
      <c r="A680" t="s">
        <v>4196</v>
      </c>
      <c r="B680" t="s">
        <v>4051</v>
      </c>
      <c r="C680" t="s">
        <v>23611</v>
      </c>
      <c r="D680" s="24">
        <v>42996</v>
      </c>
      <c r="E680" s="24" t="s">
        <v>13555</v>
      </c>
      <c r="F680" s="24" t="s">
        <v>23612</v>
      </c>
      <c r="G680" s="24" t="s">
        <v>13808</v>
      </c>
      <c r="H680" s="24"/>
      <c r="I680" s="24" t="s">
        <v>13809</v>
      </c>
      <c r="J680" s="24"/>
      <c r="K680" s="24" t="s">
        <v>13809</v>
      </c>
      <c r="L680" s="24"/>
      <c r="M680" s="24" t="s">
        <v>17316</v>
      </c>
      <c r="N680" s="24" t="s">
        <v>13808</v>
      </c>
      <c r="O680" s="24"/>
      <c r="P680" s="24" t="s">
        <v>13808</v>
      </c>
      <c r="Q680" s="24"/>
      <c r="R680" s="24" t="s">
        <v>13808</v>
      </c>
      <c r="S680" s="24"/>
      <c r="T680" t="s">
        <v>23613</v>
      </c>
      <c r="U680" t="s">
        <v>13809</v>
      </c>
      <c r="W680" t="s">
        <v>13808</v>
      </c>
      <c r="X680" t="s">
        <v>23614</v>
      </c>
      <c r="Y680" t="s">
        <v>13808</v>
      </c>
      <c r="AA680" t="s">
        <v>13849</v>
      </c>
      <c r="AB680" t="s">
        <v>14687</v>
      </c>
      <c r="AC680" t="s">
        <v>13808</v>
      </c>
      <c r="AH680" t="s">
        <v>13909</v>
      </c>
      <c r="AI680" t="s">
        <v>13808</v>
      </c>
      <c r="AN680" t="s">
        <v>16368</v>
      </c>
      <c r="AO680" t="s">
        <v>13808</v>
      </c>
      <c r="AT680" t="s">
        <v>14852</v>
      </c>
      <c r="AU680" t="s">
        <v>13808</v>
      </c>
      <c r="AZ680" t="s">
        <v>13880</v>
      </c>
      <c r="BA680" t="s">
        <v>13808</v>
      </c>
      <c r="BF680" t="s">
        <v>23615</v>
      </c>
      <c r="BG680" t="s">
        <v>13808</v>
      </c>
      <c r="BL680" t="s">
        <v>20494</v>
      </c>
      <c r="BM680" t="s">
        <v>13808</v>
      </c>
      <c r="BR680" t="s">
        <v>23616</v>
      </c>
      <c r="BT680" t="s">
        <v>13809</v>
      </c>
      <c r="BY680" t="s">
        <v>13887</v>
      </c>
      <c r="BZ680" t="s">
        <v>13808</v>
      </c>
      <c r="CA680" t="s">
        <v>17109</v>
      </c>
      <c r="CE680" t="s">
        <v>16141</v>
      </c>
      <c r="CF680" t="s">
        <v>13808</v>
      </c>
      <c r="CL680" t="s">
        <v>13809</v>
      </c>
      <c r="CR680" t="s">
        <v>13809</v>
      </c>
      <c r="CT680" t="s">
        <v>16771</v>
      </c>
      <c r="CU680" t="s">
        <v>13909</v>
      </c>
      <c r="CV680" t="s">
        <v>13808</v>
      </c>
      <c r="DA680" t="s">
        <v>13909</v>
      </c>
      <c r="DB680" t="s">
        <v>13808</v>
      </c>
      <c r="DG680" t="s">
        <v>13909</v>
      </c>
      <c r="DH680" t="s">
        <v>13808</v>
      </c>
      <c r="DZ680" t="s">
        <v>15812</v>
      </c>
      <c r="EA680" t="s">
        <v>14201</v>
      </c>
      <c r="ED680" t="s">
        <v>13903</v>
      </c>
      <c r="EE680" t="s">
        <v>9066</v>
      </c>
    </row>
    <row r="681" spans="1:135">
      <c r="A681" t="s">
        <v>3394</v>
      </c>
      <c r="B681" t="s">
        <v>3161</v>
      </c>
      <c r="C681" t="s">
        <v>23617</v>
      </c>
      <c r="D681" s="24">
        <v>42968</v>
      </c>
      <c r="E681" s="24" t="s">
        <v>13553</v>
      </c>
      <c r="F681" s="24" t="s">
        <v>23618</v>
      </c>
      <c r="G681" s="24" t="s">
        <v>13808</v>
      </c>
      <c r="H681" s="24"/>
      <c r="I681" s="24" t="s">
        <v>13809</v>
      </c>
      <c r="J681" s="24"/>
      <c r="K681" s="24" t="s">
        <v>13808</v>
      </c>
      <c r="L681" s="24" t="s">
        <v>23619</v>
      </c>
      <c r="M681" s="24" t="s">
        <v>23620</v>
      </c>
      <c r="N681" s="24" t="s">
        <v>13808</v>
      </c>
      <c r="O681" s="24"/>
      <c r="P681" s="24" t="s">
        <v>13808</v>
      </c>
      <c r="Q681" s="24"/>
      <c r="R681" s="24" t="s">
        <v>13808</v>
      </c>
      <c r="S681" s="24"/>
      <c r="T681" t="s">
        <v>23621</v>
      </c>
      <c r="U681" t="s">
        <v>13809</v>
      </c>
      <c r="W681" t="s">
        <v>13808</v>
      </c>
      <c r="X681" t="s">
        <v>23622</v>
      </c>
      <c r="Y681" t="s">
        <v>13809</v>
      </c>
      <c r="AA681" t="s">
        <v>13849</v>
      </c>
      <c r="AB681" t="s">
        <v>18690</v>
      </c>
      <c r="AC681" t="s">
        <v>13808</v>
      </c>
      <c r="AH681" t="s">
        <v>13909</v>
      </c>
      <c r="AI681" t="s">
        <v>13808</v>
      </c>
      <c r="AN681" t="s">
        <v>23623</v>
      </c>
      <c r="AO681" t="s">
        <v>13808</v>
      </c>
      <c r="AT681" t="s">
        <v>13885</v>
      </c>
      <c r="AU681" t="s">
        <v>13808</v>
      </c>
      <c r="AZ681" t="s">
        <v>23624</v>
      </c>
      <c r="BA681" t="s">
        <v>13808</v>
      </c>
      <c r="BF681" t="s">
        <v>14007</v>
      </c>
      <c r="BG681" t="s">
        <v>13808</v>
      </c>
      <c r="BL681" t="s">
        <v>23625</v>
      </c>
      <c r="BM681" t="s">
        <v>13808</v>
      </c>
      <c r="BR681" t="s">
        <v>23626</v>
      </c>
      <c r="BS681" t="s">
        <v>13887</v>
      </c>
      <c r="BT681" t="s">
        <v>13808</v>
      </c>
      <c r="BU681" t="s">
        <v>23627</v>
      </c>
      <c r="BY681" t="s">
        <v>13887</v>
      </c>
      <c r="BZ681" t="s">
        <v>13808</v>
      </c>
      <c r="CA681" t="s">
        <v>17109</v>
      </c>
      <c r="CE681" t="s">
        <v>13885</v>
      </c>
      <c r="CF681" t="s">
        <v>13808</v>
      </c>
      <c r="CL681" t="s">
        <v>13809</v>
      </c>
      <c r="CR681" t="s">
        <v>13809</v>
      </c>
      <c r="CT681" t="s">
        <v>23628</v>
      </c>
      <c r="CU681" t="s">
        <v>23629</v>
      </c>
      <c r="CV681" t="s">
        <v>13808</v>
      </c>
      <c r="DA681" t="s">
        <v>17084</v>
      </c>
      <c r="DB681" t="s">
        <v>13808</v>
      </c>
      <c r="DD681" t="s">
        <v>15025</v>
      </c>
      <c r="DE681" t="s">
        <v>13818</v>
      </c>
      <c r="DF681" t="s">
        <v>23630</v>
      </c>
      <c r="DH681" t="s">
        <v>13809</v>
      </c>
      <c r="DM681" t="s">
        <v>23631</v>
      </c>
      <c r="DN681" t="s">
        <v>13808</v>
      </c>
      <c r="DO681" t="s">
        <v>13898</v>
      </c>
      <c r="DY681" t="s">
        <v>13920</v>
      </c>
      <c r="DZ681" t="s">
        <v>14696</v>
      </c>
      <c r="EA681" t="s">
        <v>16115</v>
      </c>
      <c r="EC681">
        <v>43684</v>
      </c>
      <c r="ED681" t="s">
        <v>13903</v>
      </c>
      <c r="EE681" t="s">
        <v>8106</v>
      </c>
    </row>
    <row r="682" spans="1:135">
      <c r="A682" t="s">
        <v>12434</v>
      </c>
      <c r="B682" t="s">
        <v>3939</v>
      </c>
      <c r="C682" t="s">
        <v>23632</v>
      </c>
      <c r="D682" s="24">
        <v>44673</v>
      </c>
      <c r="E682" s="24" t="s">
        <v>13561</v>
      </c>
      <c r="F682" s="24" t="s">
        <v>23633</v>
      </c>
      <c r="G682" s="24" t="s">
        <v>13818</v>
      </c>
      <c r="H682" s="24"/>
      <c r="I682" s="24" t="s">
        <v>13809</v>
      </c>
      <c r="J682" s="24"/>
      <c r="K682" s="24" t="s">
        <v>13808</v>
      </c>
      <c r="L682" s="24" t="s">
        <v>23634</v>
      </c>
      <c r="M682" s="24" t="s">
        <v>13846</v>
      </c>
      <c r="N682" s="24" t="s">
        <v>13808</v>
      </c>
      <c r="O682" s="24"/>
      <c r="P682" s="24" t="s">
        <v>13808</v>
      </c>
      <c r="Q682" s="24"/>
      <c r="R682" s="24" t="s">
        <v>13808</v>
      </c>
      <c r="S682" s="24"/>
      <c r="T682" t="s">
        <v>13907</v>
      </c>
      <c r="U682" t="s">
        <v>13809</v>
      </c>
      <c r="W682" t="s">
        <v>13808</v>
      </c>
      <c r="X682" t="s">
        <v>23635</v>
      </c>
      <c r="Y682" t="s">
        <v>13809</v>
      </c>
      <c r="AA682" t="s">
        <v>14791</v>
      </c>
      <c r="AB682" t="s">
        <v>15348</v>
      </c>
      <c r="AC682" t="s">
        <v>13809</v>
      </c>
      <c r="AH682" t="s">
        <v>20700</v>
      </c>
      <c r="AI682" t="s">
        <v>13818</v>
      </c>
      <c r="AJ682" t="s">
        <v>14309</v>
      </c>
      <c r="AN682" t="s">
        <v>13711</v>
      </c>
      <c r="AO682" t="s">
        <v>13809</v>
      </c>
      <c r="AT682" t="s">
        <v>15983</v>
      </c>
      <c r="AU682" t="s">
        <v>13818</v>
      </c>
      <c r="AV682" t="s">
        <v>14309</v>
      </c>
      <c r="AZ682" t="s">
        <v>17792</v>
      </c>
      <c r="BA682" t="s">
        <v>13818</v>
      </c>
      <c r="BB682" t="s">
        <v>14309</v>
      </c>
      <c r="BF682" t="s">
        <v>16452</v>
      </c>
      <c r="BG682" t="s">
        <v>13818</v>
      </c>
      <c r="BH682" t="s">
        <v>14309</v>
      </c>
      <c r="BL682" t="s">
        <v>23636</v>
      </c>
      <c r="BM682" t="s">
        <v>13818</v>
      </c>
      <c r="BN682" t="s">
        <v>14309</v>
      </c>
      <c r="BR682" t="s">
        <v>23637</v>
      </c>
      <c r="BS682" t="s">
        <v>13858</v>
      </c>
      <c r="BT682" t="s">
        <v>13818</v>
      </c>
      <c r="BU682" t="s">
        <v>23638</v>
      </c>
      <c r="BY682" t="s">
        <v>13826</v>
      </c>
      <c r="BZ682" t="s">
        <v>13818</v>
      </c>
      <c r="CA682" t="s">
        <v>23638</v>
      </c>
      <c r="CE682" t="s">
        <v>13862</v>
      </c>
      <c r="CF682" t="s">
        <v>13818</v>
      </c>
      <c r="CG682" t="s">
        <v>23638</v>
      </c>
      <c r="CK682" t="s">
        <v>13760</v>
      </c>
      <c r="CL682" t="s">
        <v>13809</v>
      </c>
      <c r="CQ682" t="s">
        <v>13766</v>
      </c>
      <c r="CR682" t="s">
        <v>13809</v>
      </c>
      <c r="CT682" t="s">
        <v>16008</v>
      </c>
      <c r="CU682" t="s">
        <v>23639</v>
      </c>
      <c r="CV682" t="s">
        <v>13808</v>
      </c>
      <c r="CW682" t="s">
        <v>14309</v>
      </c>
      <c r="CX682" t="s">
        <v>23640</v>
      </c>
      <c r="CY682" t="s">
        <v>13818</v>
      </c>
      <c r="CZ682" t="s">
        <v>14309</v>
      </c>
      <c r="DA682" t="s">
        <v>23641</v>
      </c>
      <c r="DB682" t="s">
        <v>13808</v>
      </c>
      <c r="DC682" t="s">
        <v>14309</v>
      </c>
      <c r="DD682" t="s">
        <v>23642</v>
      </c>
      <c r="DE682" t="s">
        <v>13818</v>
      </c>
      <c r="DF682" t="s">
        <v>14309</v>
      </c>
      <c r="DM682" t="s">
        <v>23643</v>
      </c>
      <c r="DN682" t="s">
        <v>13808</v>
      </c>
      <c r="DO682" t="s">
        <v>23644</v>
      </c>
      <c r="DP682" t="s">
        <v>23645</v>
      </c>
      <c r="DQ682" t="s">
        <v>13808</v>
      </c>
      <c r="DR682" t="s">
        <v>23646</v>
      </c>
      <c r="DY682" t="s">
        <v>23647</v>
      </c>
      <c r="DZ682" t="s">
        <v>13841</v>
      </c>
      <c r="EA682" t="s">
        <v>14182</v>
      </c>
      <c r="EC682">
        <v>44826</v>
      </c>
      <c r="ED682" t="s">
        <v>14298</v>
      </c>
      <c r="EE682" t="s">
        <v>13648</v>
      </c>
    </row>
    <row r="683" spans="1:135">
      <c r="A683" t="s">
        <v>8601</v>
      </c>
      <c r="B683" t="s">
        <v>3619</v>
      </c>
      <c r="C683" t="s">
        <v>23648</v>
      </c>
      <c r="D683" s="24">
        <v>44629</v>
      </c>
      <c r="E683" s="24" t="s">
        <v>13553</v>
      </c>
      <c r="F683" s="24" t="s">
        <v>23649</v>
      </c>
      <c r="G683" s="24" t="s">
        <v>13808</v>
      </c>
      <c r="H683" s="24"/>
      <c r="I683" s="24" t="s">
        <v>13809</v>
      </c>
      <c r="J683" s="24"/>
      <c r="K683" s="24" t="s">
        <v>13809</v>
      </c>
      <c r="L683" s="24"/>
      <c r="M683" s="24" t="s">
        <v>15106</v>
      </c>
      <c r="N683" s="24" t="s">
        <v>13808</v>
      </c>
      <c r="O683" s="24"/>
      <c r="P683" s="24" t="s">
        <v>13808</v>
      </c>
      <c r="Q683" s="24"/>
      <c r="R683" s="24" t="s">
        <v>13808</v>
      </c>
      <c r="S683" s="24"/>
      <c r="T683" t="s">
        <v>13907</v>
      </c>
      <c r="U683" t="s">
        <v>13809</v>
      </c>
      <c r="W683" t="s">
        <v>13808</v>
      </c>
      <c r="X683" t="s">
        <v>23650</v>
      </c>
      <c r="Y683" t="s">
        <v>13809</v>
      </c>
      <c r="AA683" t="s">
        <v>13849</v>
      </c>
      <c r="AB683" t="s">
        <v>13699</v>
      </c>
      <c r="AC683" t="s">
        <v>13809</v>
      </c>
      <c r="AH683" t="s">
        <v>22318</v>
      </c>
      <c r="AI683" t="s">
        <v>13808</v>
      </c>
      <c r="AN683" t="s">
        <v>13711</v>
      </c>
      <c r="AO683" t="s">
        <v>13809</v>
      </c>
      <c r="AT683" t="s">
        <v>13717</v>
      </c>
      <c r="AU683" t="s">
        <v>13809</v>
      </c>
      <c r="AZ683" t="s">
        <v>14794</v>
      </c>
      <c r="BA683" t="s">
        <v>13808</v>
      </c>
      <c r="BF683" t="s">
        <v>17058</v>
      </c>
      <c r="BG683" t="s">
        <v>13809</v>
      </c>
      <c r="BL683" t="s">
        <v>13735</v>
      </c>
      <c r="BM683" t="s">
        <v>13809</v>
      </c>
      <c r="BR683" t="s">
        <v>23651</v>
      </c>
      <c r="BS683" t="s">
        <v>13742</v>
      </c>
      <c r="BT683" t="s">
        <v>13809</v>
      </c>
      <c r="BY683" t="s">
        <v>13748</v>
      </c>
      <c r="BZ683" t="s">
        <v>13809</v>
      </c>
      <c r="CE683" t="s">
        <v>13754</v>
      </c>
      <c r="CF683" t="s">
        <v>13809</v>
      </c>
      <c r="CK683" t="s">
        <v>14581</v>
      </c>
      <c r="CL683" t="s">
        <v>13808</v>
      </c>
      <c r="CQ683" t="s">
        <v>13766</v>
      </c>
      <c r="CR683" t="s">
        <v>13809</v>
      </c>
      <c r="CT683" t="s">
        <v>23652</v>
      </c>
      <c r="DM683" t="s">
        <v>23653</v>
      </c>
      <c r="DN683" t="s">
        <v>13808</v>
      </c>
      <c r="DO683" t="s">
        <v>13839</v>
      </c>
      <c r="DP683" t="s">
        <v>23654</v>
      </c>
      <c r="DQ683" t="s">
        <v>13808</v>
      </c>
      <c r="DY683" t="s">
        <v>13869</v>
      </c>
      <c r="DZ683" t="s">
        <v>13841</v>
      </c>
      <c r="EA683" t="s">
        <v>14182</v>
      </c>
      <c r="EC683">
        <v>44634</v>
      </c>
      <c r="ED683" t="s">
        <v>14298</v>
      </c>
      <c r="EE683" t="s">
        <v>8603</v>
      </c>
    </row>
    <row r="684" spans="1:135">
      <c r="A684" t="s">
        <v>12445</v>
      </c>
      <c r="B684" t="s">
        <v>4051</v>
      </c>
      <c r="C684" t="s">
        <v>23655</v>
      </c>
      <c r="D684" s="24">
        <v>43676</v>
      </c>
      <c r="E684" s="24" t="s">
        <v>13553</v>
      </c>
      <c r="F684" s="24" t="s">
        <v>23656</v>
      </c>
      <c r="G684" s="24" t="s">
        <v>13808</v>
      </c>
      <c r="H684" s="24"/>
      <c r="I684" s="24" t="s">
        <v>13809</v>
      </c>
      <c r="J684" s="24"/>
      <c r="K684" s="24" t="s">
        <v>13809</v>
      </c>
      <c r="L684" s="24"/>
      <c r="M684" s="24" t="s">
        <v>14428</v>
      </c>
      <c r="N684" s="24" t="s">
        <v>13808</v>
      </c>
      <c r="O684" s="24"/>
      <c r="P684" s="24" t="s">
        <v>13808</v>
      </c>
      <c r="Q684" s="24"/>
      <c r="R684" s="24" t="s">
        <v>13808</v>
      </c>
      <c r="S684" s="24"/>
      <c r="T684" t="s">
        <v>14034</v>
      </c>
      <c r="U684" t="s">
        <v>13809</v>
      </c>
      <c r="W684" t="s">
        <v>13808</v>
      </c>
      <c r="X684" t="s">
        <v>23657</v>
      </c>
      <c r="Y684" t="s">
        <v>13809</v>
      </c>
      <c r="AA684" t="s">
        <v>13877</v>
      </c>
      <c r="AC684" t="s">
        <v>13809</v>
      </c>
      <c r="AH684" t="s">
        <v>15280</v>
      </c>
      <c r="AI684" t="s">
        <v>13808</v>
      </c>
      <c r="AN684" t="s">
        <v>23658</v>
      </c>
      <c r="AO684" t="s">
        <v>13808</v>
      </c>
      <c r="AU684" t="s">
        <v>13809</v>
      </c>
      <c r="AZ684" t="s">
        <v>23659</v>
      </c>
      <c r="BA684" t="s">
        <v>13808</v>
      </c>
      <c r="BF684" t="s">
        <v>18794</v>
      </c>
      <c r="BG684" t="s">
        <v>13808</v>
      </c>
      <c r="BM684" t="s">
        <v>13809</v>
      </c>
      <c r="BR684" t="s">
        <v>23660</v>
      </c>
      <c r="BT684" t="s">
        <v>13809</v>
      </c>
      <c r="BY684" t="s">
        <v>13885</v>
      </c>
      <c r="BZ684" t="s">
        <v>13808</v>
      </c>
      <c r="CA684" t="s">
        <v>13888</v>
      </c>
      <c r="CF684" t="s">
        <v>13809</v>
      </c>
      <c r="CK684" t="s">
        <v>15280</v>
      </c>
      <c r="CL684" t="s">
        <v>13808</v>
      </c>
      <c r="CM684" t="s">
        <v>23661</v>
      </c>
      <c r="CR684" t="s">
        <v>13809</v>
      </c>
      <c r="CT684" t="s">
        <v>23662</v>
      </c>
      <c r="CV684" t="s">
        <v>13809</v>
      </c>
      <c r="DB684" t="s">
        <v>13809</v>
      </c>
      <c r="DH684" t="s">
        <v>13809</v>
      </c>
      <c r="DM684" t="s">
        <v>23663</v>
      </c>
      <c r="DN684" t="s">
        <v>13897</v>
      </c>
      <c r="DO684" t="s">
        <v>23664</v>
      </c>
      <c r="DP684" t="s">
        <v>23665</v>
      </c>
      <c r="DR684" t="s">
        <v>13808</v>
      </c>
      <c r="DY684" t="s">
        <v>13920</v>
      </c>
      <c r="DZ684" t="s">
        <v>23666</v>
      </c>
      <c r="EA684" t="s">
        <v>23667</v>
      </c>
      <c r="ED684" t="s">
        <v>14501</v>
      </c>
      <c r="EE684" t="s">
        <v>13649</v>
      </c>
    </row>
    <row r="685" spans="1:135">
      <c r="A685" t="s">
        <v>8761</v>
      </c>
      <c r="B685" t="s">
        <v>3808</v>
      </c>
      <c r="C685" t="s">
        <v>22086</v>
      </c>
      <c r="D685" s="24">
        <v>44771</v>
      </c>
      <c r="E685" s="24" t="s">
        <v>13553</v>
      </c>
      <c r="F685" s="24" t="s">
        <v>23668</v>
      </c>
      <c r="G685" s="24" t="s">
        <v>13808</v>
      </c>
      <c r="H685" s="24"/>
      <c r="I685" s="24" t="s">
        <v>13809</v>
      </c>
      <c r="J685" s="24"/>
      <c r="K685" s="24" t="s">
        <v>13808</v>
      </c>
      <c r="L685" s="24"/>
      <c r="M685" s="24" t="s">
        <v>13846</v>
      </c>
      <c r="N685" s="24" t="s">
        <v>13808</v>
      </c>
      <c r="O685" s="24"/>
      <c r="P685" s="24" t="s">
        <v>13808</v>
      </c>
      <c r="Q685" s="24"/>
      <c r="R685" s="24" t="s">
        <v>13808</v>
      </c>
      <c r="S685" s="24"/>
      <c r="T685" t="s">
        <v>19402</v>
      </c>
      <c r="U685" t="s">
        <v>13809</v>
      </c>
      <c r="W685" t="s">
        <v>13809</v>
      </c>
      <c r="Y685" t="s">
        <v>13809</v>
      </c>
      <c r="AA685" t="s">
        <v>13849</v>
      </c>
      <c r="AB685" t="s">
        <v>23669</v>
      </c>
      <c r="AC685" t="s">
        <v>13808</v>
      </c>
      <c r="AD685" t="s">
        <v>23670</v>
      </c>
      <c r="AH685" t="s">
        <v>14073</v>
      </c>
      <c r="AI685" t="s">
        <v>13808</v>
      </c>
      <c r="AN685" t="s">
        <v>23671</v>
      </c>
      <c r="AO685" t="s">
        <v>13808</v>
      </c>
      <c r="AP685" t="s">
        <v>23670</v>
      </c>
      <c r="AT685" t="s">
        <v>23672</v>
      </c>
      <c r="AU685" t="s">
        <v>13808</v>
      </c>
      <c r="AV685" t="s">
        <v>23670</v>
      </c>
      <c r="AZ685" t="s">
        <v>23673</v>
      </c>
      <c r="BA685" t="s">
        <v>13808</v>
      </c>
      <c r="BB685" t="s">
        <v>23670</v>
      </c>
      <c r="BF685" t="s">
        <v>14211</v>
      </c>
      <c r="BG685" t="s">
        <v>13808</v>
      </c>
      <c r="BH685" t="s">
        <v>23670</v>
      </c>
      <c r="BL685" t="s">
        <v>23674</v>
      </c>
      <c r="BM685" t="s">
        <v>13808</v>
      </c>
      <c r="BN685" t="s">
        <v>23670</v>
      </c>
      <c r="BR685" t="s">
        <v>23675</v>
      </c>
      <c r="BS685" t="s">
        <v>13824</v>
      </c>
      <c r="BT685" t="s">
        <v>13808</v>
      </c>
      <c r="BU685" t="s">
        <v>23676</v>
      </c>
      <c r="BY685" t="s">
        <v>13826</v>
      </c>
      <c r="BZ685" t="s">
        <v>13808</v>
      </c>
      <c r="CA685" t="s">
        <v>23677</v>
      </c>
      <c r="CE685" t="s">
        <v>13828</v>
      </c>
      <c r="CF685" t="s">
        <v>13808</v>
      </c>
      <c r="CG685" t="s">
        <v>23678</v>
      </c>
      <c r="CK685" t="s">
        <v>13760</v>
      </c>
      <c r="CL685" t="s">
        <v>13809</v>
      </c>
      <c r="CQ685" t="s">
        <v>13766</v>
      </c>
      <c r="CR685" t="s">
        <v>13809</v>
      </c>
      <c r="CT685" t="s">
        <v>23679</v>
      </c>
      <c r="CU685" t="s">
        <v>23680</v>
      </c>
      <c r="CV685" t="s">
        <v>13808</v>
      </c>
      <c r="DA685" t="s">
        <v>23681</v>
      </c>
      <c r="DB685" t="s">
        <v>13808</v>
      </c>
      <c r="DM685" t="s">
        <v>23682</v>
      </c>
      <c r="DN685" t="s">
        <v>13808</v>
      </c>
      <c r="DY685" t="s">
        <v>13840</v>
      </c>
      <c r="DZ685" t="s">
        <v>13841</v>
      </c>
      <c r="EA685" t="s">
        <v>14182</v>
      </c>
      <c r="EC685">
        <v>44782</v>
      </c>
      <c r="ED685" t="s">
        <v>14298</v>
      </c>
      <c r="EE685" t="s">
        <v>8762</v>
      </c>
    </row>
    <row r="686" spans="1:135">
      <c r="A686" t="s">
        <v>4203</v>
      </c>
      <c r="B686" t="s">
        <v>4201</v>
      </c>
      <c r="C686" t="s">
        <v>23683</v>
      </c>
      <c r="D686" s="24">
        <v>44560</v>
      </c>
      <c r="E686" s="24" t="s">
        <v>13558</v>
      </c>
      <c r="F686" s="24" t="s">
        <v>23684</v>
      </c>
      <c r="G686" s="24" t="s">
        <v>13808</v>
      </c>
      <c r="H686" s="24"/>
      <c r="I686" s="24" t="s">
        <v>13809</v>
      </c>
      <c r="J686" s="24"/>
      <c r="K686" s="24" t="s">
        <v>13808</v>
      </c>
      <c r="L686" s="24" t="s">
        <v>23685</v>
      </c>
      <c r="M686" s="24" t="s">
        <v>18884</v>
      </c>
      <c r="N686" s="24" t="s">
        <v>13808</v>
      </c>
      <c r="O686" s="24"/>
      <c r="P686" s="24" t="s">
        <v>13808</v>
      </c>
      <c r="Q686" s="24"/>
      <c r="R686" s="24" t="s">
        <v>13808</v>
      </c>
      <c r="S686" s="24"/>
      <c r="T686" t="s">
        <v>14071</v>
      </c>
      <c r="U686" t="s">
        <v>13809</v>
      </c>
      <c r="W686" t="s">
        <v>13809</v>
      </c>
      <c r="Y686" t="s">
        <v>13809</v>
      </c>
      <c r="AA686" t="s">
        <v>23686</v>
      </c>
      <c r="AB686" t="s">
        <v>15973</v>
      </c>
      <c r="AC686" t="s">
        <v>19698</v>
      </c>
      <c r="AH686" t="s">
        <v>13887</v>
      </c>
      <c r="AI686" t="s">
        <v>13808</v>
      </c>
      <c r="AK686" t="s">
        <v>14625</v>
      </c>
      <c r="AL686" t="s">
        <v>13818</v>
      </c>
      <c r="AM686" t="s">
        <v>13819</v>
      </c>
      <c r="AN686" t="s">
        <v>15898</v>
      </c>
      <c r="AO686" t="s">
        <v>13818</v>
      </c>
      <c r="AP686" t="s">
        <v>13819</v>
      </c>
      <c r="AT686" t="s">
        <v>15008</v>
      </c>
      <c r="AU686" t="s">
        <v>13808</v>
      </c>
      <c r="AZ686" t="s">
        <v>16048</v>
      </c>
      <c r="BA686" t="s">
        <v>13808</v>
      </c>
      <c r="BF686" t="s">
        <v>14189</v>
      </c>
      <c r="BG686" t="s">
        <v>13808</v>
      </c>
      <c r="BL686" t="s">
        <v>14433</v>
      </c>
      <c r="BM686" t="s">
        <v>13818</v>
      </c>
      <c r="BN686" t="s">
        <v>18178</v>
      </c>
      <c r="BR686" t="s">
        <v>22126</v>
      </c>
      <c r="BS686" t="s">
        <v>13887</v>
      </c>
      <c r="BT686" t="s">
        <v>13808</v>
      </c>
      <c r="BU686" t="s">
        <v>14336</v>
      </c>
      <c r="BY686" t="s">
        <v>13887</v>
      </c>
      <c r="BZ686" t="s">
        <v>13808</v>
      </c>
      <c r="CA686" t="s">
        <v>13937</v>
      </c>
      <c r="CB686" t="s">
        <v>14419</v>
      </c>
      <c r="CC686" t="s">
        <v>13808</v>
      </c>
      <c r="CD686" t="s">
        <v>13937</v>
      </c>
      <c r="CE686" t="s">
        <v>13887</v>
      </c>
      <c r="CF686" t="s">
        <v>13808</v>
      </c>
      <c r="CL686" t="s">
        <v>13809</v>
      </c>
      <c r="CR686" t="s">
        <v>13809</v>
      </c>
      <c r="CT686" t="s">
        <v>14781</v>
      </c>
      <c r="CU686" t="s">
        <v>23687</v>
      </c>
      <c r="CV686" t="s">
        <v>13818</v>
      </c>
      <c r="DA686" t="s">
        <v>23688</v>
      </c>
      <c r="DB686" t="s">
        <v>13818</v>
      </c>
      <c r="DG686" t="s">
        <v>23689</v>
      </c>
      <c r="DH686" t="s">
        <v>13818</v>
      </c>
      <c r="DJ686" t="s">
        <v>23690</v>
      </c>
      <c r="DK686" t="s">
        <v>13818</v>
      </c>
      <c r="DM686" t="s">
        <v>23691</v>
      </c>
      <c r="DN686" t="s">
        <v>13818</v>
      </c>
      <c r="DO686" t="s">
        <v>23692</v>
      </c>
      <c r="DY686" t="s">
        <v>13840</v>
      </c>
      <c r="DZ686" t="s">
        <v>13841</v>
      </c>
      <c r="EA686" t="s">
        <v>18291</v>
      </c>
      <c r="EC686">
        <v>44564</v>
      </c>
      <c r="ED686" t="s">
        <v>14501</v>
      </c>
      <c r="EE686" t="s">
        <v>9072</v>
      </c>
    </row>
    <row r="687" spans="1:135">
      <c r="A687" t="s">
        <v>4210</v>
      </c>
      <c r="B687" t="s">
        <v>4201</v>
      </c>
      <c r="C687" t="s">
        <v>23693</v>
      </c>
      <c r="D687" s="24">
        <v>43461</v>
      </c>
      <c r="E687" s="24" t="s">
        <v>13564</v>
      </c>
      <c r="F687" s="24" t="s">
        <v>23694</v>
      </c>
      <c r="G687" s="24" t="s">
        <v>13808</v>
      </c>
      <c r="H687" s="24"/>
      <c r="I687" s="24" t="s">
        <v>13809</v>
      </c>
      <c r="J687" s="24"/>
      <c r="K687" s="24" t="s">
        <v>13808</v>
      </c>
      <c r="L687" s="24"/>
      <c r="M687" s="24" t="s">
        <v>15299</v>
      </c>
      <c r="N687" s="24" t="s">
        <v>13808</v>
      </c>
      <c r="O687" s="24"/>
      <c r="P687" s="24" t="s">
        <v>13808</v>
      </c>
      <c r="Q687" s="24"/>
      <c r="R687" s="24" t="s">
        <v>13808</v>
      </c>
      <c r="S687" s="24"/>
      <c r="T687" t="s">
        <v>13907</v>
      </c>
      <c r="U687" t="s">
        <v>13809</v>
      </c>
      <c r="W687" t="s">
        <v>13808</v>
      </c>
      <c r="X687" t="s">
        <v>23695</v>
      </c>
      <c r="Y687" t="s">
        <v>13809</v>
      </c>
      <c r="AA687" t="s">
        <v>15330</v>
      </c>
      <c r="AB687" t="s">
        <v>15822</v>
      </c>
      <c r="AC687" t="s">
        <v>13808</v>
      </c>
      <c r="AH687" t="s">
        <v>13887</v>
      </c>
      <c r="AI687" t="s">
        <v>13808</v>
      </c>
      <c r="AN687" t="s">
        <v>23696</v>
      </c>
      <c r="AO687" t="s">
        <v>13808</v>
      </c>
      <c r="AT687" t="s">
        <v>14419</v>
      </c>
      <c r="AU687" t="s">
        <v>13808</v>
      </c>
      <c r="AZ687" t="s">
        <v>15633</v>
      </c>
      <c r="BA687" t="s">
        <v>13808</v>
      </c>
      <c r="BF687" t="s">
        <v>14008</v>
      </c>
      <c r="BG687" t="s">
        <v>13808</v>
      </c>
      <c r="BL687" t="s">
        <v>13809</v>
      </c>
      <c r="BR687" t="s">
        <v>23697</v>
      </c>
      <c r="BS687" t="s">
        <v>13887</v>
      </c>
      <c r="BT687" t="s">
        <v>13808</v>
      </c>
      <c r="BU687" t="s">
        <v>14128</v>
      </c>
      <c r="BY687" t="s">
        <v>13887</v>
      </c>
      <c r="BZ687" t="s">
        <v>13808</v>
      </c>
      <c r="CA687" t="s">
        <v>23698</v>
      </c>
      <c r="CE687" t="s">
        <v>14265</v>
      </c>
      <c r="CF687" t="s">
        <v>13808</v>
      </c>
      <c r="CL687" t="s">
        <v>13809</v>
      </c>
      <c r="CR687" t="s">
        <v>13809</v>
      </c>
      <c r="CT687" t="s">
        <v>14082</v>
      </c>
      <c r="CU687" t="s">
        <v>13909</v>
      </c>
      <c r="CV687" t="s">
        <v>13818</v>
      </c>
      <c r="DA687" t="s">
        <v>13909</v>
      </c>
      <c r="DB687" t="s">
        <v>13818</v>
      </c>
      <c r="DH687" t="s">
        <v>13809</v>
      </c>
      <c r="DM687" t="s">
        <v>23699</v>
      </c>
      <c r="DN687" t="s">
        <v>13808</v>
      </c>
      <c r="DZ687" t="s">
        <v>14274</v>
      </c>
      <c r="EA687" t="s">
        <v>16821</v>
      </c>
      <c r="EC687">
        <v>44095</v>
      </c>
      <c r="ED687" t="s">
        <v>13903</v>
      </c>
      <c r="EE687" t="s">
        <v>9078</v>
      </c>
    </row>
    <row r="688" spans="1:135">
      <c r="A688" t="s">
        <v>4214</v>
      </c>
      <c r="B688" t="s">
        <v>4201</v>
      </c>
      <c r="C688" t="s">
        <v>23700</v>
      </c>
      <c r="D688" s="24">
        <v>42867</v>
      </c>
      <c r="E688" s="24" t="s">
        <v>13560</v>
      </c>
      <c r="F688" s="24" t="s">
        <v>23701</v>
      </c>
      <c r="G688" s="24" t="s">
        <v>13808</v>
      </c>
      <c r="H688" s="24"/>
      <c r="I688" s="24" t="s">
        <v>13809</v>
      </c>
      <c r="J688" s="24"/>
      <c r="K688" s="24" t="s">
        <v>13809</v>
      </c>
      <c r="L688" s="24"/>
      <c r="M688" s="24" t="s">
        <v>15299</v>
      </c>
      <c r="N688" s="24" t="s">
        <v>13808</v>
      </c>
      <c r="O688" s="24"/>
      <c r="P688" s="24" t="s">
        <v>13808</v>
      </c>
      <c r="Q688" s="24"/>
      <c r="R688" s="24" t="s">
        <v>13808</v>
      </c>
      <c r="S688" s="24"/>
      <c r="T688" t="s">
        <v>23702</v>
      </c>
      <c r="U688" t="s">
        <v>13809</v>
      </c>
      <c r="W688" t="s">
        <v>13808</v>
      </c>
      <c r="X688" t="s">
        <v>23703</v>
      </c>
      <c r="Y688" t="s">
        <v>13809</v>
      </c>
      <c r="AA688" t="s">
        <v>15330</v>
      </c>
      <c r="AB688" t="s">
        <v>23704</v>
      </c>
      <c r="AC688" t="s">
        <v>13808</v>
      </c>
      <c r="AH688" t="s">
        <v>18402</v>
      </c>
      <c r="AI688" t="s">
        <v>13808</v>
      </c>
      <c r="AO688" t="s">
        <v>13809</v>
      </c>
      <c r="AT688" t="s">
        <v>14367</v>
      </c>
      <c r="AU688" t="s">
        <v>13808</v>
      </c>
      <c r="AZ688" t="s">
        <v>15883</v>
      </c>
      <c r="BA688" t="s">
        <v>13808</v>
      </c>
      <c r="BB688" t="s">
        <v>23705</v>
      </c>
      <c r="BF688" t="s">
        <v>14730</v>
      </c>
      <c r="BG688" t="s">
        <v>13808</v>
      </c>
      <c r="BL688" t="s">
        <v>13809</v>
      </c>
      <c r="BR688" t="s">
        <v>15974</v>
      </c>
      <c r="BS688" t="s">
        <v>13887</v>
      </c>
      <c r="BT688" t="s">
        <v>13808</v>
      </c>
      <c r="BU688" t="s">
        <v>14336</v>
      </c>
      <c r="BY688" t="s">
        <v>13887</v>
      </c>
      <c r="BZ688" t="s">
        <v>13808</v>
      </c>
      <c r="CA688" t="s">
        <v>23706</v>
      </c>
      <c r="CE688" t="s">
        <v>13887</v>
      </c>
      <c r="CF688" t="s">
        <v>13808</v>
      </c>
      <c r="CL688" t="s">
        <v>13809</v>
      </c>
      <c r="CR688" t="s">
        <v>13809</v>
      </c>
      <c r="CT688" t="s">
        <v>23707</v>
      </c>
      <c r="CU688" t="s">
        <v>18402</v>
      </c>
      <c r="CV688" t="s">
        <v>13818</v>
      </c>
      <c r="DA688" t="s">
        <v>18402</v>
      </c>
      <c r="DB688" t="s">
        <v>13818</v>
      </c>
      <c r="DG688" t="s">
        <v>18402</v>
      </c>
      <c r="DH688" t="s">
        <v>13818</v>
      </c>
      <c r="DM688" t="s">
        <v>14730</v>
      </c>
      <c r="DN688" t="s">
        <v>13808</v>
      </c>
      <c r="DO688" t="s">
        <v>18865</v>
      </c>
      <c r="DZ688" t="s">
        <v>23708</v>
      </c>
      <c r="EA688" t="s">
        <v>16821</v>
      </c>
      <c r="EC688">
        <v>44095</v>
      </c>
      <c r="ED688" t="s">
        <v>13903</v>
      </c>
      <c r="EE688" t="s">
        <v>9082</v>
      </c>
    </row>
    <row r="689" spans="1:135">
      <c r="A689" t="s">
        <v>4218</v>
      </c>
      <c r="B689" t="s">
        <v>4201</v>
      </c>
      <c r="C689" t="s">
        <v>23709</v>
      </c>
      <c r="D689" s="24">
        <v>43461</v>
      </c>
      <c r="E689" s="24" t="s">
        <v>13560</v>
      </c>
      <c r="F689" s="24" t="s">
        <v>23710</v>
      </c>
      <c r="G689" s="24" t="s">
        <v>13808</v>
      </c>
      <c r="H689" s="24"/>
      <c r="I689" s="24" t="s">
        <v>13809</v>
      </c>
      <c r="J689" s="24"/>
      <c r="K689" s="24" t="s">
        <v>13808</v>
      </c>
      <c r="L689" s="24"/>
      <c r="M689" s="24" t="s">
        <v>23711</v>
      </c>
      <c r="N689" s="24" t="s">
        <v>13808</v>
      </c>
      <c r="O689" s="24"/>
      <c r="P689" s="24" t="s">
        <v>13808</v>
      </c>
      <c r="Q689" s="24"/>
      <c r="R689" s="24" t="s">
        <v>13808</v>
      </c>
      <c r="S689" s="24"/>
      <c r="T689" t="s">
        <v>15222</v>
      </c>
      <c r="U689" t="s">
        <v>13809</v>
      </c>
      <c r="W689" t="s">
        <v>13809</v>
      </c>
      <c r="Y689" t="s">
        <v>13808</v>
      </c>
      <c r="AA689" t="s">
        <v>23712</v>
      </c>
      <c r="AC689" t="s">
        <v>13809</v>
      </c>
      <c r="AH689" t="s">
        <v>13887</v>
      </c>
      <c r="AI689" t="s">
        <v>13808</v>
      </c>
      <c r="AJ689" t="s">
        <v>23713</v>
      </c>
      <c r="AK689" t="s">
        <v>20959</v>
      </c>
      <c r="AL689" t="s">
        <v>13818</v>
      </c>
      <c r="AM689" t="s">
        <v>13819</v>
      </c>
      <c r="AO689" t="s">
        <v>13809</v>
      </c>
      <c r="AU689" t="s">
        <v>13809</v>
      </c>
      <c r="AZ689" t="s">
        <v>14598</v>
      </c>
      <c r="BA689" t="s">
        <v>13818</v>
      </c>
      <c r="BB689" t="s">
        <v>13819</v>
      </c>
      <c r="BF689" t="s">
        <v>13887</v>
      </c>
      <c r="BG689" t="s">
        <v>13808</v>
      </c>
      <c r="BL689" t="s">
        <v>13809</v>
      </c>
      <c r="BR689" t="s">
        <v>23714</v>
      </c>
      <c r="BT689" t="s">
        <v>13809</v>
      </c>
      <c r="BY689" t="s">
        <v>13887</v>
      </c>
      <c r="BZ689" t="s">
        <v>13808</v>
      </c>
      <c r="CA689" t="s">
        <v>13937</v>
      </c>
      <c r="CF689" t="s">
        <v>13809</v>
      </c>
      <c r="CK689" t="s">
        <v>13887</v>
      </c>
      <c r="CL689" t="s">
        <v>13808</v>
      </c>
      <c r="CM689" t="s">
        <v>16568</v>
      </c>
      <c r="CR689" t="s">
        <v>13809</v>
      </c>
      <c r="CT689" t="s">
        <v>14561</v>
      </c>
      <c r="CU689" t="s">
        <v>13887</v>
      </c>
      <c r="CV689" t="s">
        <v>13808</v>
      </c>
      <c r="CX689" t="s">
        <v>14004</v>
      </c>
      <c r="CY689" t="s">
        <v>13818</v>
      </c>
      <c r="DA689" t="s">
        <v>13887</v>
      </c>
      <c r="DB689" t="s">
        <v>13808</v>
      </c>
      <c r="DD689" t="s">
        <v>14004</v>
      </c>
      <c r="DE689" t="s">
        <v>13818</v>
      </c>
      <c r="DG689" t="s">
        <v>13909</v>
      </c>
      <c r="DH689" t="s">
        <v>13818</v>
      </c>
      <c r="DZ689" t="s">
        <v>14274</v>
      </c>
      <c r="EA689" t="s">
        <v>14201</v>
      </c>
      <c r="EC689">
        <v>43480</v>
      </c>
      <c r="ED689" t="s">
        <v>13903</v>
      </c>
      <c r="EE689" t="s">
        <v>9086</v>
      </c>
    </row>
    <row r="690" spans="1:135">
      <c r="A690" t="s">
        <v>4222</v>
      </c>
      <c r="B690" t="s">
        <v>4201</v>
      </c>
      <c r="C690" t="s">
        <v>23715</v>
      </c>
      <c r="D690" s="24">
        <v>43726</v>
      </c>
      <c r="E690" s="24" t="s">
        <v>13553</v>
      </c>
      <c r="F690" s="24" t="s">
        <v>23716</v>
      </c>
      <c r="G690" s="24" t="s">
        <v>13808</v>
      </c>
      <c r="H690" s="24"/>
      <c r="I690" s="24" t="s">
        <v>13809</v>
      </c>
      <c r="J690" s="24"/>
      <c r="K690" s="24" t="s">
        <v>13808</v>
      </c>
      <c r="L690" s="24" t="s">
        <v>23717</v>
      </c>
      <c r="M690" s="24" t="s">
        <v>23718</v>
      </c>
      <c r="N690" s="24" t="s">
        <v>13808</v>
      </c>
      <c r="O690" s="24"/>
      <c r="P690" s="24" t="s">
        <v>13808</v>
      </c>
      <c r="Q690" s="24"/>
      <c r="R690" s="24" t="s">
        <v>13808</v>
      </c>
      <c r="S690" s="24"/>
      <c r="T690" t="s">
        <v>16194</v>
      </c>
      <c r="U690" t="s">
        <v>13809</v>
      </c>
      <c r="W690" t="s">
        <v>13808</v>
      </c>
      <c r="X690" t="s">
        <v>23719</v>
      </c>
      <c r="Y690" t="s">
        <v>13809</v>
      </c>
      <c r="AA690" t="s">
        <v>13877</v>
      </c>
      <c r="AB690" t="s">
        <v>14732</v>
      </c>
      <c r="AC690" t="s">
        <v>13808</v>
      </c>
      <c r="AH690" t="s">
        <v>13909</v>
      </c>
      <c r="AI690" t="s">
        <v>13808</v>
      </c>
      <c r="AN690" t="s">
        <v>14005</v>
      </c>
      <c r="AO690" t="s">
        <v>13808</v>
      </c>
      <c r="AT690" t="s">
        <v>15898</v>
      </c>
      <c r="AU690" t="s">
        <v>13808</v>
      </c>
      <c r="AZ690" t="s">
        <v>15276</v>
      </c>
      <c r="BA690" t="s">
        <v>13808</v>
      </c>
      <c r="BF690" t="s">
        <v>14018</v>
      </c>
      <c r="BG690" t="s">
        <v>13808</v>
      </c>
      <c r="BM690" t="s">
        <v>13809</v>
      </c>
      <c r="BR690" t="s">
        <v>23720</v>
      </c>
      <c r="BS690" t="s">
        <v>13885</v>
      </c>
      <c r="BT690" t="s">
        <v>13808</v>
      </c>
      <c r="BU690" t="s">
        <v>23721</v>
      </c>
      <c r="BY690" t="s">
        <v>13887</v>
      </c>
      <c r="BZ690" t="s">
        <v>13808</v>
      </c>
      <c r="CA690" t="s">
        <v>14026</v>
      </c>
      <c r="CE690" t="s">
        <v>13885</v>
      </c>
      <c r="CF690" t="s">
        <v>13808</v>
      </c>
      <c r="CG690" t="s">
        <v>14173</v>
      </c>
      <c r="CL690" t="s">
        <v>13809</v>
      </c>
      <c r="CR690" t="s">
        <v>13809</v>
      </c>
      <c r="CT690" t="s">
        <v>23722</v>
      </c>
      <c r="CU690" t="s">
        <v>23723</v>
      </c>
      <c r="CV690" t="s">
        <v>13808</v>
      </c>
      <c r="DA690" t="s">
        <v>23724</v>
      </c>
      <c r="DB690" t="s">
        <v>13808</v>
      </c>
      <c r="DG690" t="s">
        <v>23725</v>
      </c>
      <c r="DH690" t="s">
        <v>13808</v>
      </c>
      <c r="DI690" t="s">
        <v>23726</v>
      </c>
      <c r="DM690" t="s">
        <v>23727</v>
      </c>
      <c r="DN690" t="s">
        <v>13808</v>
      </c>
      <c r="DY690" t="s">
        <v>13900</v>
      </c>
      <c r="DZ690" t="s">
        <v>23728</v>
      </c>
      <c r="EA690" t="s">
        <v>16115</v>
      </c>
      <c r="ED690" t="s">
        <v>14501</v>
      </c>
      <c r="EE690" t="s">
        <v>9090</v>
      </c>
    </row>
    <row r="691" spans="1:135">
      <c r="A691" t="s">
        <v>4229</v>
      </c>
      <c r="B691" t="s">
        <v>4201</v>
      </c>
      <c r="C691" t="s">
        <v>23729</v>
      </c>
      <c r="D691" s="24">
        <v>44512</v>
      </c>
      <c r="E691" s="24" t="s">
        <v>13558</v>
      </c>
      <c r="F691" s="24" t="s">
        <v>23730</v>
      </c>
      <c r="G691" s="24" t="s">
        <v>13808</v>
      </c>
      <c r="H691" s="24"/>
      <c r="I691" s="24" t="s">
        <v>13809</v>
      </c>
      <c r="J691" s="24"/>
      <c r="K691" s="24" t="s">
        <v>13808</v>
      </c>
      <c r="L691" s="24"/>
      <c r="M691" s="24" t="s">
        <v>19016</v>
      </c>
      <c r="N691" s="24" t="s">
        <v>13818</v>
      </c>
      <c r="O691" s="24"/>
      <c r="P691" s="24" t="s">
        <v>13818</v>
      </c>
      <c r="Q691" s="24" t="s">
        <v>23731</v>
      </c>
      <c r="R691" s="24" t="s">
        <v>13808</v>
      </c>
      <c r="S691" s="24"/>
      <c r="T691" t="s">
        <v>23732</v>
      </c>
      <c r="U691" t="s">
        <v>13809</v>
      </c>
      <c r="W691" t="s">
        <v>13809</v>
      </c>
      <c r="Y691" t="s">
        <v>13809</v>
      </c>
      <c r="AA691" t="s">
        <v>23733</v>
      </c>
      <c r="AB691" t="s">
        <v>18697</v>
      </c>
      <c r="AC691" t="s">
        <v>13818</v>
      </c>
      <c r="AD691" t="s">
        <v>14309</v>
      </c>
      <c r="AH691" t="s">
        <v>14265</v>
      </c>
      <c r="AI691" t="s">
        <v>13808</v>
      </c>
      <c r="AK691" t="s">
        <v>14625</v>
      </c>
      <c r="AL691" t="s">
        <v>13818</v>
      </c>
      <c r="AM691" t="s">
        <v>14309</v>
      </c>
      <c r="AN691" t="s">
        <v>16046</v>
      </c>
      <c r="AO691" t="s">
        <v>13818</v>
      </c>
      <c r="AP691" t="s">
        <v>14309</v>
      </c>
      <c r="AT691" t="s">
        <v>18794</v>
      </c>
      <c r="AU691" t="s">
        <v>13818</v>
      </c>
      <c r="AV691" t="s">
        <v>14309</v>
      </c>
      <c r="AZ691" t="s">
        <v>23734</v>
      </c>
      <c r="BA691" t="s">
        <v>13808</v>
      </c>
      <c r="BC691" t="s">
        <v>18925</v>
      </c>
      <c r="BD691" t="s">
        <v>13818</v>
      </c>
      <c r="BE691" t="s">
        <v>14309</v>
      </c>
      <c r="BF691" t="s">
        <v>17154</v>
      </c>
      <c r="BG691" t="s">
        <v>13818</v>
      </c>
      <c r="BH691" t="s">
        <v>14309</v>
      </c>
      <c r="BL691" t="s">
        <v>14059</v>
      </c>
      <c r="BM691" t="s">
        <v>13818</v>
      </c>
      <c r="BN691" t="s">
        <v>14309</v>
      </c>
      <c r="BR691" t="s">
        <v>23735</v>
      </c>
      <c r="BS691" t="s">
        <v>13887</v>
      </c>
      <c r="BT691" t="s">
        <v>13818</v>
      </c>
      <c r="BU691" t="s">
        <v>14233</v>
      </c>
      <c r="BY691" t="s">
        <v>14265</v>
      </c>
      <c r="BZ691" t="s">
        <v>13808</v>
      </c>
      <c r="CA691" t="s">
        <v>13937</v>
      </c>
      <c r="CE691" t="s">
        <v>13887</v>
      </c>
      <c r="CF691" t="s">
        <v>13818</v>
      </c>
      <c r="CG691" t="s">
        <v>23736</v>
      </c>
      <c r="CL691" t="s">
        <v>13809</v>
      </c>
      <c r="CR691" t="s">
        <v>13809</v>
      </c>
      <c r="CT691" t="s">
        <v>14781</v>
      </c>
      <c r="CU691" t="s">
        <v>23737</v>
      </c>
      <c r="CV691" t="s">
        <v>13818</v>
      </c>
      <c r="CW691" t="s">
        <v>23738</v>
      </c>
      <c r="DA691" t="s">
        <v>23739</v>
      </c>
      <c r="DB691" t="s">
        <v>13818</v>
      </c>
      <c r="DC691" t="s">
        <v>23738</v>
      </c>
      <c r="DG691" t="s">
        <v>23740</v>
      </c>
      <c r="DH691" t="s">
        <v>13818</v>
      </c>
      <c r="DI691" t="s">
        <v>23738</v>
      </c>
      <c r="DJ691" t="s">
        <v>23741</v>
      </c>
      <c r="DK691" t="s">
        <v>13818</v>
      </c>
      <c r="DL691" t="s">
        <v>23738</v>
      </c>
      <c r="DY691" t="s">
        <v>13840</v>
      </c>
      <c r="DZ691" t="s">
        <v>14274</v>
      </c>
      <c r="EA691" t="s">
        <v>18291</v>
      </c>
      <c r="EC691">
        <v>44512</v>
      </c>
      <c r="ED691" t="s">
        <v>14501</v>
      </c>
      <c r="EE691" t="s">
        <v>9094</v>
      </c>
    </row>
    <row r="692" spans="1:135">
      <c r="A692" t="s">
        <v>4236</v>
      </c>
      <c r="B692" t="s">
        <v>4201</v>
      </c>
      <c r="C692" t="s">
        <v>23742</v>
      </c>
      <c r="D692" s="24">
        <v>44482</v>
      </c>
      <c r="E692" s="24" t="s">
        <v>13559</v>
      </c>
      <c r="F692" s="24" t="s">
        <v>23743</v>
      </c>
      <c r="G692" s="24" t="s">
        <v>13808</v>
      </c>
      <c r="H692" s="24" t="s">
        <v>23744</v>
      </c>
      <c r="I692" s="24" t="s">
        <v>13809</v>
      </c>
      <c r="J692" s="24"/>
      <c r="K692" s="24" t="s">
        <v>13809</v>
      </c>
      <c r="L692" s="24"/>
      <c r="M692" s="24" t="s">
        <v>23745</v>
      </c>
      <c r="N692" s="24" t="s">
        <v>13808</v>
      </c>
      <c r="O692" s="24"/>
      <c r="P692" s="24" t="s">
        <v>13808</v>
      </c>
      <c r="Q692" s="24"/>
      <c r="R692" s="24" t="s">
        <v>13808</v>
      </c>
      <c r="S692" s="24" t="s">
        <v>23746</v>
      </c>
      <c r="T692" t="s">
        <v>15222</v>
      </c>
      <c r="U692" t="s">
        <v>13809</v>
      </c>
      <c r="W692" t="s">
        <v>13809</v>
      </c>
      <c r="Y692" t="s">
        <v>13809</v>
      </c>
      <c r="AA692" t="s">
        <v>14551</v>
      </c>
      <c r="AC692" t="s">
        <v>23747</v>
      </c>
      <c r="AH692" t="s">
        <v>23748</v>
      </c>
      <c r="AI692" t="s">
        <v>13808</v>
      </c>
      <c r="AK692" t="s">
        <v>14004</v>
      </c>
      <c r="AL692" t="s">
        <v>13818</v>
      </c>
      <c r="AM692" t="s">
        <v>14309</v>
      </c>
      <c r="AN692" t="s">
        <v>13809</v>
      </c>
      <c r="AT692" t="s">
        <v>15209</v>
      </c>
      <c r="AU692" t="s">
        <v>13818</v>
      </c>
      <c r="AV692" t="s">
        <v>18178</v>
      </c>
      <c r="AZ692" t="s">
        <v>13885</v>
      </c>
      <c r="BA692" t="s">
        <v>13818</v>
      </c>
      <c r="BB692" t="s">
        <v>14309</v>
      </c>
      <c r="BF692" t="s">
        <v>23749</v>
      </c>
      <c r="BG692" t="s">
        <v>13818</v>
      </c>
      <c r="BH692" t="s">
        <v>14309</v>
      </c>
      <c r="BL692" t="s">
        <v>13809</v>
      </c>
      <c r="BR692" t="s">
        <v>23750</v>
      </c>
      <c r="BS692" t="s">
        <v>13885</v>
      </c>
      <c r="BT692" t="s">
        <v>13818</v>
      </c>
      <c r="BU692" t="s">
        <v>23751</v>
      </c>
      <c r="BY692" t="s">
        <v>13887</v>
      </c>
      <c r="BZ692" t="s">
        <v>13808</v>
      </c>
      <c r="CA692" t="s">
        <v>13937</v>
      </c>
      <c r="CE692" t="s">
        <v>14197</v>
      </c>
      <c r="CF692" t="s">
        <v>13818</v>
      </c>
      <c r="CG692" t="s">
        <v>13819</v>
      </c>
      <c r="CL692" t="s">
        <v>13809</v>
      </c>
      <c r="CR692" t="s">
        <v>13809</v>
      </c>
      <c r="CT692" t="s">
        <v>23752</v>
      </c>
      <c r="CU692" t="s">
        <v>20630</v>
      </c>
      <c r="CV692" t="s">
        <v>13808</v>
      </c>
      <c r="CX692" t="s">
        <v>23753</v>
      </c>
      <c r="CY692" t="s">
        <v>13818</v>
      </c>
      <c r="CZ692" t="s">
        <v>23754</v>
      </c>
      <c r="DA692" t="s">
        <v>23755</v>
      </c>
      <c r="DB692" t="s">
        <v>13818</v>
      </c>
      <c r="DC692" t="s">
        <v>23754</v>
      </c>
      <c r="DG692" t="s">
        <v>23756</v>
      </c>
      <c r="DH692" t="s">
        <v>13818</v>
      </c>
      <c r="DM692" t="s">
        <v>16591</v>
      </c>
      <c r="DN692" t="s">
        <v>13808</v>
      </c>
      <c r="DP692" t="s">
        <v>23757</v>
      </c>
      <c r="DQ692" t="s">
        <v>13818</v>
      </c>
      <c r="DR692" t="s">
        <v>23754</v>
      </c>
      <c r="DY692" t="s">
        <v>13840</v>
      </c>
      <c r="DZ692" t="s">
        <v>13841</v>
      </c>
      <c r="EA692" t="s">
        <v>14275</v>
      </c>
      <c r="EC692">
        <v>44483</v>
      </c>
      <c r="ED692" t="s">
        <v>14501</v>
      </c>
      <c r="EE692" t="s">
        <v>9105</v>
      </c>
    </row>
    <row r="693" spans="1:135">
      <c r="A693" t="s">
        <v>4240</v>
      </c>
      <c r="B693" t="s">
        <v>4201</v>
      </c>
      <c r="C693" t="s">
        <v>23758</v>
      </c>
      <c r="D693" s="24">
        <v>43698</v>
      </c>
      <c r="E693" s="24" t="s">
        <v>13555</v>
      </c>
      <c r="F693" s="24" t="s">
        <v>23759</v>
      </c>
      <c r="G693" s="24" t="s">
        <v>13808</v>
      </c>
      <c r="H693" s="24"/>
      <c r="I693" s="24" t="s">
        <v>13809</v>
      </c>
      <c r="J693" s="24"/>
      <c r="K693" s="24" t="s">
        <v>13808</v>
      </c>
      <c r="L693" s="24" t="s">
        <v>23760</v>
      </c>
      <c r="M693" s="24" t="s">
        <v>13950</v>
      </c>
      <c r="N693" s="24" t="s">
        <v>13808</v>
      </c>
      <c r="O693" s="24"/>
      <c r="P693" s="24" t="s">
        <v>13808</v>
      </c>
      <c r="Q693" s="24"/>
      <c r="R693" s="24" t="s">
        <v>13808</v>
      </c>
      <c r="S693" s="24"/>
      <c r="T693" t="s">
        <v>14034</v>
      </c>
      <c r="U693" t="s">
        <v>13809</v>
      </c>
      <c r="W693" t="s">
        <v>13808</v>
      </c>
      <c r="X693" t="s">
        <v>23761</v>
      </c>
      <c r="Y693" t="s">
        <v>13809</v>
      </c>
      <c r="AA693" t="s">
        <v>13877</v>
      </c>
      <c r="AC693" t="s">
        <v>13809</v>
      </c>
      <c r="AH693" t="s">
        <v>13909</v>
      </c>
      <c r="AI693" t="s">
        <v>13808</v>
      </c>
      <c r="AO693" t="s">
        <v>13809</v>
      </c>
      <c r="AT693" t="s">
        <v>14007</v>
      </c>
      <c r="AU693" t="s">
        <v>13808</v>
      </c>
      <c r="AZ693" t="s">
        <v>14022</v>
      </c>
      <c r="BA693" t="s">
        <v>13808</v>
      </c>
      <c r="BF693" t="s">
        <v>13882</v>
      </c>
      <c r="BG693" t="s">
        <v>13808</v>
      </c>
      <c r="BM693" t="s">
        <v>13809</v>
      </c>
      <c r="BR693" t="s">
        <v>23762</v>
      </c>
      <c r="BS693" t="s">
        <v>13887</v>
      </c>
      <c r="BT693" t="s">
        <v>13808</v>
      </c>
      <c r="BU693" t="s">
        <v>16568</v>
      </c>
      <c r="BY693" t="s">
        <v>13887</v>
      </c>
      <c r="BZ693" t="s">
        <v>13808</v>
      </c>
      <c r="CA693" t="s">
        <v>14026</v>
      </c>
      <c r="CE693" t="s">
        <v>13887</v>
      </c>
      <c r="CF693" t="s">
        <v>13808</v>
      </c>
      <c r="CL693" t="s">
        <v>13809</v>
      </c>
      <c r="CR693" t="s">
        <v>13809</v>
      </c>
      <c r="CT693" t="s">
        <v>23530</v>
      </c>
      <c r="CU693" t="s">
        <v>23763</v>
      </c>
      <c r="CV693" t="s">
        <v>13818</v>
      </c>
      <c r="DA693" t="s">
        <v>23764</v>
      </c>
      <c r="DB693" t="s">
        <v>13818</v>
      </c>
      <c r="DH693" t="s">
        <v>13809</v>
      </c>
      <c r="DM693" t="s">
        <v>23765</v>
      </c>
      <c r="DN693" t="s">
        <v>13808</v>
      </c>
      <c r="DO693" t="s">
        <v>23766</v>
      </c>
      <c r="DY693" t="s">
        <v>13900</v>
      </c>
      <c r="DZ693" t="s">
        <v>23767</v>
      </c>
      <c r="EA693" t="s">
        <v>16115</v>
      </c>
      <c r="EC693">
        <v>43782</v>
      </c>
      <c r="ED693" t="s">
        <v>14501</v>
      </c>
      <c r="EE693" t="s">
        <v>9109</v>
      </c>
    </row>
    <row r="694" spans="1:135">
      <c r="A694" t="s">
        <v>4244</v>
      </c>
      <c r="B694" t="s">
        <v>4201</v>
      </c>
      <c r="C694" t="s">
        <v>23768</v>
      </c>
      <c r="D694" s="24">
        <v>43413</v>
      </c>
      <c r="E694" s="24" t="s">
        <v>13564</v>
      </c>
      <c r="F694" s="24" t="s">
        <v>23769</v>
      </c>
      <c r="G694" s="24" t="s">
        <v>13808</v>
      </c>
      <c r="H694" s="24"/>
      <c r="I694" s="24" t="s">
        <v>13809</v>
      </c>
      <c r="J694" s="24"/>
      <c r="K694" s="24" t="s">
        <v>13809</v>
      </c>
      <c r="L694" s="24"/>
      <c r="M694" s="24" t="s">
        <v>14185</v>
      </c>
      <c r="N694" s="24" t="s">
        <v>13808</v>
      </c>
      <c r="O694" s="24"/>
      <c r="P694" s="24" t="s">
        <v>13808</v>
      </c>
      <c r="Q694" s="24"/>
      <c r="R694" s="24" t="s">
        <v>13808</v>
      </c>
      <c r="S694" s="24"/>
      <c r="T694" t="s">
        <v>23770</v>
      </c>
      <c r="U694" t="s">
        <v>13808</v>
      </c>
      <c r="V694" t="s">
        <v>23771</v>
      </c>
      <c r="W694" t="s">
        <v>13809</v>
      </c>
      <c r="Y694" t="s">
        <v>13809</v>
      </c>
      <c r="AA694" t="s">
        <v>23772</v>
      </c>
      <c r="AC694" t="s">
        <v>13809</v>
      </c>
      <c r="AH694" t="s">
        <v>13887</v>
      </c>
      <c r="AI694" t="s">
        <v>13808</v>
      </c>
      <c r="AK694" t="s">
        <v>23773</v>
      </c>
      <c r="AL694" t="s">
        <v>13818</v>
      </c>
      <c r="AM694" t="s">
        <v>23774</v>
      </c>
      <c r="AO694" t="s">
        <v>13809</v>
      </c>
      <c r="AT694" t="s">
        <v>14367</v>
      </c>
      <c r="AU694" t="s">
        <v>13818</v>
      </c>
      <c r="AV694" t="s">
        <v>13819</v>
      </c>
      <c r="AZ694" t="s">
        <v>14423</v>
      </c>
      <c r="BA694" t="s">
        <v>13818</v>
      </c>
      <c r="BB694" t="s">
        <v>23774</v>
      </c>
      <c r="BF694" t="s">
        <v>14423</v>
      </c>
      <c r="BG694" t="s">
        <v>13808</v>
      </c>
      <c r="BL694" t="s">
        <v>13809</v>
      </c>
      <c r="BR694" t="s">
        <v>23775</v>
      </c>
      <c r="BS694" t="s">
        <v>13887</v>
      </c>
      <c r="BT694" t="s">
        <v>13808</v>
      </c>
      <c r="BU694" t="s">
        <v>16831</v>
      </c>
      <c r="BY694" t="s">
        <v>13887</v>
      </c>
      <c r="BZ694" t="s">
        <v>13808</v>
      </c>
      <c r="CA694" t="s">
        <v>13937</v>
      </c>
      <c r="CE694" t="s">
        <v>17321</v>
      </c>
      <c r="CF694" t="s">
        <v>13808</v>
      </c>
      <c r="CL694" t="s">
        <v>13809</v>
      </c>
      <c r="CR694" t="s">
        <v>13809</v>
      </c>
      <c r="CT694" t="s">
        <v>23776</v>
      </c>
      <c r="CU694" t="s">
        <v>14418</v>
      </c>
      <c r="CV694" t="s">
        <v>13808</v>
      </c>
      <c r="CX694" t="s">
        <v>15280</v>
      </c>
      <c r="CY694" t="s">
        <v>13818</v>
      </c>
      <c r="DA694" t="s">
        <v>15824</v>
      </c>
      <c r="DB694" t="s">
        <v>13808</v>
      </c>
      <c r="DD694" t="s">
        <v>14004</v>
      </c>
      <c r="DE694" t="s">
        <v>13818</v>
      </c>
      <c r="DH694" t="s">
        <v>13809</v>
      </c>
      <c r="DM694" t="s">
        <v>23777</v>
      </c>
      <c r="DN694" t="s">
        <v>13808</v>
      </c>
      <c r="DZ694" t="s">
        <v>15812</v>
      </c>
      <c r="EA694" t="s">
        <v>14201</v>
      </c>
      <c r="EC694">
        <v>43480</v>
      </c>
      <c r="ED694" t="s">
        <v>13903</v>
      </c>
      <c r="EE694" t="s">
        <v>9112</v>
      </c>
    </row>
    <row r="695" spans="1:135">
      <c r="A695" t="s">
        <v>4249</v>
      </c>
      <c r="B695" t="s">
        <v>4201</v>
      </c>
      <c r="C695" t="s">
        <v>23778</v>
      </c>
      <c r="D695" s="24">
        <v>44299</v>
      </c>
      <c r="E695" s="24" t="s">
        <v>13559</v>
      </c>
      <c r="F695" s="24" t="s">
        <v>23779</v>
      </c>
      <c r="G695" s="24" t="s">
        <v>13808</v>
      </c>
      <c r="H695" s="24"/>
      <c r="I695" s="24" t="s">
        <v>13809</v>
      </c>
      <c r="J695" s="24"/>
      <c r="K695" s="24" t="s">
        <v>13809</v>
      </c>
      <c r="L695" s="24"/>
      <c r="M695" s="24" t="s">
        <v>13950</v>
      </c>
      <c r="N695" s="24" t="s">
        <v>13808</v>
      </c>
      <c r="O695" s="24"/>
      <c r="P695" s="24" t="s">
        <v>13808</v>
      </c>
      <c r="Q695" s="24"/>
      <c r="R695" s="24" t="s">
        <v>13808</v>
      </c>
      <c r="S695" s="24"/>
      <c r="T695" t="s">
        <v>14071</v>
      </c>
      <c r="U695" t="s">
        <v>13809</v>
      </c>
      <c r="W695" t="s">
        <v>13809</v>
      </c>
      <c r="Y695" t="s">
        <v>13809</v>
      </c>
      <c r="AA695" t="s">
        <v>23780</v>
      </c>
      <c r="AB695" t="s">
        <v>14704</v>
      </c>
      <c r="AC695" t="s">
        <v>13818</v>
      </c>
      <c r="AH695" t="s">
        <v>13887</v>
      </c>
      <c r="AI695" t="s">
        <v>13808</v>
      </c>
      <c r="AK695" t="s">
        <v>14004</v>
      </c>
      <c r="AL695" t="s">
        <v>13818</v>
      </c>
      <c r="AN695" t="s">
        <v>14596</v>
      </c>
      <c r="AO695" t="s">
        <v>13818</v>
      </c>
      <c r="AT695" t="s">
        <v>18958</v>
      </c>
      <c r="AU695" t="s">
        <v>13818</v>
      </c>
      <c r="AZ695" t="s">
        <v>14189</v>
      </c>
      <c r="BA695" t="s">
        <v>13808</v>
      </c>
      <c r="BF695" t="s">
        <v>13892</v>
      </c>
      <c r="BG695" t="s">
        <v>13808</v>
      </c>
      <c r="BM695" t="s">
        <v>13809</v>
      </c>
      <c r="BR695" t="s">
        <v>23781</v>
      </c>
      <c r="BS695" t="s">
        <v>14265</v>
      </c>
      <c r="BT695" t="s">
        <v>13818</v>
      </c>
      <c r="BY695" t="s">
        <v>13887</v>
      </c>
      <c r="BZ695" t="s">
        <v>13808</v>
      </c>
      <c r="CE695" t="s">
        <v>14265</v>
      </c>
      <c r="CF695" t="s">
        <v>13818</v>
      </c>
      <c r="CL695" t="s">
        <v>13809</v>
      </c>
      <c r="CR695" t="s">
        <v>13809</v>
      </c>
      <c r="CT695" t="s">
        <v>23782</v>
      </c>
      <c r="CU695" t="s">
        <v>14169</v>
      </c>
      <c r="CV695" t="s">
        <v>13808</v>
      </c>
      <c r="CX695" t="s">
        <v>14839</v>
      </c>
      <c r="CY695" t="s">
        <v>13818</v>
      </c>
      <c r="DA695" t="s">
        <v>13882</v>
      </c>
      <c r="DB695" t="s">
        <v>13808</v>
      </c>
      <c r="DD695" t="s">
        <v>14839</v>
      </c>
      <c r="DE695" t="s">
        <v>13818</v>
      </c>
      <c r="DG695" t="s">
        <v>13887</v>
      </c>
      <c r="DH695" t="s">
        <v>13808</v>
      </c>
      <c r="DJ695" t="s">
        <v>14004</v>
      </c>
      <c r="DK695" t="s">
        <v>13818</v>
      </c>
      <c r="DY695" t="s">
        <v>13840</v>
      </c>
      <c r="DZ695" t="s">
        <v>14274</v>
      </c>
      <c r="EA695" t="s">
        <v>14275</v>
      </c>
      <c r="EC695">
        <v>44313</v>
      </c>
      <c r="ED695" t="s">
        <v>14276</v>
      </c>
      <c r="EE695" t="s">
        <v>9124</v>
      </c>
    </row>
    <row r="696" spans="1:135">
      <c r="A696" t="s">
        <v>4253</v>
      </c>
      <c r="B696" t="s">
        <v>4201</v>
      </c>
      <c r="C696" t="s">
        <v>23783</v>
      </c>
      <c r="D696" s="24">
        <v>44665</v>
      </c>
      <c r="E696" s="24" t="s">
        <v>13558</v>
      </c>
      <c r="F696" s="24" t="s">
        <v>23784</v>
      </c>
      <c r="G696" s="24" t="s">
        <v>13808</v>
      </c>
      <c r="H696" s="24"/>
      <c r="I696" s="24" t="s">
        <v>13809</v>
      </c>
      <c r="J696" s="24"/>
      <c r="K696" s="24" t="s">
        <v>13808</v>
      </c>
      <c r="L696" s="24" t="s">
        <v>23785</v>
      </c>
      <c r="M696" s="24" t="s">
        <v>14280</v>
      </c>
      <c r="N696" s="24" t="s">
        <v>13808</v>
      </c>
      <c r="O696" s="24"/>
      <c r="P696" s="24" t="s">
        <v>13808</v>
      </c>
      <c r="Q696" s="24"/>
      <c r="R696" s="24" t="s">
        <v>13808</v>
      </c>
      <c r="S696" s="24"/>
      <c r="T696" t="s">
        <v>14071</v>
      </c>
      <c r="U696" t="s">
        <v>13809</v>
      </c>
      <c r="W696" t="s">
        <v>13809</v>
      </c>
      <c r="Y696" t="s">
        <v>13809</v>
      </c>
      <c r="AA696" t="s">
        <v>23686</v>
      </c>
      <c r="AB696" t="s">
        <v>19404</v>
      </c>
      <c r="AC696" t="s">
        <v>13808</v>
      </c>
      <c r="AH696" t="s">
        <v>14073</v>
      </c>
      <c r="AI696" t="s">
        <v>13808</v>
      </c>
      <c r="AK696" t="s">
        <v>14310</v>
      </c>
      <c r="AL696" t="s">
        <v>13808</v>
      </c>
      <c r="AN696" t="s">
        <v>13711</v>
      </c>
      <c r="AO696" t="s">
        <v>13809</v>
      </c>
      <c r="AT696" t="s">
        <v>14555</v>
      </c>
      <c r="AU696" t="s">
        <v>13818</v>
      </c>
      <c r="AV696" t="s">
        <v>13819</v>
      </c>
      <c r="AZ696" t="s">
        <v>15480</v>
      </c>
      <c r="BA696" t="s">
        <v>13818</v>
      </c>
      <c r="BB696" t="s">
        <v>13819</v>
      </c>
      <c r="BF696" t="s">
        <v>23786</v>
      </c>
      <c r="BG696" t="s">
        <v>13818</v>
      </c>
      <c r="BH696" t="s">
        <v>13819</v>
      </c>
      <c r="BL696" t="s">
        <v>23787</v>
      </c>
      <c r="BM696" t="s">
        <v>13818</v>
      </c>
      <c r="BN696" t="s">
        <v>13819</v>
      </c>
      <c r="BR696" t="s">
        <v>23788</v>
      </c>
      <c r="BS696" t="s">
        <v>13824</v>
      </c>
      <c r="BT696" t="s">
        <v>13818</v>
      </c>
      <c r="BU696" t="s">
        <v>23789</v>
      </c>
      <c r="BY696" t="s">
        <v>13860</v>
      </c>
      <c r="BZ696" t="s">
        <v>13808</v>
      </c>
      <c r="CA696" t="s">
        <v>13861</v>
      </c>
      <c r="CE696" t="s">
        <v>13862</v>
      </c>
      <c r="CF696" t="s">
        <v>13818</v>
      </c>
      <c r="CG696" t="s">
        <v>13819</v>
      </c>
      <c r="CK696" t="s">
        <v>13760</v>
      </c>
      <c r="CL696" t="s">
        <v>13809</v>
      </c>
      <c r="CQ696" t="s">
        <v>13766</v>
      </c>
      <c r="CR696" t="s">
        <v>13809</v>
      </c>
      <c r="CT696" t="s">
        <v>14781</v>
      </c>
      <c r="CU696" t="s">
        <v>23790</v>
      </c>
      <c r="CV696" t="s">
        <v>13818</v>
      </c>
      <c r="DA696" t="s">
        <v>23791</v>
      </c>
      <c r="DB696" t="s">
        <v>13818</v>
      </c>
      <c r="DG696" t="s">
        <v>23792</v>
      </c>
      <c r="DH696" t="s">
        <v>13818</v>
      </c>
      <c r="DY696" t="s">
        <v>13840</v>
      </c>
      <c r="DZ696" t="s">
        <v>23793</v>
      </c>
      <c r="EA696" t="s">
        <v>14118</v>
      </c>
      <c r="EC696">
        <v>44669</v>
      </c>
      <c r="ED696" t="s">
        <v>13843</v>
      </c>
      <c r="EE696" t="s">
        <v>9128</v>
      </c>
    </row>
    <row r="697" spans="1:135">
      <c r="A697" t="s">
        <v>4257</v>
      </c>
      <c r="B697" t="s">
        <v>4201</v>
      </c>
      <c r="C697" t="s">
        <v>23794</v>
      </c>
      <c r="D697" s="24">
        <v>43417</v>
      </c>
      <c r="E697" s="24" t="s">
        <v>13560</v>
      </c>
      <c r="F697" s="24" t="s">
        <v>23795</v>
      </c>
      <c r="G697" s="24" t="s">
        <v>13808</v>
      </c>
      <c r="H697" s="24"/>
      <c r="I697" s="24" t="s">
        <v>13809</v>
      </c>
      <c r="J697" s="24"/>
      <c r="K697" s="24" t="s">
        <v>13809</v>
      </c>
      <c r="L697" s="24"/>
      <c r="M697" s="24" t="s">
        <v>23711</v>
      </c>
      <c r="N697" s="24" t="s">
        <v>13808</v>
      </c>
      <c r="O697" s="24"/>
      <c r="P697" s="24" t="s">
        <v>13808</v>
      </c>
      <c r="Q697" s="24"/>
      <c r="R697" s="24" t="s">
        <v>13818</v>
      </c>
      <c r="S697" s="24"/>
      <c r="T697" t="s">
        <v>23796</v>
      </c>
      <c r="U697" t="s">
        <v>13808</v>
      </c>
      <c r="W697" t="s">
        <v>13809</v>
      </c>
      <c r="Y697" t="s">
        <v>13809</v>
      </c>
      <c r="AA697" t="s">
        <v>23797</v>
      </c>
      <c r="AB697" t="s">
        <v>23798</v>
      </c>
      <c r="AC697" t="s">
        <v>13818</v>
      </c>
      <c r="AD697" t="s">
        <v>14309</v>
      </c>
      <c r="AH697" t="s">
        <v>23799</v>
      </c>
      <c r="AI697" t="s">
        <v>13808</v>
      </c>
      <c r="AK697" t="s">
        <v>15309</v>
      </c>
      <c r="AL697" t="s">
        <v>13818</v>
      </c>
      <c r="AM697" t="s">
        <v>14309</v>
      </c>
      <c r="AN697" t="s">
        <v>23800</v>
      </c>
      <c r="AO697" t="s">
        <v>13818</v>
      </c>
      <c r="AP697" t="s">
        <v>14309</v>
      </c>
      <c r="AT697" t="s">
        <v>14023</v>
      </c>
      <c r="AU697" t="s">
        <v>13818</v>
      </c>
      <c r="AV697" t="s">
        <v>14309</v>
      </c>
      <c r="AZ697" t="s">
        <v>16368</v>
      </c>
      <c r="BA697" t="s">
        <v>13818</v>
      </c>
      <c r="BB697" t="s">
        <v>14309</v>
      </c>
      <c r="BF697" t="s">
        <v>15883</v>
      </c>
      <c r="BG697" t="s">
        <v>13818</v>
      </c>
      <c r="BH697" t="s">
        <v>14309</v>
      </c>
      <c r="BL697" t="s">
        <v>14689</v>
      </c>
      <c r="BM697" t="s">
        <v>13818</v>
      </c>
      <c r="BN697" t="s">
        <v>14309</v>
      </c>
      <c r="BR697" t="s">
        <v>23801</v>
      </c>
      <c r="BS697" t="s">
        <v>13887</v>
      </c>
      <c r="BT697" t="s">
        <v>13818</v>
      </c>
      <c r="BU697" t="s">
        <v>16645</v>
      </c>
      <c r="BY697" t="s">
        <v>14003</v>
      </c>
      <c r="BZ697" t="s">
        <v>13808</v>
      </c>
      <c r="CA697" t="s">
        <v>13937</v>
      </c>
      <c r="CF697" t="s">
        <v>13809</v>
      </c>
      <c r="CK697" t="s">
        <v>14003</v>
      </c>
      <c r="CL697" t="s">
        <v>13808</v>
      </c>
      <c r="CR697" t="s">
        <v>13809</v>
      </c>
      <c r="CT697" t="s">
        <v>23802</v>
      </c>
      <c r="CU697" t="s">
        <v>13909</v>
      </c>
      <c r="CV697" t="s">
        <v>13818</v>
      </c>
      <c r="DA697" t="s">
        <v>13909</v>
      </c>
      <c r="DB697" t="s">
        <v>13818</v>
      </c>
      <c r="DG697" t="s">
        <v>13909</v>
      </c>
      <c r="DH697" t="s">
        <v>13818</v>
      </c>
      <c r="DM697" t="s">
        <v>23803</v>
      </c>
      <c r="DN697" t="s">
        <v>13808</v>
      </c>
      <c r="DO697" t="s">
        <v>20606</v>
      </c>
      <c r="DZ697" t="s">
        <v>14274</v>
      </c>
      <c r="EA697" t="s">
        <v>23804</v>
      </c>
      <c r="EC697">
        <v>43480</v>
      </c>
      <c r="ED697" t="s">
        <v>13903</v>
      </c>
      <c r="EE697" t="s">
        <v>9132</v>
      </c>
    </row>
    <row r="698" spans="1:135">
      <c r="A698" t="s">
        <v>4261</v>
      </c>
      <c r="B698" t="s">
        <v>4201</v>
      </c>
      <c r="C698" t="s">
        <v>23805</v>
      </c>
      <c r="D698" s="24">
        <v>44475</v>
      </c>
      <c r="E698" s="24" t="s">
        <v>13559</v>
      </c>
      <c r="F698" s="24" t="s">
        <v>23806</v>
      </c>
      <c r="G698" s="24" t="s">
        <v>13808</v>
      </c>
      <c r="H698" s="24"/>
      <c r="I698" s="24" t="s">
        <v>13809</v>
      </c>
      <c r="J698" s="24"/>
      <c r="K698" s="24" t="s">
        <v>13808</v>
      </c>
      <c r="L698" s="24" t="s">
        <v>23807</v>
      </c>
      <c r="M698" s="24" t="s">
        <v>23808</v>
      </c>
      <c r="N698" s="24" t="s">
        <v>13808</v>
      </c>
      <c r="O698" s="24"/>
      <c r="P698" s="24" t="s">
        <v>13808</v>
      </c>
      <c r="Q698" s="24"/>
      <c r="R698" s="24" t="s">
        <v>13808</v>
      </c>
      <c r="S698" s="24"/>
      <c r="T698" t="s">
        <v>23809</v>
      </c>
      <c r="U698" t="s">
        <v>13809</v>
      </c>
      <c r="W698" t="s">
        <v>13809</v>
      </c>
      <c r="X698" t="s">
        <v>23810</v>
      </c>
      <c r="Y698" t="s">
        <v>13809</v>
      </c>
      <c r="AA698" t="s">
        <v>23811</v>
      </c>
      <c r="AB698" t="s">
        <v>14730</v>
      </c>
      <c r="AC698" t="s">
        <v>13818</v>
      </c>
      <c r="AD698" t="s">
        <v>14309</v>
      </c>
      <c r="AH698" t="s">
        <v>23812</v>
      </c>
      <c r="AI698" t="s">
        <v>13808</v>
      </c>
      <c r="AK698" t="s">
        <v>23813</v>
      </c>
      <c r="AL698" t="s">
        <v>13818</v>
      </c>
      <c r="AM698" t="s">
        <v>23814</v>
      </c>
      <c r="AN698" t="s">
        <v>13809</v>
      </c>
      <c r="AT698" t="s">
        <v>14189</v>
      </c>
      <c r="AU698" t="s">
        <v>13818</v>
      </c>
      <c r="AV698" t="s">
        <v>18178</v>
      </c>
      <c r="AZ698" t="s">
        <v>23815</v>
      </c>
      <c r="BA698" t="s">
        <v>13818</v>
      </c>
      <c r="BB698" t="s">
        <v>14309</v>
      </c>
      <c r="BF698" t="s">
        <v>18680</v>
      </c>
      <c r="BG698" t="s">
        <v>13818</v>
      </c>
      <c r="BH698" t="s">
        <v>14309</v>
      </c>
      <c r="BL698" t="s">
        <v>13809</v>
      </c>
      <c r="BR698" t="s">
        <v>23816</v>
      </c>
      <c r="BT698" t="s">
        <v>13809</v>
      </c>
      <c r="BY698" t="s">
        <v>23817</v>
      </c>
      <c r="BZ698" t="s">
        <v>13818</v>
      </c>
      <c r="CA698" t="s">
        <v>14780</v>
      </c>
      <c r="CF698" t="s">
        <v>13809</v>
      </c>
      <c r="CK698" t="s">
        <v>23812</v>
      </c>
      <c r="CL698" t="s">
        <v>13818</v>
      </c>
      <c r="CM698" t="s">
        <v>16420</v>
      </c>
      <c r="CR698" t="s">
        <v>13809</v>
      </c>
      <c r="CT698" t="s">
        <v>23818</v>
      </c>
      <c r="CU698" t="s">
        <v>23819</v>
      </c>
      <c r="CV698" t="s">
        <v>13818</v>
      </c>
      <c r="CX698" t="s">
        <v>23820</v>
      </c>
      <c r="CY698" t="s">
        <v>13818</v>
      </c>
      <c r="DA698" t="s">
        <v>23821</v>
      </c>
      <c r="DB698" t="s">
        <v>13808</v>
      </c>
      <c r="DD698" t="s">
        <v>23820</v>
      </c>
      <c r="DE698" t="s">
        <v>13818</v>
      </c>
      <c r="DG698" t="s">
        <v>23822</v>
      </c>
      <c r="DH698" t="s">
        <v>13818</v>
      </c>
      <c r="DM698" t="s">
        <v>23819</v>
      </c>
      <c r="DN698" t="s">
        <v>13808</v>
      </c>
      <c r="DP698" t="s">
        <v>23820</v>
      </c>
      <c r="DQ698" t="s">
        <v>13818</v>
      </c>
      <c r="DY698" t="s">
        <v>13840</v>
      </c>
      <c r="DZ698" t="s">
        <v>14274</v>
      </c>
      <c r="EA698" t="s">
        <v>18291</v>
      </c>
      <c r="EC698">
        <v>44483</v>
      </c>
      <c r="ED698" t="s">
        <v>14501</v>
      </c>
      <c r="EE698" t="s">
        <v>9136</v>
      </c>
    </row>
    <row r="699" spans="1:135">
      <c r="A699" t="s">
        <v>4265</v>
      </c>
      <c r="B699" t="s">
        <v>4201</v>
      </c>
      <c r="C699" t="s">
        <v>23823</v>
      </c>
      <c r="D699" s="24">
        <v>44476</v>
      </c>
      <c r="E699" s="24" t="s">
        <v>13565</v>
      </c>
      <c r="F699" s="24" t="s">
        <v>23824</v>
      </c>
      <c r="G699" s="24" t="s">
        <v>13808</v>
      </c>
      <c r="H699" s="24"/>
      <c r="I699" s="24" t="s">
        <v>13809</v>
      </c>
      <c r="J699" s="24"/>
      <c r="K699" s="24" t="s">
        <v>13808</v>
      </c>
      <c r="L699" s="24" t="s">
        <v>23825</v>
      </c>
      <c r="M699" s="24" t="s">
        <v>23826</v>
      </c>
      <c r="N699" s="24" t="s">
        <v>13808</v>
      </c>
      <c r="O699" s="24"/>
      <c r="P699" s="24" t="s">
        <v>13808</v>
      </c>
      <c r="Q699" s="24" t="s">
        <v>23827</v>
      </c>
      <c r="R699" s="24" t="s">
        <v>13808</v>
      </c>
      <c r="S699" s="24" t="s">
        <v>23828</v>
      </c>
      <c r="T699" t="s">
        <v>23829</v>
      </c>
      <c r="U699" t="s">
        <v>13809</v>
      </c>
      <c r="W699" t="s">
        <v>13808</v>
      </c>
      <c r="X699" t="s">
        <v>20698</v>
      </c>
      <c r="Y699" t="s">
        <v>13808</v>
      </c>
      <c r="Z699" t="s">
        <v>23830</v>
      </c>
      <c r="AA699" t="s">
        <v>23831</v>
      </c>
      <c r="AB699" t="s">
        <v>23832</v>
      </c>
      <c r="AC699" t="s">
        <v>13808</v>
      </c>
      <c r="AH699" t="s">
        <v>23833</v>
      </c>
      <c r="AI699" t="s">
        <v>13808</v>
      </c>
      <c r="AK699" t="s">
        <v>14208</v>
      </c>
      <c r="AL699" t="s">
        <v>13818</v>
      </c>
      <c r="AM699" t="s">
        <v>18178</v>
      </c>
      <c r="AN699" t="s">
        <v>13711</v>
      </c>
      <c r="AO699" t="s">
        <v>13809</v>
      </c>
      <c r="AT699" t="s">
        <v>23834</v>
      </c>
      <c r="AU699" t="s">
        <v>13818</v>
      </c>
      <c r="AV699" t="s">
        <v>18178</v>
      </c>
      <c r="AZ699" t="s">
        <v>21482</v>
      </c>
      <c r="BA699" t="s">
        <v>13818</v>
      </c>
      <c r="BB699" t="s">
        <v>18178</v>
      </c>
      <c r="BF699" t="s">
        <v>17138</v>
      </c>
      <c r="BG699" t="s">
        <v>13818</v>
      </c>
      <c r="BH699" t="s">
        <v>18178</v>
      </c>
      <c r="BL699" t="s">
        <v>13735</v>
      </c>
      <c r="BM699" t="s">
        <v>13809</v>
      </c>
      <c r="BR699" t="s">
        <v>15871</v>
      </c>
      <c r="BS699" t="s">
        <v>13824</v>
      </c>
      <c r="BT699" t="s">
        <v>13818</v>
      </c>
      <c r="BU699" t="s">
        <v>23835</v>
      </c>
      <c r="BY699" t="s">
        <v>13860</v>
      </c>
      <c r="BZ699" t="s">
        <v>13808</v>
      </c>
      <c r="CA699" t="s">
        <v>13937</v>
      </c>
      <c r="CE699" t="s">
        <v>13828</v>
      </c>
      <c r="CF699" t="s">
        <v>13818</v>
      </c>
      <c r="CG699" t="s">
        <v>18178</v>
      </c>
      <c r="CK699" t="s">
        <v>13760</v>
      </c>
      <c r="CL699" t="s">
        <v>13809</v>
      </c>
      <c r="CQ699" t="s">
        <v>13766</v>
      </c>
      <c r="CR699" t="s">
        <v>13809</v>
      </c>
      <c r="CT699" t="s">
        <v>23836</v>
      </c>
      <c r="CU699" t="s">
        <v>23837</v>
      </c>
      <c r="CV699" t="s">
        <v>13808</v>
      </c>
      <c r="CX699" t="s">
        <v>23838</v>
      </c>
      <c r="CY699" t="s">
        <v>13818</v>
      </c>
      <c r="DA699" t="s">
        <v>23839</v>
      </c>
      <c r="DB699" t="s">
        <v>13808</v>
      </c>
      <c r="DD699" t="s">
        <v>23838</v>
      </c>
      <c r="DE699" t="s">
        <v>13818</v>
      </c>
      <c r="DG699" t="s">
        <v>23840</v>
      </c>
      <c r="DH699" t="s">
        <v>13808</v>
      </c>
      <c r="DM699" t="s">
        <v>23841</v>
      </c>
      <c r="DN699" t="s">
        <v>13818</v>
      </c>
      <c r="DO699" t="s">
        <v>23842</v>
      </c>
      <c r="DP699" t="s">
        <v>23843</v>
      </c>
      <c r="DQ699" t="s">
        <v>13808</v>
      </c>
      <c r="DY699" t="s">
        <v>13840</v>
      </c>
      <c r="DZ699" t="s">
        <v>13841</v>
      </c>
      <c r="EA699" t="s">
        <v>23844</v>
      </c>
      <c r="EC699">
        <v>44627</v>
      </c>
      <c r="ED699" t="s">
        <v>13843</v>
      </c>
      <c r="EE699" t="s">
        <v>9140</v>
      </c>
    </row>
    <row r="700" spans="1:135">
      <c r="A700" t="s">
        <v>4269</v>
      </c>
      <c r="B700" t="s">
        <v>4201</v>
      </c>
      <c r="C700" t="s">
        <v>23845</v>
      </c>
      <c r="D700" s="24">
        <v>45162</v>
      </c>
      <c r="E700" s="24" t="s">
        <v>13555</v>
      </c>
      <c r="F700" s="24" t="s">
        <v>23846</v>
      </c>
      <c r="G700" s="24" t="s">
        <v>13808</v>
      </c>
      <c r="H700" s="24"/>
      <c r="I700" s="24" t="s">
        <v>13809</v>
      </c>
      <c r="J700" s="24"/>
      <c r="K700" s="24" t="s">
        <v>13809</v>
      </c>
      <c r="L700" s="24"/>
      <c r="M700" s="24" t="s">
        <v>13846</v>
      </c>
      <c r="N700" s="24" t="s">
        <v>13808</v>
      </c>
      <c r="O700" s="24"/>
      <c r="P700" s="24" t="s">
        <v>13808</v>
      </c>
      <c r="Q700" s="24"/>
      <c r="R700" s="24" t="s">
        <v>13808</v>
      </c>
      <c r="S700" s="24"/>
      <c r="T700" t="s">
        <v>23847</v>
      </c>
      <c r="U700" t="s">
        <v>13809</v>
      </c>
      <c r="W700" t="s">
        <v>13808</v>
      </c>
      <c r="X700" t="s">
        <v>23848</v>
      </c>
      <c r="Y700" t="s">
        <v>13809</v>
      </c>
      <c r="AA700" t="s">
        <v>13849</v>
      </c>
      <c r="AB700" t="s">
        <v>23849</v>
      </c>
      <c r="AC700" t="s">
        <v>13808</v>
      </c>
      <c r="AH700" t="s">
        <v>13851</v>
      </c>
      <c r="AI700" t="s">
        <v>13808</v>
      </c>
      <c r="AN700" t="s">
        <v>23850</v>
      </c>
      <c r="AO700" t="s">
        <v>13808</v>
      </c>
      <c r="AT700" t="s">
        <v>18253</v>
      </c>
      <c r="AU700" t="s">
        <v>13808</v>
      </c>
      <c r="AZ700" t="s">
        <v>23851</v>
      </c>
      <c r="BA700" t="s">
        <v>13808</v>
      </c>
      <c r="BF700" t="s">
        <v>18103</v>
      </c>
      <c r="BG700" t="s">
        <v>13808</v>
      </c>
      <c r="BH700" t="s">
        <v>23852</v>
      </c>
      <c r="BL700" t="s">
        <v>23853</v>
      </c>
      <c r="BM700" t="s">
        <v>13808</v>
      </c>
      <c r="BR700" t="s">
        <v>23474</v>
      </c>
      <c r="BS700" t="s">
        <v>13824</v>
      </c>
      <c r="BT700" t="s">
        <v>13808</v>
      </c>
      <c r="BU700" t="s">
        <v>13985</v>
      </c>
      <c r="BY700" t="s">
        <v>13860</v>
      </c>
      <c r="BZ700" t="s">
        <v>13808</v>
      </c>
      <c r="CA700" t="s">
        <v>23854</v>
      </c>
      <c r="CE700" t="s">
        <v>13828</v>
      </c>
      <c r="CF700" t="s">
        <v>13808</v>
      </c>
      <c r="CK700" t="s">
        <v>13760</v>
      </c>
      <c r="CL700" t="s">
        <v>13809</v>
      </c>
      <c r="CQ700" t="s">
        <v>13766</v>
      </c>
      <c r="CR700" t="s">
        <v>13809</v>
      </c>
      <c r="CT700" t="s">
        <v>23855</v>
      </c>
      <c r="DG700" t="s">
        <v>23856</v>
      </c>
      <c r="DH700" t="s">
        <v>13808</v>
      </c>
      <c r="DY700" t="s">
        <v>13840</v>
      </c>
      <c r="DZ700" t="s">
        <v>23857</v>
      </c>
      <c r="EA700" t="s">
        <v>13842</v>
      </c>
      <c r="EC700">
        <v>45163</v>
      </c>
      <c r="ED700" t="s">
        <v>14298</v>
      </c>
      <c r="EE700" t="s">
        <v>9149</v>
      </c>
    </row>
    <row r="701" spans="1:135">
      <c r="A701" t="s">
        <v>4233</v>
      </c>
      <c r="B701" t="s">
        <v>4201</v>
      </c>
      <c r="C701" t="s">
        <v>23858</v>
      </c>
      <c r="D701" s="24">
        <v>44512</v>
      </c>
      <c r="E701" s="24" t="s">
        <v>13561</v>
      </c>
      <c r="F701" s="24" t="s">
        <v>23859</v>
      </c>
      <c r="G701" s="24" t="s">
        <v>13818</v>
      </c>
      <c r="H701" s="24"/>
      <c r="I701" s="24" t="s">
        <v>13809</v>
      </c>
      <c r="J701" s="24"/>
      <c r="K701" s="24" t="s">
        <v>13809</v>
      </c>
      <c r="L701" s="24"/>
      <c r="M701" s="24" t="s">
        <v>18271</v>
      </c>
      <c r="N701" s="24" t="s">
        <v>13818</v>
      </c>
      <c r="O701" s="24"/>
      <c r="P701" s="24" t="s">
        <v>13818</v>
      </c>
      <c r="Q701" s="24"/>
      <c r="R701" s="24" t="s">
        <v>13818</v>
      </c>
      <c r="S701" s="24"/>
      <c r="T701" t="s">
        <v>21943</v>
      </c>
      <c r="U701" t="s">
        <v>13809</v>
      </c>
      <c r="W701" t="s">
        <v>13809</v>
      </c>
      <c r="Y701" t="s">
        <v>13809</v>
      </c>
      <c r="AA701" t="s">
        <v>14386</v>
      </c>
      <c r="AC701" t="s">
        <v>13809</v>
      </c>
      <c r="AH701" t="s">
        <v>13909</v>
      </c>
      <c r="AI701" t="s">
        <v>13818</v>
      </c>
      <c r="AJ701" t="s">
        <v>13819</v>
      </c>
      <c r="AN701" t="s">
        <v>14730</v>
      </c>
      <c r="AO701" t="s">
        <v>13818</v>
      </c>
      <c r="AP701" t="s">
        <v>13819</v>
      </c>
      <c r="AU701" t="s">
        <v>13809</v>
      </c>
      <c r="AZ701" t="s">
        <v>18680</v>
      </c>
      <c r="BA701" t="s">
        <v>13818</v>
      </c>
      <c r="BB701" t="s">
        <v>14888</v>
      </c>
      <c r="BG701" t="s">
        <v>13809</v>
      </c>
      <c r="BR701" t="s">
        <v>16419</v>
      </c>
      <c r="BT701" t="s">
        <v>13809</v>
      </c>
      <c r="BY701" t="s">
        <v>14265</v>
      </c>
      <c r="BZ701" t="s">
        <v>13818</v>
      </c>
      <c r="CA701" t="s">
        <v>14780</v>
      </c>
      <c r="CE701" t="s">
        <v>13887</v>
      </c>
      <c r="CF701" t="s">
        <v>13818</v>
      </c>
      <c r="CG701" t="s">
        <v>14780</v>
      </c>
      <c r="CL701" t="s">
        <v>13809</v>
      </c>
      <c r="CR701" t="s">
        <v>13809</v>
      </c>
      <c r="CT701" t="s">
        <v>23860</v>
      </c>
      <c r="CU701" t="s">
        <v>13887</v>
      </c>
      <c r="CV701" t="s">
        <v>13818</v>
      </c>
      <c r="DA701" t="s">
        <v>13887</v>
      </c>
      <c r="DB701" t="s">
        <v>13818</v>
      </c>
      <c r="DG701" t="s">
        <v>23861</v>
      </c>
      <c r="DH701" t="s">
        <v>13808</v>
      </c>
      <c r="DI701" t="s">
        <v>13819</v>
      </c>
      <c r="DJ701" t="s">
        <v>23862</v>
      </c>
      <c r="DK701" t="s">
        <v>13808</v>
      </c>
      <c r="DL701" t="s">
        <v>13819</v>
      </c>
      <c r="DY701" t="s">
        <v>15296</v>
      </c>
      <c r="DZ701" t="s">
        <v>13841</v>
      </c>
      <c r="EA701" t="s">
        <v>18291</v>
      </c>
      <c r="EC701">
        <v>44512</v>
      </c>
      <c r="ED701" t="s">
        <v>14501</v>
      </c>
      <c r="EE701" t="s">
        <v>13650</v>
      </c>
    </row>
    <row r="702" spans="1:135">
      <c r="A702" t="s">
        <v>4276</v>
      </c>
      <c r="B702" t="s">
        <v>4201</v>
      </c>
      <c r="C702" t="s">
        <v>23863</v>
      </c>
      <c r="D702" s="24">
        <v>44559</v>
      </c>
      <c r="E702" s="24" t="s">
        <v>13559</v>
      </c>
      <c r="F702" s="24" t="s">
        <v>23864</v>
      </c>
      <c r="G702" s="24" t="s">
        <v>13808</v>
      </c>
      <c r="H702" s="24"/>
      <c r="I702" s="24" t="s">
        <v>13809</v>
      </c>
      <c r="J702" s="24"/>
      <c r="K702" s="24" t="s">
        <v>13808</v>
      </c>
      <c r="L702" s="24" t="s">
        <v>23865</v>
      </c>
      <c r="M702" s="24" t="s">
        <v>23866</v>
      </c>
      <c r="N702" s="24" t="s">
        <v>13808</v>
      </c>
      <c r="O702" s="24"/>
      <c r="P702" s="24" t="s">
        <v>13808</v>
      </c>
      <c r="Q702" s="24"/>
      <c r="R702" s="24" t="s">
        <v>13808</v>
      </c>
      <c r="S702" s="24"/>
      <c r="T702" t="s">
        <v>14071</v>
      </c>
      <c r="U702" t="s">
        <v>13809</v>
      </c>
      <c r="W702" t="s">
        <v>13809</v>
      </c>
      <c r="Y702" t="s">
        <v>13809</v>
      </c>
      <c r="AA702" t="s">
        <v>23686</v>
      </c>
      <c r="AB702" t="s">
        <v>22685</v>
      </c>
      <c r="AC702" t="s">
        <v>13818</v>
      </c>
      <c r="AD702" t="s">
        <v>13819</v>
      </c>
      <c r="AH702" t="s">
        <v>13887</v>
      </c>
      <c r="AI702" t="s">
        <v>13808</v>
      </c>
      <c r="AK702" t="s">
        <v>14625</v>
      </c>
      <c r="AL702" t="s">
        <v>13818</v>
      </c>
      <c r="AM702" t="s">
        <v>13819</v>
      </c>
      <c r="AN702" t="s">
        <v>14732</v>
      </c>
      <c r="AO702" t="s">
        <v>13818</v>
      </c>
      <c r="AP702" t="s">
        <v>13819</v>
      </c>
      <c r="AT702" t="s">
        <v>15209</v>
      </c>
      <c r="AU702" t="s">
        <v>13818</v>
      </c>
      <c r="AV702" t="s">
        <v>13819</v>
      </c>
      <c r="AZ702" t="s">
        <v>18690</v>
      </c>
      <c r="BA702" t="s">
        <v>13818</v>
      </c>
      <c r="BB702" t="s">
        <v>13819</v>
      </c>
      <c r="BF702" t="s">
        <v>14006</v>
      </c>
      <c r="BG702" t="s">
        <v>13818</v>
      </c>
      <c r="BH702" t="s">
        <v>13819</v>
      </c>
      <c r="BM702" t="s">
        <v>13809</v>
      </c>
      <c r="BR702" t="s">
        <v>23867</v>
      </c>
      <c r="BS702" t="s">
        <v>13887</v>
      </c>
      <c r="BT702" t="s">
        <v>13808</v>
      </c>
      <c r="BU702" t="s">
        <v>14233</v>
      </c>
      <c r="BY702" t="s">
        <v>13887</v>
      </c>
      <c r="BZ702" t="s">
        <v>13808</v>
      </c>
      <c r="CA702" t="s">
        <v>13937</v>
      </c>
      <c r="CE702" t="s">
        <v>14197</v>
      </c>
      <c r="CF702" t="s">
        <v>13818</v>
      </c>
      <c r="CG702" t="s">
        <v>18178</v>
      </c>
      <c r="CK702" t="s">
        <v>14062</v>
      </c>
      <c r="CL702" t="s">
        <v>13818</v>
      </c>
      <c r="CM702" t="s">
        <v>14309</v>
      </c>
      <c r="CR702" t="s">
        <v>13809</v>
      </c>
      <c r="CT702" t="s">
        <v>23868</v>
      </c>
      <c r="CU702" t="s">
        <v>16071</v>
      </c>
      <c r="CV702" t="s">
        <v>13808</v>
      </c>
      <c r="CX702" t="s">
        <v>23869</v>
      </c>
      <c r="CY702" t="s">
        <v>13818</v>
      </c>
      <c r="CZ702" t="s">
        <v>18178</v>
      </c>
      <c r="DA702" t="s">
        <v>23870</v>
      </c>
      <c r="DB702" t="s">
        <v>13818</v>
      </c>
      <c r="DG702" t="s">
        <v>23871</v>
      </c>
      <c r="DH702" t="s">
        <v>13818</v>
      </c>
      <c r="DJ702" t="s">
        <v>23872</v>
      </c>
      <c r="DK702" t="s">
        <v>13818</v>
      </c>
      <c r="DY702" t="s">
        <v>23873</v>
      </c>
      <c r="DZ702" t="s">
        <v>23874</v>
      </c>
      <c r="EA702" t="s">
        <v>18291</v>
      </c>
      <c r="EC702">
        <v>44564</v>
      </c>
      <c r="ED702" t="s">
        <v>14501</v>
      </c>
      <c r="EE702" t="s">
        <v>9173</v>
      </c>
    </row>
    <row r="703" spans="1:135">
      <c r="A703" t="s">
        <v>4280</v>
      </c>
      <c r="B703" t="s">
        <v>4201</v>
      </c>
      <c r="C703" t="s">
        <v>23875</v>
      </c>
      <c r="D703" s="24">
        <v>44559</v>
      </c>
      <c r="E703" s="24" t="s">
        <v>13558</v>
      </c>
      <c r="F703" s="24" t="s">
        <v>23876</v>
      </c>
      <c r="G703" s="24" t="s">
        <v>13808</v>
      </c>
      <c r="H703" s="24"/>
      <c r="I703" s="24" t="s">
        <v>13809</v>
      </c>
      <c r="J703" s="24"/>
      <c r="K703" s="24" t="s">
        <v>13809</v>
      </c>
      <c r="L703" s="24"/>
      <c r="M703" s="24" t="s">
        <v>18271</v>
      </c>
      <c r="N703" s="24" t="s">
        <v>13808</v>
      </c>
      <c r="O703" s="24"/>
      <c r="P703" s="24" t="s">
        <v>13808</v>
      </c>
      <c r="Q703" s="24"/>
      <c r="R703" s="24" t="s">
        <v>13808</v>
      </c>
      <c r="S703" s="24"/>
      <c r="T703" t="s">
        <v>14071</v>
      </c>
      <c r="U703" t="s">
        <v>13809</v>
      </c>
      <c r="W703" t="s">
        <v>13809</v>
      </c>
      <c r="Y703" t="s">
        <v>13809</v>
      </c>
      <c r="AA703" t="s">
        <v>23686</v>
      </c>
      <c r="AB703" t="s">
        <v>14852</v>
      </c>
      <c r="AC703" t="s">
        <v>13818</v>
      </c>
      <c r="AD703" t="s">
        <v>13819</v>
      </c>
      <c r="AH703" t="s">
        <v>13887</v>
      </c>
      <c r="AI703" t="s">
        <v>13808</v>
      </c>
      <c r="AK703" t="s">
        <v>14625</v>
      </c>
      <c r="AL703" t="s">
        <v>13818</v>
      </c>
      <c r="AM703" t="s">
        <v>13819</v>
      </c>
      <c r="AN703" t="s">
        <v>16019</v>
      </c>
      <c r="AO703" t="s">
        <v>13818</v>
      </c>
      <c r="AP703" t="s">
        <v>13819</v>
      </c>
      <c r="AT703" t="s">
        <v>20202</v>
      </c>
      <c r="AU703" t="s">
        <v>13818</v>
      </c>
      <c r="AV703" t="s">
        <v>13819</v>
      </c>
      <c r="AZ703" t="s">
        <v>17877</v>
      </c>
      <c r="BA703" t="s">
        <v>13818</v>
      </c>
      <c r="BB703" t="s">
        <v>13819</v>
      </c>
      <c r="BF703" t="s">
        <v>18959</v>
      </c>
      <c r="BG703" t="s">
        <v>13818</v>
      </c>
      <c r="BH703" t="s">
        <v>13819</v>
      </c>
      <c r="BM703" t="s">
        <v>13809</v>
      </c>
      <c r="BR703" t="s">
        <v>15692</v>
      </c>
      <c r="BS703" t="s">
        <v>13887</v>
      </c>
      <c r="BT703" t="s">
        <v>13808</v>
      </c>
      <c r="BU703" t="s">
        <v>14233</v>
      </c>
      <c r="BY703" t="s">
        <v>13887</v>
      </c>
      <c r="BZ703" t="s">
        <v>13808</v>
      </c>
      <c r="CA703" t="s">
        <v>13937</v>
      </c>
      <c r="CE703" t="s">
        <v>13887</v>
      </c>
      <c r="CF703" t="s">
        <v>13808</v>
      </c>
      <c r="CL703" t="s">
        <v>13809</v>
      </c>
      <c r="CR703" t="s">
        <v>13809</v>
      </c>
      <c r="CT703" t="s">
        <v>14781</v>
      </c>
      <c r="CU703" t="s">
        <v>23877</v>
      </c>
      <c r="CV703" t="s">
        <v>13818</v>
      </c>
      <c r="DA703" t="s">
        <v>23878</v>
      </c>
      <c r="DB703" t="s">
        <v>13818</v>
      </c>
      <c r="DG703" t="s">
        <v>23879</v>
      </c>
      <c r="DH703" t="s">
        <v>13818</v>
      </c>
      <c r="DJ703" t="s">
        <v>23880</v>
      </c>
      <c r="DK703" t="s">
        <v>13818</v>
      </c>
      <c r="DM703" t="s">
        <v>19450</v>
      </c>
      <c r="DN703" t="s">
        <v>13818</v>
      </c>
      <c r="DO703" t="s">
        <v>23881</v>
      </c>
      <c r="DY703" t="s">
        <v>23882</v>
      </c>
      <c r="DZ703" t="s">
        <v>13841</v>
      </c>
      <c r="EA703" t="s">
        <v>18291</v>
      </c>
      <c r="EC703">
        <v>44564</v>
      </c>
      <c r="ED703" t="s">
        <v>14501</v>
      </c>
      <c r="EE703" t="s">
        <v>9182</v>
      </c>
    </row>
    <row r="704" spans="1:135">
      <c r="A704" t="s">
        <v>4284</v>
      </c>
      <c r="B704" t="s">
        <v>4201</v>
      </c>
      <c r="C704" t="s">
        <v>23883</v>
      </c>
      <c r="D704" s="24">
        <v>43726</v>
      </c>
      <c r="E704" s="24" t="s">
        <v>13555</v>
      </c>
      <c r="F704" s="24" t="s">
        <v>23884</v>
      </c>
      <c r="G704" s="24" t="s">
        <v>13808</v>
      </c>
      <c r="H704" s="24"/>
      <c r="I704" s="24" t="s">
        <v>13809</v>
      </c>
      <c r="J704" s="24"/>
      <c r="K704" s="24" t="s">
        <v>13808</v>
      </c>
      <c r="L704" s="24"/>
      <c r="M704" s="24" t="s">
        <v>13874</v>
      </c>
      <c r="N704" s="24" t="s">
        <v>13808</v>
      </c>
      <c r="O704" s="24"/>
      <c r="P704" s="24" t="s">
        <v>13808</v>
      </c>
      <c r="Q704" s="24"/>
      <c r="R704" s="24" t="s">
        <v>13808</v>
      </c>
      <c r="S704" s="24"/>
      <c r="T704" t="s">
        <v>23885</v>
      </c>
      <c r="U704" t="s">
        <v>13808</v>
      </c>
      <c r="V704" t="s">
        <v>23886</v>
      </c>
      <c r="W704" t="s">
        <v>13808</v>
      </c>
      <c r="X704" t="s">
        <v>23887</v>
      </c>
      <c r="Y704" t="s">
        <v>13808</v>
      </c>
      <c r="Z704" t="s">
        <v>23888</v>
      </c>
      <c r="AA704" t="s">
        <v>13877</v>
      </c>
      <c r="AB704" t="s">
        <v>17209</v>
      </c>
      <c r="AC704" t="s">
        <v>13808</v>
      </c>
      <c r="AH704" t="s">
        <v>13909</v>
      </c>
      <c r="AI704" t="s">
        <v>13808</v>
      </c>
      <c r="AO704" t="s">
        <v>13809</v>
      </c>
      <c r="AT704" t="s">
        <v>17398</v>
      </c>
      <c r="AU704" t="s">
        <v>19153</v>
      </c>
      <c r="AZ704" t="s">
        <v>15973</v>
      </c>
      <c r="BA704" t="s">
        <v>19153</v>
      </c>
      <c r="BF704" t="s">
        <v>14022</v>
      </c>
      <c r="BG704" t="s">
        <v>19153</v>
      </c>
      <c r="BL704" t="s">
        <v>23889</v>
      </c>
      <c r="BM704" t="s">
        <v>19153</v>
      </c>
      <c r="BR704" t="s">
        <v>23890</v>
      </c>
      <c r="BS704" t="s">
        <v>13887</v>
      </c>
      <c r="BT704" t="s">
        <v>13808</v>
      </c>
      <c r="BU704" t="s">
        <v>14128</v>
      </c>
      <c r="BY704" t="s">
        <v>16201</v>
      </c>
      <c r="BZ704" t="s">
        <v>13808</v>
      </c>
      <c r="CA704" t="s">
        <v>23891</v>
      </c>
      <c r="CE704" t="s">
        <v>23892</v>
      </c>
      <c r="CF704" t="s">
        <v>13808</v>
      </c>
      <c r="CG704" t="s">
        <v>23893</v>
      </c>
      <c r="CL704" t="s">
        <v>13809</v>
      </c>
      <c r="CR704" t="s">
        <v>13809</v>
      </c>
      <c r="CT704" t="s">
        <v>16202</v>
      </c>
      <c r="CU704" t="s">
        <v>23894</v>
      </c>
      <c r="CV704" t="s">
        <v>19153</v>
      </c>
      <c r="CW704" t="s">
        <v>23895</v>
      </c>
      <c r="DA704" t="s">
        <v>23896</v>
      </c>
      <c r="DB704" t="s">
        <v>19153</v>
      </c>
      <c r="DC704" t="s">
        <v>23897</v>
      </c>
      <c r="DG704" t="s">
        <v>23898</v>
      </c>
      <c r="DH704" t="s">
        <v>13818</v>
      </c>
      <c r="DY704" t="s">
        <v>13900</v>
      </c>
      <c r="DZ704" t="s">
        <v>23899</v>
      </c>
      <c r="EA704" t="s">
        <v>14049</v>
      </c>
      <c r="EC704">
        <v>43789</v>
      </c>
      <c r="ED704" t="s">
        <v>14501</v>
      </c>
      <c r="EE704" t="s">
        <v>9184</v>
      </c>
    </row>
    <row r="705" spans="1:135">
      <c r="A705" t="s">
        <v>4288</v>
      </c>
      <c r="B705" t="s">
        <v>4201</v>
      </c>
      <c r="C705" t="s">
        <v>23900</v>
      </c>
      <c r="D705" s="24">
        <v>42836</v>
      </c>
      <c r="E705" s="24" t="s">
        <v>13559</v>
      </c>
      <c r="F705" s="24" t="s">
        <v>23901</v>
      </c>
      <c r="G705" s="24" t="s">
        <v>13808</v>
      </c>
      <c r="H705" s="24"/>
      <c r="I705" s="24" t="s">
        <v>13809</v>
      </c>
      <c r="J705" s="24"/>
      <c r="K705" s="24" t="s">
        <v>13809</v>
      </c>
      <c r="L705" s="24"/>
      <c r="M705" s="24" t="s">
        <v>15106</v>
      </c>
      <c r="N705" s="24" t="s">
        <v>13818</v>
      </c>
      <c r="O705" s="24" t="s">
        <v>23233</v>
      </c>
      <c r="P705" s="24" t="s">
        <v>13808</v>
      </c>
      <c r="Q705" s="24"/>
      <c r="R705" s="24" t="s">
        <v>13808</v>
      </c>
      <c r="S705" s="24"/>
      <c r="T705" t="s">
        <v>15222</v>
      </c>
      <c r="U705" t="s">
        <v>13809</v>
      </c>
      <c r="W705" t="s">
        <v>13809</v>
      </c>
      <c r="Y705" t="s">
        <v>13809</v>
      </c>
      <c r="AA705" t="s">
        <v>23902</v>
      </c>
      <c r="AB705" t="s">
        <v>13850</v>
      </c>
      <c r="AC705" t="s">
        <v>13809</v>
      </c>
      <c r="AH705" t="s">
        <v>14073</v>
      </c>
      <c r="AI705" t="s">
        <v>13808</v>
      </c>
      <c r="AK705" t="s">
        <v>23903</v>
      </c>
      <c r="AL705" t="s">
        <v>13818</v>
      </c>
      <c r="AM705" t="s">
        <v>13819</v>
      </c>
      <c r="AN705" t="s">
        <v>23904</v>
      </c>
      <c r="AO705" t="s">
        <v>13818</v>
      </c>
      <c r="AP705" t="s">
        <v>13819</v>
      </c>
      <c r="AT705" t="s">
        <v>14312</v>
      </c>
      <c r="AU705" t="s">
        <v>13818</v>
      </c>
      <c r="AV705" t="s">
        <v>13819</v>
      </c>
      <c r="AZ705" t="s">
        <v>14794</v>
      </c>
      <c r="BA705" t="s">
        <v>13808</v>
      </c>
      <c r="BF705" t="s">
        <v>23905</v>
      </c>
      <c r="BG705" t="s">
        <v>13808</v>
      </c>
      <c r="BL705" t="s">
        <v>23906</v>
      </c>
      <c r="BM705" t="s">
        <v>13808</v>
      </c>
      <c r="BR705" t="s">
        <v>15692</v>
      </c>
      <c r="BS705" t="s">
        <v>13824</v>
      </c>
      <c r="BT705" t="s">
        <v>13808</v>
      </c>
      <c r="BU705" t="s">
        <v>14233</v>
      </c>
      <c r="BY705" t="s">
        <v>13986</v>
      </c>
      <c r="BZ705" t="s">
        <v>13808</v>
      </c>
      <c r="CA705" t="s">
        <v>13937</v>
      </c>
      <c r="CE705" t="s">
        <v>13828</v>
      </c>
      <c r="CF705" t="s">
        <v>13808</v>
      </c>
      <c r="CK705" t="s">
        <v>13760</v>
      </c>
      <c r="CL705" t="s">
        <v>13809</v>
      </c>
      <c r="CQ705" t="s">
        <v>13766</v>
      </c>
      <c r="CR705" t="s">
        <v>13809</v>
      </c>
      <c r="CT705" t="s">
        <v>21825</v>
      </c>
      <c r="CU705" t="s">
        <v>13941</v>
      </c>
      <c r="CV705" t="s">
        <v>13808</v>
      </c>
      <c r="CX705" t="s">
        <v>23907</v>
      </c>
      <c r="CY705" t="s">
        <v>13818</v>
      </c>
      <c r="CZ705" t="s">
        <v>13819</v>
      </c>
      <c r="DA705" t="s">
        <v>14340</v>
      </c>
      <c r="DB705" t="s">
        <v>13808</v>
      </c>
      <c r="DD705" t="s">
        <v>23907</v>
      </c>
      <c r="DE705" t="s">
        <v>13818</v>
      </c>
      <c r="DF705" t="s">
        <v>13819</v>
      </c>
      <c r="DH705" t="s">
        <v>13808</v>
      </c>
      <c r="DM705" t="s">
        <v>23908</v>
      </c>
      <c r="DN705" t="s">
        <v>13808</v>
      </c>
      <c r="DZ705" t="s">
        <v>13841</v>
      </c>
      <c r="EA705" t="s">
        <v>13996</v>
      </c>
      <c r="EC705">
        <v>44627</v>
      </c>
      <c r="ED705" t="s">
        <v>13843</v>
      </c>
      <c r="EE705" t="s">
        <v>9195</v>
      </c>
    </row>
    <row r="706" spans="1:135">
      <c r="A706" t="s">
        <v>4292</v>
      </c>
      <c r="B706" t="s">
        <v>4201</v>
      </c>
      <c r="C706" t="s">
        <v>23909</v>
      </c>
      <c r="D706" s="24">
        <v>44482</v>
      </c>
      <c r="E706" s="24" t="s">
        <v>13559</v>
      </c>
      <c r="F706" s="24" t="s">
        <v>23910</v>
      </c>
      <c r="G706" s="24" t="s">
        <v>13808</v>
      </c>
      <c r="H706" s="24" t="s">
        <v>23911</v>
      </c>
      <c r="I706" s="24" t="s">
        <v>13809</v>
      </c>
      <c r="J706" s="24"/>
      <c r="K706" s="24" t="s">
        <v>13809</v>
      </c>
      <c r="L706" s="24"/>
      <c r="M706" s="24" t="s">
        <v>23912</v>
      </c>
      <c r="N706" s="24" t="s">
        <v>13808</v>
      </c>
      <c r="O706" s="24"/>
      <c r="P706" s="24" t="s">
        <v>13808</v>
      </c>
      <c r="Q706" s="24" t="s">
        <v>23913</v>
      </c>
      <c r="R706" s="24" t="s">
        <v>13808</v>
      </c>
      <c r="S706" s="24"/>
      <c r="T706" t="s">
        <v>14071</v>
      </c>
      <c r="U706" t="s">
        <v>13809</v>
      </c>
      <c r="W706" t="s">
        <v>13809</v>
      </c>
      <c r="Y706" t="s">
        <v>13809</v>
      </c>
      <c r="AA706" t="s">
        <v>23914</v>
      </c>
      <c r="AB706" t="s">
        <v>15530</v>
      </c>
      <c r="AC706" t="s">
        <v>13818</v>
      </c>
      <c r="AD706" t="s">
        <v>14309</v>
      </c>
      <c r="AH706" t="s">
        <v>23915</v>
      </c>
      <c r="AI706" t="s">
        <v>13808</v>
      </c>
      <c r="AK706" t="s">
        <v>14625</v>
      </c>
      <c r="AL706" t="s">
        <v>13818</v>
      </c>
      <c r="AM706" t="s">
        <v>14309</v>
      </c>
      <c r="AN706" t="s">
        <v>13809</v>
      </c>
      <c r="AT706" t="s">
        <v>14687</v>
      </c>
      <c r="AU706" t="s">
        <v>13818</v>
      </c>
      <c r="AV706" t="s">
        <v>18178</v>
      </c>
      <c r="AZ706" t="s">
        <v>20690</v>
      </c>
      <c r="BA706" t="s">
        <v>13818</v>
      </c>
      <c r="BB706" t="s">
        <v>14309</v>
      </c>
      <c r="BF706" t="s">
        <v>15025</v>
      </c>
      <c r="BG706" t="s">
        <v>13808</v>
      </c>
      <c r="BL706" t="s">
        <v>13809</v>
      </c>
      <c r="BR706" t="s">
        <v>23916</v>
      </c>
      <c r="BS706" t="s">
        <v>13887</v>
      </c>
      <c r="BT706" t="s">
        <v>13818</v>
      </c>
      <c r="BU706" t="s">
        <v>23917</v>
      </c>
      <c r="BY706" t="s">
        <v>13887</v>
      </c>
      <c r="BZ706" t="s">
        <v>13808</v>
      </c>
      <c r="CA706" t="s">
        <v>13937</v>
      </c>
      <c r="CE706" t="s">
        <v>13887</v>
      </c>
      <c r="CF706" t="s">
        <v>13808</v>
      </c>
      <c r="CL706" t="s">
        <v>13809</v>
      </c>
      <c r="CR706" t="s">
        <v>13809</v>
      </c>
      <c r="CT706" t="s">
        <v>23918</v>
      </c>
      <c r="CU706" t="s">
        <v>14818</v>
      </c>
      <c r="CV706" t="s">
        <v>13818</v>
      </c>
      <c r="CW706" t="s">
        <v>23919</v>
      </c>
      <c r="CX706" t="s">
        <v>14625</v>
      </c>
      <c r="CY706" t="s">
        <v>13818</v>
      </c>
      <c r="CZ706" t="s">
        <v>23920</v>
      </c>
      <c r="DA706" t="s">
        <v>23921</v>
      </c>
      <c r="DB706" t="s">
        <v>13818</v>
      </c>
      <c r="DC706" t="s">
        <v>23920</v>
      </c>
      <c r="DM706" t="s">
        <v>23922</v>
      </c>
      <c r="DN706" t="s">
        <v>13808</v>
      </c>
      <c r="DP706" t="s">
        <v>23923</v>
      </c>
      <c r="DQ706" t="s">
        <v>13808</v>
      </c>
      <c r="DR706" t="s">
        <v>13839</v>
      </c>
      <c r="DY706" t="s">
        <v>13840</v>
      </c>
      <c r="DZ706" t="s">
        <v>13841</v>
      </c>
      <c r="EA706" t="s">
        <v>14275</v>
      </c>
      <c r="EC706">
        <v>44483</v>
      </c>
      <c r="ED706" t="s">
        <v>14501</v>
      </c>
      <c r="EE706" t="s">
        <v>9204</v>
      </c>
    </row>
    <row r="707" spans="1:135">
      <c r="A707" t="s">
        <v>4296</v>
      </c>
      <c r="B707" t="s">
        <v>4201</v>
      </c>
      <c r="C707" t="s">
        <v>23924</v>
      </c>
      <c r="D707" s="24">
        <v>43460</v>
      </c>
      <c r="E707" s="24" t="s">
        <v>13559</v>
      </c>
      <c r="F707" s="24" t="s">
        <v>23925</v>
      </c>
      <c r="G707" s="24" t="s">
        <v>13808</v>
      </c>
      <c r="H707" s="24"/>
      <c r="I707" s="24" t="s">
        <v>13809</v>
      </c>
      <c r="J707" s="24"/>
      <c r="K707" s="24" t="s">
        <v>13808</v>
      </c>
      <c r="L707" s="24"/>
      <c r="M707" s="24" t="s">
        <v>15106</v>
      </c>
      <c r="N707" s="24" t="s">
        <v>13808</v>
      </c>
      <c r="O707" s="24"/>
      <c r="P707" s="24" t="s">
        <v>13808</v>
      </c>
      <c r="Q707" s="24"/>
      <c r="R707" s="24" t="s">
        <v>13808</v>
      </c>
      <c r="S707" s="24"/>
      <c r="T707" t="s">
        <v>14071</v>
      </c>
      <c r="U707" t="s">
        <v>13809</v>
      </c>
      <c r="W707" t="s">
        <v>13809</v>
      </c>
      <c r="Y707" t="s">
        <v>13809</v>
      </c>
      <c r="AA707" t="s">
        <v>23926</v>
      </c>
      <c r="AB707" t="s">
        <v>23927</v>
      </c>
      <c r="AC707" t="s">
        <v>13808</v>
      </c>
      <c r="AH707" t="s">
        <v>14073</v>
      </c>
      <c r="AI707" t="s">
        <v>13808</v>
      </c>
      <c r="AK707" t="s">
        <v>23928</v>
      </c>
      <c r="AL707" t="s">
        <v>13818</v>
      </c>
      <c r="AM707" t="s">
        <v>13819</v>
      </c>
      <c r="AN707" t="s">
        <v>23929</v>
      </c>
      <c r="AO707" t="s">
        <v>13818</v>
      </c>
      <c r="AP707" t="s">
        <v>13819</v>
      </c>
      <c r="AT707" t="s">
        <v>13717</v>
      </c>
      <c r="AU707" t="s">
        <v>13809</v>
      </c>
      <c r="AZ707" t="s">
        <v>23930</v>
      </c>
      <c r="BA707" t="s">
        <v>13818</v>
      </c>
      <c r="BB707" t="s">
        <v>13819</v>
      </c>
      <c r="BF707" t="s">
        <v>23931</v>
      </c>
      <c r="BG707" t="s">
        <v>13808</v>
      </c>
      <c r="BL707" t="s">
        <v>13735</v>
      </c>
      <c r="BM707" t="s">
        <v>13809</v>
      </c>
      <c r="BR707" t="s">
        <v>23932</v>
      </c>
      <c r="BS707" t="s">
        <v>13824</v>
      </c>
      <c r="BT707" t="s">
        <v>13818</v>
      </c>
      <c r="BU707" t="s">
        <v>23933</v>
      </c>
      <c r="BY707" t="s">
        <v>14148</v>
      </c>
      <c r="BZ707" t="s">
        <v>13808</v>
      </c>
      <c r="CA707" t="s">
        <v>13937</v>
      </c>
      <c r="CE707" t="s">
        <v>13754</v>
      </c>
      <c r="CF707" t="s">
        <v>13809</v>
      </c>
      <c r="CK707" t="s">
        <v>14581</v>
      </c>
      <c r="CL707" t="s">
        <v>13808</v>
      </c>
      <c r="CQ707" t="s">
        <v>13766</v>
      </c>
      <c r="CR707" t="s">
        <v>13809</v>
      </c>
      <c r="CT707" t="s">
        <v>23934</v>
      </c>
      <c r="CU707" t="s">
        <v>23935</v>
      </c>
      <c r="CV707" t="s">
        <v>13808</v>
      </c>
      <c r="CX707" t="s">
        <v>23936</v>
      </c>
      <c r="CY707" t="s">
        <v>13818</v>
      </c>
      <c r="DA707" t="s">
        <v>23937</v>
      </c>
      <c r="DB707" t="s">
        <v>13808</v>
      </c>
      <c r="DD707" t="s">
        <v>23936</v>
      </c>
      <c r="DE707" t="s">
        <v>13818</v>
      </c>
      <c r="DG707" t="s">
        <v>14240</v>
      </c>
      <c r="DH707" t="s">
        <v>13808</v>
      </c>
      <c r="DM707" t="s">
        <v>23938</v>
      </c>
      <c r="DN707" t="s">
        <v>13818</v>
      </c>
      <c r="DY707" t="s">
        <v>13840</v>
      </c>
      <c r="DZ707" t="s">
        <v>17754</v>
      </c>
      <c r="EA707" t="s">
        <v>13996</v>
      </c>
      <c r="EC707">
        <v>44627</v>
      </c>
      <c r="ED707" t="s">
        <v>13843</v>
      </c>
      <c r="EE707" t="s">
        <v>9207</v>
      </c>
    </row>
    <row r="708" spans="1:135">
      <c r="A708" t="s">
        <v>4298</v>
      </c>
      <c r="B708" t="s">
        <v>4201</v>
      </c>
      <c r="C708" t="s">
        <v>23939</v>
      </c>
      <c r="D708" s="24">
        <v>42836</v>
      </c>
      <c r="E708" s="24" t="s">
        <v>13558</v>
      </c>
      <c r="F708" s="24" t="s">
        <v>23940</v>
      </c>
      <c r="G708" s="24" t="s">
        <v>13808</v>
      </c>
      <c r="H708" s="24"/>
      <c r="I708" s="24" t="s">
        <v>13809</v>
      </c>
      <c r="J708" s="24"/>
      <c r="K708" s="24" t="s">
        <v>13808</v>
      </c>
      <c r="L708" s="24"/>
      <c r="M708" s="24" t="s">
        <v>16084</v>
      </c>
      <c r="N708" s="24" t="s">
        <v>13818</v>
      </c>
      <c r="O708" s="24" t="s">
        <v>15815</v>
      </c>
      <c r="P708" s="24" t="s">
        <v>13808</v>
      </c>
      <c r="Q708" s="24"/>
      <c r="R708" s="24" t="s">
        <v>13808</v>
      </c>
      <c r="S708" s="24"/>
      <c r="T708" t="s">
        <v>23941</v>
      </c>
      <c r="U708" t="s">
        <v>13809</v>
      </c>
      <c r="W708" t="s">
        <v>13809</v>
      </c>
      <c r="Y708" t="s">
        <v>13809</v>
      </c>
      <c r="AA708" t="s">
        <v>23942</v>
      </c>
      <c r="AB708" t="s">
        <v>23943</v>
      </c>
      <c r="AC708" t="s">
        <v>13818</v>
      </c>
      <c r="AH708" t="s">
        <v>13887</v>
      </c>
      <c r="AI708" t="s">
        <v>13808</v>
      </c>
      <c r="AK708" t="s">
        <v>21469</v>
      </c>
      <c r="AL708" t="s">
        <v>13818</v>
      </c>
      <c r="AM708" t="s">
        <v>23944</v>
      </c>
      <c r="AO708" t="s">
        <v>13809</v>
      </c>
      <c r="AT708" t="s">
        <v>14816</v>
      </c>
      <c r="AU708" t="s">
        <v>13818</v>
      </c>
      <c r="AZ708" t="s">
        <v>14046</v>
      </c>
      <c r="BA708" t="s">
        <v>13808</v>
      </c>
      <c r="BF708" t="s">
        <v>13882</v>
      </c>
      <c r="BG708" t="s">
        <v>13808</v>
      </c>
      <c r="BM708" t="s">
        <v>13809</v>
      </c>
      <c r="BR708" t="s">
        <v>23945</v>
      </c>
      <c r="BS708" t="s">
        <v>13887</v>
      </c>
      <c r="BT708" t="s">
        <v>13808</v>
      </c>
      <c r="BU708" t="s">
        <v>23946</v>
      </c>
      <c r="BY708" t="s">
        <v>13887</v>
      </c>
      <c r="BZ708" t="s">
        <v>13808</v>
      </c>
      <c r="CA708" t="s">
        <v>13888</v>
      </c>
      <c r="CE708" t="s">
        <v>13887</v>
      </c>
      <c r="CF708" t="s">
        <v>13808</v>
      </c>
      <c r="CK708" t="s">
        <v>13809</v>
      </c>
      <c r="CR708" t="s">
        <v>13809</v>
      </c>
      <c r="CT708" t="s">
        <v>23947</v>
      </c>
      <c r="CU708" t="s">
        <v>13909</v>
      </c>
      <c r="CV708" t="s">
        <v>13818</v>
      </c>
      <c r="DA708" t="s">
        <v>13909</v>
      </c>
      <c r="DB708" t="s">
        <v>13818</v>
      </c>
      <c r="DG708" t="s">
        <v>13909</v>
      </c>
      <c r="DH708" t="s">
        <v>13818</v>
      </c>
      <c r="DZ708" t="s">
        <v>14696</v>
      </c>
      <c r="EA708" t="s">
        <v>14627</v>
      </c>
      <c r="ED708" t="s">
        <v>13903</v>
      </c>
      <c r="EE708" t="s">
        <v>9211</v>
      </c>
    </row>
    <row r="709" spans="1:135">
      <c r="A709" t="s">
        <v>4302</v>
      </c>
      <c r="B709" t="s">
        <v>4201</v>
      </c>
      <c r="C709" t="s">
        <v>23948</v>
      </c>
      <c r="D709" s="24">
        <v>43698</v>
      </c>
      <c r="E709" s="24" t="s">
        <v>13553</v>
      </c>
      <c r="F709" s="24" t="s">
        <v>23949</v>
      </c>
      <c r="G709" s="24" t="s">
        <v>13808</v>
      </c>
      <c r="H709" s="24"/>
      <c r="I709" s="24" t="s">
        <v>13809</v>
      </c>
      <c r="J709" s="24"/>
      <c r="K709" s="24" t="s">
        <v>13809</v>
      </c>
      <c r="L709" s="24"/>
      <c r="M709" s="24" t="s">
        <v>13846</v>
      </c>
      <c r="N709" s="24" t="s">
        <v>13808</v>
      </c>
      <c r="O709" s="24"/>
      <c r="P709" s="24" t="s">
        <v>13808</v>
      </c>
      <c r="Q709" s="24"/>
      <c r="R709" s="24" t="s">
        <v>13808</v>
      </c>
      <c r="S709" s="24"/>
      <c r="T709" t="s">
        <v>17583</v>
      </c>
      <c r="U709" t="s">
        <v>13808</v>
      </c>
      <c r="W709" t="s">
        <v>13808</v>
      </c>
      <c r="X709" t="s">
        <v>23950</v>
      </c>
      <c r="AA709" t="s">
        <v>13849</v>
      </c>
      <c r="AB709" t="s">
        <v>23951</v>
      </c>
      <c r="AC709" t="s">
        <v>13808</v>
      </c>
      <c r="AH709" t="s">
        <v>13851</v>
      </c>
      <c r="AI709" t="s">
        <v>13808</v>
      </c>
      <c r="AN709" t="s">
        <v>23952</v>
      </c>
      <c r="AO709" t="s">
        <v>13808</v>
      </c>
      <c r="AT709" t="s">
        <v>23953</v>
      </c>
      <c r="AU709" t="s">
        <v>13808</v>
      </c>
      <c r="AZ709" t="s">
        <v>23954</v>
      </c>
      <c r="BA709" t="s">
        <v>13808</v>
      </c>
      <c r="BF709" t="s">
        <v>23955</v>
      </c>
      <c r="BG709" t="s">
        <v>13808</v>
      </c>
      <c r="BH709" t="s">
        <v>23956</v>
      </c>
      <c r="BL709" t="s">
        <v>23957</v>
      </c>
      <c r="BM709" t="s">
        <v>13808</v>
      </c>
      <c r="BR709" t="s">
        <v>23958</v>
      </c>
      <c r="BS709" t="s">
        <v>13824</v>
      </c>
      <c r="BT709" t="s">
        <v>13808</v>
      </c>
      <c r="BU709" t="s">
        <v>23959</v>
      </c>
      <c r="BY709" t="s">
        <v>15336</v>
      </c>
      <c r="BZ709" t="s">
        <v>13808</v>
      </c>
      <c r="CA709" t="s">
        <v>13861</v>
      </c>
      <c r="CE709" t="s">
        <v>13828</v>
      </c>
      <c r="CF709" t="s">
        <v>13808</v>
      </c>
      <c r="CK709" t="s">
        <v>23960</v>
      </c>
      <c r="CL709" t="s">
        <v>13808</v>
      </c>
      <c r="CM709" t="s">
        <v>13863</v>
      </c>
      <c r="CQ709" t="s">
        <v>13766</v>
      </c>
      <c r="CR709" t="s">
        <v>13809</v>
      </c>
      <c r="CT709" t="s">
        <v>18215</v>
      </c>
      <c r="CU709" t="s">
        <v>23961</v>
      </c>
      <c r="CV709" t="s">
        <v>13808</v>
      </c>
      <c r="DA709" t="s">
        <v>23962</v>
      </c>
      <c r="DB709" t="s">
        <v>13808</v>
      </c>
      <c r="DG709" t="s">
        <v>23963</v>
      </c>
      <c r="DH709" t="s">
        <v>13808</v>
      </c>
      <c r="DJ709" t="s">
        <v>23964</v>
      </c>
      <c r="DK709" t="s">
        <v>13808</v>
      </c>
      <c r="DM709" t="s">
        <v>23965</v>
      </c>
      <c r="DN709" t="s">
        <v>13808</v>
      </c>
      <c r="DO709" t="s">
        <v>23966</v>
      </c>
      <c r="DY709" t="s">
        <v>13840</v>
      </c>
      <c r="DZ709" t="s">
        <v>23967</v>
      </c>
      <c r="EA709" t="s">
        <v>13871</v>
      </c>
      <c r="EC709">
        <v>44627</v>
      </c>
      <c r="ED709" t="s">
        <v>13843</v>
      </c>
      <c r="EE709" t="s">
        <v>9215</v>
      </c>
    </row>
    <row r="710" spans="1:135">
      <c r="A710" t="s">
        <v>4313</v>
      </c>
      <c r="B710" t="s">
        <v>4201</v>
      </c>
      <c r="C710" t="s">
        <v>23968</v>
      </c>
      <c r="D710" s="24">
        <v>43417</v>
      </c>
      <c r="E710" s="24" t="s">
        <v>13560</v>
      </c>
      <c r="F710" s="24" t="s">
        <v>23969</v>
      </c>
      <c r="G710" s="24" t="s">
        <v>13808</v>
      </c>
      <c r="H710" s="24"/>
      <c r="I710" s="24" t="s">
        <v>13809</v>
      </c>
      <c r="J710" s="24"/>
      <c r="K710" s="24" t="s">
        <v>13808</v>
      </c>
      <c r="L710" s="24"/>
      <c r="M710" s="24" t="s">
        <v>13950</v>
      </c>
      <c r="N710" s="24" t="s">
        <v>13808</v>
      </c>
      <c r="O710" s="24"/>
      <c r="P710" s="24" t="s">
        <v>13808</v>
      </c>
      <c r="Q710" s="24"/>
      <c r="R710" s="24" t="s">
        <v>13808</v>
      </c>
      <c r="S710" s="24"/>
      <c r="T710" t="s">
        <v>15222</v>
      </c>
      <c r="U710" t="s">
        <v>13809</v>
      </c>
      <c r="W710" t="s">
        <v>13809</v>
      </c>
      <c r="Y710" t="s">
        <v>13808</v>
      </c>
      <c r="AA710" t="s">
        <v>21358</v>
      </c>
      <c r="AC710" t="s">
        <v>13809</v>
      </c>
      <c r="AH710" t="s">
        <v>13887</v>
      </c>
      <c r="AI710" t="s">
        <v>13808</v>
      </c>
      <c r="AK710" t="s">
        <v>15309</v>
      </c>
      <c r="AL710" t="s">
        <v>13818</v>
      </c>
      <c r="AM710" t="s">
        <v>13819</v>
      </c>
      <c r="AN710" t="s">
        <v>16326</v>
      </c>
      <c r="AO710" t="s">
        <v>13818</v>
      </c>
      <c r="AP710" t="s">
        <v>18178</v>
      </c>
      <c r="AT710" t="s">
        <v>23970</v>
      </c>
      <c r="AU710" t="s">
        <v>13818</v>
      </c>
      <c r="AV710" t="s">
        <v>13819</v>
      </c>
      <c r="AZ710" t="s">
        <v>14432</v>
      </c>
      <c r="BA710" t="s">
        <v>13818</v>
      </c>
      <c r="BB710" t="s">
        <v>13819</v>
      </c>
      <c r="BF710" t="s">
        <v>14192</v>
      </c>
      <c r="BG710" t="s">
        <v>13808</v>
      </c>
      <c r="BL710" t="s">
        <v>13809</v>
      </c>
      <c r="BR710" t="s">
        <v>23971</v>
      </c>
      <c r="BS710" t="s">
        <v>13887</v>
      </c>
      <c r="BT710" t="s">
        <v>13808</v>
      </c>
      <c r="BU710" t="s">
        <v>23972</v>
      </c>
      <c r="BY710" t="s">
        <v>13887</v>
      </c>
      <c r="BZ710" t="s">
        <v>13808</v>
      </c>
      <c r="CA710" t="s">
        <v>13937</v>
      </c>
      <c r="CE710" t="s">
        <v>23973</v>
      </c>
      <c r="CF710" t="s">
        <v>13818</v>
      </c>
      <c r="CG710" t="s">
        <v>18178</v>
      </c>
      <c r="CK710" t="s">
        <v>13809</v>
      </c>
      <c r="CR710" t="s">
        <v>13809</v>
      </c>
      <c r="CT710" t="s">
        <v>23974</v>
      </c>
      <c r="CU710" t="s">
        <v>13909</v>
      </c>
      <c r="CV710" t="s">
        <v>13818</v>
      </c>
      <c r="DA710" t="s">
        <v>13909</v>
      </c>
      <c r="DB710" t="s">
        <v>13818</v>
      </c>
      <c r="DG710" t="s">
        <v>13909</v>
      </c>
      <c r="DH710" t="s">
        <v>13818</v>
      </c>
      <c r="DM710" t="s">
        <v>23975</v>
      </c>
      <c r="DN710" t="s">
        <v>13808</v>
      </c>
      <c r="DO710" t="s">
        <v>23976</v>
      </c>
      <c r="DZ710" t="s">
        <v>14274</v>
      </c>
      <c r="EA710" t="s">
        <v>13996</v>
      </c>
      <c r="EC710">
        <v>44096</v>
      </c>
      <c r="ED710" t="s">
        <v>13903</v>
      </c>
      <c r="EE710" t="s">
        <v>9223</v>
      </c>
    </row>
    <row r="711" spans="1:135">
      <c r="A711" t="s">
        <v>4317</v>
      </c>
      <c r="B711" t="s">
        <v>4201</v>
      </c>
      <c r="C711" t="s">
        <v>23977</v>
      </c>
      <c r="D711" s="24">
        <v>43413</v>
      </c>
      <c r="E711" s="24" t="s">
        <v>13565</v>
      </c>
      <c r="F711" s="24" t="s">
        <v>23978</v>
      </c>
      <c r="G711" s="24" t="s">
        <v>13808</v>
      </c>
      <c r="H711" s="24"/>
      <c r="I711" s="24" t="s">
        <v>13809</v>
      </c>
      <c r="J711" s="24"/>
      <c r="K711" s="24" t="s">
        <v>13809</v>
      </c>
      <c r="L711" s="24"/>
      <c r="M711" s="24" t="s">
        <v>15299</v>
      </c>
      <c r="N711" s="24" t="s">
        <v>13808</v>
      </c>
      <c r="O711" s="24"/>
      <c r="P711" s="24" t="s">
        <v>13808</v>
      </c>
      <c r="Q711" s="24"/>
      <c r="R711" s="24" t="s">
        <v>13808</v>
      </c>
      <c r="S711" s="24"/>
      <c r="T711" t="s">
        <v>15222</v>
      </c>
      <c r="U711" t="s">
        <v>13809</v>
      </c>
      <c r="W711" t="s">
        <v>13809</v>
      </c>
      <c r="Y711" t="s">
        <v>13808</v>
      </c>
      <c r="AA711" t="s">
        <v>23979</v>
      </c>
      <c r="AC711" t="s">
        <v>13809</v>
      </c>
      <c r="AH711" t="s">
        <v>13887</v>
      </c>
      <c r="AI711" t="s">
        <v>13808</v>
      </c>
      <c r="AK711" t="s">
        <v>14004</v>
      </c>
      <c r="AL711" t="s">
        <v>13818</v>
      </c>
      <c r="AM711" t="s">
        <v>13819</v>
      </c>
      <c r="AN711" t="s">
        <v>22081</v>
      </c>
      <c r="AO711" t="s">
        <v>13818</v>
      </c>
      <c r="AP711" t="s">
        <v>18178</v>
      </c>
      <c r="AT711" t="s">
        <v>22081</v>
      </c>
      <c r="AU711" t="s">
        <v>13818</v>
      </c>
      <c r="AV711" t="s">
        <v>13819</v>
      </c>
      <c r="AZ711" t="s">
        <v>23980</v>
      </c>
      <c r="BA711" t="s">
        <v>13818</v>
      </c>
      <c r="BB711" t="s">
        <v>13819</v>
      </c>
      <c r="BF711" t="s">
        <v>20630</v>
      </c>
      <c r="BG711" t="s">
        <v>13808</v>
      </c>
      <c r="BL711" t="s">
        <v>17931</v>
      </c>
      <c r="BM711" t="s">
        <v>13818</v>
      </c>
      <c r="BN711" t="s">
        <v>14309</v>
      </c>
      <c r="BR711" t="s">
        <v>23981</v>
      </c>
      <c r="BS711" t="s">
        <v>13887</v>
      </c>
      <c r="BT711" t="s">
        <v>13808</v>
      </c>
      <c r="BU711" t="s">
        <v>16568</v>
      </c>
      <c r="BY711" t="s">
        <v>13887</v>
      </c>
      <c r="BZ711" t="s">
        <v>13808</v>
      </c>
      <c r="CA711" t="s">
        <v>17109</v>
      </c>
      <c r="CE711" t="s">
        <v>14197</v>
      </c>
      <c r="CF711" t="s">
        <v>13818</v>
      </c>
      <c r="CG711" t="s">
        <v>23982</v>
      </c>
      <c r="CK711" t="s">
        <v>13809</v>
      </c>
      <c r="CR711" t="s">
        <v>13809</v>
      </c>
      <c r="CT711" t="s">
        <v>23983</v>
      </c>
      <c r="CU711" t="s">
        <v>23984</v>
      </c>
      <c r="CV711" t="s">
        <v>13808</v>
      </c>
      <c r="DA711" t="s">
        <v>23985</v>
      </c>
      <c r="DB711" t="s">
        <v>13808</v>
      </c>
      <c r="DD711" t="s">
        <v>13885</v>
      </c>
      <c r="DE711" t="s">
        <v>13818</v>
      </c>
      <c r="DG711" t="s">
        <v>23986</v>
      </c>
      <c r="DH711" t="s">
        <v>13808</v>
      </c>
      <c r="DZ711" t="s">
        <v>14923</v>
      </c>
      <c r="EA711" t="s">
        <v>13842</v>
      </c>
      <c r="EC711">
        <v>44096</v>
      </c>
      <c r="ED711" t="s">
        <v>13903</v>
      </c>
      <c r="EE711" t="s">
        <v>9227</v>
      </c>
    </row>
    <row r="712" spans="1:135">
      <c r="A712" t="s">
        <v>4321</v>
      </c>
      <c r="B712" t="s">
        <v>4201</v>
      </c>
      <c r="C712" t="s">
        <v>23987</v>
      </c>
      <c r="D712" s="24">
        <v>44665</v>
      </c>
      <c r="E712" s="24" t="s">
        <v>13560</v>
      </c>
      <c r="F712" s="24" t="s">
        <v>23988</v>
      </c>
      <c r="G712" s="24" t="s">
        <v>13808</v>
      </c>
      <c r="H712" s="24"/>
      <c r="I712" s="24" t="s">
        <v>13809</v>
      </c>
      <c r="J712" s="24"/>
      <c r="K712" s="24" t="s">
        <v>13808</v>
      </c>
      <c r="L712" s="24" t="s">
        <v>23989</v>
      </c>
      <c r="M712" s="24" t="s">
        <v>14136</v>
      </c>
      <c r="N712" s="24" t="s">
        <v>13808</v>
      </c>
      <c r="O712" s="24"/>
      <c r="P712" s="24" t="s">
        <v>13808</v>
      </c>
      <c r="Q712" s="24"/>
      <c r="R712" s="24" t="s">
        <v>13808</v>
      </c>
      <c r="S712" s="24"/>
      <c r="T712" t="s">
        <v>23990</v>
      </c>
      <c r="U712" t="s">
        <v>13809</v>
      </c>
      <c r="W712" t="s">
        <v>13809</v>
      </c>
      <c r="Y712" t="s">
        <v>13808</v>
      </c>
      <c r="Z712" t="s">
        <v>23991</v>
      </c>
      <c r="AA712" t="s">
        <v>16176</v>
      </c>
      <c r="AB712" t="s">
        <v>13699</v>
      </c>
      <c r="AC712" t="s">
        <v>13809</v>
      </c>
      <c r="AH712" t="s">
        <v>14073</v>
      </c>
      <c r="AI712" t="s">
        <v>13808</v>
      </c>
      <c r="AK712" t="s">
        <v>14310</v>
      </c>
      <c r="AL712" t="s">
        <v>13818</v>
      </c>
      <c r="AM712" t="s">
        <v>13819</v>
      </c>
      <c r="AN712" t="s">
        <v>13711</v>
      </c>
      <c r="AO712" t="s">
        <v>13809</v>
      </c>
      <c r="AT712" t="s">
        <v>13717</v>
      </c>
      <c r="AU712" t="s">
        <v>13809</v>
      </c>
      <c r="AZ712" t="s">
        <v>23587</v>
      </c>
      <c r="BA712" t="s">
        <v>13808</v>
      </c>
      <c r="BF712" t="s">
        <v>16438</v>
      </c>
      <c r="BG712" t="s">
        <v>13808</v>
      </c>
      <c r="BL712" t="s">
        <v>13735</v>
      </c>
      <c r="BM712" t="s">
        <v>13809</v>
      </c>
      <c r="BR712" t="s">
        <v>23992</v>
      </c>
      <c r="BS712" t="s">
        <v>13742</v>
      </c>
      <c r="BT712" t="s">
        <v>13809</v>
      </c>
      <c r="BY712" t="s">
        <v>13860</v>
      </c>
      <c r="BZ712" t="s">
        <v>13808</v>
      </c>
      <c r="CA712" t="s">
        <v>13937</v>
      </c>
      <c r="CE712" t="s">
        <v>13754</v>
      </c>
      <c r="CF712" t="s">
        <v>13809</v>
      </c>
      <c r="CK712" t="s">
        <v>14581</v>
      </c>
      <c r="CL712" t="s">
        <v>13808</v>
      </c>
      <c r="CM712" t="s">
        <v>23993</v>
      </c>
      <c r="CQ712" t="s">
        <v>13766</v>
      </c>
      <c r="CR712" t="s">
        <v>13809</v>
      </c>
      <c r="CT712" t="s">
        <v>14082</v>
      </c>
      <c r="CU712" t="s">
        <v>23994</v>
      </c>
      <c r="CV712" t="s">
        <v>13818</v>
      </c>
      <c r="DA712" t="s">
        <v>23995</v>
      </c>
      <c r="DB712" t="s">
        <v>13818</v>
      </c>
      <c r="DG712" t="s">
        <v>23996</v>
      </c>
      <c r="DH712" t="s">
        <v>13818</v>
      </c>
      <c r="DM712" t="s">
        <v>23997</v>
      </c>
      <c r="DN712" t="s">
        <v>13808</v>
      </c>
      <c r="DO712" t="s">
        <v>23998</v>
      </c>
      <c r="DP712" t="s">
        <v>23999</v>
      </c>
      <c r="DQ712" t="s">
        <v>13818</v>
      </c>
      <c r="DR712" t="s">
        <v>24000</v>
      </c>
      <c r="DY712" t="s">
        <v>15364</v>
      </c>
      <c r="DZ712" t="s">
        <v>14406</v>
      </c>
      <c r="EA712" t="s">
        <v>14118</v>
      </c>
      <c r="EC712">
        <v>44669</v>
      </c>
      <c r="ED712" t="s">
        <v>13843</v>
      </c>
      <c r="EE712" t="s">
        <v>9231</v>
      </c>
    </row>
    <row r="713" spans="1:135">
      <c r="A713" t="s">
        <v>4326</v>
      </c>
      <c r="B713" t="s">
        <v>4201</v>
      </c>
      <c r="C713" t="s">
        <v>24001</v>
      </c>
      <c r="D713" s="24">
        <v>43417</v>
      </c>
      <c r="E713" s="24" t="s">
        <v>13555</v>
      </c>
      <c r="F713" s="24" t="s">
        <v>24002</v>
      </c>
      <c r="G713" s="24" t="s">
        <v>13808</v>
      </c>
      <c r="H713" s="24"/>
      <c r="I713" s="24" t="s">
        <v>13809</v>
      </c>
      <c r="J713" s="24"/>
      <c r="K713" s="24" t="s">
        <v>13808</v>
      </c>
      <c r="L713" s="24"/>
      <c r="M713" s="24" t="s">
        <v>13950</v>
      </c>
      <c r="N713" s="24" t="s">
        <v>13808</v>
      </c>
      <c r="O713" s="24"/>
      <c r="P713" s="24" t="s">
        <v>13808</v>
      </c>
      <c r="Q713" s="24"/>
      <c r="R713" s="24" t="s">
        <v>13808</v>
      </c>
      <c r="S713" s="24"/>
      <c r="T713" t="s">
        <v>14034</v>
      </c>
      <c r="U713" t="s">
        <v>13808</v>
      </c>
      <c r="W713" t="s">
        <v>13808</v>
      </c>
      <c r="X713" t="s">
        <v>24003</v>
      </c>
      <c r="Y713" t="s">
        <v>13809</v>
      </c>
      <c r="AA713" t="s">
        <v>14188</v>
      </c>
      <c r="AB713" t="s">
        <v>24004</v>
      </c>
      <c r="AC713" t="s">
        <v>13808</v>
      </c>
      <c r="AH713" t="s">
        <v>13909</v>
      </c>
      <c r="AI713" t="s">
        <v>13808</v>
      </c>
      <c r="AN713" t="s">
        <v>24005</v>
      </c>
      <c r="AO713" t="s">
        <v>13808</v>
      </c>
      <c r="AT713" t="s">
        <v>20202</v>
      </c>
      <c r="AU713" t="s">
        <v>13808</v>
      </c>
      <c r="AZ713" t="s">
        <v>16268</v>
      </c>
      <c r="BA713" t="s">
        <v>13808</v>
      </c>
      <c r="BF713" t="s">
        <v>16072</v>
      </c>
      <c r="BG713" t="s">
        <v>13808</v>
      </c>
      <c r="BL713" t="s">
        <v>24006</v>
      </c>
      <c r="BM713" t="s">
        <v>13808</v>
      </c>
      <c r="BR713" t="s">
        <v>24007</v>
      </c>
      <c r="BS713" t="s">
        <v>13887</v>
      </c>
      <c r="BT713" t="s">
        <v>13808</v>
      </c>
      <c r="BU713" t="s">
        <v>19538</v>
      </c>
      <c r="BY713" t="s">
        <v>13887</v>
      </c>
      <c r="BZ713" t="s">
        <v>13808</v>
      </c>
      <c r="CA713" t="s">
        <v>13937</v>
      </c>
      <c r="CE713" t="s">
        <v>13887</v>
      </c>
      <c r="CF713" t="s">
        <v>13808</v>
      </c>
      <c r="CK713" t="s">
        <v>13809</v>
      </c>
      <c r="CR713" t="s">
        <v>13809</v>
      </c>
      <c r="CT713" t="s">
        <v>14974</v>
      </c>
      <c r="CU713" t="s">
        <v>13909</v>
      </c>
      <c r="CV713" t="s">
        <v>13808</v>
      </c>
      <c r="DA713" t="s">
        <v>13909</v>
      </c>
      <c r="DB713" t="s">
        <v>13808</v>
      </c>
      <c r="DG713" t="s">
        <v>13909</v>
      </c>
      <c r="DH713" t="s">
        <v>13818</v>
      </c>
      <c r="DZ713" t="s">
        <v>24008</v>
      </c>
      <c r="EA713" t="s">
        <v>14201</v>
      </c>
      <c r="EC713">
        <v>43480</v>
      </c>
      <c r="ED713" t="s">
        <v>13903</v>
      </c>
      <c r="EE713" t="s">
        <v>9243</v>
      </c>
    </row>
    <row r="714" spans="1:135">
      <c r="A714" t="s">
        <v>4330</v>
      </c>
      <c r="B714" t="s">
        <v>4201</v>
      </c>
      <c r="C714" t="s">
        <v>24009</v>
      </c>
      <c r="D714" s="24">
        <v>44706</v>
      </c>
      <c r="E714" s="24" t="s">
        <v>13555</v>
      </c>
      <c r="F714" s="24" t="s">
        <v>24010</v>
      </c>
      <c r="G714" s="24" t="s">
        <v>13808</v>
      </c>
      <c r="H714" s="24"/>
      <c r="I714" s="24" t="s">
        <v>13809</v>
      </c>
      <c r="J714" s="24"/>
      <c r="K714" s="24" t="s">
        <v>13809</v>
      </c>
      <c r="L714" s="24"/>
      <c r="M714" s="24" t="s">
        <v>14136</v>
      </c>
      <c r="N714" s="24" t="s">
        <v>13808</v>
      </c>
      <c r="O714" s="24"/>
      <c r="P714" s="24" t="s">
        <v>13808</v>
      </c>
      <c r="Q714" s="24"/>
      <c r="R714" s="24" t="s">
        <v>13808</v>
      </c>
      <c r="S714" s="24"/>
      <c r="T714" t="s">
        <v>13907</v>
      </c>
      <c r="U714" t="s">
        <v>13809</v>
      </c>
      <c r="W714" t="s">
        <v>13808</v>
      </c>
      <c r="X714" t="s">
        <v>24011</v>
      </c>
      <c r="Y714" t="s">
        <v>13809</v>
      </c>
      <c r="AA714" t="s">
        <v>14906</v>
      </c>
      <c r="AB714" t="s">
        <v>13699</v>
      </c>
      <c r="AC714" t="s">
        <v>13809</v>
      </c>
      <c r="AH714" t="s">
        <v>13851</v>
      </c>
      <c r="AI714" t="s">
        <v>13808</v>
      </c>
      <c r="AN714" t="s">
        <v>13711</v>
      </c>
      <c r="AO714" t="s">
        <v>13809</v>
      </c>
      <c r="AT714" t="s">
        <v>16177</v>
      </c>
      <c r="AU714" t="s">
        <v>13808</v>
      </c>
      <c r="AZ714" t="s">
        <v>14101</v>
      </c>
      <c r="BA714" t="s">
        <v>13808</v>
      </c>
      <c r="BF714" t="s">
        <v>24012</v>
      </c>
      <c r="BG714" t="s">
        <v>13808</v>
      </c>
      <c r="BL714" t="s">
        <v>13735</v>
      </c>
      <c r="BM714" t="s">
        <v>13809</v>
      </c>
      <c r="BR714" t="s">
        <v>24013</v>
      </c>
      <c r="BS714" t="s">
        <v>13824</v>
      </c>
      <c r="BT714" t="s">
        <v>13808</v>
      </c>
      <c r="BU714" t="s">
        <v>24014</v>
      </c>
      <c r="BY714" t="s">
        <v>14148</v>
      </c>
      <c r="BZ714" t="s">
        <v>13808</v>
      </c>
      <c r="CA714" t="s">
        <v>24015</v>
      </c>
      <c r="CE714" t="s">
        <v>13828</v>
      </c>
      <c r="CF714" t="s">
        <v>13808</v>
      </c>
      <c r="CG714" t="s">
        <v>13863</v>
      </c>
      <c r="CK714" t="s">
        <v>13760</v>
      </c>
      <c r="CL714" t="s">
        <v>13809</v>
      </c>
      <c r="CQ714" t="s">
        <v>13766</v>
      </c>
      <c r="CR714" t="s">
        <v>13809</v>
      </c>
      <c r="CT714" t="s">
        <v>24016</v>
      </c>
      <c r="CU714" t="s">
        <v>24017</v>
      </c>
      <c r="CV714" t="s">
        <v>13808</v>
      </c>
      <c r="DA714" t="s">
        <v>24018</v>
      </c>
      <c r="DB714" t="s">
        <v>13808</v>
      </c>
      <c r="DY714" t="s">
        <v>24019</v>
      </c>
      <c r="DZ714" t="s">
        <v>19693</v>
      </c>
      <c r="EA714" t="s">
        <v>24020</v>
      </c>
      <c r="EC714">
        <v>44718</v>
      </c>
      <c r="ED714" t="s">
        <v>17062</v>
      </c>
      <c r="EE714" t="s">
        <v>9247</v>
      </c>
    </row>
    <row r="715" spans="1:135">
      <c r="A715" t="s">
        <v>4334</v>
      </c>
      <c r="B715" t="s">
        <v>4201</v>
      </c>
      <c r="C715" t="s">
        <v>24021</v>
      </c>
      <c r="D715" s="24">
        <v>43444</v>
      </c>
      <c r="E715" s="24" t="s">
        <v>13559</v>
      </c>
      <c r="F715" s="24" t="s">
        <v>24022</v>
      </c>
      <c r="G715" s="24" t="s">
        <v>13808</v>
      </c>
      <c r="H715" s="24"/>
      <c r="I715" s="24" t="s">
        <v>13809</v>
      </c>
      <c r="J715" s="24"/>
      <c r="K715" s="24" t="s">
        <v>13808</v>
      </c>
      <c r="L715" s="24"/>
      <c r="M715" s="24" t="s">
        <v>16604</v>
      </c>
      <c r="N715" s="24" t="s">
        <v>13808</v>
      </c>
      <c r="O715" s="24"/>
      <c r="P715" s="24" t="s">
        <v>13808</v>
      </c>
      <c r="Q715" s="24"/>
      <c r="R715" s="24" t="s">
        <v>13808</v>
      </c>
      <c r="S715" s="24"/>
      <c r="T715" t="s">
        <v>18721</v>
      </c>
      <c r="U715" t="s">
        <v>13809</v>
      </c>
      <c r="W715" t="s">
        <v>13808</v>
      </c>
      <c r="X715" t="s">
        <v>22802</v>
      </c>
      <c r="Y715" t="s">
        <v>13809</v>
      </c>
      <c r="AA715" t="s">
        <v>24023</v>
      </c>
      <c r="AB715" t="s">
        <v>14037</v>
      </c>
      <c r="AH715" t="s">
        <v>13909</v>
      </c>
      <c r="AI715" t="s">
        <v>13808</v>
      </c>
      <c r="AN715" t="s">
        <v>13809</v>
      </c>
      <c r="AT715" t="s">
        <v>14706</v>
      </c>
      <c r="AU715" t="s">
        <v>13808</v>
      </c>
      <c r="AZ715" t="s">
        <v>16048</v>
      </c>
      <c r="BA715" t="s">
        <v>13808</v>
      </c>
      <c r="BF715" t="s">
        <v>14169</v>
      </c>
      <c r="BG715" t="s">
        <v>13808</v>
      </c>
      <c r="BL715" t="s">
        <v>17154</v>
      </c>
      <c r="BR715" t="s">
        <v>24024</v>
      </c>
      <c r="BS715" t="s">
        <v>13887</v>
      </c>
      <c r="BT715" t="s">
        <v>13808</v>
      </c>
      <c r="BU715" t="s">
        <v>14147</v>
      </c>
      <c r="BY715" t="s">
        <v>14265</v>
      </c>
      <c r="BZ715" t="s">
        <v>13808</v>
      </c>
      <c r="CA715" t="s">
        <v>13861</v>
      </c>
      <c r="CE715" t="s">
        <v>13887</v>
      </c>
      <c r="CF715" t="s">
        <v>13808</v>
      </c>
      <c r="CK715" t="s">
        <v>13809</v>
      </c>
      <c r="CQ715" t="s">
        <v>13809</v>
      </c>
      <c r="CT715" t="s">
        <v>24025</v>
      </c>
      <c r="CU715" t="s">
        <v>14265</v>
      </c>
      <c r="CV715" t="s">
        <v>13808</v>
      </c>
      <c r="CX715" t="s">
        <v>17721</v>
      </c>
      <c r="CY715" t="s">
        <v>13818</v>
      </c>
      <c r="DA715" t="s">
        <v>14265</v>
      </c>
      <c r="DB715" t="s">
        <v>13808</v>
      </c>
      <c r="DD715" t="s">
        <v>17721</v>
      </c>
      <c r="DE715" t="s">
        <v>13818</v>
      </c>
      <c r="DG715" t="s">
        <v>13909</v>
      </c>
      <c r="DH715" t="s">
        <v>13818</v>
      </c>
      <c r="DZ715" t="s">
        <v>24026</v>
      </c>
      <c r="EA715" t="s">
        <v>15744</v>
      </c>
      <c r="EC715">
        <v>43480</v>
      </c>
      <c r="ED715" t="s">
        <v>13903</v>
      </c>
      <c r="EE715" t="s">
        <v>9261</v>
      </c>
    </row>
    <row r="716" spans="1:135">
      <c r="A716" t="s">
        <v>4338</v>
      </c>
      <c r="B716" t="s">
        <v>4201</v>
      </c>
      <c r="C716" t="s">
        <v>24027</v>
      </c>
      <c r="D716" s="24">
        <v>43581</v>
      </c>
      <c r="E716" s="24" t="s">
        <v>13553</v>
      </c>
      <c r="F716" s="24" t="s">
        <v>24028</v>
      </c>
      <c r="G716" s="24" t="s">
        <v>13808</v>
      </c>
      <c r="H716" s="24" t="s">
        <v>24029</v>
      </c>
      <c r="I716" s="24" t="s">
        <v>13809</v>
      </c>
      <c r="J716" s="24"/>
      <c r="K716" s="24" t="s">
        <v>13809</v>
      </c>
      <c r="L716" s="24"/>
      <c r="M716" s="24" t="s">
        <v>14163</v>
      </c>
      <c r="N716" s="24" t="s">
        <v>13808</v>
      </c>
      <c r="O716" s="24"/>
      <c r="P716" s="24" t="s">
        <v>13808</v>
      </c>
      <c r="Q716" s="24"/>
      <c r="R716" s="24" t="s">
        <v>13808</v>
      </c>
      <c r="S716" s="24"/>
      <c r="T716" t="s">
        <v>14016</v>
      </c>
      <c r="U716" t="s">
        <v>13809</v>
      </c>
      <c r="W716" t="s">
        <v>13808</v>
      </c>
      <c r="X716" t="s">
        <v>24030</v>
      </c>
      <c r="Y716" t="s">
        <v>13809</v>
      </c>
      <c r="AA716" t="s">
        <v>13877</v>
      </c>
      <c r="AB716" t="s">
        <v>14732</v>
      </c>
      <c r="AC716" t="s">
        <v>13808</v>
      </c>
      <c r="AH716" t="s">
        <v>13909</v>
      </c>
      <c r="AI716" t="s">
        <v>13808</v>
      </c>
      <c r="AN716" t="s">
        <v>14005</v>
      </c>
      <c r="AO716" t="s">
        <v>13808</v>
      </c>
      <c r="AT716" t="s">
        <v>15898</v>
      </c>
      <c r="AU716" t="s">
        <v>19153</v>
      </c>
      <c r="AZ716" t="s">
        <v>15276</v>
      </c>
      <c r="BA716" t="s">
        <v>19153</v>
      </c>
      <c r="BF716" t="s">
        <v>14685</v>
      </c>
      <c r="BG716" t="s">
        <v>19153</v>
      </c>
      <c r="BL716" t="s">
        <v>14366</v>
      </c>
      <c r="BM716" t="s">
        <v>19153</v>
      </c>
      <c r="BR716" t="s">
        <v>24031</v>
      </c>
      <c r="BS716" t="s">
        <v>13885</v>
      </c>
      <c r="BT716" t="s">
        <v>13808</v>
      </c>
      <c r="BU716" t="s">
        <v>19538</v>
      </c>
      <c r="BY716" t="s">
        <v>13887</v>
      </c>
      <c r="BZ716" t="s">
        <v>13808</v>
      </c>
      <c r="CA716" t="s">
        <v>14026</v>
      </c>
      <c r="CE716" t="s">
        <v>13885</v>
      </c>
      <c r="CF716" t="s">
        <v>13808</v>
      </c>
      <c r="CG716" t="s">
        <v>14173</v>
      </c>
      <c r="CL716" t="s">
        <v>13809</v>
      </c>
      <c r="CR716" t="s">
        <v>13809</v>
      </c>
      <c r="CT716" t="s">
        <v>24032</v>
      </c>
      <c r="CU716" t="s">
        <v>24033</v>
      </c>
      <c r="CV716" t="s">
        <v>19153</v>
      </c>
      <c r="DA716" t="s">
        <v>24034</v>
      </c>
      <c r="DB716" t="s">
        <v>19153</v>
      </c>
      <c r="DG716" t="s">
        <v>19656</v>
      </c>
      <c r="DH716" t="s">
        <v>19153</v>
      </c>
      <c r="DI716" t="s">
        <v>13893</v>
      </c>
      <c r="DJ716" t="s">
        <v>16954</v>
      </c>
      <c r="DK716" t="s">
        <v>19153</v>
      </c>
      <c r="DL716" t="s">
        <v>13895</v>
      </c>
      <c r="DM716" t="s">
        <v>24035</v>
      </c>
      <c r="DN716" t="s">
        <v>13808</v>
      </c>
      <c r="DY716" t="s">
        <v>13900</v>
      </c>
      <c r="DZ716" t="s">
        <v>23728</v>
      </c>
      <c r="EA716" t="s">
        <v>16115</v>
      </c>
      <c r="EC716">
        <v>43789</v>
      </c>
      <c r="ED716" t="s">
        <v>13903</v>
      </c>
      <c r="EE716" t="s">
        <v>9265</v>
      </c>
    </row>
    <row r="717" spans="1:135">
      <c r="A717" t="s">
        <v>4342</v>
      </c>
      <c r="B717" t="s">
        <v>4201</v>
      </c>
      <c r="C717" t="s">
        <v>24036</v>
      </c>
      <c r="D717" s="24">
        <v>43454</v>
      </c>
      <c r="E717" s="24" t="s">
        <v>13558</v>
      </c>
      <c r="F717" s="24" t="s">
        <v>24037</v>
      </c>
      <c r="G717" s="24" t="s">
        <v>13808</v>
      </c>
      <c r="H717" s="24"/>
      <c r="I717" s="24" t="s">
        <v>13809</v>
      </c>
      <c r="J717" s="24"/>
      <c r="K717" s="24" t="s">
        <v>13808</v>
      </c>
      <c r="L717" s="24"/>
      <c r="M717" s="24" t="s">
        <v>15106</v>
      </c>
      <c r="N717" s="24" t="s">
        <v>13808</v>
      </c>
      <c r="O717" s="24"/>
      <c r="P717" s="24" t="s">
        <v>13808</v>
      </c>
      <c r="Q717" s="24"/>
      <c r="R717" s="24" t="s">
        <v>13808</v>
      </c>
      <c r="S717" s="24"/>
      <c r="T717" t="s">
        <v>13907</v>
      </c>
      <c r="U717" t="s">
        <v>13809</v>
      </c>
      <c r="W717" t="s">
        <v>13808</v>
      </c>
      <c r="X717" t="s">
        <v>24038</v>
      </c>
      <c r="Y717" t="s">
        <v>13809</v>
      </c>
      <c r="AA717" t="s">
        <v>15259</v>
      </c>
      <c r="AB717" t="s">
        <v>13699</v>
      </c>
      <c r="AC717" t="s">
        <v>13809</v>
      </c>
      <c r="AH717" t="s">
        <v>13851</v>
      </c>
      <c r="AI717" t="s">
        <v>13808</v>
      </c>
      <c r="AN717" t="s">
        <v>24039</v>
      </c>
      <c r="AO717" t="s">
        <v>13808</v>
      </c>
      <c r="AT717" t="s">
        <v>14555</v>
      </c>
      <c r="AU717" t="s">
        <v>13808</v>
      </c>
      <c r="AZ717" t="s">
        <v>20528</v>
      </c>
      <c r="BA717" t="s">
        <v>13808</v>
      </c>
      <c r="BF717" t="s">
        <v>24040</v>
      </c>
      <c r="BG717" t="s">
        <v>13818</v>
      </c>
      <c r="BH717" t="s">
        <v>24041</v>
      </c>
      <c r="BL717" t="s">
        <v>13735</v>
      </c>
      <c r="BM717" t="s">
        <v>13809</v>
      </c>
      <c r="BR717" t="s">
        <v>24042</v>
      </c>
      <c r="BS717" t="s">
        <v>13824</v>
      </c>
      <c r="BT717" t="s">
        <v>13808</v>
      </c>
      <c r="BU717" t="s">
        <v>21286</v>
      </c>
      <c r="BY717" t="s">
        <v>14148</v>
      </c>
      <c r="BZ717" t="s">
        <v>13808</v>
      </c>
      <c r="CA717" t="s">
        <v>13861</v>
      </c>
      <c r="CE717" t="s">
        <v>13828</v>
      </c>
      <c r="CF717" t="s">
        <v>13818</v>
      </c>
      <c r="CG717" t="s">
        <v>24043</v>
      </c>
      <c r="CK717" t="s">
        <v>13760</v>
      </c>
      <c r="CL717" t="s">
        <v>13809</v>
      </c>
      <c r="CQ717" t="s">
        <v>13766</v>
      </c>
      <c r="CR717" t="s">
        <v>13809</v>
      </c>
      <c r="CT717" t="s">
        <v>24044</v>
      </c>
      <c r="CU717" t="s">
        <v>14236</v>
      </c>
      <c r="CV717" t="s">
        <v>13818</v>
      </c>
      <c r="DA717" t="s">
        <v>24045</v>
      </c>
      <c r="DB717" t="s">
        <v>13808</v>
      </c>
      <c r="DE717" t="s">
        <v>13818</v>
      </c>
      <c r="DG717" t="s">
        <v>14240</v>
      </c>
      <c r="DH717" t="s">
        <v>13808</v>
      </c>
      <c r="DZ717" t="s">
        <v>13841</v>
      </c>
      <c r="EA717" t="s">
        <v>13996</v>
      </c>
      <c r="EC717">
        <v>44627</v>
      </c>
      <c r="ED717" t="s">
        <v>13843</v>
      </c>
      <c r="EE717" t="s">
        <v>9269</v>
      </c>
    </row>
    <row r="718" spans="1:135">
      <c r="A718" t="s">
        <v>4346</v>
      </c>
      <c r="B718" t="s">
        <v>4201</v>
      </c>
      <c r="C718" t="s">
        <v>24046</v>
      </c>
      <c r="D718" s="24">
        <v>43698</v>
      </c>
      <c r="E718" s="24" t="s">
        <v>13553</v>
      </c>
      <c r="F718" s="24" t="s">
        <v>24047</v>
      </c>
      <c r="G718" s="24" t="s">
        <v>13808</v>
      </c>
      <c r="H718" s="24"/>
      <c r="I718" s="24" t="s">
        <v>13809</v>
      </c>
      <c r="J718" s="24"/>
      <c r="K718" s="24" t="s">
        <v>13809</v>
      </c>
      <c r="L718" s="24"/>
      <c r="M718" s="24" t="s">
        <v>13846</v>
      </c>
      <c r="N718" s="24" t="s">
        <v>13808</v>
      </c>
      <c r="O718" s="24"/>
      <c r="P718" s="24" t="s">
        <v>13808</v>
      </c>
      <c r="Q718" s="24"/>
      <c r="R718" s="24" t="s">
        <v>13808</v>
      </c>
      <c r="S718" s="24"/>
      <c r="T718" t="s">
        <v>13847</v>
      </c>
      <c r="U718" t="s">
        <v>13809</v>
      </c>
      <c r="W718" t="s">
        <v>13808</v>
      </c>
      <c r="X718" t="s">
        <v>24048</v>
      </c>
      <c r="Y718" t="s">
        <v>13808</v>
      </c>
      <c r="Z718" t="s">
        <v>24049</v>
      </c>
      <c r="AA718" t="s">
        <v>13849</v>
      </c>
      <c r="AB718" t="s">
        <v>17680</v>
      </c>
      <c r="AC718" t="s">
        <v>13808</v>
      </c>
      <c r="AH718" t="s">
        <v>13851</v>
      </c>
      <c r="AI718" t="s">
        <v>13808</v>
      </c>
      <c r="AN718" t="s">
        <v>13711</v>
      </c>
      <c r="AO718" t="s">
        <v>13809</v>
      </c>
      <c r="AT718" t="s">
        <v>24050</v>
      </c>
      <c r="AU718" t="s">
        <v>13808</v>
      </c>
      <c r="AZ718" t="s">
        <v>24051</v>
      </c>
      <c r="BA718" t="s">
        <v>13808</v>
      </c>
      <c r="BF718" t="s">
        <v>24052</v>
      </c>
      <c r="BG718" t="s">
        <v>13808</v>
      </c>
      <c r="BL718" t="s">
        <v>13735</v>
      </c>
      <c r="BM718" t="s">
        <v>13809</v>
      </c>
      <c r="BR718" t="s">
        <v>24053</v>
      </c>
      <c r="BS718" t="s">
        <v>14213</v>
      </c>
      <c r="BT718" t="s">
        <v>13808</v>
      </c>
      <c r="BU718" t="s">
        <v>24054</v>
      </c>
      <c r="BY718" t="s">
        <v>14148</v>
      </c>
      <c r="BZ718" t="s">
        <v>13808</v>
      </c>
      <c r="CA718" t="s">
        <v>13861</v>
      </c>
      <c r="CE718" t="s">
        <v>16708</v>
      </c>
      <c r="CF718" t="s">
        <v>13808</v>
      </c>
      <c r="CG718" t="s">
        <v>13863</v>
      </c>
      <c r="CK718" t="s">
        <v>24055</v>
      </c>
      <c r="CL718" t="s">
        <v>13808</v>
      </c>
      <c r="CM718" t="s">
        <v>13863</v>
      </c>
      <c r="CQ718" t="s">
        <v>13766</v>
      </c>
      <c r="CR718" t="s">
        <v>13809</v>
      </c>
      <c r="CT718" t="s">
        <v>24056</v>
      </c>
      <c r="CU718" t="s">
        <v>24057</v>
      </c>
      <c r="CV718" t="s">
        <v>13808</v>
      </c>
      <c r="DA718" t="s">
        <v>24058</v>
      </c>
      <c r="DB718" t="s">
        <v>13808</v>
      </c>
      <c r="DH718" t="s">
        <v>13808</v>
      </c>
      <c r="DM718" t="s">
        <v>24059</v>
      </c>
      <c r="DN718" t="s">
        <v>13808</v>
      </c>
      <c r="DO718" t="s">
        <v>15894</v>
      </c>
      <c r="DP718" t="s">
        <v>24060</v>
      </c>
      <c r="DQ718" t="s">
        <v>13808</v>
      </c>
      <c r="DY718" t="s">
        <v>13840</v>
      </c>
      <c r="DZ718" t="s">
        <v>15710</v>
      </c>
      <c r="EA718" t="s">
        <v>13871</v>
      </c>
      <c r="EC718">
        <v>44627</v>
      </c>
      <c r="ED718" t="s">
        <v>13843</v>
      </c>
      <c r="EE718" t="s">
        <v>9273</v>
      </c>
    </row>
    <row r="719" spans="1:135">
      <c r="A719" t="s">
        <v>4350</v>
      </c>
      <c r="B719" t="s">
        <v>4201</v>
      </c>
      <c r="C719" t="s">
        <v>24061</v>
      </c>
      <c r="D719" s="24">
        <v>43566</v>
      </c>
      <c r="E719" s="24" t="s">
        <v>13560</v>
      </c>
      <c r="F719" s="24" t="s">
        <v>24062</v>
      </c>
      <c r="G719" s="24" t="s">
        <v>13808</v>
      </c>
      <c r="H719" s="24"/>
      <c r="I719" s="24" t="s">
        <v>13808</v>
      </c>
      <c r="J719" s="24"/>
      <c r="K719" s="24" t="s">
        <v>13809</v>
      </c>
      <c r="L719" s="24"/>
      <c r="M719" s="24" t="s">
        <v>17316</v>
      </c>
      <c r="N719" s="24" t="s">
        <v>13818</v>
      </c>
      <c r="O719" s="24" t="s">
        <v>24063</v>
      </c>
      <c r="P719" s="24" t="s">
        <v>13808</v>
      </c>
      <c r="Q719" s="24"/>
      <c r="R719" s="24" t="s">
        <v>13808</v>
      </c>
      <c r="S719" s="24"/>
      <c r="T719" t="s">
        <v>15222</v>
      </c>
      <c r="U719" t="s">
        <v>13809</v>
      </c>
      <c r="W719" t="s">
        <v>13809</v>
      </c>
      <c r="Y719" t="s">
        <v>13809</v>
      </c>
      <c r="AA719" t="s">
        <v>24064</v>
      </c>
      <c r="AB719" t="s">
        <v>14595</v>
      </c>
      <c r="AC719" t="s">
        <v>13818</v>
      </c>
      <c r="AD719" t="s">
        <v>14309</v>
      </c>
      <c r="AH719" t="s">
        <v>13887</v>
      </c>
      <c r="AI719" t="s">
        <v>13808</v>
      </c>
      <c r="AK719" t="s">
        <v>21469</v>
      </c>
      <c r="AL719" t="s">
        <v>13818</v>
      </c>
      <c r="AM719" t="s">
        <v>14309</v>
      </c>
      <c r="AO719" t="s">
        <v>13809</v>
      </c>
      <c r="AT719" t="s">
        <v>14851</v>
      </c>
      <c r="AU719" t="s">
        <v>13818</v>
      </c>
      <c r="AV719" t="s">
        <v>14309</v>
      </c>
      <c r="AZ719" t="s">
        <v>14177</v>
      </c>
      <c r="BA719" t="s">
        <v>13808</v>
      </c>
      <c r="BF719" t="s">
        <v>17502</v>
      </c>
      <c r="BG719" t="s">
        <v>13818</v>
      </c>
      <c r="BH719" t="s">
        <v>14309</v>
      </c>
      <c r="BL719" t="s">
        <v>13883</v>
      </c>
      <c r="BM719" t="s">
        <v>13808</v>
      </c>
      <c r="BR719" t="s">
        <v>24065</v>
      </c>
      <c r="BS719" t="s">
        <v>13885</v>
      </c>
      <c r="BT719" t="s">
        <v>13818</v>
      </c>
      <c r="BU719" t="s">
        <v>24066</v>
      </c>
      <c r="BY719" t="s">
        <v>16201</v>
      </c>
      <c r="BZ719" t="s">
        <v>13818</v>
      </c>
      <c r="CE719" t="s">
        <v>24067</v>
      </c>
      <c r="CF719" t="s">
        <v>13818</v>
      </c>
      <c r="CK719" t="s">
        <v>13809</v>
      </c>
      <c r="CR719" t="s">
        <v>13809</v>
      </c>
      <c r="CT719" t="s">
        <v>24068</v>
      </c>
      <c r="CU719" t="s">
        <v>13909</v>
      </c>
      <c r="CV719" t="s">
        <v>13818</v>
      </c>
      <c r="DA719" t="s">
        <v>13909</v>
      </c>
      <c r="DB719" t="s">
        <v>13818</v>
      </c>
      <c r="DH719" t="s">
        <v>13809</v>
      </c>
      <c r="DM719" t="s">
        <v>24069</v>
      </c>
      <c r="DN719" t="s">
        <v>13808</v>
      </c>
      <c r="DZ719" t="s">
        <v>15812</v>
      </c>
      <c r="EA719" t="s">
        <v>14201</v>
      </c>
      <c r="ED719" t="s">
        <v>13903</v>
      </c>
      <c r="EE719" t="s">
        <v>9277</v>
      </c>
    </row>
    <row r="720" spans="1:135">
      <c r="A720" t="s">
        <v>4354</v>
      </c>
      <c r="B720" t="s">
        <v>4201</v>
      </c>
      <c r="C720" t="s">
        <v>24070</v>
      </c>
      <c r="D720" s="24">
        <v>44544</v>
      </c>
      <c r="E720" s="24" t="s">
        <v>13558</v>
      </c>
      <c r="F720" s="24" t="s">
        <v>24071</v>
      </c>
      <c r="G720" s="24" t="s">
        <v>13808</v>
      </c>
      <c r="H720" s="24"/>
      <c r="I720" s="24" t="s">
        <v>13809</v>
      </c>
      <c r="J720" s="24"/>
      <c r="K720" s="24" t="s">
        <v>13808</v>
      </c>
      <c r="L720" s="24" t="s">
        <v>24072</v>
      </c>
      <c r="M720" s="24" t="s">
        <v>13874</v>
      </c>
      <c r="N720" s="24" t="s">
        <v>13808</v>
      </c>
      <c r="O720" s="24"/>
      <c r="P720" s="24" t="s">
        <v>13808</v>
      </c>
      <c r="Q720" s="24"/>
      <c r="R720" s="24" t="s">
        <v>13808</v>
      </c>
      <c r="S720" s="24"/>
      <c r="T720" t="s">
        <v>18348</v>
      </c>
      <c r="U720" t="s">
        <v>13809</v>
      </c>
      <c r="W720" t="s">
        <v>13809</v>
      </c>
      <c r="Y720" t="s">
        <v>13808</v>
      </c>
      <c r="Z720" t="s">
        <v>24073</v>
      </c>
      <c r="AA720" t="s">
        <v>14594</v>
      </c>
      <c r="AB720" t="s">
        <v>16591</v>
      </c>
      <c r="AC720" t="s">
        <v>13808</v>
      </c>
      <c r="AH720" t="s">
        <v>13887</v>
      </c>
      <c r="AI720" t="s">
        <v>13808</v>
      </c>
      <c r="AK720" t="s">
        <v>14625</v>
      </c>
      <c r="AL720" t="s">
        <v>13818</v>
      </c>
      <c r="AM720" t="s">
        <v>18178</v>
      </c>
      <c r="AO720" t="s">
        <v>13809</v>
      </c>
      <c r="AT720" t="s">
        <v>15276</v>
      </c>
      <c r="AU720" t="s">
        <v>13818</v>
      </c>
      <c r="AV720" t="s">
        <v>14309</v>
      </c>
      <c r="AZ720" t="s">
        <v>14046</v>
      </c>
      <c r="BA720" t="s">
        <v>13808</v>
      </c>
      <c r="BF720" t="s">
        <v>14369</v>
      </c>
      <c r="BG720" t="s">
        <v>13808</v>
      </c>
      <c r="BM720" t="s">
        <v>13809</v>
      </c>
      <c r="BR720" t="s">
        <v>16122</v>
      </c>
      <c r="BS720" t="s">
        <v>13887</v>
      </c>
      <c r="BT720" t="s">
        <v>13808</v>
      </c>
      <c r="BU720" t="s">
        <v>15304</v>
      </c>
      <c r="BY720" t="s">
        <v>13887</v>
      </c>
      <c r="BZ720" t="s">
        <v>13808</v>
      </c>
      <c r="CA720" t="s">
        <v>24074</v>
      </c>
      <c r="CE720" t="s">
        <v>13887</v>
      </c>
      <c r="CF720" t="s">
        <v>13808</v>
      </c>
      <c r="CK720" t="s">
        <v>24075</v>
      </c>
      <c r="CL720" t="s">
        <v>13808</v>
      </c>
      <c r="CR720" t="s">
        <v>13809</v>
      </c>
      <c r="CT720" t="s">
        <v>13962</v>
      </c>
      <c r="CU720" t="s">
        <v>24076</v>
      </c>
      <c r="CV720" t="s">
        <v>13818</v>
      </c>
      <c r="DA720" t="s">
        <v>24077</v>
      </c>
      <c r="DB720" t="s">
        <v>13818</v>
      </c>
      <c r="DG720" t="s">
        <v>24078</v>
      </c>
      <c r="DH720" t="s">
        <v>13818</v>
      </c>
      <c r="DJ720" t="s">
        <v>24079</v>
      </c>
      <c r="DK720" t="s">
        <v>13818</v>
      </c>
      <c r="DM720" t="s">
        <v>24080</v>
      </c>
      <c r="DN720" t="s">
        <v>13818</v>
      </c>
      <c r="DO720" t="s">
        <v>24081</v>
      </c>
      <c r="DP720" t="s">
        <v>24082</v>
      </c>
      <c r="DQ720" t="s">
        <v>13818</v>
      </c>
      <c r="DR720" t="s">
        <v>14947</v>
      </c>
      <c r="DY720" t="s">
        <v>13900</v>
      </c>
      <c r="DZ720" t="s">
        <v>13970</v>
      </c>
      <c r="EA720" t="s">
        <v>13970</v>
      </c>
      <c r="ED720" t="s">
        <v>14501</v>
      </c>
      <c r="EE720" t="s">
        <v>9281</v>
      </c>
    </row>
    <row r="721" spans="1:135">
      <c r="A721" t="s">
        <v>4358</v>
      </c>
      <c r="B721" t="s">
        <v>4201</v>
      </c>
      <c r="C721" t="s">
        <v>24083</v>
      </c>
      <c r="D721" s="24">
        <v>42880</v>
      </c>
      <c r="E721" s="24" t="s">
        <v>13555</v>
      </c>
      <c r="F721" s="24" t="s">
        <v>24084</v>
      </c>
      <c r="G721" s="24" t="s">
        <v>13808</v>
      </c>
      <c r="H721" s="24"/>
      <c r="I721" s="24" t="s">
        <v>13809</v>
      </c>
      <c r="J721" s="24"/>
      <c r="K721" s="24" t="s">
        <v>13809</v>
      </c>
      <c r="L721" s="24"/>
      <c r="M721" s="24" t="s">
        <v>24085</v>
      </c>
      <c r="N721" s="24" t="s">
        <v>13808</v>
      </c>
      <c r="O721" s="24"/>
      <c r="P721" s="24" t="s">
        <v>13808</v>
      </c>
      <c r="Q721" s="24"/>
      <c r="R721" s="24" t="s">
        <v>13808</v>
      </c>
      <c r="S721" s="24"/>
      <c r="T721" t="s">
        <v>24086</v>
      </c>
      <c r="U721" t="s">
        <v>13808</v>
      </c>
      <c r="W721" t="s">
        <v>13808</v>
      </c>
      <c r="X721" t="s">
        <v>24087</v>
      </c>
      <c r="Y721" t="s">
        <v>13809</v>
      </c>
      <c r="AA721" t="s">
        <v>13849</v>
      </c>
      <c r="AB721" t="s">
        <v>24088</v>
      </c>
      <c r="AC721" t="s">
        <v>13808</v>
      </c>
      <c r="AH721" t="s">
        <v>24089</v>
      </c>
      <c r="AI721" t="s">
        <v>13808</v>
      </c>
      <c r="AN721" t="s">
        <v>24090</v>
      </c>
      <c r="AO721" t="s">
        <v>13808</v>
      </c>
      <c r="AT721" t="s">
        <v>24091</v>
      </c>
      <c r="AU721" t="s">
        <v>13808</v>
      </c>
      <c r="AZ721" t="s">
        <v>17447</v>
      </c>
      <c r="BA721" t="s">
        <v>13808</v>
      </c>
      <c r="BF721" t="s">
        <v>24092</v>
      </c>
      <c r="BG721" t="s">
        <v>13808</v>
      </c>
      <c r="BI721" t="s">
        <v>24093</v>
      </c>
      <c r="BJ721" t="s">
        <v>13808</v>
      </c>
      <c r="BL721" t="s">
        <v>24094</v>
      </c>
      <c r="BM721" t="s">
        <v>13808</v>
      </c>
      <c r="BR721" t="s">
        <v>24095</v>
      </c>
      <c r="BS721" t="s">
        <v>14213</v>
      </c>
      <c r="BT721" t="s">
        <v>13808</v>
      </c>
      <c r="BU721" t="s">
        <v>24096</v>
      </c>
      <c r="BY721" t="s">
        <v>13860</v>
      </c>
      <c r="BZ721" t="s">
        <v>13808</v>
      </c>
      <c r="CA721" t="s">
        <v>13937</v>
      </c>
      <c r="CE721" t="s">
        <v>24097</v>
      </c>
      <c r="CF721" t="s">
        <v>13808</v>
      </c>
      <c r="CG721" t="s">
        <v>24098</v>
      </c>
      <c r="CK721" t="s">
        <v>13760</v>
      </c>
      <c r="CL721" t="s">
        <v>13809</v>
      </c>
      <c r="CQ721" t="s">
        <v>13766</v>
      </c>
      <c r="CR721" t="s">
        <v>13809</v>
      </c>
      <c r="CT721" t="s">
        <v>24099</v>
      </c>
      <c r="CU721" t="s">
        <v>24100</v>
      </c>
      <c r="CV721" t="s">
        <v>13808</v>
      </c>
      <c r="DA721" t="s">
        <v>24101</v>
      </c>
      <c r="DB721" t="s">
        <v>13808</v>
      </c>
      <c r="DE721" t="s">
        <v>13818</v>
      </c>
      <c r="DG721" t="s">
        <v>24102</v>
      </c>
      <c r="DH721" t="s">
        <v>13808</v>
      </c>
      <c r="DJ721" t="s">
        <v>24103</v>
      </c>
      <c r="DK721" t="s">
        <v>13818</v>
      </c>
      <c r="DZ721" t="s">
        <v>24104</v>
      </c>
      <c r="EA721" t="s">
        <v>14118</v>
      </c>
      <c r="EC721">
        <v>44627</v>
      </c>
      <c r="ED721" t="s">
        <v>13843</v>
      </c>
      <c r="EE721" t="s">
        <v>9285</v>
      </c>
    </row>
    <row r="722" spans="1:135">
      <c r="A722" t="s">
        <v>4362</v>
      </c>
      <c r="B722" t="s">
        <v>4201</v>
      </c>
      <c r="C722" t="s">
        <v>24105</v>
      </c>
      <c r="D722" s="24">
        <v>43726</v>
      </c>
      <c r="E722" s="24" t="s">
        <v>13553</v>
      </c>
      <c r="F722" s="24" t="s">
        <v>24106</v>
      </c>
      <c r="G722" s="24" t="s">
        <v>13808</v>
      </c>
      <c r="H722" s="24"/>
      <c r="I722" s="24" t="s">
        <v>13809</v>
      </c>
      <c r="J722" s="24"/>
      <c r="K722" s="24" t="s">
        <v>13809</v>
      </c>
      <c r="L722" s="24"/>
      <c r="M722" s="24" t="s">
        <v>16193</v>
      </c>
      <c r="N722" s="24" t="s">
        <v>13808</v>
      </c>
      <c r="O722" s="24"/>
      <c r="P722" s="24" t="s">
        <v>13808</v>
      </c>
      <c r="Q722" s="24"/>
      <c r="R722" s="24" t="s">
        <v>13808</v>
      </c>
      <c r="S722" s="24"/>
      <c r="T722" t="s">
        <v>16194</v>
      </c>
      <c r="U722" t="s">
        <v>13809</v>
      </c>
      <c r="W722" t="s">
        <v>13808</v>
      </c>
      <c r="X722" t="s">
        <v>24107</v>
      </c>
      <c r="Y722" t="s">
        <v>13809</v>
      </c>
      <c r="AA722" t="s">
        <v>13877</v>
      </c>
      <c r="AC722" t="s">
        <v>13809</v>
      </c>
      <c r="AH722" t="s">
        <v>13909</v>
      </c>
      <c r="AI722" t="s">
        <v>13808</v>
      </c>
      <c r="AN722" t="s">
        <v>13809</v>
      </c>
      <c r="AT722" t="s">
        <v>15634</v>
      </c>
      <c r="AU722" t="s">
        <v>13808</v>
      </c>
      <c r="AZ722" t="s">
        <v>14416</v>
      </c>
      <c r="BA722" t="s">
        <v>13808</v>
      </c>
      <c r="BF722" t="s">
        <v>14490</v>
      </c>
      <c r="BG722" t="s">
        <v>13808</v>
      </c>
      <c r="BL722" t="s">
        <v>24108</v>
      </c>
      <c r="BM722" t="s">
        <v>13808</v>
      </c>
      <c r="BR722" t="s">
        <v>24109</v>
      </c>
      <c r="BS722" t="s">
        <v>13809</v>
      </c>
      <c r="BY722" t="s">
        <v>24110</v>
      </c>
      <c r="BZ722" t="s">
        <v>13808</v>
      </c>
      <c r="CA722" t="s">
        <v>14026</v>
      </c>
      <c r="CE722" t="s">
        <v>13887</v>
      </c>
      <c r="CF722" t="s">
        <v>13808</v>
      </c>
      <c r="CG722" t="s">
        <v>14128</v>
      </c>
      <c r="CK722" t="s">
        <v>13887</v>
      </c>
      <c r="CL722" t="s">
        <v>13808</v>
      </c>
      <c r="CQ722" t="s">
        <v>13809</v>
      </c>
      <c r="CT722" t="s">
        <v>14027</v>
      </c>
      <c r="CU722" t="s">
        <v>24111</v>
      </c>
      <c r="CV722" t="s">
        <v>13808</v>
      </c>
      <c r="DA722" t="s">
        <v>24112</v>
      </c>
      <c r="DB722" t="s">
        <v>13808</v>
      </c>
      <c r="DG722" t="s">
        <v>24113</v>
      </c>
      <c r="DH722" t="s">
        <v>13808</v>
      </c>
      <c r="DI722" t="s">
        <v>24114</v>
      </c>
      <c r="DY722" t="s">
        <v>13900</v>
      </c>
      <c r="DZ722" t="s">
        <v>13970</v>
      </c>
      <c r="EA722" t="s">
        <v>14500</v>
      </c>
      <c r="ED722" t="s">
        <v>14501</v>
      </c>
      <c r="EE722" t="s">
        <v>9289</v>
      </c>
    </row>
    <row r="723" spans="1:135">
      <c r="A723" t="s">
        <v>4366</v>
      </c>
      <c r="B723" t="s">
        <v>4201</v>
      </c>
      <c r="C723" t="s">
        <v>24115</v>
      </c>
      <c r="D723" s="24">
        <v>44932</v>
      </c>
      <c r="E723" s="24" t="s">
        <v>13553</v>
      </c>
      <c r="F723" s="24" t="s">
        <v>24116</v>
      </c>
      <c r="G723" s="24" t="s">
        <v>13808</v>
      </c>
      <c r="H723" s="24"/>
      <c r="I723" s="24" t="s">
        <v>13809</v>
      </c>
      <c r="J723" s="24"/>
      <c r="K723" s="24" t="s">
        <v>13808</v>
      </c>
      <c r="L723" s="24"/>
      <c r="M723" s="24" t="s">
        <v>13846</v>
      </c>
      <c r="N723" s="24" t="s">
        <v>13808</v>
      </c>
      <c r="O723" s="24"/>
      <c r="P723" s="24" t="s">
        <v>13808</v>
      </c>
      <c r="Q723" s="24"/>
      <c r="R723" s="24" t="s">
        <v>13808</v>
      </c>
      <c r="S723" s="24"/>
      <c r="T723" t="s">
        <v>24117</v>
      </c>
      <c r="U723" t="s">
        <v>13809</v>
      </c>
      <c r="W723" t="s">
        <v>13808</v>
      </c>
      <c r="X723" t="s">
        <v>24118</v>
      </c>
      <c r="Y723" t="s">
        <v>13809</v>
      </c>
      <c r="AA723" t="s">
        <v>13849</v>
      </c>
      <c r="AB723" t="s">
        <v>24119</v>
      </c>
      <c r="AC723" t="s">
        <v>13808</v>
      </c>
      <c r="AH723" t="s">
        <v>13851</v>
      </c>
      <c r="AI723" t="s">
        <v>13808</v>
      </c>
      <c r="AN723" t="s">
        <v>13711</v>
      </c>
      <c r="AO723" t="s">
        <v>13809</v>
      </c>
      <c r="AT723" t="s">
        <v>20719</v>
      </c>
      <c r="AU723" t="s">
        <v>13808</v>
      </c>
      <c r="AZ723" t="s">
        <v>16005</v>
      </c>
      <c r="BA723" t="s">
        <v>13808</v>
      </c>
      <c r="BF723" t="s">
        <v>24120</v>
      </c>
      <c r="BG723" t="s">
        <v>13808</v>
      </c>
      <c r="BL723" t="s">
        <v>13735</v>
      </c>
      <c r="BM723" t="s">
        <v>13809</v>
      </c>
      <c r="BR723" t="s">
        <v>24121</v>
      </c>
      <c r="BS723" t="s">
        <v>13824</v>
      </c>
      <c r="BT723" t="s">
        <v>13808</v>
      </c>
      <c r="BU723" t="s">
        <v>24122</v>
      </c>
      <c r="BY723" t="s">
        <v>13860</v>
      </c>
      <c r="BZ723" t="s">
        <v>13808</v>
      </c>
      <c r="CA723" t="s">
        <v>17638</v>
      </c>
      <c r="CE723" t="s">
        <v>13828</v>
      </c>
      <c r="CF723" t="s">
        <v>13808</v>
      </c>
      <c r="CG723" t="s">
        <v>15306</v>
      </c>
      <c r="CK723" t="s">
        <v>13760</v>
      </c>
      <c r="CL723" t="s">
        <v>13809</v>
      </c>
      <c r="CQ723" t="s">
        <v>13766</v>
      </c>
      <c r="CR723" t="s">
        <v>13809</v>
      </c>
      <c r="CT723" t="s">
        <v>24123</v>
      </c>
      <c r="CU723" t="s">
        <v>24124</v>
      </c>
      <c r="CV723" t="s">
        <v>13808</v>
      </c>
      <c r="DA723" t="s">
        <v>24125</v>
      </c>
      <c r="DB723" t="s">
        <v>13808</v>
      </c>
      <c r="DM723" t="s">
        <v>24126</v>
      </c>
      <c r="DN723" t="s">
        <v>13808</v>
      </c>
      <c r="DO723" t="s">
        <v>24127</v>
      </c>
      <c r="DP723" t="s">
        <v>24128</v>
      </c>
      <c r="DQ723" t="s">
        <v>13808</v>
      </c>
      <c r="DR723" t="s">
        <v>13839</v>
      </c>
      <c r="DY723" t="s">
        <v>13869</v>
      </c>
      <c r="DZ723" t="s">
        <v>24129</v>
      </c>
      <c r="EA723" t="s">
        <v>14182</v>
      </c>
      <c r="EC723">
        <v>44945</v>
      </c>
      <c r="ED723" t="s">
        <v>17062</v>
      </c>
      <c r="EE723" t="s">
        <v>9293</v>
      </c>
    </row>
    <row r="724" spans="1:135">
      <c r="A724" t="s">
        <v>4371</v>
      </c>
      <c r="B724" t="s">
        <v>4201</v>
      </c>
      <c r="C724" t="s">
        <v>24130</v>
      </c>
      <c r="D724" s="24">
        <v>44706</v>
      </c>
      <c r="E724" s="24" t="s">
        <v>13555</v>
      </c>
      <c r="F724" s="24" t="s">
        <v>24131</v>
      </c>
      <c r="G724" s="24" t="s">
        <v>13808</v>
      </c>
      <c r="H724" s="24"/>
      <c r="I724" s="24" t="s">
        <v>13809</v>
      </c>
      <c r="J724" s="24"/>
      <c r="K724" s="24" t="s">
        <v>13808</v>
      </c>
      <c r="L724" s="24"/>
      <c r="M724" s="24" t="s">
        <v>16604</v>
      </c>
      <c r="N724" s="24" t="s">
        <v>13808</v>
      </c>
      <c r="O724" s="24"/>
      <c r="P724" s="24" t="s">
        <v>13808</v>
      </c>
      <c r="Q724" s="24"/>
      <c r="R724" s="24" t="s">
        <v>13808</v>
      </c>
      <c r="S724" s="24"/>
      <c r="T724" t="s">
        <v>13907</v>
      </c>
      <c r="U724" t="s">
        <v>13809</v>
      </c>
      <c r="W724" t="s">
        <v>13808</v>
      </c>
      <c r="X724" t="s">
        <v>24132</v>
      </c>
      <c r="Y724" t="s">
        <v>13809</v>
      </c>
      <c r="AA724" t="s">
        <v>13928</v>
      </c>
      <c r="AB724" t="s">
        <v>13850</v>
      </c>
      <c r="AC724" t="s">
        <v>13809</v>
      </c>
      <c r="AH724" t="s">
        <v>13851</v>
      </c>
      <c r="AI724" t="s">
        <v>13808</v>
      </c>
      <c r="AN724" t="s">
        <v>24133</v>
      </c>
      <c r="AO724" t="s">
        <v>13808</v>
      </c>
      <c r="AT724" t="s">
        <v>14142</v>
      </c>
      <c r="AU724" t="s">
        <v>13808</v>
      </c>
      <c r="AZ724" t="s">
        <v>14794</v>
      </c>
      <c r="BA724" t="s">
        <v>13808</v>
      </c>
      <c r="BF724" t="s">
        <v>24134</v>
      </c>
      <c r="BG724" t="s">
        <v>13808</v>
      </c>
      <c r="BL724" t="s">
        <v>24135</v>
      </c>
      <c r="BM724" t="s">
        <v>13808</v>
      </c>
      <c r="BR724" t="s">
        <v>16249</v>
      </c>
      <c r="BS724" t="s">
        <v>13824</v>
      </c>
      <c r="BT724" t="s">
        <v>13808</v>
      </c>
      <c r="BU724" t="s">
        <v>14336</v>
      </c>
      <c r="BY724" t="s">
        <v>13986</v>
      </c>
      <c r="BZ724" t="s">
        <v>13808</v>
      </c>
      <c r="CA724" t="s">
        <v>24136</v>
      </c>
      <c r="CE724" t="s">
        <v>13828</v>
      </c>
      <c r="CF724" t="s">
        <v>13808</v>
      </c>
      <c r="CK724" t="s">
        <v>13760</v>
      </c>
      <c r="CL724" t="s">
        <v>13809</v>
      </c>
      <c r="CQ724" t="s">
        <v>13766</v>
      </c>
      <c r="CR724" t="s">
        <v>13809</v>
      </c>
      <c r="CT724" t="s">
        <v>24137</v>
      </c>
      <c r="CU724" t="s">
        <v>14236</v>
      </c>
      <c r="CV724" t="s">
        <v>13808</v>
      </c>
      <c r="DA724" t="s">
        <v>15252</v>
      </c>
      <c r="DB724" t="s">
        <v>13808</v>
      </c>
      <c r="DM724" t="s">
        <v>16062</v>
      </c>
      <c r="DN724" t="s">
        <v>13808</v>
      </c>
      <c r="DZ724" t="s">
        <v>24138</v>
      </c>
      <c r="EA724" t="s">
        <v>14201</v>
      </c>
      <c r="EC724">
        <v>44721</v>
      </c>
      <c r="ED724" t="s">
        <v>17062</v>
      </c>
      <c r="EE724" t="s">
        <v>9297</v>
      </c>
    </row>
    <row r="725" spans="1:135">
      <c r="A725" t="s">
        <v>9298</v>
      </c>
      <c r="B725" t="s">
        <v>4201</v>
      </c>
      <c r="C725" t="s">
        <v>24139</v>
      </c>
      <c r="D725" s="24">
        <v>44932</v>
      </c>
      <c r="E725" s="24" t="s">
        <v>13553</v>
      </c>
      <c r="F725" s="24" t="s">
        <v>24140</v>
      </c>
      <c r="G725" s="24" t="s">
        <v>13808</v>
      </c>
      <c r="H725" s="24"/>
      <c r="I725" s="24" t="s">
        <v>13809</v>
      </c>
      <c r="J725" s="24"/>
      <c r="K725" s="24" t="s">
        <v>13809</v>
      </c>
      <c r="L725" s="24"/>
      <c r="M725" s="24" t="s">
        <v>13846</v>
      </c>
      <c r="N725" s="24" t="s">
        <v>13808</v>
      </c>
      <c r="O725" s="24"/>
      <c r="P725" s="24" t="s">
        <v>13808</v>
      </c>
      <c r="Q725" s="24"/>
      <c r="R725" s="24" t="s">
        <v>13808</v>
      </c>
      <c r="S725" s="24"/>
      <c r="T725" t="s">
        <v>24141</v>
      </c>
      <c r="U725" t="s">
        <v>13809</v>
      </c>
      <c r="W725" t="s">
        <v>13808</v>
      </c>
      <c r="X725" t="s">
        <v>24142</v>
      </c>
      <c r="Y725" t="s">
        <v>13809</v>
      </c>
      <c r="AA725" t="s">
        <v>13849</v>
      </c>
      <c r="AB725" t="s">
        <v>24143</v>
      </c>
      <c r="AC725" t="s">
        <v>13808</v>
      </c>
      <c r="AH725" t="s">
        <v>13851</v>
      </c>
      <c r="AI725" t="s">
        <v>13808</v>
      </c>
      <c r="AN725" t="s">
        <v>24144</v>
      </c>
      <c r="AO725" t="s">
        <v>13808</v>
      </c>
      <c r="AT725" t="s">
        <v>24145</v>
      </c>
      <c r="AU725" t="s">
        <v>13808</v>
      </c>
      <c r="AZ725" t="s">
        <v>24146</v>
      </c>
      <c r="BA725" t="s">
        <v>13808</v>
      </c>
      <c r="BF725" t="s">
        <v>15918</v>
      </c>
      <c r="BG725" t="s">
        <v>13808</v>
      </c>
      <c r="BL725" t="s">
        <v>24147</v>
      </c>
      <c r="BM725" t="s">
        <v>13809</v>
      </c>
      <c r="BR725" t="s">
        <v>24148</v>
      </c>
      <c r="BS725" t="s">
        <v>13858</v>
      </c>
      <c r="BT725" t="s">
        <v>13808</v>
      </c>
      <c r="BU725" t="s">
        <v>14291</v>
      </c>
      <c r="BY725" t="s">
        <v>13860</v>
      </c>
      <c r="BZ725" t="s">
        <v>13808</v>
      </c>
      <c r="CA725" t="s">
        <v>13861</v>
      </c>
      <c r="CE725" t="s">
        <v>13862</v>
      </c>
      <c r="CF725" t="s">
        <v>13808</v>
      </c>
      <c r="CG725" t="s">
        <v>13863</v>
      </c>
      <c r="CK725" t="s">
        <v>13760</v>
      </c>
      <c r="CL725" t="s">
        <v>13809</v>
      </c>
      <c r="CQ725" t="s">
        <v>13766</v>
      </c>
      <c r="CR725" t="s">
        <v>13809</v>
      </c>
      <c r="CT725" t="s">
        <v>14293</v>
      </c>
      <c r="CU725" t="s">
        <v>24149</v>
      </c>
      <c r="CV725" t="s">
        <v>13808</v>
      </c>
      <c r="DA725" t="s">
        <v>24150</v>
      </c>
      <c r="DB725" t="s">
        <v>13808</v>
      </c>
      <c r="DM725" t="s">
        <v>24151</v>
      </c>
      <c r="DN725" t="s">
        <v>13808</v>
      </c>
      <c r="DO725" t="s">
        <v>24152</v>
      </c>
      <c r="DP725" t="s">
        <v>24153</v>
      </c>
      <c r="DQ725" t="s">
        <v>13808</v>
      </c>
      <c r="DR725" t="s">
        <v>13839</v>
      </c>
      <c r="DY725" t="s">
        <v>13869</v>
      </c>
      <c r="DZ725" t="s">
        <v>24154</v>
      </c>
      <c r="EA725" t="s">
        <v>14182</v>
      </c>
      <c r="EC725">
        <v>45047</v>
      </c>
      <c r="ED725" t="s">
        <v>14298</v>
      </c>
      <c r="EE725" t="s">
        <v>9303</v>
      </c>
    </row>
    <row r="726" spans="1:135">
      <c r="A726" t="s">
        <v>4375</v>
      </c>
      <c r="B726" t="s">
        <v>4201</v>
      </c>
      <c r="C726" t="s">
        <v>24155</v>
      </c>
      <c r="D726" s="24">
        <v>43566</v>
      </c>
      <c r="E726" s="24" t="s">
        <v>13553</v>
      </c>
      <c r="F726" s="24" t="s">
        <v>24156</v>
      </c>
      <c r="G726" s="24" t="s">
        <v>13808</v>
      </c>
      <c r="H726" s="24"/>
      <c r="I726" s="24" t="s">
        <v>13809</v>
      </c>
      <c r="J726" s="24"/>
      <c r="K726" s="24" t="s">
        <v>13808</v>
      </c>
      <c r="L726" s="24"/>
      <c r="M726" s="24" t="s">
        <v>13846</v>
      </c>
      <c r="N726" s="24" t="s">
        <v>13808</v>
      </c>
      <c r="O726" s="24"/>
      <c r="P726" s="24" t="s">
        <v>13808</v>
      </c>
      <c r="Q726" s="24"/>
      <c r="R726" s="24" t="s">
        <v>13808</v>
      </c>
      <c r="S726" s="24"/>
      <c r="T726" t="s">
        <v>13847</v>
      </c>
      <c r="U726" t="s">
        <v>13809</v>
      </c>
      <c r="W726" t="s">
        <v>13808</v>
      </c>
      <c r="X726" t="s">
        <v>24157</v>
      </c>
      <c r="Y726" t="s">
        <v>13809</v>
      </c>
      <c r="AA726" t="s">
        <v>13849</v>
      </c>
      <c r="AB726" t="s">
        <v>20985</v>
      </c>
      <c r="AC726" t="s">
        <v>13808</v>
      </c>
      <c r="AH726" t="s">
        <v>13851</v>
      </c>
      <c r="AI726" t="s">
        <v>13808</v>
      </c>
      <c r="AN726" t="s">
        <v>15055</v>
      </c>
      <c r="AO726" t="s">
        <v>13809</v>
      </c>
      <c r="AT726" t="s">
        <v>24158</v>
      </c>
      <c r="AU726" t="s">
        <v>13808</v>
      </c>
      <c r="AZ726" t="s">
        <v>24159</v>
      </c>
      <c r="BA726" t="s">
        <v>13808</v>
      </c>
      <c r="BF726" t="s">
        <v>24160</v>
      </c>
      <c r="BG726" t="s">
        <v>13808</v>
      </c>
      <c r="BL726" t="s">
        <v>24161</v>
      </c>
      <c r="BM726" t="s">
        <v>13808</v>
      </c>
      <c r="BR726" t="s">
        <v>24162</v>
      </c>
      <c r="BS726" t="s">
        <v>13824</v>
      </c>
      <c r="BT726" t="s">
        <v>13808</v>
      </c>
      <c r="BU726" t="s">
        <v>17630</v>
      </c>
      <c r="BY726" t="s">
        <v>13986</v>
      </c>
      <c r="BZ726" t="s">
        <v>13808</v>
      </c>
      <c r="CA726" t="s">
        <v>24163</v>
      </c>
      <c r="CE726" t="s">
        <v>13828</v>
      </c>
      <c r="CF726" t="s">
        <v>13808</v>
      </c>
      <c r="CK726" t="s">
        <v>13760</v>
      </c>
      <c r="CL726" t="s">
        <v>13809</v>
      </c>
      <c r="CQ726" t="s">
        <v>13766</v>
      </c>
      <c r="CR726" t="s">
        <v>13809</v>
      </c>
      <c r="CT726" t="s">
        <v>24164</v>
      </c>
      <c r="CU726" t="s">
        <v>24165</v>
      </c>
      <c r="CV726" t="s">
        <v>13808</v>
      </c>
      <c r="DA726" t="s">
        <v>24166</v>
      </c>
      <c r="DB726" t="s">
        <v>13808</v>
      </c>
      <c r="DH726" t="s">
        <v>13808</v>
      </c>
      <c r="DM726" t="s">
        <v>24167</v>
      </c>
      <c r="DN726" t="s">
        <v>13808</v>
      </c>
      <c r="DZ726" t="s">
        <v>24168</v>
      </c>
      <c r="EA726" t="s">
        <v>24169</v>
      </c>
      <c r="EC726">
        <v>44627</v>
      </c>
      <c r="ED726" t="s">
        <v>13843</v>
      </c>
      <c r="EE726" t="s">
        <v>9307</v>
      </c>
    </row>
    <row r="727" spans="1:135">
      <c r="A727" t="s">
        <v>4379</v>
      </c>
      <c r="B727" t="s">
        <v>4201</v>
      </c>
      <c r="C727" t="s">
        <v>24170</v>
      </c>
      <c r="D727" s="24">
        <v>43444</v>
      </c>
      <c r="E727" s="24" t="s">
        <v>13557</v>
      </c>
      <c r="F727" s="24" t="s">
        <v>24171</v>
      </c>
      <c r="G727" s="24" t="s">
        <v>13808</v>
      </c>
      <c r="H727" s="24" t="s">
        <v>24172</v>
      </c>
      <c r="I727" s="24" t="s">
        <v>13809</v>
      </c>
      <c r="J727" s="24"/>
      <c r="K727" s="24" t="s">
        <v>13808</v>
      </c>
      <c r="L727" s="24"/>
      <c r="M727" s="24" t="s">
        <v>15106</v>
      </c>
      <c r="N727" s="24" t="s">
        <v>13808</v>
      </c>
      <c r="O727" s="24"/>
      <c r="P727" s="24" t="s">
        <v>13808</v>
      </c>
      <c r="Q727" s="24"/>
      <c r="R727" s="24" t="s">
        <v>13808</v>
      </c>
      <c r="S727" s="24"/>
      <c r="T727" t="s">
        <v>13907</v>
      </c>
      <c r="U727" t="s">
        <v>13809</v>
      </c>
      <c r="W727" t="s">
        <v>13808</v>
      </c>
      <c r="X727" t="s">
        <v>24173</v>
      </c>
      <c r="Y727" t="s">
        <v>13809</v>
      </c>
      <c r="AA727" t="s">
        <v>13928</v>
      </c>
      <c r="AB727" t="s">
        <v>13699</v>
      </c>
      <c r="AC727" t="s">
        <v>13809</v>
      </c>
      <c r="AH727" t="s">
        <v>13851</v>
      </c>
      <c r="AI727" t="s">
        <v>13808</v>
      </c>
      <c r="AN727" t="s">
        <v>24174</v>
      </c>
      <c r="AO727" t="s">
        <v>13808</v>
      </c>
      <c r="AT727" t="s">
        <v>24175</v>
      </c>
      <c r="AU727" t="s">
        <v>13808</v>
      </c>
      <c r="AZ727" t="s">
        <v>24176</v>
      </c>
      <c r="BA727" t="s">
        <v>13808</v>
      </c>
      <c r="BF727" t="s">
        <v>23905</v>
      </c>
      <c r="BG727" t="s">
        <v>13808</v>
      </c>
      <c r="BL727" t="s">
        <v>24177</v>
      </c>
      <c r="BM727" t="s">
        <v>13808</v>
      </c>
      <c r="BR727" t="s">
        <v>21510</v>
      </c>
      <c r="BS727" t="s">
        <v>13824</v>
      </c>
      <c r="BT727" t="s">
        <v>13808</v>
      </c>
      <c r="BU727" t="s">
        <v>14336</v>
      </c>
      <c r="BY727" t="s">
        <v>13986</v>
      </c>
      <c r="BZ727" t="s">
        <v>13808</v>
      </c>
      <c r="CA727" t="s">
        <v>24178</v>
      </c>
      <c r="CE727" t="s">
        <v>13828</v>
      </c>
      <c r="CF727" t="s">
        <v>13808</v>
      </c>
      <c r="CK727" t="s">
        <v>13760</v>
      </c>
      <c r="CL727" t="s">
        <v>13809</v>
      </c>
      <c r="CQ727" t="s">
        <v>13766</v>
      </c>
      <c r="CR727" t="s">
        <v>13809</v>
      </c>
      <c r="CT727" t="s">
        <v>16667</v>
      </c>
      <c r="CU727" t="s">
        <v>14236</v>
      </c>
      <c r="CV727" t="s">
        <v>13808</v>
      </c>
      <c r="DA727" t="s">
        <v>15252</v>
      </c>
      <c r="DB727" t="s">
        <v>13808</v>
      </c>
      <c r="DG727" t="s">
        <v>14240</v>
      </c>
      <c r="DH727" t="s">
        <v>13808</v>
      </c>
      <c r="DZ727" t="s">
        <v>24179</v>
      </c>
      <c r="EA727" t="s">
        <v>13996</v>
      </c>
      <c r="EC727">
        <v>44627</v>
      </c>
      <c r="ED727" t="s">
        <v>13843</v>
      </c>
      <c r="EE727" t="s">
        <v>9311</v>
      </c>
    </row>
    <row r="728" spans="1:135">
      <c r="A728" t="s">
        <v>9312</v>
      </c>
      <c r="B728" t="s">
        <v>4201</v>
      </c>
      <c r="C728" t="s">
        <v>24180</v>
      </c>
      <c r="D728" s="24">
        <v>45162</v>
      </c>
      <c r="E728" s="24" t="s">
        <v>13553</v>
      </c>
      <c r="F728" s="24" t="s">
        <v>24181</v>
      </c>
      <c r="G728" s="24" t="s">
        <v>13808</v>
      </c>
      <c r="H728" s="24"/>
      <c r="I728" s="24" t="s">
        <v>13809</v>
      </c>
      <c r="J728" s="24"/>
      <c r="K728" s="24" t="s">
        <v>13809</v>
      </c>
      <c r="L728" s="24"/>
      <c r="M728" s="24" t="s">
        <v>13846</v>
      </c>
      <c r="N728" s="24" t="s">
        <v>13808</v>
      </c>
      <c r="O728" s="24"/>
      <c r="P728" s="24" t="s">
        <v>13808</v>
      </c>
      <c r="Q728" s="24"/>
      <c r="R728" s="24" t="s">
        <v>13808</v>
      </c>
      <c r="S728" s="24"/>
      <c r="T728" t="s">
        <v>24182</v>
      </c>
      <c r="U728" t="s">
        <v>13809</v>
      </c>
      <c r="W728" t="s">
        <v>13808</v>
      </c>
      <c r="X728" t="s">
        <v>24183</v>
      </c>
      <c r="Y728" t="s">
        <v>13809</v>
      </c>
      <c r="AA728" t="s">
        <v>13849</v>
      </c>
      <c r="AB728" t="s">
        <v>13699</v>
      </c>
      <c r="AC728" t="s">
        <v>13809</v>
      </c>
      <c r="AH728" t="s">
        <v>13851</v>
      </c>
      <c r="AI728" t="s">
        <v>13808</v>
      </c>
      <c r="AN728" t="s">
        <v>13711</v>
      </c>
      <c r="AO728" t="s">
        <v>13809</v>
      </c>
      <c r="AT728" t="s">
        <v>13717</v>
      </c>
      <c r="AU728" t="s">
        <v>13809</v>
      </c>
      <c r="AZ728" t="s">
        <v>20528</v>
      </c>
      <c r="BA728" t="s">
        <v>13808</v>
      </c>
      <c r="BF728" t="s">
        <v>19711</v>
      </c>
      <c r="BG728" t="s">
        <v>13808</v>
      </c>
      <c r="BL728" t="s">
        <v>13735</v>
      </c>
      <c r="BM728" t="s">
        <v>13809</v>
      </c>
      <c r="BR728" t="s">
        <v>24184</v>
      </c>
      <c r="BS728" t="s">
        <v>13742</v>
      </c>
      <c r="BT728" t="s">
        <v>13809</v>
      </c>
      <c r="BY728" t="s">
        <v>13748</v>
      </c>
      <c r="BZ728" t="s">
        <v>13809</v>
      </c>
      <c r="CE728" t="s">
        <v>13754</v>
      </c>
      <c r="CF728" t="s">
        <v>13809</v>
      </c>
      <c r="CK728" t="s">
        <v>14216</v>
      </c>
      <c r="CL728" t="s">
        <v>13808</v>
      </c>
      <c r="CQ728" t="s">
        <v>13766</v>
      </c>
      <c r="CR728" t="s">
        <v>13809</v>
      </c>
      <c r="CT728" t="s">
        <v>17452</v>
      </c>
      <c r="DM728" t="s">
        <v>24185</v>
      </c>
      <c r="DN728" t="s">
        <v>13808</v>
      </c>
      <c r="DP728" t="s">
        <v>24186</v>
      </c>
      <c r="DQ728" t="s">
        <v>13808</v>
      </c>
      <c r="DR728" t="s">
        <v>13839</v>
      </c>
      <c r="DY728" t="s">
        <v>21382</v>
      </c>
      <c r="DZ728" t="s">
        <v>22887</v>
      </c>
      <c r="EA728" t="s">
        <v>14182</v>
      </c>
      <c r="EC728">
        <v>45203</v>
      </c>
      <c r="ED728" t="s">
        <v>14298</v>
      </c>
      <c r="EE728" t="s">
        <v>9314</v>
      </c>
    </row>
    <row r="729" spans="1:135">
      <c r="A729" t="s">
        <v>4383</v>
      </c>
      <c r="B729" t="s">
        <v>4201</v>
      </c>
      <c r="C729" t="s">
        <v>24187</v>
      </c>
      <c r="D729" s="24">
        <v>42878</v>
      </c>
      <c r="E729" s="24" t="s">
        <v>13564</v>
      </c>
      <c r="F729" s="24" t="s">
        <v>24188</v>
      </c>
      <c r="G729" s="24" t="s">
        <v>13808</v>
      </c>
      <c r="H729" s="24"/>
      <c r="I729" s="24" t="s">
        <v>13809</v>
      </c>
      <c r="J729" s="24"/>
      <c r="K729" s="24" t="s">
        <v>13808</v>
      </c>
      <c r="L729" s="24"/>
      <c r="M729" s="24" t="s">
        <v>14504</v>
      </c>
      <c r="N729" s="24" t="s">
        <v>13808</v>
      </c>
      <c r="O729" s="24"/>
      <c r="P729" s="24" t="s">
        <v>13808</v>
      </c>
      <c r="Q729" s="24"/>
      <c r="R729" s="24" t="s">
        <v>13808</v>
      </c>
      <c r="S729" s="24"/>
      <c r="T729" t="s">
        <v>14505</v>
      </c>
      <c r="U729" t="s">
        <v>13809</v>
      </c>
      <c r="W729" t="s">
        <v>13808</v>
      </c>
      <c r="Y729" t="s">
        <v>13808</v>
      </c>
      <c r="Z729" t="s">
        <v>24189</v>
      </c>
      <c r="AA729" t="s">
        <v>24190</v>
      </c>
      <c r="AB729" t="s">
        <v>14124</v>
      </c>
      <c r="AC729" t="s">
        <v>13808</v>
      </c>
      <c r="AH729" t="s">
        <v>18957</v>
      </c>
      <c r="AI729" t="s">
        <v>13808</v>
      </c>
      <c r="AN729" t="s">
        <v>24191</v>
      </c>
      <c r="AO729" t="s">
        <v>13808</v>
      </c>
      <c r="AT729" t="s">
        <v>15626</v>
      </c>
      <c r="AU729" t="s">
        <v>13808</v>
      </c>
      <c r="AZ729" t="s">
        <v>24192</v>
      </c>
      <c r="BA729" t="s">
        <v>13808</v>
      </c>
      <c r="BF729" t="s">
        <v>16510</v>
      </c>
      <c r="BG729" t="s">
        <v>13808</v>
      </c>
      <c r="BL729" t="s">
        <v>24193</v>
      </c>
      <c r="BM729" t="s">
        <v>13808</v>
      </c>
      <c r="BR729" t="s">
        <v>24194</v>
      </c>
      <c r="BS729" t="s">
        <v>13887</v>
      </c>
      <c r="BT729" t="s">
        <v>13808</v>
      </c>
      <c r="BU729" t="s">
        <v>24195</v>
      </c>
      <c r="BY729" t="s">
        <v>13887</v>
      </c>
      <c r="BZ729" t="s">
        <v>13808</v>
      </c>
      <c r="CA729" t="s">
        <v>24196</v>
      </c>
      <c r="CE729" t="s">
        <v>13885</v>
      </c>
      <c r="CF729" t="s">
        <v>13808</v>
      </c>
      <c r="CK729" t="s">
        <v>13809</v>
      </c>
      <c r="CQ729" t="s">
        <v>13809</v>
      </c>
      <c r="CT729" t="s">
        <v>24197</v>
      </c>
      <c r="CU729" t="s">
        <v>13909</v>
      </c>
      <c r="CV729" t="s">
        <v>13818</v>
      </c>
      <c r="DA729" t="s">
        <v>14059</v>
      </c>
      <c r="DB729" t="s">
        <v>13808</v>
      </c>
      <c r="DD729" t="s">
        <v>14625</v>
      </c>
      <c r="DE729" t="s">
        <v>13818</v>
      </c>
      <c r="DG729" t="s">
        <v>13887</v>
      </c>
      <c r="DH729" t="s">
        <v>13818</v>
      </c>
      <c r="DM729" t="s">
        <v>15822</v>
      </c>
      <c r="DN729" t="s">
        <v>13808</v>
      </c>
      <c r="DZ729" t="s">
        <v>24198</v>
      </c>
      <c r="EA729" t="s">
        <v>19083</v>
      </c>
      <c r="EC729">
        <v>44097</v>
      </c>
      <c r="ED729" t="s">
        <v>13903</v>
      </c>
      <c r="EE729" t="s">
        <v>9316</v>
      </c>
    </row>
    <row r="730" spans="1:135">
      <c r="A730" t="s">
        <v>4387</v>
      </c>
      <c r="B730" t="s">
        <v>4201</v>
      </c>
      <c r="C730" t="s">
        <v>24199</v>
      </c>
      <c r="D730" s="24">
        <v>44869</v>
      </c>
      <c r="E730" s="24" t="s">
        <v>13553</v>
      </c>
      <c r="F730" s="24" t="s">
        <v>24200</v>
      </c>
      <c r="G730" s="24" t="s">
        <v>13808</v>
      </c>
      <c r="H730" s="24"/>
      <c r="I730" s="24" t="s">
        <v>13809</v>
      </c>
      <c r="J730" s="24"/>
      <c r="K730" s="24" t="s">
        <v>13809</v>
      </c>
      <c r="L730" s="24"/>
      <c r="M730" s="24" t="s">
        <v>13846</v>
      </c>
      <c r="N730" s="24" t="s">
        <v>13808</v>
      </c>
      <c r="O730" s="24"/>
      <c r="P730" s="24" t="s">
        <v>13808</v>
      </c>
      <c r="Q730" s="24"/>
      <c r="R730" s="24" t="s">
        <v>13808</v>
      </c>
      <c r="S730" s="24"/>
      <c r="T730" t="s">
        <v>24201</v>
      </c>
      <c r="U730" t="s">
        <v>13809</v>
      </c>
      <c r="W730" t="s">
        <v>13818</v>
      </c>
      <c r="X730" t="s">
        <v>24202</v>
      </c>
      <c r="Y730" t="s">
        <v>13808</v>
      </c>
      <c r="Z730" t="s">
        <v>24203</v>
      </c>
      <c r="AA730" t="s">
        <v>24204</v>
      </c>
      <c r="AB730" t="s">
        <v>24205</v>
      </c>
      <c r="AC730" t="s">
        <v>13808</v>
      </c>
      <c r="AH730" t="s">
        <v>13851</v>
      </c>
      <c r="AI730" t="s">
        <v>13808</v>
      </c>
      <c r="AN730" t="s">
        <v>24206</v>
      </c>
      <c r="AO730" t="s">
        <v>13808</v>
      </c>
      <c r="AP730" t="s">
        <v>24207</v>
      </c>
      <c r="AT730" t="s">
        <v>13717</v>
      </c>
      <c r="AU730" t="s">
        <v>13809</v>
      </c>
      <c r="AZ730" t="s">
        <v>15501</v>
      </c>
      <c r="BA730" t="s">
        <v>13808</v>
      </c>
      <c r="BF730" t="s">
        <v>24208</v>
      </c>
      <c r="BG730" t="s">
        <v>13808</v>
      </c>
      <c r="BH730" t="s">
        <v>24209</v>
      </c>
      <c r="BL730" t="s">
        <v>13934</v>
      </c>
      <c r="BM730" t="s">
        <v>13809</v>
      </c>
      <c r="BR730" t="s">
        <v>24210</v>
      </c>
      <c r="BS730" t="s">
        <v>14213</v>
      </c>
      <c r="BT730" t="s">
        <v>13808</v>
      </c>
      <c r="BU730" t="s">
        <v>24211</v>
      </c>
      <c r="BY730" t="s">
        <v>13860</v>
      </c>
      <c r="BZ730" t="s">
        <v>13808</v>
      </c>
      <c r="CA730" t="s">
        <v>17071</v>
      </c>
      <c r="CE730" t="s">
        <v>15249</v>
      </c>
      <c r="CF730" t="s">
        <v>13809</v>
      </c>
      <c r="CG730" t="s">
        <v>24212</v>
      </c>
      <c r="CK730" t="s">
        <v>24213</v>
      </c>
      <c r="CL730" t="s">
        <v>13808</v>
      </c>
      <c r="CM730" t="s">
        <v>24214</v>
      </c>
      <c r="CQ730" t="s">
        <v>13766</v>
      </c>
      <c r="CR730" t="s">
        <v>13809</v>
      </c>
      <c r="CT730" t="s">
        <v>18215</v>
      </c>
      <c r="CU730" t="s">
        <v>24215</v>
      </c>
      <c r="CV730" t="s">
        <v>13808</v>
      </c>
      <c r="DA730" t="s">
        <v>24216</v>
      </c>
      <c r="DB730" t="s">
        <v>13808</v>
      </c>
      <c r="DG730" t="s">
        <v>24217</v>
      </c>
      <c r="DH730" t="s">
        <v>13808</v>
      </c>
      <c r="DM730" t="s">
        <v>24218</v>
      </c>
      <c r="DN730" t="s">
        <v>13808</v>
      </c>
      <c r="DO730" t="s">
        <v>24219</v>
      </c>
      <c r="DP730" t="s">
        <v>24220</v>
      </c>
      <c r="DQ730" t="s">
        <v>13818</v>
      </c>
      <c r="DR730" t="s">
        <v>13839</v>
      </c>
      <c r="DY730" t="s">
        <v>13869</v>
      </c>
      <c r="DZ730" t="s">
        <v>24221</v>
      </c>
      <c r="EA730" t="s">
        <v>14182</v>
      </c>
      <c r="EC730">
        <v>44879</v>
      </c>
      <c r="ED730" t="s">
        <v>14667</v>
      </c>
      <c r="EE730" t="s">
        <v>9324</v>
      </c>
    </row>
    <row r="731" spans="1:135">
      <c r="A731" t="s">
        <v>9157</v>
      </c>
      <c r="B731" t="s">
        <v>4201</v>
      </c>
      <c r="C731" t="s">
        <v>24222</v>
      </c>
      <c r="D731" s="24">
        <v>44273</v>
      </c>
      <c r="E731" s="24" t="s">
        <v>13553</v>
      </c>
      <c r="F731" s="24" t="s">
        <v>24223</v>
      </c>
      <c r="G731" s="24" t="s">
        <v>13808</v>
      </c>
      <c r="H731" s="24"/>
      <c r="I731" s="24" t="s">
        <v>13809</v>
      </c>
      <c r="J731" s="24"/>
      <c r="K731" s="24" t="s">
        <v>13808</v>
      </c>
      <c r="L731" s="24"/>
      <c r="M731" s="24" t="s">
        <v>14163</v>
      </c>
      <c r="N731" s="24" t="s">
        <v>13808</v>
      </c>
      <c r="O731" s="24"/>
      <c r="P731" s="24" t="s">
        <v>13808</v>
      </c>
      <c r="Q731" s="24"/>
      <c r="R731" s="24" t="s">
        <v>13808</v>
      </c>
      <c r="S731" s="24"/>
      <c r="T731" t="s">
        <v>24224</v>
      </c>
      <c r="U731" t="s">
        <v>13809</v>
      </c>
      <c r="W731" t="s">
        <v>13808</v>
      </c>
      <c r="X731" t="s">
        <v>24225</v>
      </c>
      <c r="Y731" t="s">
        <v>13809</v>
      </c>
      <c r="AA731" t="s">
        <v>13877</v>
      </c>
      <c r="AB731" t="s">
        <v>14597</v>
      </c>
      <c r="AC731" t="s">
        <v>13808</v>
      </c>
      <c r="AH731" t="s">
        <v>13909</v>
      </c>
      <c r="AI731" t="s">
        <v>13808</v>
      </c>
      <c r="AO731" t="s">
        <v>13809</v>
      </c>
      <c r="AT731" t="s">
        <v>13887</v>
      </c>
      <c r="AU731" t="s">
        <v>13808</v>
      </c>
      <c r="AZ731" t="s">
        <v>14059</v>
      </c>
      <c r="BA731" t="s">
        <v>13808</v>
      </c>
      <c r="BF731" t="s">
        <v>17084</v>
      </c>
      <c r="BG731" t="s">
        <v>13808</v>
      </c>
      <c r="BM731" t="s">
        <v>13809</v>
      </c>
      <c r="BR731" t="s">
        <v>24226</v>
      </c>
      <c r="BT731" t="s">
        <v>13809</v>
      </c>
      <c r="BY731" t="s">
        <v>13887</v>
      </c>
      <c r="BZ731" t="s">
        <v>13808</v>
      </c>
      <c r="CA731" t="s">
        <v>24227</v>
      </c>
      <c r="CF731" t="s">
        <v>13809</v>
      </c>
      <c r="CK731" t="s">
        <v>14170</v>
      </c>
      <c r="CL731" t="s">
        <v>13808</v>
      </c>
      <c r="CM731" t="s">
        <v>24228</v>
      </c>
      <c r="CR731" t="s">
        <v>13809</v>
      </c>
      <c r="CT731" t="s">
        <v>16202</v>
      </c>
      <c r="CU731" t="s">
        <v>24229</v>
      </c>
      <c r="CV731" t="s">
        <v>13808</v>
      </c>
      <c r="DA731" t="s">
        <v>24230</v>
      </c>
      <c r="DB731" t="s">
        <v>13808</v>
      </c>
      <c r="DG731" t="s">
        <v>21591</v>
      </c>
      <c r="DH731" t="s">
        <v>13808</v>
      </c>
      <c r="DI731" t="s">
        <v>16097</v>
      </c>
      <c r="DJ731" t="s">
        <v>24231</v>
      </c>
      <c r="DK731" t="s">
        <v>13808</v>
      </c>
      <c r="DL731" t="s">
        <v>13788</v>
      </c>
      <c r="DM731" t="s">
        <v>24232</v>
      </c>
      <c r="DN731" t="s">
        <v>13808</v>
      </c>
      <c r="DP731" t="s">
        <v>24233</v>
      </c>
      <c r="DQ731" t="s">
        <v>13808</v>
      </c>
      <c r="DR731" t="s">
        <v>13839</v>
      </c>
      <c r="DY731" t="s">
        <v>14460</v>
      </c>
      <c r="DZ731" t="s">
        <v>24234</v>
      </c>
      <c r="EA731" t="s">
        <v>14460</v>
      </c>
      <c r="EC731">
        <v>44286</v>
      </c>
      <c r="ED731" t="s">
        <v>14276</v>
      </c>
      <c r="EE731" t="s">
        <v>9326</v>
      </c>
    </row>
    <row r="732" spans="1:135">
      <c r="A732" t="s">
        <v>9327</v>
      </c>
      <c r="B732" t="s">
        <v>4201</v>
      </c>
      <c r="C732" t="s">
        <v>24235</v>
      </c>
      <c r="D732" s="24">
        <v>44560</v>
      </c>
      <c r="E732" s="24" t="s">
        <v>13558</v>
      </c>
      <c r="F732" s="24" t="s">
        <v>24236</v>
      </c>
      <c r="G732" s="24" t="s">
        <v>13808</v>
      </c>
      <c r="H732" s="24"/>
      <c r="I732" s="24" t="s">
        <v>13809</v>
      </c>
      <c r="J732" s="24"/>
      <c r="K732" s="24" t="s">
        <v>13809</v>
      </c>
      <c r="L732" s="24"/>
      <c r="M732" s="24" t="s">
        <v>13950</v>
      </c>
      <c r="N732" s="24" t="s">
        <v>13808</v>
      </c>
      <c r="O732" s="24"/>
      <c r="P732" s="24" t="s">
        <v>13808</v>
      </c>
      <c r="Q732" s="24"/>
      <c r="R732" s="24" t="s">
        <v>13808</v>
      </c>
      <c r="S732" s="24"/>
      <c r="T732" t="s">
        <v>15222</v>
      </c>
      <c r="U732" t="s">
        <v>13809</v>
      </c>
      <c r="W732" t="s">
        <v>13809</v>
      </c>
      <c r="Y732" t="s">
        <v>13808</v>
      </c>
      <c r="Z732" t="s">
        <v>24237</v>
      </c>
      <c r="AA732" t="s">
        <v>24238</v>
      </c>
      <c r="AC732" t="s">
        <v>13809</v>
      </c>
      <c r="AH732" t="s">
        <v>24239</v>
      </c>
      <c r="AI732" t="s">
        <v>13808</v>
      </c>
      <c r="AK732" t="s">
        <v>14625</v>
      </c>
      <c r="AL732" t="s">
        <v>13818</v>
      </c>
      <c r="AM732" t="s">
        <v>13819</v>
      </c>
      <c r="AO732" t="s">
        <v>13809</v>
      </c>
      <c r="AU732" t="s">
        <v>13809</v>
      </c>
      <c r="AZ732" t="s">
        <v>14169</v>
      </c>
      <c r="BA732" t="s">
        <v>19153</v>
      </c>
      <c r="BF732" t="s">
        <v>24240</v>
      </c>
      <c r="BG732" t="s">
        <v>13818</v>
      </c>
      <c r="BH732" t="s">
        <v>13819</v>
      </c>
      <c r="BM732" t="s">
        <v>13809</v>
      </c>
      <c r="BR732" t="s">
        <v>24241</v>
      </c>
      <c r="BT732" t="s">
        <v>13809</v>
      </c>
      <c r="BY732" t="s">
        <v>13887</v>
      </c>
      <c r="BZ732" t="s">
        <v>13818</v>
      </c>
      <c r="CA732" t="s">
        <v>24242</v>
      </c>
      <c r="CE732" t="s">
        <v>13887</v>
      </c>
      <c r="CF732" t="s">
        <v>13818</v>
      </c>
      <c r="CG732" t="s">
        <v>24243</v>
      </c>
      <c r="CL732" t="s">
        <v>13809</v>
      </c>
      <c r="CR732" t="s">
        <v>13809</v>
      </c>
      <c r="CT732" t="s">
        <v>14781</v>
      </c>
      <c r="CU732" t="s">
        <v>13882</v>
      </c>
      <c r="CV732" t="s">
        <v>13818</v>
      </c>
      <c r="CW732" t="s">
        <v>24244</v>
      </c>
      <c r="DA732" t="s">
        <v>14007</v>
      </c>
      <c r="DB732" t="s">
        <v>13818</v>
      </c>
      <c r="DC732" t="s">
        <v>24244</v>
      </c>
      <c r="DG732" t="s">
        <v>24245</v>
      </c>
      <c r="DH732" t="s">
        <v>13818</v>
      </c>
      <c r="DI732" t="s">
        <v>13819</v>
      </c>
      <c r="DJ732" t="s">
        <v>24246</v>
      </c>
      <c r="DK732" t="s">
        <v>13818</v>
      </c>
      <c r="DL732" t="s">
        <v>13819</v>
      </c>
      <c r="DM732" t="s">
        <v>14818</v>
      </c>
      <c r="DN732" t="s">
        <v>13818</v>
      </c>
      <c r="DO732" t="s">
        <v>24247</v>
      </c>
      <c r="DY732" t="s">
        <v>14606</v>
      </c>
      <c r="DZ732" t="s">
        <v>14274</v>
      </c>
      <c r="EA732" t="s">
        <v>18291</v>
      </c>
      <c r="EC732">
        <v>44564</v>
      </c>
      <c r="ED732" t="s">
        <v>14501</v>
      </c>
      <c r="EE732" t="s">
        <v>9329</v>
      </c>
    </row>
    <row r="733" spans="1:135">
      <c r="A733" t="s">
        <v>4389</v>
      </c>
      <c r="B733" t="s">
        <v>4201</v>
      </c>
      <c r="C733" t="s">
        <v>24248</v>
      </c>
      <c r="D733" s="24">
        <v>42879</v>
      </c>
      <c r="E733" s="24" t="s">
        <v>13564</v>
      </c>
      <c r="F733" s="24" t="s">
        <v>24249</v>
      </c>
      <c r="G733" s="24" t="s">
        <v>13808</v>
      </c>
      <c r="H733" s="24"/>
      <c r="I733" s="24" t="s">
        <v>13809</v>
      </c>
      <c r="J733" s="24"/>
      <c r="K733" s="24" t="s">
        <v>13808</v>
      </c>
      <c r="L733" s="24"/>
      <c r="M733" s="24" t="s">
        <v>24250</v>
      </c>
      <c r="N733" s="24" t="s">
        <v>13808</v>
      </c>
      <c r="O733" s="24"/>
      <c r="P733" s="24" t="s">
        <v>13808</v>
      </c>
      <c r="Q733" s="24"/>
      <c r="R733" s="24" t="s">
        <v>13808</v>
      </c>
      <c r="S733" s="24"/>
      <c r="T733" t="s">
        <v>24251</v>
      </c>
      <c r="U733" t="s">
        <v>13809</v>
      </c>
      <c r="W733" t="s">
        <v>13808</v>
      </c>
      <c r="X733" t="s">
        <v>24252</v>
      </c>
      <c r="Y733" t="s">
        <v>13808</v>
      </c>
      <c r="AA733" t="s">
        <v>24253</v>
      </c>
      <c r="AH733" t="s">
        <v>24254</v>
      </c>
      <c r="AI733" t="s">
        <v>13808</v>
      </c>
      <c r="AN733" t="s">
        <v>24255</v>
      </c>
      <c r="AO733" t="s">
        <v>13808</v>
      </c>
      <c r="AT733" t="s">
        <v>24256</v>
      </c>
      <c r="AU733" t="s">
        <v>13808</v>
      </c>
      <c r="AV733" t="s">
        <v>24257</v>
      </c>
      <c r="AZ733" t="s">
        <v>24258</v>
      </c>
      <c r="BA733" t="s">
        <v>13808</v>
      </c>
      <c r="BF733" t="s">
        <v>24259</v>
      </c>
      <c r="BG733" t="s">
        <v>13808</v>
      </c>
      <c r="BL733" t="s">
        <v>24260</v>
      </c>
      <c r="BM733" t="s">
        <v>13808</v>
      </c>
      <c r="BR733" t="s">
        <v>24261</v>
      </c>
      <c r="BS733" t="s">
        <v>13824</v>
      </c>
      <c r="BT733" t="s">
        <v>13808</v>
      </c>
      <c r="BU733" t="s">
        <v>18614</v>
      </c>
      <c r="BY733" t="s">
        <v>13860</v>
      </c>
      <c r="BZ733" t="s">
        <v>13808</v>
      </c>
      <c r="CA733" t="s">
        <v>15175</v>
      </c>
      <c r="CE733" t="s">
        <v>24262</v>
      </c>
      <c r="CF733" t="s">
        <v>13808</v>
      </c>
      <c r="CK733" t="s">
        <v>24263</v>
      </c>
      <c r="CL733" t="s">
        <v>13808</v>
      </c>
      <c r="CQ733" t="s">
        <v>13766</v>
      </c>
      <c r="CR733" t="s">
        <v>13809</v>
      </c>
      <c r="CT733" t="s">
        <v>24264</v>
      </c>
      <c r="CU733" t="s">
        <v>24265</v>
      </c>
      <c r="CV733" t="s">
        <v>13808</v>
      </c>
      <c r="CX733" t="s">
        <v>24266</v>
      </c>
      <c r="CY733" t="s">
        <v>13818</v>
      </c>
      <c r="DA733" t="s">
        <v>24267</v>
      </c>
      <c r="DB733" t="s">
        <v>13808</v>
      </c>
      <c r="DD733" t="s">
        <v>24268</v>
      </c>
      <c r="DE733" t="s">
        <v>13818</v>
      </c>
      <c r="DG733" t="s">
        <v>14240</v>
      </c>
      <c r="DH733" t="s">
        <v>13818</v>
      </c>
      <c r="DY733" t="s">
        <v>13869</v>
      </c>
      <c r="DZ733" t="s">
        <v>24269</v>
      </c>
      <c r="EA733" t="s">
        <v>24270</v>
      </c>
      <c r="EC733">
        <v>44691</v>
      </c>
      <c r="ED733" t="s">
        <v>13843</v>
      </c>
      <c r="EE733" t="s">
        <v>9331</v>
      </c>
    </row>
    <row r="734" spans="1:135">
      <c r="A734" t="s">
        <v>4391</v>
      </c>
      <c r="B734" t="s">
        <v>4201</v>
      </c>
      <c r="C734" t="s">
        <v>24271</v>
      </c>
      <c r="D734" s="24">
        <v>42879</v>
      </c>
      <c r="E734" s="24" t="s">
        <v>13557</v>
      </c>
      <c r="F734" s="24" t="s">
        <v>24272</v>
      </c>
      <c r="G734" s="24" t="s">
        <v>13808</v>
      </c>
      <c r="H734" s="24"/>
      <c r="I734" s="24" t="s">
        <v>13809</v>
      </c>
      <c r="J734" s="24"/>
      <c r="K734" s="24" t="s">
        <v>13808</v>
      </c>
      <c r="L734" s="24"/>
      <c r="M734" s="24" t="s">
        <v>24273</v>
      </c>
      <c r="N734" s="24" t="s">
        <v>13808</v>
      </c>
      <c r="O734" s="24"/>
      <c r="P734" s="24" t="s">
        <v>13808</v>
      </c>
      <c r="Q734" s="24"/>
      <c r="R734" s="24" t="s">
        <v>13808</v>
      </c>
      <c r="S734" s="24"/>
      <c r="T734" t="s">
        <v>24274</v>
      </c>
      <c r="U734" t="s">
        <v>13809</v>
      </c>
      <c r="W734" t="s">
        <v>24275</v>
      </c>
      <c r="X734" t="s">
        <v>24276</v>
      </c>
      <c r="Y734" t="s">
        <v>13808</v>
      </c>
      <c r="AA734" t="s">
        <v>24253</v>
      </c>
      <c r="AB734" t="s">
        <v>19415</v>
      </c>
      <c r="AC734" t="s">
        <v>13808</v>
      </c>
      <c r="AH734" t="s">
        <v>14772</v>
      </c>
      <c r="AI734" t="s">
        <v>13808</v>
      </c>
      <c r="AN734" t="s">
        <v>24277</v>
      </c>
      <c r="AO734" t="s">
        <v>13808</v>
      </c>
      <c r="AT734" t="s">
        <v>17104</v>
      </c>
      <c r="AU734" t="s">
        <v>13808</v>
      </c>
      <c r="AZ734" t="s">
        <v>24278</v>
      </c>
      <c r="BA734" t="s">
        <v>13808</v>
      </c>
      <c r="BF734" t="s">
        <v>14795</v>
      </c>
      <c r="BG734" t="s">
        <v>13808</v>
      </c>
      <c r="BL734" t="s">
        <v>24279</v>
      </c>
      <c r="BM734" t="s">
        <v>13808</v>
      </c>
      <c r="BR734" t="s">
        <v>24280</v>
      </c>
      <c r="BY734" t="s">
        <v>13826</v>
      </c>
      <c r="BZ734" t="s">
        <v>13808</v>
      </c>
      <c r="CA734" t="s">
        <v>19556</v>
      </c>
      <c r="CE734" t="s">
        <v>18106</v>
      </c>
      <c r="CF734" t="s">
        <v>13808</v>
      </c>
      <c r="CG734" t="s">
        <v>24281</v>
      </c>
      <c r="CK734" t="s">
        <v>13760</v>
      </c>
      <c r="CL734" t="s">
        <v>13809</v>
      </c>
      <c r="CQ734" t="s">
        <v>13766</v>
      </c>
      <c r="CR734" t="s">
        <v>13809</v>
      </c>
      <c r="CT734" t="s">
        <v>24282</v>
      </c>
      <c r="CU734" t="s">
        <v>24283</v>
      </c>
      <c r="CV734" t="s">
        <v>13808</v>
      </c>
      <c r="DA734" t="s">
        <v>24284</v>
      </c>
      <c r="DB734" t="s">
        <v>13808</v>
      </c>
      <c r="DG734" t="s">
        <v>24285</v>
      </c>
      <c r="DH734" t="s">
        <v>13808</v>
      </c>
      <c r="DI734" t="s">
        <v>24286</v>
      </c>
      <c r="DZ734" t="s">
        <v>24287</v>
      </c>
      <c r="EA734" t="s">
        <v>15944</v>
      </c>
      <c r="EC734">
        <v>44627</v>
      </c>
      <c r="ED734" t="s">
        <v>13843</v>
      </c>
      <c r="EE734" t="s">
        <v>9335</v>
      </c>
    </row>
    <row r="735" spans="1:135">
      <c r="A735" t="s">
        <v>4398</v>
      </c>
      <c r="B735" t="s">
        <v>4201</v>
      </c>
      <c r="C735" t="s">
        <v>24288</v>
      </c>
      <c r="D735" s="24">
        <v>42865</v>
      </c>
      <c r="E735" s="24" t="s">
        <v>13559</v>
      </c>
      <c r="F735" s="24" t="s">
        <v>24289</v>
      </c>
      <c r="G735" s="24" t="s">
        <v>13808</v>
      </c>
      <c r="H735" s="24"/>
      <c r="I735" s="24" t="s">
        <v>13809</v>
      </c>
      <c r="J735" s="24"/>
      <c r="K735" s="24" t="s">
        <v>13809</v>
      </c>
      <c r="L735" s="24"/>
      <c r="M735" s="24" t="s">
        <v>24273</v>
      </c>
      <c r="N735" s="24" t="s">
        <v>13808</v>
      </c>
      <c r="O735" s="24"/>
      <c r="P735" s="24" t="s">
        <v>13808</v>
      </c>
      <c r="Q735" s="24"/>
      <c r="R735" s="24" t="s">
        <v>13808</v>
      </c>
      <c r="S735" s="24"/>
      <c r="T735" t="s">
        <v>24290</v>
      </c>
      <c r="U735" t="s">
        <v>13808</v>
      </c>
      <c r="W735" t="s">
        <v>13808</v>
      </c>
      <c r="X735" t="s">
        <v>24291</v>
      </c>
      <c r="Y735" t="s">
        <v>13808</v>
      </c>
      <c r="Z735" t="s">
        <v>24292</v>
      </c>
      <c r="AA735" t="s">
        <v>14594</v>
      </c>
      <c r="AB735" t="s">
        <v>24293</v>
      </c>
      <c r="AC735" t="s">
        <v>13808</v>
      </c>
      <c r="AH735" t="s">
        <v>13851</v>
      </c>
      <c r="AI735" t="s">
        <v>13808</v>
      </c>
      <c r="AN735" t="s">
        <v>24294</v>
      </c>
      <c r="AO735" t="s">
        <v>13808</v>
      </c>
      <c r="AT735" t="s">
        <v>24295</v>
      </c>
      <c r="AU735" t="s">
        <v>13808</v>
      </c>
      <c r="AZ735" t="s">
        <v>24296</v>
      </c>
      <c r="BA735" t="s">
        <v>13808</v>
      </c>
      <c r="BF735" t="s">
        <v>24297</v>
      </c>
      <c r="BG735" t="s">
        <v>13808</v>
      </c>
      <c r="BL735" t="s">
        <v>24298</v>
      </c>
      <c r="BM735" t="s">
        <v>13808</v>
      </c>
      <c r="BR735" t="s">
        <v>24299</v>
      </c>
      <c r="BS735" t="s">
        <v>14213</v>
      </c>
      <c r="BT735" t="s">
        <v>13808</v>
      </c>
      <c r="BU735" t="s">
        <v>24300</v>
      </c>
      <c r="BY735" t="s">
        <v>13860</v>
      </c>
      <c r="BZ735" t="s">
        <v>13808</v>
      </c>
      <c r="CA735" t="s">
        <v>17109</v>
      </c>
      <c r="CE735" t="s">
        <v>24301</v>
      </c>
      <c r="CF735" t="s">
        <v>13808</v>
      </c>
      <c r="CK735" t="s">
        <v>13760</v>
      </c>
      <c r="CL735" t="s">
        <v>13809</v>
      </c>
      <c r="CQ735" t="s">
        <v>13766</v>
      </c>
      <c r="CR735" t="s">
        <v>13809</v>
      </c>
      <c r="CT735" t="s">
        <v>24302</v>
      </c>
      <c r="DA735" t="s">
        <v>24303</v>
      </c>
      <c r="DB735" t="s">
        <v>13818</v>
      </c>
      <c r="DG735" t="s">
        <v>24304</v>
      </c>
      <c r="DH735" t="s">
        <v>13818</v>
      </c>
      <c r="DJ735" t="s">
        <v>24305</v>
      </c>
      <c r="DK735" t="s">
        <v>13808</v>
      </c>
      <c r="DZ735" t="s">
        <v>24306</v>
      </c>
      <c r="EA735" t="s">
        <v>24307</v>
      </c>
      <c r="EC735">
        <v>44627</v>
      </c>
      <c r="ED735" t="s">
        <v>13843</v>
      </c>
      <c r="EE735" t="s">
        <v>9339</v>
      </c>
    </row>
    <row r="736" spans="1:135">
      <c r="A736" t="s">
        <v>4402</v>
      </c>
      <c r="B736" t="s">
        <v>4201</v>
      </c>
      <c r="C736" t="s">
        <v>24308</v>
      </c>
      <c r="D736" s="24">
        <v>43658</v>
      </c>
      <c r="E736" s="24" t="s">
        <v>13571</v>
      </c>
      <c r="F736" s="24" t="s">
        <v>24309</v>
      </c>
      <c r="G736" s="24" t="s">
        <v>13808</v>
      </c>
      <c r="H736" s="24"/>
      <c r="I736" s="24" t="s">
        <v>13809</v>
      </c>
      <c r="J736" s="24"/>
      <c r="K736" s="24" t="s">
        <v>13808</v>
      </c>
      <c r="L736" s="24" t="s">
        <v>24310</v>
      </c>
      <c r="M736" s="24" t="s">
        <v>24311</v>
      </c>
      <c r="N736" s="24"/>
      <c r="O736" s="24"/>
      <c r="P736" s="24"/>
      <c r="Q736" s="24"/>
      <c r="R736" s="24"/>
      <c r="S736" s="24"/>
      <c r="T736" t="s">
        <v>24312</v>
      </c>
      <c r="U736" t="s">
        <v>13809</v>
      </c>
      <c r="W736" t="s">
        <v>13808</v>
      </c>
      <c r="X736" t="s">
        <v>24313</v>
      </c>
      <c r="Y736" t="s">
        <v>13809</v>
      </c>
      <c r="AA736" t="s">
        <v>24314</v>
      </c>
      <c r="AB736" t="s">
        <v>24315</v>
      </c>
      <c r="AC736" t="s">
        <v>13808</v>
      </c>
      <c r="AH736" t="s">
        <v>24316</v>
      </c>
      <c r="AI736" t="s">
        <v>13808</v>
      </c>
      <c r="AK736" t="s">
        <v>24317</v>
      </c>
      <c r="AL736" t="s">
        <v>13818</v>
      </c>
      <c r="AM736" t="s">
        <v>24318</v>
      </c>
      <c r="AN736" t="s">
        <v>24319</v>
      </c>
      <c r="AO736" t="s">
        <v>13808</v>
      </c>
      <c r="AQ736" t="s">
        <v>24320</v>
      </c>
      <c r="AR736" t="s">
        <v>13808</v>
      </c>
      <c r="AT736" t="s">
        <v>17244</v>
      </c>
      <c r="AU736" t="s">
        <v>13808</v>
      </c>
      <c r="AZ736" t="s">
        <v>24321</v>
      </c>
      <c r="BA736" t="s">
        <v>13808</v>
      </c>
      <c r="BF736" t="s">
        <v>24322</v>
      </c>
      <c r="BG736" t="s">
        <v>13808</v>
      </c>
      <c r="BL736" t="s">
        <v>24323</v>
      </c>
      <c r="BM736" t="s">
        <v>13808</v>
      </c>
      <c r="BR736" t="s">
        <v>24324</v>
      </c>
      <c r="BS736" t="s">
        <v>13824</v>
      </c>
      <c r="BT736" t="s">
        <v>13808</v>
      </c>
      <c r="BU736" t="s">
        <v>16383</v>
      </c>
      <c r="BY736" t="s">
        <v>24325</v>
      </c>
      <c r="BZ736" t="s">
        <v>13818</v>
      </c>
      <c r="CA736" t="s">
        <v>24326</v>
      </c>
      <c r="CE736" t="s">
        <v>24327</v>
      </c>
      <c r="CF736" t="s">
        <v>13808</v>
      </c>
      <c r="CG736" t="s">
        <v>24328</v>
      </c>
      <c r="CH736" t="s">
        <v>24329</v>
      </c>
      <c r="CI736" t="s">
        <v>13818</v>
      </c>
      <c r="CJ736" t="s">
        <v>24330</v>
      </c>
      <c r="CK736" t="s">
        <v>13760</v>
      </c>
      <c r="CL736" t="s">
        <v>13809</v>
      </c>
      <c r="CQ736" t="s">
        <v>16814</v>
      </c>
      <c r="CR736" t="s">
        <v>13808</v>
      </c>
      <c r="CS736" t="s">
        <v>24331</v>
      </c>
      <c r="CT736" t="s">
        <v>24332</v>
      </c>
      <c r="CU736" t="s">
        <v>24333</v>
      </c>
      <c r="CV736" t="s">
        <v>13818</v>
      </c>
      <c r="CW736" t="s">
        <v>24334</v>
      </c>
      <c r="DA736" t="s">
        <v>24335</v>
      </c>
      <c r="DB736" t="s">
        <v>13808</v>
      </c>
      <c r="DE736" t="s">
        <v>13818</v>
      </c>
      <c r="DF736" t="s">
        <v>24334</v>
      </c>
      <c r="DG736" t="s">
        <v>24336</v>
      </c>
      <c r="DH736" t="s">
        <v>13808</v>
      </c>
      <c r="DJ736" t="s">
        <v>24337</v>
      </c>
      <c r="DK736" t="s">
        <v>13818</v>
      </c>
      <c r="DL736" t="s">
        <v>14309</v>
      </c>
      <c r="DM736" t="s">
        <v>24338</v>
      </c>
      <c r="DN736" t="s">
        <v>13808</v>
      </c>
      <c r="DO736" t="s">
        <v>18865</v>
      </c>
      <c r="DP736" t="s">
        <v>24339</v>
      </c>
      <c r="DQ736" t="s">
        <v>13818</v>
      </c>
      <c r="DR736" t="s">
        <v>24334</v>
      </c>
      <c r="DY736" t="s">
        <v>13840</v>
      </c>
      <c r="DZ736" t="s">
        <v>24340</v>
      </c>
      <c r="EA736" t="s">
        <v>24341</v>
      </c>
      <c r="EC736">
        <v>44627</v>
      </c>
      <c r="ED736" t="s">
        <v>13843</v>
      </c>
      <c r="EE736" t="s">
        <v>9343</v>
      </c>
    </row>
    <row r="737" spans="1:135">
      <c r="A737" t="s">
        <v>9346</v>
      </c>
      <c r="B737" t="s">
        <v>4201</v>
      </c>
      <c r="C737" t="s">
        <v>24342</v>
      </c>
      <c r="D737" s="24">
        <v>43658</v>
      </c>
      <c r="E737" s="24" t="s">
        <v>13553</v>
      </c>
      <c r="F737" s="24" t="s">
        <v>24343</v>
      </c>
      <c r="G737" s="24" t="s">
        <v>13808</v>
      </c>
      <c r="H737" s="24"/>
      <c r="I737" s="24" t="s">
        <v>13809</v>
      </c>
      <c r="J737" s="24"/>
      <c r="K737" s="24" t="s">
        <v>13808</v>
      </c>
      <c r="L737" s="24"/>
      <c r="M737" s="24" t="s">
        <v>24344</v>
      </c>
      <c r="N737" s="24" t="s">
        <v>13808</v>
      </c>
      <c r="O737" s="24"/>
      <c r="P737" s="24" t="s">
        <v>13808</v>
      </c>
      <c r="Q737" s="24"/>
      <c r="R737" s="24" t="s">
        <v>13808</v>
      </c>
      <c r="S737" s="24"/>
      <c r="T737" t="s">
        <v>24345</v>
      </c>
      <c r="U737" t="s">
        <v>13809</v>
      </c>
      <c r="W737" t="s">
        <v>13808</v>
      </c>
      <c r="X737" t="s">
        <v>24346</v>
      </c>
      <c r="Y737" t="s">
        <v>13809</v>
      </c>
      <c r="AA737" t="s">
        <v>24347</v>
      </c>
      <c r="AB737" t="s">
        <v>15348</v>
      </c>
      <c r="AC737" t="s">
        <v>13809</v>
      </c>
      <c r="AD737" t="s">
        <v>24348</v>
      </c>
      <c r="AH737" t="s">
        <v>13851</v>
      </c>
      <c r="AI737" t="s">
        <v>13808</v>
      </c>
      <c r="AN737" t="s">
        <v>24349</v>
      </c>
      <c r="AO737" t="s">
        <v>13808</v>
      </c>
      <c r="AT737" t="s">
        <v>13717</v>
      </c>
      <c r="AU737" t="s">
        <v>13809</v>
      </c>
      <c r="AV737" t="s">
        <v>24348</v>
      </c>
      <c r="AZ737" t="s">
        <v>13723</v>
      </c>
      <c r="BA737" t="s">
        <v>13809</v>
      </c>
      <c r="BB737" t="s">
        <v>24348</v>
      </c>
      <c r="BF737" t="s">
        <v>17058</v>
      </c>
      <c r="BG737" t="s">
        <v>13809</v>
      </c>
      <c r="BH737" t="s">
        <v>24348</v>
      </c>
      <c r="BL737" t="s">
        <v>13735</v>
      </c>
      <c r="BM737" t="s">
        <v>13809</v>
      </c>
      <c r="BN737" t="s">
        <v>24348</v>
      </c>
      <c r="BR737" t="s">
        <v>24350</v>
      </c>
      <c r="BS737" t="s">
        <v>13742</v>
      </c>
      <c r="BT737" t="s">
        <v>13809</v>
      </c>
      <c r="BU737" t="s">
        <v>24351</v>
      </c>
      <c r="BY737" t="s">
        <v>13748</v>
      </c>
      <c r="BZ737" t="s">
        <v>13809</v>
      </c>
      <c r="CA737" t="s">
        <v>24351</v>
      </c>
      <c r="CE737" t="s">
        <v>24352</v>
      </c>
      <c r="CF737" t="s">
        <v>13808</v>
      </c>
      <c r="CG737" t="s">
        <v>24328</v>
      </c>
      <c r="CK737" t="s">
        <v>13760</v>
      </c>
      <c r="CL737" t="s">
        <v>13809</v>
      </c>
      <c r="CQ737" t="s">
        <v>13766</v>
      </c>
      <c r="CR737" t="s">
        <v>13809</v>
      </c>
      <c r="CS737" t="s">
        <v>24351</v>
      </c>
      <c r="CT737" t="s">
        <v>14293</v>
      </c>
      <c r="DM737" t="s">
        <v>24353</v>
      </c>
      <c r="DN737" t="s">
        <v>13808</v>
      </c>
      <c r="DO737" t="s">
        <v>18865</v>
      </c>
      <c r="DY737" t="s">
        <v>13840</v>
      </c>
      <c r="DZ737" t="s">
        <v>24354</v>
      </c>
      <c r="EA737" t="s">
        <v>13871</v>
      </c>
      <c r="EC737">
        <v>45062</v>
      </c>
      <c r="ED737" t="s">
        <v>13843</v>
      </c>
      <c r="EE737" t="s">
        <v>9348</v>
      </c>
    </row>
    <row r="738" spans="1:135">
      <c r="A738" t="s">
        <v>4406</v>
      </c>
      <c r="B738" t="s">
        <v>4201</v>
      </c>
      <c r="C738" t="s">
        <v>24355</v>
      </c>
      <c r="D738" s="24">
        <v>42881</v>
      </c>
      <c r="E738" s="24" t="s">
        <v>13571</v>
      </c>
      <c r="F738" s="24" t="s">
        <v>24356</v>
      </c>
      <c r="G738" s="24" t="s">
        <v>13808</v>
      </c>
      <c r="H738" s="24"/>
      <c r="I738" s="24" t="s">
        <v>13809</v>
      </c>
      <c r="J738" s="24"/>
      <c r="K738" s="24" t="s">
        <v>13809</v>
      </c>
      <c r="L738" s="24"/>
      <c r="M738" s="24" t="s">
        <v>24357</v>
      </c>
      <c r="N738" s="24" t="s">
        <v>13808</v>
      </c>
      <c r="O738" s="24"/>
      <c r="P738" s="24" t="s">
        <v>13808</v>
      </c>
      <c r="Q738" s="24"/>
      <c r="R738" s="24" t="s">
        <v>13808</v>
      </c>
      <c r="S738" s="24"/>
      <c r="T738" t="s">
        <v>24358</v>
      </c>
      <c r="U738" t="s">
        <v>13808</v>
      </c>
      <c r="W738" t="s">
        <v>13808</v>
      </c>
      <c r="X738" t="s">
        <v>24359</v>
      </c>
      <c r="Y738" t="s">
        <v>13808</v>
      </c>
      <c r="AA738" t="s">
        <v>15089</v>
      </c>
      <c r="AB738" t="s">
        <v>24360</v>
      </c>
      <c r="AC738" t="s">
        <v>13808</v>
      </c>
      <c r="AH738" t="s">
        <v>13909</v>
      </c>
      <c r="AI738" t="s">
        <v>13808</v>
      </c>
      <c r="AN738" t="s">
        <v>24361</v>
      </c>
      <c r="AO738" t="s">
        <v>13808</v>
      </c>
      <c r="AT738" t="s">
        <v>24362</v>
      </c>
      <c r="AU738" t="s">
        <v>13808</v>
      </c>
      <c r="AZ738" t="s">
        <v>24363</v>
      </c>
      <c r="BA738" t="s">
        <v>13808</v>
      </c>
      <c r="BF738" t="s">
        <v>24364</v>
      </c>
      <c r="BG738" t="s">
        <v>13808</v>
      </c>
      <c r="BL738" t="s">
        <v>24365</v>
      </c>
      <c r="BM738" t="s">
        <v>13808</v>
      </c>
      <c r="BR738" t="s">
        <v>24366</v>
      </c>
      <c r="BS738" t="s">
        <v>13887</v>
      </c>
      <c r="BT738" t="s">
        <v>13808</v>
      </c>
      <c r="BU738" t="s">
        <v>14010</v>
      </c>
      <c r="BY738" t="s">
        <v>24367</v>
      </c>
      <c r="BZ738" t="s">
        <v>13808</v>
      </c>
      <c r="CA738" t="s">
        <v>24368</v>
      </c>
      <c r="CE738" t="s">
        <v>24369</v>
      </c>
      <c r="CF738" t="s">
        <v>13808</v>
      </c>
      <c r="CG738" t="s">
        <v>24370</v>
      </c>
      <c r="CL738" t="s">
        <v>13809</v>
      </c>
      <c r="CQ738" t="s">
        <v>13809</v>
      </c>
      <c r="CT738" t="s">
        <v>24371</v>
      </c>
      <c r="CU738" t="s">
        <v>16503</v>
      </c>
      <c r="CV738" t="s">
        <v>13808</v>
      </c>
      <c r="DA738" t="s">
        <v>14197</v>
      </c>
      <c r="DB738" t="s">
        <v>13808</v>
      </c>
      <c r="DD738" t="s">
        <v>13887</v>
      </c>
      <c r="DE738" t="s">
        <v>13818</v>
      </c>
      <c r="DG738" t="s">
        <v>13887</v>
      </c>
      <c r="DH738" t="s">
        <v>13808</v>
      </c>
      <c r="DJ738" t="s">
        <v>14197</v>
      </c>
      <c r="DK738" t="s">
        <v>13818</v>
      </c>
      <c r="DZ738" t="s">
        <v>24372</v>
      </c>
      <c r="EA738" t="s">
        <v>19083</v>
      </c>
      <c r="EC738">
        <v>43480</v>
      </c>
      <c r="ED738" t="s">
        <v>13903</v>
      </c>
      <c r="EE738" t="s">
        <v>9350</v>
      </c>
    </row>
    <row r="739" spans="1:135">
      <c r="A739" t="s">
        <v>4410</v>
      </c>
      <c r="B739" t="s">
        <v>4201</v>
      </c>
      <c r="C739" t="s">
        <v>24373</v>
      </c>
      <c r="D739" s="24">
        <v>42880</v>
      </c>
      <c r="E739" s="24" t="s">
        <v>13555</v>
      </c>
      <c r="F739" s="24" t="s">
        <v>24374</v>
      </c>
      <c r="G739" s="24" t="s">
        <v>13808</v>
      </c>
      <c r="H739" s="24"/>
      <c r="I739" s="24" t="s">
        <v>13809</v>
      </c>
      <c r="J739" s="24"/>
      <c r="K739" s="24" t="s">
        <v>13808</v>
      </c>
      <c r="L739" s="24"/>
      <c r="M739" s="24" t="s">
        <v>24375</v>
      </c>
      <c r="N739" s="24" t="s">
        <v>13808</v>
      </c>
      <c r="O739" s="24"/>
      <c r="P739" s="24" t="s">
        <v>13808</v>
      </c>
      <c r="Q739" s="24"/>
      <c r="R739" s="24" t="s">
        <v>13808</v>
      </c>
      <c r="S739" s="24" t="s">
        <v>24376</v>
      </c>
      <c r="T739" t="s">
        <v>20200</v>
      </c>
      <c r="U739" t="s">
        <v>13809</v>
      </c>
      <c r="W739" t="s">
        <v>24377</v>
      </c>
      <c r="X739" t="s">
        <v>24378</v>
      </c>
      <c r="Y739" t="s">
        <v>13808</v>
      </c>
      <c r="Z739" t="s">
        <v>24379</v>
      </c>
      <c r="AA739" t="s">
        <v>13849</v>
      </c>
      <c r="AB739" t="s">
        <v>24380</v>
      </c>
      <c r="AC739" t="s">
        <v>13808</v>
      </c>
      <c r="AE739" t="s">
        <v>24381</v>
      </c>
      <c r="AF739" t="s">
        <v>13808</v>
      </c>
      <c r="AH739" t="s">
        <v>13851</v>
      </c>
      <c r="AI739" t="s">
        <v>13808</v>
      </c>
      <c r="AN739" t="s">
        <v>24382</v>
      </c>
      <c r="AO739" t="s">
        <v>13808</v>
      </c>
      <c r="AT739" t="s">
        <v>24383</v>
      </c>
      <c r="AU739" t="s">
        <v>13808</v>
      </c>
      <c r="AZ739" t="s">
        <v>24384</v>
      </c>
      <c r="BA739" t="s">
        <v>13808</v>
      </c>
      <c r="BF739" t="s">
        <v>24385</v>
      </c>
      <c r="BG739" t="s">
        <v>13808</v>
      </c>
      <c r="BL739" t="s">
        <v>24386</v>
      </c>
      <c r="BM739" t="s">
        <v>13808</v>
      </c>
      <c r="BR739" t="s">
        <v>24387</v>
      </c>
      <c r="BS739" t="s">
        <v>13824</v>
      </c>
      <c r="BT739" t="s">
        <v>13808</v>
      </c>
      <c r="BU739" t="s">
        <v>24388</v>
      </c>
      <c r="BY739" t="s">
        <v>20934</v>
      </c>
      <c r="BZ739" t="s">
        <v>13808</v>
      </c>
      <c r="CA739" t="s">
        <v>24389</v>
      </c>
      <c r="CE739" t="s">
        <v>16708</v>
      </c>
      <c r="CF739" t="s">
        <v>13808</v>
      </c>
      <c r="CK739" t="s">
        <v>13760</v>
      </c>
      <c r="CL739" t="s">
        <v>13809</v>
      </c>
      <c r="CQ739" t="s">
        <v>13766</v>
      </c>
      <c r="CR739" t="s">
        <v>13809</v>
      </c>
      <c r="CT739" t="s">
        <v>16771</v>
      </c>
      <c r="CU739" t="s">
        <v>14236</v>
      </c>
      <c r="CV739" t="s">
        <v>13808</v>
      </c>
      <c r="DA739" t="s">
        <v>15252</v>
      </c>
      <c r="DB739" t="s">
        <v>13808</v>
      </c>
      <c r="DG739" t="s">
        <v>14240</v>
      </c>
      <c r="DH739" t="s">
        <v>13808</v>
      </c>
      <c r="DZ739" t="s">
        <v>24390</v>
      </c>
      <c r="EA739" t="s">
        <v>14118</v>
      </c>
      <c r="EC739">
        <v>44627</v>
      </c>
      <c r="ED739" t="s">
        <v>13843</v>
      </c>
      <c r="EE739" t="s">
        <v>9356</v>
      </c>
    </row>
    <row r="740" spans="1:135">
      <c r="A740" t="s">
        <v>9357</v>
      </c>
      <c r="B740" t="s">
        <v>4201</v>
      </c>
      <c r="C740" t="s">
        <v>24391</v>
      </c>
      <c r="D740" s="24">
        <v>42880</v>
      </c>
      <c r="E740" s="24" t="s">
        <v>13555</v>
      </c>
      <c r="F740" s="24" t="s">
        <v>24392</v>
      </c>
      <c r="G740" s="24" t="s">
        <v>13808</v>
      </c>
      <c r="H740" s="24"/>
      <c r="I740" s="24" t="s">
        <v>13809</v>
      </c>
      <c r="J740" s="24"/>
      <c r="K740" s="24" t="s">
        <v>13808</v>
      </c>
      <c r="L740" s="24"/>
      <c r="M740" s="24" t="s">
        <v>24393</v>
      </c>
      <c r="N740" s="24" t="s">
        <v>13808</v>
      </c>
      <c r="O740" s="24"/>
      <c r="P740" s="24" t="s">
        <v>13808</v>
      </c>
      <c r="Q740" s="24"/>
      <c r="R740" s="24" t="s">
        <v>13808</v>
      </c>
      <c r="S740" s="24" t="s">
        <v>24394</v>
      </c>
      <c r="T740" t="s">
        <v>24395</v>
      </c>
      <c r="U740" t="s">
        <v>13809</v>
      </c>
      <c r="W740" t="s">
        <v>13808</v>
      </c>
      <c r="X740" t="s">
        <v>24396</v>
      </c>
      <c r="Y740" t="s">
        <v>13808</v>
      </c>
      <c r="Z740" t="s">
        <v>24397</v>
      </c>
      <c r="AA740" t="s">
        <v>13877</v>
      </c>
      <c r="AB740" t="s">
        <v>24398</v>
      </c>
      <c r="AC740" t="s">
        <v>13808</v>
      </c>
      <c r="AE740" t="s">
        <v>24399</v>
      </c>
      <c r="AF740" t="s">
        <v>13808</v>
      </c>
      <c r="AH740" t="s">
        <v>13909</v>
      </c>
      <c r="AI740" t="s">
        <v>13808</v>
      </c>
      <c r="AN740" t="s">
        <v>24400</v>
      </c>
      <c r="AO740" t="s">
        <v>13808</v>
      </c>
      <c r="AT740" t="s">
        <v>17969</v>
      </c>
      <c r="AU740" t="s">
        <v>13808</v>
      </c>
      <c r="AZ740" t="s">
        <v>22492</v>
      </c>
      <c r="BA740" t="s">
        <v>13808</v>
      </c>
      <c r="BF740" t="s">
        <v>24401</v>
      </c>
      <c r="BG740" t="s">
        <v>13808</v>
      </c>
      <c r="BL740" t="s">
        <v>24402</v>
      </c>
      <c r="BM740" t="s">
        <v>13808</v>
      </c>
      <c r="BR740" t="s">
        <v>24403</v>
      </c>
      <c r="BS740" t="s">
        <v>13887</v>
      </c>
      <c r="BT740" t="s">
        <v>13808</v>
      </c>
      <c r="BU740" t="s">
        <v>24404</v>
      </c>
      <c r="BY740" t="s">
        <v>13887</v>
      </c>
      <c r="BZ740" t="s">
        <v>13808</v>
      </c>
      <c r="CA740" t="s">
        <v>24405</v>
      </c>
      <c r="CE740" t="s">
        <v>13887</v>
      </c>
      <c r="CF740" t="s">
        <v>13808</v>
      </c>
      <c r="CG740" t="s">
        <v>24406</v>
      </c>
      <c r="CL740" t="s">
        <v>13809</v>
      </c>
      <c r="CR740" t="s">
        <v>13809</v>
      </c>
      <c r="CT740" t="s">
        <v>20859</v>
      </c>
      <c r="CU740" t="s">
        <v>13909</v>
      </c>
      <c r="CV740" t="s">
        <v>13808</v>
      </c>
      <c r="DA740" t="s">
        <v>13909</v>
      </c>
      <c r="DB740" t="s">
        <v>13808</v>
      </c>
      <c r="DG740" t="s">
        <v>13909</v>
      </c>
      <c r="DH740" t="s">
        <v>13808</v>
      </c>
      <c r="DZ740" t="s">
        <v>24407</v>
      </c>
      <c r="EA740" t="s">
        <v>18291</v>
      </c>
      <c r="ED740" t="s">
        <v>14501</v>
      </c>
      <c r="EE740" t="s">
        <v>9359</v>
      </c>
    </row>
    <row r="741" spans="1:135">
      <c r="A741" t="s">
        <v>4414</v>
      </c>
      <c r="B741" t="s">
        <v>4201</v>
      </c>
      <c r="C741" t="s">
        <v>24408</v>
      </c>
      <c r="D741" s="24">
        <v>42865</v>
      </c>
      <c r="E741" s="24" t="s">
        <v>13557</v>
      </c>
      <c r="F741" s="24" t="s">
        <v>24409</v>
      </c>
      <c r="G741" s="24" t="s">
        <v>13808</v>
      </c>
      <c r="H741" s="24"/>
      <c r="I741" s="24" t="s">
        <v>13809</v>
      </c>
      <c r="J741" s="24"/>
      <c r="K741" s="24" t="s">
        <v>13809</v>
      </c>
      <c r="L741" s="24"/>
      <c r="M741" s="24" t="s">
        <v>24410</v>
      </c>
      <c r="N741" s="24" t="s">
        <v>13808</v>
      </c>
      <c r="O741" s="24"/>
      <c r="P741" s="24" t="s">
        <v>13808</v>
      </c>
      <c r="Q741" s="24"/>
      <c r="R741" s="24" t="s">
        <v>13818</v>
      </c>
      <c r="S741" s="24" t="s">
        <v>24411</v>
      </c>
      <c r="T741" t="s">
        <v>24412</v>
      </c>
      <c r="U741" t="s">
        <v>13808</v>
      </c>
      <c r="V741" t="s">
        <v>24413</v>
      </c>
      <c r="W741" t="s">
        <v>13808</v>
      </c>
      <c r="X741" t="s">
        <v>24414</v>
      </c>
      <c r="Y741" t="s">
        <v>13809</v>
      </c>
      <c r="AA741" t="s">
        <v>13928</v>
      </c>
      <c r="AB741" t="s">
        <v>24415</v>
      </c>
      <c r="AC741" t="s">
        <v>13808</v>
      </c>
      <c r="AH741" t="s">
        <v>13851</v>
      </c>
      <c r="AI741" t="s">
        <v>13808</v>
      </c>
      <c r="AN741" t="s">
        <v>24416</v>
      </c>
      <c r="AO741" t="s">
        <v>13808</v>
      </c>
      <c r="AT741" t="s">
        <v>14523</v>
      </c>
      <c r="AU741" t="s">
        <v>13808</v>
      </c>
      <c r="AZ741" t="s">
        <v>16005</v>
      </c>
      <c r="BA741" t="s">
        <v>13808</v>
      </c>
      <c r="BF741" t="s">
        <v>24417</v>
      </c>
      <c r="BG741" t="s">
        <v>13808</v>
      </c>
      <c r="BL741" t="s">
        <v>24418</v>
      </c>
      <c r="BM741" t="s">
        <v>13808</v>
      </c>
      <c r="BR741" t="s">
        <v>24419</v>
      </c>
      <c r="BS741" t="s">
        <v>13824</v>
      </c>
      <c r="BT741" t="s">
        <v>13808</v>
      </c>
      <c r="BU741" t="s">
        <v>24420</v>
      </c>
      <c r="BY741" t="s">
        <v>19503</v>
      </c>
      <c r="BZ741" t="s">
        <v>13808</v>
      </c>
      <c r="CA741" t="s">
        <v>13937</v>
      </c>
      <c r="CE741" t="s">
        <v>13862</v>
      </c>
      <c r="CF741" t="s">
        <v>13808</v>
      </c>
      <c r="CG741" t="s">
        <v>24421</v>
      </c>
      <c r="CK741" t="s">
        <v>13760</v>
      </c>
      <c r="CL741" t="s">
        <v>13809</v>
      </c>
      <c r="CQ741" t="s">
        <v>13766</v>
      </c>
      <c r="CR741" t="s">
        <v>13809</v>
      </c>
      <c r="CT741" t="s">
        <v>24422</v>
      </c>
      <c r="DG741" t="s">
        <v>24423</v>
      </c>
      <c r="DI741" t="s">
        <v>13819</v>
      </c>
      <c r="DZ741" t="s">
        <v>24424</v>
      </c>
      <c r="EA741" t="s">
        <v>14118</v>
      </c>
      <c r="EC741">
        <v>44627</v>
      </c>
      <c r="ED741" t="s">
        <v>13843</v>
      </c>
      <c r="EE741" t="s">
        <v>9363</v>
      </c>
    </row>
    <row r="742" spans="1:135">
      <c r="A742" t="s">
        <v>13651</v>
      </c>
      <c r="B742" t="s">
        <v>4201</v>
      </c>
      <c r="C742" t="s">
        <v>24425</v>
      </c>
      <c r="D742" s="24">
        <v>42880</v>
      </c>
      <c r="E742" s="24" t="s">
        <v>13555</v>
      </c>
      <c r="F742" s="24" t="s">
        <v>24426</v>
      </c>
      <c r="G742" s="24" t="s">
        <v>13808</v>
      </c>
      <c r="H742" s="24"/>
      <c r="I742" s="24" t="s">
        <v>13809</v>
      </c>
      <c r="J742" s="24"/>
      <c r="K742" s="24" t="s">
        <v>13809</v>
      </c>
      <c r="L742" s="24"/>
      <c r="M742" s="24" t="s">
        <v>24427</v>
      </c>
      <c r="N742" s="24" t="s">
        <v>13808</v>
      </c>
      <c r="O742" s="24"/>
      <c r="P742" s="24" t="s">
        <v>13808</v>
      </c>
      <c r="Q742" s="24"/>
      <c r="R742" s="24" t="s">
        <v>13808</v>
      </c>
      <c r="S742" s="24"/>
      <c r="T742" t="s">
        <v>19173</v>
      </c>
      <c r="U742" t="s">
        <v>13809</v>
      </c>
      <c r="W742" t="s">
        <v>13808</v>
      </c>
      <c r="X742" t="s">
        <v>24428</v>
      </c>
      <c r="Y742" t="s">
        <v>13809</v>
      </c>
      <c r="AA742" t="s">
        <v>13877</v>
      </c>
      <c r="AB742" t="s">
        <v>13809</v>
      </c>
      <c r="AH742" t="s">
        <v>13909</v>
      </c>
      <c r="AI742" t="s">
        <v>13808</v>
      </c>
      <c r="AN742" t="s">
        <v>13809</v>
      </c>
      <c r="AT742" t="s">
        <v>13809</v>
      </c>
      <c r="AZ742" t="s">
        <v>16268</v>
      </c>
      <c r="BA742" t="s">
        <v>13808</v>
      </c>
      <c r="BF742" t="s">
        <v>14598</v>
      </c>
      <c r="BG742" t="s">
        <v>13808</v>
      </c>
      <c r="BM742" t="s">
        <v>13809</v>
      </c>
      <c r="BR742" t="s">
        <v>24429</v>
      </c>
      <c r="BT742" t="s">
        <v>13809</v>
      </c>
      <c r="BY742" t="s">
        <v>14265</v>
      </c>
      <c r="BZ742" t="s">
        <v>13808</v>
      </c>
      <c r="CA742" t="s">
        <v>17109</v>
      </c>
      <c r="CF742" t="s">
        <v>13809</v>
      </c>
      <c r="CK742" t="s">
        <v>14265</v>
      </c>
      <c r="CL742" t="s">
        <v>13808</v>
      </c>
      <c r="CM742" t="s">
        <v>13863</v>
      </c>
      <c r="CR742" t="s">
        <v>13809</v>
      </c>
      <c r="CT742" t="s">
        <v>24430</v>
      </c>
      <c r="CU742" t="s">
        <v>18381</v>
      </c>
      <c r="CV742" t="s">
        <v>13808</v>
      </c>
      <c r="CX742" t="s">
        <v>14265</v>
      </c>
      <c r="CY742" t="s">
        <v>13818</v>
      </c>
      <c r="CZ742" t="s">
        <v>24431</v>
      </c>
      <c r="DA742" t="s">
        <v>18381</v>
      </c>
      <c r="DB742" t="s">
        <v>13808</v>
      </c>
      <c r="DD742" t="s">
        <v>14265</v>
      </c>
      <c r="DE742" t="s">
        <v>13818</v>
      </c>
      <c r="DF742" t="s">
        <v>24431</v>
      </c>
      <c r="DH742" t="s">
        <v>13809</v>
      </c>
      <c r="DZ742" t="s">
        <v>24432</v>
      </c>
      <c r="EA742" t="s">
        <v>15944</v>
      </c>
      <c r="EC742">
        <v>43480</v>
      </c>
      <c r="ED742" t="s">
        <v>13903</v>
      </c>
      <c r="EE742" t="s">
        <v>13652</v>
      </c>
    </row>
    <row r="743" spans="1:135">
      <c r="A743" t="s">
        <v>12635</v>
      </c>
      <c r="B743" t="s">
        <v>4201</v>
      </c>
      <c r="C743" t="s">
        <v>24433</v>
      </c>
      <c r="D743" s="24">
        <v>43726</v>
      </c>
      <c r="E743" s="24" t="s">
        <v>13561</v>
      </c>
      <c r="F743" s="24" t="s">
        <v>24434</v>
      </c>
      <c r="G743" s="24" t="s">
        <v>13818</v>
      </c>
      <c r="H743" s="24"/>
      <c r="I743" s="24" t="s">
        <v>13809</v>
      </c>
      <c r="J743" s="24"/>
      <c r="K743" s="24" t="s">
        <v>13818</v>
      </c>
      <c r="L743" s="24" t="s">
        <v>24435</v>
      </c>
      <c r="M743" s="24" t="s">
        <v>14121</v>
      </c>
      <c r="N743" s="24" t="s">
        <v>13818</v>
      </c>
      <c r="O743" s="24" t="s">
        <v>24436</v>
      </c>
      <c r="P743" s="24" t="s">
        <v>13818</v>
      </c>
      <c r="Q743" s="24" t="s">
        <v>24437</v>
      </c>
      <c r="R743" s="24" t="s">
        <v>13818</v>
      </c>
      <c r="S743" s="24" t="s">
        <v>24438</v>
      </c>
      <c r="T743" t="s">
        <v>24439</v>
      </c>
      <c r="U743" t="s">
        <v>13809</v>
      </c>
      <c r="W743" t="s">
        <v>13809</v>
      </c>
      <c r="Y743" t="s">
        <v>13809</v>
      </c>
      <c r="AA743" t="s">
        <v>24440</v>
      </c>
      <c r="AC743" t="s">
        <v>13809</v>
      </c>
      <c r="AH743" t="s">
        <v>13887</v>
      </c>
      <c r="AI743" t="s">
        <v>13818</v>
      </c>
      <c r="AJ743" t="s">
        <v>14415</v>
      </c>
      <c r="AO743" t="s">
        <v>13809</v>
      </c>
      <c r="AU743" t="s">
        <v>13809</v>
      </c>
      <c r="AZ743" t="s">
        <v>16048</v>
      </c>
      <c r="BA743" t="s">
        <v>13818</v>
      </c>
      <c r="BB743" t="s">
        <v>14414</v>
      </c>
      <c r="BF743" t="s">
        <v>14022</v>
      </c>
      <c r="BG743" t="s">
        <v>13818</v>
      </c>
      <c r="BH743" t="s">
        <v>14414</v>
      </c>
      <c r="BM743" t="s">
        <v>13809</v>
      </c>
      <c r="BR743" t="s">
        <v>24441</v>
      </c>
      <c r="BT743" t="s">
        <v>13809</v>
      </c>
      <c r="BY743" t="s">
        <v>16201</v>
      </c>
      <c r="BZ743" t="s">
        <v>13818</v>
      </c>
      <c r="CA743" t="s">
        <v>24442</v>
      </c>
      <c r="CE743" t="s">
        <v>13887</v>
      </c>
      <c r="CF743" t="s">
        <v>13818</v>
      </c>
      <c r="CG743" t="s">
        <v>24443</v>
      </c>
      <c r="CL743" t="s">
        <v>13809</v>
      </c>
      <c r="CR743" t="s">
        <v>13809</v>
      </c>
      <c r="CT743" t="s">
        <v>24444</v>
      </c>
      <c r="CU743" t="s">
        <v>24445</v>
      </c>
      <c r="CV743" t="s">
        <v>13818</v>
      </c>
      <c r="CW743" t="s">
        <v>24446</v>
      </c>
      <c r="DA743" t="s">
        <v>24447</v>
      </c>
      <c r="DB743" t="s">
        <v>13818</v>
      </c>
      <c r="DC743" t="s">
        <v>24448</v>
      </c>
      <c r="DH743" t="s">
        <v>13809</v>
      </c>
      <c r="DM743" t="s">
        <v>24449</v>
      </c>
      <c r="DN743" t="s">
        <v>13818</v>
      </c>
      <c r="DO743" t="s">
        <v>24450</v>
      </c>
      <c r="DY743" t="s">
        <v>17547</v>
      </c>
      <c r="DZ743" t="s">
        <v>14696</v>
      </c>
      <c r="EA743" t="s">
        <v>14049</v>
      </c>
      <c r="EC743">
        <v>43789</v>
      </c>
      <c r="ED743" t="s">
        <v>14501</v>
      </c>
      <c r="EE743" t="s">
        <v>13653</v>
      </c>
    </row>
    <row r="744" spans="1:135">
      <c r="A744" t="s">
        <v>9367</v>
      </c>
      <c r="B744" t="s">
        <v>4201</v>
      </c>
      <c r="C744" t="s">
        <v>24433</v>
      </c>
      <c r="D744" s="24">
        <v>44512</v>
      </c>
      <c r="E744" s="24" t="s">
        <v>13555</v>
      </c>
      <c r="F744" s="24" t="s">
        <v>24451</v>
      </c>
      <c r="G744" s="24" t="s">
        <v>13808</v>
      </c>
      <c r="H744" s="24"/>
      <c r="I744" s="24" t="s">
        <v>13809</v>
      </c>
      <c r="J744" s="24"/>
      <c r="K744" s="24" t="s">
        <v>13809</v>
      </c>
      <c r="L744" s="24"/>
      <c r="M744" s="24" t="s">
        <v>18884</v>
      </c>
      <c r="N744" s="24" t="s">
        <v>13808</v>
      </c>
      <c r="O744" s="24"/>
      <c r="P744" s="24" t="s">
        <v>13808</v>
      </c>
      <c r="Q744" s="24"/>
      <c r="R744" s="24" t="s">
        <v>13808</v>
      </c>
      <c r="S744" s="24"/>
      <c r="T744" t="s">
        <v>24452</v>
      </c>
      <c r="U744" t="s">
        <v>13809</v>
      </c>
      <c r="W744" t="s">
        <v>13809</v>
      </c>
      <c r="Y744" t="s">
        <v>13809</v>
      </c>
      <c r="AA744" t="s">
        <v>13849</v>
      </c>
      <c r="AC744" t="s">
        <v>13809</v>
      </c>
      <c r="AH744" t="s">
        <v>13887</v>
      </c>
      <c r="AI744" t="s">
        <v>13808</v>
      </c>
      <c r="AO744" t="s">
        <v>13809</v>
      </c>
      <c r="AU744" t="s">
        <v>13809</v>
      </c>
      <c r="AZ744" t="s">
        <v>13887</v>
      </c>
      <c r="BA744" t="s">
        <v>13808</v>
      </c>
      <c r="BF744" t="s">
        <v>13887</v>
      </c>
      <c r="BG744" t="s">
        <v>13808</v>
      </c>
      <c r="BM744" t="s">
        <v>13809</v>
      </c>
      <c r="BR744" t="s">
        <v>24453</v>
      </c>
      <c r="BT744" t="s">
        <v>13809</v>
      </c>
      <c r="BY744" t="s">
        <v>13887</v>
      </c>
      <c r="BZ744" t="s">
        <v>13808</v>
      </c>
      <c r="CA744" t="s">
        <v>13937</v>
      </c>
      <c r="CF744" t="s">
        <v>13809</v>
      </c>
      <c r="CL744" t="s">
        <v>13809</v>
      </c>
      <c r="CR744" t="s">
        <v>13809</v>
      </c>
      <c r="CT744" t="s">
        <v>24454</v>
      </c>
      <c r="CU744" t="s">
        <v>24455</v>
      </c>
      <c r="CV744" t="s">
        <v>13818</v>
      </c>
      <c r="CW744" t="s">
        <v>24456</v>
      </c>
      <c r="DA744" t="s">
        <v>24457</v>
      </c>
      <c r="DB744" t="s">
        <v>13818</v>
      </c>
      <c r="DC744" t="s">
        <v>24458</v>
      </c>
      <c r="DM744" t="s">
        <v>24459</v>
      </c>
      <c r="DN744" t="s">
        <v>13808</v>
      </c>
      <c r="DO744" t="s">
        <v>24456</v>
      </c>
      <c r="DY744" t="s">
        <v>13840</v>
      </c>
      <c r="DZ744" t="s">
        <v>14274</v>
      </c>
      <c r="EA744" t="s">
        <v>18291</v>
      </c>
      <c r="EC744">
        <v>44512</v>
      </c>
      <c r="ED744" t="s">
        <v>14501</v>
      </c>
      <c r="EE744" t="s">
        <v>9369</v>
      </c>
    </row>
    <row r="745" spans="1:135">
      <c r="A745" t="s">
        <v>4418</v>
      </c>
      <c r="B745" t="s">
        <v>4201</v>
      </c>
      <c r="C745" t="s">
        <v>24460</v>
      </c>
      <c r="D745" s="24">
        <v>43446</v>
      </c>
      <c r="E745" s="24" t="s">
        <v>13555</v>
      </c>
      <c r="F745" s="24" t="s">
        <v>24461</v>
      </c>
      <c r="G745" s="24" t="s">
        <v>13808</v>
      </c>
      <c r="H745" s="24"/>
      <c r="I745" s="24" t="s">
        <v>13809</v>
      </c>
      <c r="J745" s="24"/>
      <c r="K745" s="24" t="s">
        <v>13809</v>
      </c>
      <c r="L745" s="24"/>
      <c r="M745" s="24" t="s">
        <v>16193</v>
      </c>
      <c r="N745" s="24" t="s">
        <v>13808</v>
      </c>
      <c r="O745" s="24"/>
      <c r="P745" s="24" t="s">
        <v>13808</v>
      </c>
      <c r="Q745" s="24"/>
      <c r="R745" s="24" t="s">
        <v>13808</v>
      </c>
      <c r="S745" s="24"/>
      <c r="T745" t="s">
        <v>14429</v>
      </c>
      <c r="U745" t="s">
        <v>13809</v>
      </c>
      <c r="W745" t="s">
        <v>13808</v>
      </c>
      <c r="X745" t="s">
        <v>24462</v>
      </c>
      <c r="Y745" t="s">
        <v>13809</v>
      </c>
      <c r="AA745" t="s">
        <v>14971</v>
      </c>
      <c r="AB745" t="s">
        <v>13809</v>
      </c>
      <c r="AH745" t="s">
        <v>13909</v>
      </c>
      <c r="AI745" t="s">
        <v>13808</v>
      </c>
      <c r="AN745" t="s">
        <v>13809</v>
      </c>
      <c r="AT745" t="s">
        <v>13809</v>
      </c>
      <c r="AZ745" t="s">
        <v>15883</v>
      </c>
      <c r="BA745" t="s">
        <v>13808</v>
      </c>
      <c r="BF745" t="s">
        <v>14046</v>
      </c>
      <c r="BG745" t="s">
        <v>13808</v>
      </c>
      <c r="BL745" t="s">
        <v>13809</v>
      </c>
      <c r="BR745" t="s">
        <v>24463</v>
      </c>
      <c r="BT745" t="s">
        <v>13809</v>
      </c>
      <c r="BY745" t="s">
        <v>14265</v>
      </c>
      <c r="BZ745" t="s">
        <v>13808</v>
      </c>
      <c r="CA745" t="s">
        <v>17109</v>
      </c>
      <c r="CE745" t="s">
        <v>14197</v>
      </c>
      <c r="CF745" t="s">
        <v>13808</v>
      </c>
      <c r="CK745" t="s">
        <v>13809</v>
      </c>
      <c r="CQ745" t="s">
        <v>13809</v>
      </c>
      <c r="CT745" t="s">
        <v>17323</v>
      </c>
      <c r="CU745" t="s">
        <v>13909</v>
      </c>
      <c r="CV745" t="s">
        <v>13808</v>
      </c>
      <c r="DA745" t="s">
        <v>13909</v>
      </c>
      <c r="DB745" t="s">
        <v>13808</v>
      </c>
      <c r="DG745" t="s">
        <v>13809</v>
      </c>
      <c r="DM745" t="s">
        <v>13909</v>
      </c>
      <c r="DN745" t="s">
        <v>13808</v>
      </c>
      <c r="DZ745" t="s">
        <v>24464</v>
      </c>
      <c r="EA745" t="s">
        <v>15744</v>
      </c>
      <c r="EC745">
        <v>43480</v>
      </c>
      <c r="ED745" t="s">
        <v>13903</v>
      </c>
      <c r="EE745" t="s">
        <v>9373</v>
      </c>
    </row>
    <row r="746" spans="1:135">
      <c r="A746" t="s">
        <v>4423</v>
      </c>
      <c r="B746" t="s">
        <v>4201</v>
      </c>
      <c r="C746" t="s">
        <v>24465</v>
      </c>
      <c r="D746" s="24">
        <v>44559</v>
      </c>
      <c r="E746" s="24" t="s">
        <v>13571</v>
      </c>
      <c r="F746" s="24" t="s">
        <v>24466</v>
      </c>
      <c r="G746" s="24" t="s">
        <v>13808</v>
      </c>
      <c r="H746" s="24"/>
      <c r="I746" s="24" t="s">
        <v>13809</v>
      </c>
      <c r="J746" s="24"/>
      <c r="K746" s="24" t="s">
        <v>13809</v>
      </c>
      <c r="L746" s="24"/>
      <c r="M746" s="24" t="s">
        <v>14304</v>
      </c>
      <c r="N746" s="24" t="s">
        <v>13808</v>
      </c>
      <c r="O746" s="24"/>
      <c r="P746" s="24" t="s">
        <v>13808</v>
      </c>
      <c r="Q746" s="24"/>
      <c r="R746" s="24" t="s">
        <v>13808</v>
      </c>
      <c r="S746" s="24"/>
      <c r="T746" t="s">
        <v>19402</v>
      </c>
      <c r="U746" t="s">
        <v>13809</v>
      </c>
      <c r="W746" t="s">
        <v>13809</v>
      </c>
      <c r="Y746" t="s">
        <v>13809</v>
      </c>
      <c r="AA746" t="s">
        <v>15089</v>
      </c>
      <c r="AB746" t="s">
        <v>24467</v>
      </c>
      <c r="AC746" t="s">
        <v>13808</v>
      </c>
      <c r="AH746" t="s">
        <v>14073</v>
      </c>
      <c r="AI746" t="s">
        <v>13808</v>
      </c>
      <c r="AN746" t="s">
        <v>13711</v>
      </c>
      <c r="AO746" t="s">
        <v>13809</v>
      </c>
      <c r="AT746" t="s">
        <v>14100</v>
      </c>
      <c r="AU746" t="s">
        <v>13808</v>
      </c>
      <c r="AZ746" t="s">
        <v>14794</v>
      </c>
      <c r="BA746" t="s">
        <v>13808</v>
      </c>
      <c r="BF746" t="s">
        <v>24468</v>
      </c>
      <c r="BG746" t="s">
        <v>13808</v>
      </c>
      <c r="BL746" t="s">
        <v>13735</v>
      </c>
      <c r="BM746" t="s">
        <v>13809</v>
      </c>
      <c r="BR746" t="s">
        <v>24469</v>
      </c>
      <c r="BS746" t="s">
        <v>13742</v>
      </c>
      <c r="BT746" t="s">
        <v>13809</v>
      </c>
      <c r="BY746" t="s">
        <v>13860</v>
      </c>
      <c r="BZ746" t="s">
        <v>13808</v>
      </c>
      <c r="CA746" t="s">
        <v>13861</v>
      </c>
      <c r="CE746" t="s">
        <v>13828</v>
      </c>
      <c r="CF746" t="s">
        <v>13808</v>
      </c>
      <c r="CG746" t="s">
        <v>24470</v>
      </c>
      <c r="CK746" t="s">
        <v>13760</v>
      </c>
      <c r="CL746" t="s">
        <v>13809</v>
      </c>
      <c r="CQ746" t="s">
        <v>13766</v>
      </c>
      <c r="CR746" t="s">
        <v>13809</v>
      </c>
      <c r="CT746" t="s">
        <v>24471</v>
      </c>
      <c r="CU746" t="s">
        <v>24472</v>
      </c>
      <c r="CV746" t="s">
        <v>13808</v>
      </c>
      <c r="DA746" t="s">
        <v>15924</v>
      </c>
      <c r="DB746" t="s">
        <v>13808</v>
      </c>
      <c r="DG746" t="s">
        <v>24473</v>
      </c>
      <c r="DH746" t="s">
        <v>13808</v>
      </c>
      <c r="DY746" t="s">
        <v>13840</v>
      </c>
      <c r="DZ746" t="s">
        <v>13841</v>
      </c>
      <c r="EA746" t="s">
        <v>13842</v>
      </c>
      <c r="EC746">
        <v>44627</v>
      </c>
      <c r="ED746" t="s">
        <v>13843</v>
      </c>
      <c r="EE746" t="s">
        <v>9375</v>
      </c>
    </row>
    <row r="747" spans="1:135">
      <c r="A747" t="s">
        <v>9376</v>
      </c>
      <c r="B747" t="s">
        <v>4201</v>
      </c>
      <c r="C747" t="s">
        <v>24474</v>
      </c>
      <c r="D747" s="24">
        <v>44559</v>
      </c>
      <c r="E747" s="24" t="s">
        <v>13555</v>
      </c>
      <c r="F747" s="24" t="s">
        <v>24475</v>
      </c>
      <c r="G747" s="24" t="s">
        <v>13808</v>
      </c>
      <c r="H747" s="24"/>
      <c r="I747" s="24" t="s">
        <v>13809</v>
      </c>
      <c r="J747" s="24"/>
      <c r="K747" s="24" t="s">
        <v>13808</v>
      </c>
      <c r="L747" s="24"/>
      <c r="M747" s="24" t="s">
        <v>13950</v>
      </c>
      <c r="N747" s="24" t="s">
        <v>13808</v>
      </c>
      <c r="O747" s="24"/>
      <c r="P747" s="24" t="s">
        <v>13808</v>
      </c>
      <c r="Q747" s="24"/>
      <c r="R747" s="24" t="s">
        <v>13808</v>
      </c>
      <c r="S747" s="24"/>
      <c r="T747" t="s">
        <v>16225</v>
      </c>
      <c r="U747" t="s">
        <v>13809</v>
      </c>
      <c r="W747" t="s">
        <v>13809</v>
      </c>
      <c r="Y747" t="s">
        <v>13809</v>
      </c>
      <c r="AA747" t="s">
        <v>24476</v>
      </c>
      <c r="AB747" t="s">
        <v>13809</v>
      </c>
      <c r="AH747" t="s">
        <v>13887</v>
      </c>
      <c r="AI747" t="s">
        <v>13808</v>
      </c>
      <c r="AO747" t="s">
        <v>13809</v>
      </c>
      <c r="AU747" t="s">
        <v>13809</v>
      </c>
      <c r="AZ747" t="s">
        <v>13887</v>
      </c>
      <c r="BA747" t="s">
        <v>13808</v>
      </c>
      <c r="BF747" t="s">
        <v>24477</v>
      </c>
      <c r="BG747" t="s">
        <v>13808</v>
      </c>
      <c r="BL747" t="s">
        <v>13809</v>
      </c>
      <c r="BR747" t="s">
        <v>24478</v>
      </c>
      <c r="BT747" t="s">
        <v>13809</v>
      </c>
      <c r="BY747" t="s">
        <v>13887</v>
      </c>
      <c r="BZ747" t="s">
        <v>13808</v>
      </c>
      <c r="CA747" t="s">
        <v>13937</v>
      </c>
      <c r="CE747" t="s">
        <v>13887</v>
      </c>
      <c r="CF747" t="s">
        <v>13808</v>
      </c>
      <c r="CK747" t="s">
        <v>13809</v>
      </c>
      <c r="CQ747" t="s">
        <v>13809</v>
      </c>
      <c r="CT747" t="s">
        <v>24479</v>
      </c>
      <c r="CU747" t="s">
        <v>24480</v>
      </c>
      <c r="CV747" t="s">
        <v>13808</v>
      </c>
      <c r="DA747" t="s">
        <v>24480</v>
      </c>
      <c r="DB747" t="s">
        <v>13808</v>
      </c>
      <c r="DG747" t="s">
        <v>13809</v>
      </c>
      <c r="DM747" t="s">
        <v>24481</v>
      </c>
      <c r="DN747" t="s">
        <v>13808</v>
      </c>
      <c r="DY747" t="s">
        <v>13840</v>
      </c>
      <c r="DZ747" t="s">
        <v>14274</v>
      </c>
      <c r="EA747" t="s">
        <v>15382</v>
      </c>
      <c r="EC747">
        <v>44564</v>
      </c>
      <c r="ED747" t="s">
        <v>13843</v>
      </c>
      <c r="EE747" t="s">
        <v>9378</v>
      </c>
    </row>
    <row r="748" spans="1:135">
      <c r="A748" t="s">
        <v>9379</v>
      </c>
      <c r="B748" t="s">
        <v>4201</v>
      </c>
      <c r="C748" t="s">
        <v>24482</v>
      </c>
      <c r="D748" s="24">
        <v>44388</v>
      </c>
      <c r="E748" s="24" t="s">
        <v>13560</v>
      </c>
      <c r="F748" s="24" t="s">
        <v>24483</v>
      </c>
      <c r="G748" s="24" t="s">
        <v>13808</v>
      </c>
      <c r="H748" s="24"/>
      <c r="I748" s="24" t="s">
        <v>13809</v>
      </c>
      <c r="J748" s="24"/>
      <c r="K748" s="24" t="s">
        <v>13809</v>
      </c>
      <c r="L748" s="24"/>
      <c r="M748" s="24" t="s">
        <v>14304</v>
      </c>
      <c r="N748" s="24" t="s">
        <v>13808</v>
      </c>
      <c r="O748" s="24"/>
      <c r="P748" s="24" t="s">
        <v>13808</v>
      </c>
      <c r="Q748" s="24"/>
      <c r="R748" s="24" t="s">
        <v>13808</v>
      </c>
      <c r="S748" s="24"/>
      <c r="T748" t="s">
        <v>15222</v>
      </c>
      <c r="U748" t="s">
        <v>13809</v>
      </c>
      <c r="W748" t="s">
        <v>13809</v>
      </c>
      <c r="Y748" t="s">
        <v>13809</v>
      </c>
      <c r="AA748" t="s">
        <v>23902</v>
      </c>
      <c r="AB748" t="s">
        <v>24484</v>
      </c>
      <c r="AC748" t="s">
        <v>13818</v>
      </c>
      <c r="AD748" t="s">
        <v>14309</v>
      </c>
      <c r="AH748" t="s">
        <v>14073</v>
      </c>
      <c r="AI748" t="s">
        <v>13808</v>
      </c>
      <c r="AK748" t="s">
        <v>23903</v>
      </c>
      <c r="AL748" t="s">
        <v>13818</v>
      </c>
      <c r="AM748" t="s">
        <v>13819</v>
      </c>
      <c r="AN748" t="s">
        <v>13711</v>
      </c>
      <c r="AO748" t="s">
        <v>13809</v>
      </c>
      <c r="AT748" t="s">
        <v>13717</v>
      </c>
      <c r="AU748" t="s">
        <v>13809</v>
      </c>
      <c r="AZ748" t="s">
        <v>18536</v>
      </c>
      <c r="BA748" t="s">
        <v>13818</v>
      </c>
      <c r="BB748" t="s">
        <v>13819</v>
      </c>
      <c r="BF748" t="s">
        <v>20989</v>
      </c>
      <c r="BG748" t="s">
        <v>13818</v>
      </c>
      <c r="BH748" t="s">
        <v>13819</v>
      </c>
      <c r="BL748" t="s">
        <v>13735</v>
      </c>
      <c r="BM748" t="s">
        <v>13809</v>
      </c>
      <c r="BR748" t="s">
        <v>24485</v>
      </c>
      <c r="BS748" t="s">
        <v>13742</v>
      </c>
      <c r="BT748" t="s">
        <v>13809</v>
      </c>
      <c r="BY748" t="s">
        <v>13860</v>
      </c>
      <c r="BZ748" t="s">
        <v>13808</v>
      </c>
      <c r="CA748" t="s">
        <v>13937</v>
      </c>
      <c r="CE748" t="s">
        <v>13754</v>
      </c>
      <c r="CF748" t="s">
        <v>13809</v>
      </c>
      <c r="CK748" t="s">
        <v>14581</v>
      </c>
      <c r="CL748" t="s">
        <v>13808</v>
      </c>
      <c r="CM748" t="s">
        <v>14233</v>
      </c>
      <c r="CQ748" t="s">
        <v>13766</v>
      </c>
      <c r="CR748" t="s">
        <v>13809</v>
      </c>
      <c r="CT748" t="s">
        <v>15599</v>
      </c>
      <c r="CU748" t="s">
        <v>24486</v>
      </c>
      <c r="CV748" t="s">
        <v>13808</v>
      </c>
      <c r="CX748" t="s">
        <v>20851</v>
      </c>
      <c r="CY748" t="s">
        <v>13818</v>
      </c>
      <c r="CZ748" t="s">
        <v>13819</v>
      </c>
      <c r="DA748" t="s">
        <v>24487</v>
      </c>
      <c r="DB748" t="s">
        <v>13808</v>
      </c>
      <c r="DD748" t="s">
        <v>20851</v>
      </c>
      <c r="DE748" t="s">
        <v>13818</v>
      </c>
      <c r="DF748" t="s">
        <v>13819</v>
      </c>
      <c r="DG748" t="s">
        <v>14240</v>
      </c>
      <c r="DH748" t="s">
        <v>13808</v>
      </c>
      <c r="DY748" t="s">
        <v>13840</v>
      </c>
      <c r="DZ748" t="s">
        <v>13841</v>
      </c>
      <c r="EA748" t="s">
        <v>16821</v>
      </c>
      <c r="EC748">
        <v>44627</v>
      </c>
      <c r="ED748" t="s">
        <v>13843</v>
      </c>
      <c r="EE748" t="s">
        <v>9381</v>
      </c>
    </row>
    <row r="749" spans="1:135">
      <c r="A749" t="s">
        <v>4425</v>
      </c>
      <c r="B749" t="s">
        <v>4201</v>
      </c>
      <c r="C749" t="s">
        <v>24488</v>
      </c>
      <c r="D749" s="24">
        <v>43699</v>
      </c>
      <c r="E749" s="24" t="s">
        <v>13553</v>
      </c>
      <c r="F749" s="24" t="s">
        <v>24489</v>
      </c>
      <c r="G749" s="24" t="s">
        <v>13808</v>
      </c>
      <c r="H749" s="24"/>
      <c r="I749" s="24" t="s">
        <v>13809</v>
      </c>
      <c r="J749" s="24"/>
      <c r="K749" s="24" t="s">
        <v>13809</v>
      </c>
      <c r="L749" s="24"/>
      <c r="M749" s="24" t="s">
        <v>24490</v>
      </c>
      <c r="N749" s="24" t="s">
        <v>13808</v>
      </c>
      <c r="O749" s="24"/>
      <c r="P749" s="24" t="s">
        <v>13808</v>
      </c>
      <c r="Q749" s="24"/>
      <c r="R749" s="24" t="s">
        <v>13808</v>
      </c>
      <c r="S749" s="24"/>
      <c r="T749" t="s">
        <v>13847</v>
      </c>
      <c r="U749" t="s">
        <v>13808</v>
      </c>
      <c r="W749" t="s">
        <v>13808</v>
      </c>
      <c r="X749" t="s">
        <v>24491</v>
      </c>
      <c r="Y749" t="s">
        <v>13808</v>
      </c>
      <c r="AA749" t="s">
        <v>13849</v>
      </c>
      <c r="AB749" t="s">
        <v>24492</v>
      </c>
      <c r="AC749" t="s">
        <v>13808</v>
      </c>
      <c r="AH749" t="s">
        <v>13851</v>
      </c>
      <c r="AI749" t="s">
        <v>13808</v>
      </c>
      <c r="AN749" t="s">
        <v>13711</v>
      </c>
      <c r="AO749" t="s">
        <v>13809</v>
      </c>
      <c r="AT749" t="s">
        <v>24493</v>
      </c>
      <c r="AU749" t="s">
        <v>13808</v>
      </c>
      <c r="AZ749" t="s">
        <v>24494</v>
      </c>
      <c r="BA749" t="s">
        <v>13808</v>
      </c>
      <c r="BF749" t="s">
        <v>24495</v>
      </c>
      <c r="BG749" t="s">
        <v>13808</v>
      </c>
      <c r="BL749" t="s">
        <v>24496</v>
      </c>
      <c r="BM749" t="s">
        <v>13808</v>
      </c>
      <c r="BR749" t="s">
        <v>24497</v>
      </c>
      <c r="BS749" t="s">
        <v>13824</v>
      </c>
      <c r="BT749" t="s">
        <v>13808</v>
      </c>
      <c r="BU749" t="s">
        <v>24054</v>
      </c>
      <c r="BY749" t="s">
        <v>14148</v>
      </c>
      <c r="BZ749" t="s">
        <v>13808</v>
      </c>
      <c r="CA749" t="s">
        <v>13861</v>
      </c>
      <c r="CE749" t="s">
        <v>14292</v>
      </c>
      <c r="CF749" t="s">
        <v>13808</v>
      </c>
      <c r="CG749" t="s">
        <v>13863</v>
      </c>
      <c r="CK749" t="s">
        <v>13760</v>
      </c>
      <c r="CL749" t="s">
        <v>13809</v>
      </c>
      <c r="CQ749" t="s">
        <v>13766</v>
      </c>
      <c r="CR749" t="s">
        <v>13809</v>
      </c>
      <c r="CT749" t="s">
        <v>14293</v>
      </c>
      <c r="CU749" t="s">
        <v>24498</v>
      </c>
      <c r="CV749" t="s">
        <v>13808</v>
      </c>
      <c r="DA749" t="s">
        <v>24499</v>
      </c>
      <c r="DB749" t="s">
        <v>13808</v>
      </c>
      <c r="DH749" t="s">
        <v>13808</v>
      </c>
      <c r="DM749" t="s">
        <v>24500</v>
      </c>
      <c r="DN749" t="s">
        <v>13808</v>
      </c>
      <c r="DO749" t="s">
        <v>15894</v>
      </c>
      <c r="DY749" t="s">
        <v>13840</v>
      </c>
      <c r="DZ749" t="s">
        <v>14739</v>
      </c>
      <c r="EA749" t="s">
        <v>13871</v>
      </c>
      <c r="EC749">
        <v>44627</v>
      </c>
      <c r="ED749" t="s">
        <v>13843</v>
      </c>
      <c r="EE749" t="s">
        <v>9383</v>
      </c>
    </row>
    <row r="750" spans="1:135">
      <c r="A750" t="s">
        <v>4429</v>
      </c>
      <c r="B750" t="s">
        <v>4201</v>
      </c>
      <c r="C750" t="s">
        <v>24501</v>
      </c>
      <c r="D750" s="24">
        <v>42865</v>
      </c>
      <c r="E750" s="24" t="s">
        <v>13560</v>
      </c>
      <c r="F750" s="24" t="s">
        <v>24502</v>
      </c>
      <c r="G750" s="24" t="s">
        <v>13808</v>
      </c>
      <c r="H750" s="24"/>
      <c r="I750" s="24" t="s">
        <v>13809</v>
      </c>
      <c r="J750" s="24"/>
      <c r="K750" s="24" t="s">
        <v>13809</v>
      </c>
      <c r="L750" s="24"/>
      <c r="M750" s="24" t="s">
        <v>24503</v>
      </c>
      <c r="N750" s="24" t="s">
        <v>13808</v>
      </c>
      <c r="O750" s="24"/>
      <c r="P750" s="24" t="s">
        <v>13808</v>
      </c>
      <c r="Q750" s="24"/>
      <c r="R750" s="24" t="s">
        <v>13808</v>
      </c>
      <c r="S750" s="24"/>
      <c r="T750" t="s">
        <v>16824</v>
      </c>
      <c r="U750" t="s">
        <v>13809</v>
      </c>
      <c r="W750" t="s">
        <v>13808</v>
      </c>
      <c r="X750" t="s">
        <v>24504</v>
      </c>
      <c r="Y750" t="s">
        <v>13808</v>
      </c>
      <c r="Z750" t="s">
        <v>24505</v>
      </c>
      <c r="AA750" t="s">
        <v>15330</v>
      </c>
      <c r="AB750" t="s">
        <v>24506</v>
      </c>
      <c r="AC750" t="s">
        <v>13808</v>
      </c>
      <c r="AH750" t="s">
        <v>13851</v>
      </c>
      <c r="AI750" t="s">
        <v>13808</v>
      </c>
      <c r="AN750" t="s">
        <v>24507</v>
      </c>
      <c r="AO750" t="s">
        <v>13808</v>
      </c>
      <c r="AT750" t="s">
        <v>24508</v>
      </c>
      <c r="AU750" t="s">
        <v>13808</v>
      </c>
      <c r="AZ750" t="s">
        <v>24509</v>
      </c>
      <c r="BA750" t="s">
        <v>13808</v>
      </c>
      <c r="BF750" t="s">
        <v>24510</v>
      </c>
      <c r="BG750" t="s">
        <v>13808</v>
      </c>
      <c r="BL750" t="s">
        <v>24511</v>
      </c>
      <c r="BM750" t="s">
        <v>13808</v>
      </c>
      <c r="BR750" t="s">
        <v>24512</v>
      </c>
      <c r="BS750" t="s">
        <v>24513</v>
      </c>
      <c r="BT750" t="s">
        <v>13808</v>
      </c>
      <c r="BU750" t="s">
        <v>24514</v>
      </c>
      <c r="BY750" t="s">
        <v>24515</v>
      </c>
      <c r="BZ750" t="s">
        <v>13808</v>
      </c>
      <c r="CA750" t="s">
        <v>19092</v>
      </c>
      <c r="CE750" t="s">
        <v>24516</v>
      </c>
      <c r="CF750" t="s">
        <v>13808</v>
      </c>
      <c r="CG750" t="s">
        <v>24517</v>
      </c>
      <c r="CK750" t="s">
        <v>15292</v>
      </c>
      <c r="CL750" t="s">
        <v>13809</v>
      </c>
      <c r="CQ750" t="s">
        <v>13766</v>
      </c>
      <c r="CR750" t="s">
        <v>13809</v>
      </c>
      <c r="CT750" t="s">
        <v>24518</v>
      </c>
      <c r="CU750" t="s">
        <v>24519</v>
      </c>
      <c r="CV750" t="s">
        <v>13808</v>
      </c>
      <c r="CX750" t="s">
        <v>24520</v>
      </c>
      <c r="CY750" t="s">
        <v>13818</v>
      </c>
      <c r="DA750" t="s">
        <v>24521</v>
      </c>
      <c r="DB750" t="s">
        <v>13808</v>
      </c>
      <c r="DD750" t="s">
        <v>24520</v>
      </c>
      <c r="DE750" t="s">
        <v>13818</v>
      </c>
      <c r="DG750" t="s">
        <v>14562</v>
      </c>
      <c r="DH750" t="s">
        <v>13808</v>
      </c>
      <c r="DZ750" t="s">
        <v>24306</v>
      </c>
      <c r="EA750" t="s">
        <v>15944</v>
      </c>
      <c r="EC750">
        <v>44627</v>
      </c>
      <c r="ED750" t="s">
        <v>13843</v>
      </c>
      <c r="EE750" t="s">
        <v>9386</v>
      </c>
    </row>
    <row r="751" spans="1:135">
      <c r="A751" t="s">
        <v>9392</v>
      </c>
      <c r="B751" t="s">
        <v>4201</v>
      </c>
      <c r="C751" t="s">
        <v>23924</v>
      </c>
      <c r="D751" s="24">
        <v>44357</v>
      </c>
      <c r="E751" s="24" t="s">
        <v>13555</v>
      </c>
      <c r="F751" s="24" t="s">
        <v>24522</v>
      </c>
      <c r="G751" s="24" t="s">
        <v>13808</v>
      </c>
      <c r="H751" s="24"/>
      <c r="I751" s="24" t="s">
        <v>13809</v>
      </c>
      <c r="J751" s="24"/>
      <c r="K751" s="24" t="s">
        <v>13809</v>
      </c>
      <c r="L751" s="24"/>
      <c r="M751" s="24" t="s">
        <v>24523</v>
      </c>
      <c r="N751" s="24" t="s">
        <v>13808</v>
      </c>
      <c r="O751" s="24"/>
      <c r="P751" s="24" t="s">
        <v>13808</v>
      </c>
      <c r="Q751" s="24"/>
      <c r="R751" s="24" t="s">
        <v>13808</v>
      </c>
      <c r="S751" s="24"/>
      <c r="T751" t="s">
        <v>19402</v>
      </c>
      <c r="U751" t="s">
        <v>13809</v>
      </c>
      <c r="W751" t="s">
        <v>13809</v>
      </c>
      <c r="Y751" t="s">
        <v>13809</v>
      </c>
      <c r="AA751" t="s">
        <v>24524</v>
      </c>
      <c r="AB751" t="s">
        <v>13699</v>
      </c>
      <c r="AC751" t="s">
        <v>13809</v>
      </c>
      <c r="AH751" t="s">
        <v>14073</v>
      </c>
      <c r="AI751" t="s">
        <v>13808</v>
      </c>
      <c r="AN751" t="s">
        <v>13711</v>
      </c>
      <c r="AO751" t="s">
        <v>13809</v>
      </c>
      <c r="AT751" t="s">
        <v>13717</v>
      </c>
      <c r="AU751" t="s">
        <v>13809</v>
      </c>
      <c r="AZ751" t="s">
        <v>13723</v>
      </c>
      <c r="BA751" t="s">
        <v>13809</v>
      </c>
      <c r="BF751" t="s">
        <v>17058</v>
      </c>
      <c r="BG751" t="s">
        <v>13809</v>
      </c>
      <c r="BL751" t="s">
        <v>13735</v>
      </c>
      <c r="BM751" t="s">
        <v>13809</v>
      </c>
      <c r="BR751" t="s">
        <v>24525</v>
      </c>
      <c r="BY751" t="s">
        <v>13748</v>
      </c>
      <c r="BZ751" t="s">
        <v>13809</v>
      </c>
      <c r="CE751" t="s">
        <v>13754</v>
      </c>
      <c r="CF751" t="s">
        <v>13809</v>
      </c>
      <c r="CK751" t="s">
        <v>14581</v>
      </c>
      <c r="CL751" t="s">
        <v>13808</v>
      </c>
      <c r="CQ751" t="s">
        <v>13766</v>
      </c>
      <c r="CR751" t="s">
        <v>13809</v>
      </c>
      <c r="CT751" t="s">
        <v>24526</v>
      </c>
      <c r="DM751" t="s">
        <v>24527</v>
      </c>
      <c r="DN751" t="s">
        <v>13808</v>
      </c>
      <c r="DY751" t="s">
        <v>13840</v>
      </c>
      <c r="DZ751" t="s">
        <v>24528</v>
      </c>
      <c r="EA751" t="s">
        <v>13842</v>
      </c>
      <c r="EC751">
        <v>44627</v>
      </c>
      <c r="ED751" t="s">
        <v>13843</v>
      </c>
      <c r="EE751" t="s">
        <v>9393</v>
      </c>
    </row>
    <row r="752" spans="1:135">
      <c r="A752" t="s">
        <v>446</v>
      </c>
      <c r="B752" t="s">
        <v>445</v>
      </c>
      <c r="C752" t="s">
        <v>24529</v>
      </c>
      <c r="D752" s="24">
        <v>44754</v>
      </c>
      <c r="E752" s="24" t="s">
        <v>13553</v>
      </c>
      <c r="F752" s="24" t="s">
        <v>24530</v>
      </c>
      <c r="G752" s="24" t="s">
        <v>13808</v>
      </c>
      <c r="H752" s="24"/>
      <c r="I752" s="24" t="s">
        <v>13809</v>
      </c>
      <c r="J752" s="24"/>
      <c r="K752" s="24" t="s">
        <v>13809</v>
      </c>
      <c r="L752" s="24"/>
      <c r="M752" s="24" t="s">
        <v>13846</v>
      </c>
      <c r="N752" s="24" t="s">
        <v>13808</v>
      </c>
      <c r="O752" s="24"/>
      <c r="P752" s="24" t="s">
        <v>13808</v>
      </c>
      <c r="Q752" s="24"/>
      <c r="R752" s="24" t="s">
        <v>13808</v>
      </c>
      <c r="S752" s="24"/>
      <c r="T752" t="s">
        <v>13907</v>
      </c>
      <c r="U752" t="s">
        <v>13809</v>
      </c>
      <c r="W752" t="s">
        <v>13808</v>
      </c>
      <c r="X752" t="s">
        <v>24531</v>
      </c>
      <c r="Y752" t="s">
        <v>13808</v>
      </c>
      <c r="AA752" t="s">
        <v>13849</v>
      </c>
      <c r="AB752" t="s">
        <v>14771</v>
      </c>
      <c r="AC752" t="s">
        <v>13808</v>
      </c>
      <c r="AH752" t="s">
        <v>13851</v>
      </c>
      <c r="AI752" t="s">
        <v>13808</v>
      </c>
      <c r="AN752" t="s">
        <v>24532</v>
      </c>
      <c r="AO752" t="s">
        <v>13808</v>
      </c>
      <c r="AT752" t="s">
        <v>24533</v>
      </c>
      <c r="AU752" t="s">
        <v>13808</v>
      </c>
      <c r="AZ752" t="s">
        <v>16005</v>
      </c>
      <c r="BA752" t="s">
        <v>13808</v>
      </c>
      <c r="BF752" t="s">
        <v>24534</v>
      </c>
      <c r="BG752" t="s">
        <v>13808</v>
      </c>
      <c r="BL752" t="s">
        <v>24535</v>
      </c>
      <c r="BM752" t="s">
        <v>13808</v>
      </c>
      <c r="BR752" t="s">
        <v>24536</v>
      </c>
      <c r="BS752" t="s">
        <v>14213</v>
      </c>
      <c r="BT752" t="s">
        <v>13808</v>
      </c>
      <c r="BU752" t="s">
        <v>13985</v>
      </c>
      <c r="BY752" t="s">
        <v>14148</v>
      </c>
      <c r="BZ752" t="s">
        <v>13808</v>
      </c>
      <c r="CA752" t="s">
        <v>13937</v>
      </c>
      <c r="CE752" t="s">
        <v>13828</v>
      </c>
      <c r="CF752" t="s">
        <v>13808</v>
      </c>
      <c r="CK752" t="s">
        <v>13760</v>
      </c>
      <c r="CL752" t="s">
        <v>13809</v>
      </c>
      <c r="CQ752" t="s">
        <v>13766</v>
      </c>
      <c r="CR752" t="s">
        <v>13809</v>
      </c>
      <c r="CT752" t="s">
        <v>14293</v>
      </c>
      <c r="CU752" t="s">
        <v>24537</v>
      </c>
      <c r="CV752" t="s">
        <v>13808</v>
      </c>
      <c r="DA752" t="s">
        <v>24538</v>
      </c>
      <c r="DB752" t="s">
        <v>13808</v>
      </c>
      <c r="DM752" t="s">
        <v>24539</v>
      </c>
      <c r="DN752" t="s">
        <v>13808</v>
      </c>
      <c r="DY752" t="s">
        <v>13869</v>
      </c>
      <c r="DZ752" t="s">
        <v>15710</v>
      </c>
      <c r="EA752" t="s">
        <v>14182</v>
      </c>
      <c r="EC752">
        <v>44755</v>
      </c>
      <c r="ED752" t="s">
        <v>17062</v>
      </c>
      <c r="EE752" t="s">
        <v>4880</v>
      </c>
    </row>
    <row r="753" spans="1:135">
      <c r="A753" t="s">
        <v>450</v>
      </c>
      <c r="B753" t="s">
        <v>445</v>
      </c>
      <c r="C753" t="s">
        <v>24540</v>
      </c>
      <c r="D753" s="24">
        <v>44754</v>
      </c>
      <c r="E753" s="24" t="s">
        <v>13555</v>
      </c>
      <c r="F753" s="24" t="s">
        <v>24541</v>
      </c>
      <c r="G753" s="24" t="s">
        <v>13808</v>
      </c>
      <c r="H753" s="24"/>
      <c r="I753" s="24" t="s">
        <v>13809</v>
      </c>
      <c r="J753" s="24"/>
      <c r="K753" s="24" t="s">
        <v>13809</v>
      </c>
      <c r="L753" s="24"/>
      <c r="M753" s="24" t="s">
        <v>13846</v>
      </c>
      <c r="N753" s="24" t="s">
        <v>13808</v>
      </c>
      <c r="O753" s="24"/>
      <c r="P753" s="24" t="s">
        <v>13808</v>
      </c>
      <c r="Q753" s="24"/>
      <c r="R753" s="24" t="s">
        <v>13808</v>
      </c>
      <c r="S753" s="24"/>
      <c r="T753" t="s">
        <v>13907</v>
      </c>
      <c r="U753" t="s">
        <v>13808</v>
      </c>
      <c r="W753" t="s">
        <v>13808</v>
      </c>
      <c r="X753" t="s">
        <v>24542</v>
      </c>
      <c r="Y753" t="s">
        <v>13809</v>
      </c>
      <c r="AA753" t="s">
        <v>13849</v>
      </c>
      <c r="AB753" t="s">
        <v>24543</v>
      </c>
      <c r="AC753" t="s">
        <v>13808</v>
      </c>
      <c r="AH753" t="s">
        <v>13851</v>
      </c>
      <c r="AI753" t="s">
        <v>13808</v>
      </c>
      <c r="AN753" t="s">
        <v>24544</v>
      </c>
      <c r="AO753" t="s">
        <v>13808</v>
      </c>
      <c r="AT753" t="s">
        <v>22004</v>
      </c>
      <c r="AU753" t="s">
        <v>13808</v>
      </c>
      <c r="AZ753" t="s">
        <v>15570</v>
      </c>
      <c r="BA753" t="s">
        <v>13808</v>
      </c>
      <c r="BF753" t="s">
        <v>24545</v>
      </c>
      <c r="BG753" t="s">
        <v>13808</v>
      </c>
      <c r="BL753" t="s">
        <v>13735</v>
      </c>
      <c r="BM753" t="s">
        <v>13809</v>
      </c>
      <c r="BR753" t="s">
        <v>24546</v>
      </c>
      <c r="BS753" t="s">
        <v>13824</v>
      </c>
      <c r="BT753" t="s">
        <v>13808</v>
      </c>
      <c r="BU753" t="s">
        <v>14291</v>
      </c>
      <c r="BY753" t="s">
        <v>15336</v>
      </c>
      <c r="BZ753" t="s">
        <v>13808</v>
      </c>
      <c r="CA753" t="s">
        <v>13861</v>
      </c>
      <c r="CE753" t="s">
        <v>13862</v>
      </c>
      <c r="CF753" t="s">
        <v>13808</v>
      </c>
      <c r="CG753" t="s">
        <v>15354</v>
      </c>
      <c r="CK753" t="s">
        <v>14581</v>
      </c>
      <c r="CL753" t="s">
        <v>13808</v>
      </c>
      <c r="CQ753" t="s">
        <v>13766</v>
      </c>
      <c r="CR753" t="s">
        <v>13809</v>
      </c>
      <c r="CT753" t="s">
        <v>24547</v>
      </c>
      <c r="CU753" t="s">
        <v>24548</v>
      </c>
      <c r="CV753" t="s">
        <v>13808</v>
      </c>
      <c r="DA753" t="s">
        <v>24549</v>
      </c>
      <c r="DB753" t="s">
        <v>13808</v>
      </c>
      <c r="DM753" t="s">
        <v>24550</v>
      </c>
      <c r="DN753" t="s">
        <v>13808</v>
      </c>
      <c r="DY753" t="s">
        <v>13840</v>
      </c>
      <c r="DZ753" t="s">
        <v>24551</v>
      </c>
      <c r="EA753" t="s">
        <v>14666</v>
      </c>
      <c r="EC753">
        <v>44755</v>
      </c>
      <c r="ED753" t="s">
        <v>17062</v>
      </c>
      <c r="EE753" t="s">
        <v>4882</v>
      </c>
    </row>
    <row r="754" spans="1:135">
      <c r="A754" t="s">
        <v>288</v>
      </c>
      <c r="B754" t="s">
        <v>287</v>
      </c>
      <c r="C754" t="s">
        <v>24552</v>
      </c>
      <c r="D754" s="24">
        <v>43173</v>
      </c>
      <c r="E754" s="24" t="s">
        <v>13559</v>
      </c>
      <c r="F754" s="24" t="s">
        <v>24553</v>
      </c>
      <c r="G754" s="24" t="s">
        <v>13808</v>
      </c>
      <c r="H754" s="24"/>
      <c r="I754" s="24" t="s">
        <v>13809</v>
      </c>
      <c r="J754" s="24"/>
      <c r="K754" s="24" t="s">
        <v>13808</v>
      </c>
      <c r="L754" s="24"/>
      <c r="M754" s="24" t="s">
        <v>24554</v>
      </c>
      <c r="N754" s="24" t="s">
        <v>13808</v>
      </c>
      <c r="O754" s="24"/>
      <c r="P754" s="24" t="s">
        <v>13808</v>
      </c>
      <c r="Q754" s="24"/>
      <c r="R754" s="24" t="s">
        <v>13808</v>
      </c>
      <c r="S754" s="24"/>
      <c r="T754" t="s">
        <v>24555</v>
      </c>
      <c r="U754" t="s">
        <v>13809</v>
      </c>
      <c r="W754" t="s">
        <v>13809</v>
      </c>
      <c r="Y754" t="s">
        <v>13809</v>
      </c>
      <c r="AA754" t="s">
        <v>24556</v>
      </c>
      <c r="AB754" t="s">
        <v>13885</v>
      </c>
      <c r="AC754" t="s">
        <v>13818</v>
      </c>
      <c r="AH754" t="s">
        <v>13887</v>
      </c>
      <c r="AI754" t="s">
        <v>13808</v>
      </c>
      <c r="AJ754" t="s">
        <v>24557</v>
      </c>
      <c r="AK754" t="s">
        <v>14004</v>
      </c>
      <c r="AL754" t="s">
        <v>13818</v>
      </c>
      <c r="AM754" t="s">
        <v>23774</v>
      </c>
      <c r="AN754" t="s">
        <v>16048</v>
      </c>
      <c r="AO754" t="s">
        <v>13808</v>
      </c>
      <c r="AT754" t="s">
        <v>14704</v>
      </c>
      <c r="AU754" t="s">
        <v>13818</v>
      </c>
      <c r="AZ754" t="s">
        <v>15008</v>
      </c>
      <c r="BA754" t="s">
        <v>13818</v>
      </c>
      <c r="BF754" t="s">
        <v>15883</v>
      </c>
      <c r="BG754" t="s">
        <v>13808</v>
      </c>
      <c r="BM754" t="s">
        <v>13809</v>
      </c>
      <c r="BR754" t="s">
        <v>24558</v>
      </c>
      <c r="BS754" t="s">
        <v>24559</v>
      </c>
      <c r="BT754" t="s">
        <v>13808</v>
      </c>
      <c r="BU754" t="s">
        <v>14233</v>
      </c>
      <c r="BY754" t="s">
        <v>13887</v>
      </c>
      <c r="BZ754" t="s">
        <v>13808</v>
      </c>
      <c r="CA754" t="s">
        <v>13937</v>
      </c>
      <c r="CE754" t="s">
        <v>14197</v>
      </c>
      <c r="CF754" t="s">
        <v>13818</v>
      </c>
      <c r="CG754" t="s">
        <v>24560</v>
      </c>
      <c r="CK754" t="s">
        <v>13887</v>
      </c>
      <c r="CL754" t="s">
        <v>13808</v>
      </c>
      <c r="CR754" t="s">
        <v>13809</v>
      </c>
      <c r="CT754" t="s">
        <v>14338</v>
      </c>
      <c r="CU754" t="s">
        <v>16024</v>
      </c>
      <c r="CV754" t="s">
        <v>13808</v>
      </c>
      <c r="CX754" t="s">
        <v>14004</v>
      </c>
      <c r="CY754" t="s">
        <v>13818</v>
      </c>
      <c r="DA754" t="s">
        <v>13887</v>
      </c>
      <c r="DB754" t="s">
        <v>13808</v>
      </c>
      <c r="DD754" t="s">
        <v>16608</v>
      </c>
      <c r="DE754" t="s">
        <v>13818</v>
      </c>
      <c r="DG754" t="s">
        <v>13909</v>
      </c>
      <c r="DH754" t="s">
        <v>13818</v>
      </c>
      <c r="DZ754" t="s">
        <v>15812</v>
      </c>
      <c r="EA754" t="s">
        <v>14201</v>
      </c>
      <c r="EC754">
        <v>43480</v>
      </c>
      <c r="ED754" t="s">
        <v>13903</v>
      </c>
      <c r="EE754" t="s">
        <v>4704</v>
      </c>
    </row>
    <row r="755" spans="1:135">
      <c r="A755" t="s">
        <v>148</v>
      </c>
      <c r="B755" t="s">
        <v>147</v>
      </c>
      <c r="C755" t="s">
        <v>24561</v>
      </c>
      <c r="D755" s="24">
        <v>43578</v>
      </c>
      <c r="E755" s="24" t="s">
        <v>13557</v>
      </c>
      <c r="F755" s="24" t="s">
        <v>24562</v>
      </c>
      <c r="G755" s="24" t="s">
        <v>13808</v>
      </c>
      <c r="H755" s="24"/>
      <c r="I755" s="24" t="s">
        <v>13809</v>
      </c>
      <c r="J755" s="24"/>
      <c r="K755" s="24" t="s">
        <v>13808</v>
      </c>
      <c r="L755" s="24"/>
      <c r="M755" s="24" t="s">
        <v>14163</v>
      </c>
      <c r="N755" s="24" t="s">
        <v>13808</v>
      </c>
      <c r="O755" s="24"/>
      <c r="P755" s="24" t="s">
        <v>13808</v>
      </c>
      <c r="Q755" s="24"/>
      <c r="R755" s="24" t="s">
        <v>13808</v>
      </c>
      <c r="S755" s="24"/>
      <c r="T755" t="s">
        <v>14016</v>
      </c>
      <c r="U755" t="s">
        <v>13809</v>
      </c>
      <c r="W755" t="s">
        <v>13808</v>
      </c>
      <c r="X755" t="s">
        <v>24563</v>
      </c>
      <c r="Y755" t="s">
        <v>13809</v>
      </c>
      <c r="AA755" t="s">
        <v>16563</v>
      </c>
      <c r="AC755" t="s">
        <v>13809</v>
      </c>
      <c r="AH755" t="s">
        <v>13909</v>
      </c>
      <c r="AI755" t="s">
        <v>13808</v>
      </c>
      <c r="AN755" t="s">
        <v>14367</v>
      </c>
      <c r="AO755" t="s">
        <v>13808</v>
      </c>
      <c r="AT755" t="s">
        <v>15209</v>
      </c>
      <c r="AU755" t="s">
        <v>13808</v>
      </c>
      <c r="AZ755" t="s">
        <v>15529</v>
      </c>
      <c r="BA755" t="s">
        <v>13808</v>
      </c>
      <c r="BF755" t="s">
        <v>18842</v>
      </c>
      <c r="BG755" t="s">
        <v>13808</v>
      </c>
      <c r="BM755" t="s">
        <v>13809</v>
      </c>
      <c r="BR755" t="s">
        <v>24564</v>
      </c>
      <c r="BS755" t="s">
        <v>13887</v>
      </c>
      <c r="BT755" t="s">
        <v>13808</v>
      </c>
      <c r="BU755" t="s">
        <v>14010</v>
      </c>
      <c r="BY755" t="s">
        <v>13887</v>
      </c>
      <c r="BZ755" t="s">
        <v>13808</v>
      </c>
      <c r="CA755" t="s">
        <v>24565</v>
      </c>
      <c r="CE755" t="s">
        <v>14197</v>
      </c>
      <c r="CF755" t="s">
        <v>13818</v>
      </c>
      <c r="CG755" t="s">
        <v>24566</v>
      </c>
      <c r="CL755" t="s">
        <v>13809</v>
      </c>
      <c r="CR755" t="s">
        <v>13809</v>
      </c>
      <c r="CT755" t="s">
        <v>17323</v>
      </c>
      <c r="CU755" t="s">
        <v>24567</v>
      </c>
      <c r="CV755" t="s">
        <v>13808</v>
      </c>
      <c r="DA755" t="s">
        <v>24568</v>
      </c>
      <c r="DB755" t="s">
        <v>13808</v>
      </c>
      <c r="DM755" t="s">
        <v>24569</v>
      </c>
      <c r="DN755" t="s">
        <v>13808</v>
      </c>
      <c r="DZ755" t="s">
        <v>24570</v>
      </c>
      <c r="EA755" t="s">
        <v>19319</v>
      </c>
      <c r="ED755" t="s">
        <v>13903</v>
      </c>
      <c r="EE755" t="s">
        <v>4585</v>
      </c>
    </row>
    <row r="756" spans="1:135">
      <c r="A756" t="s">
        <v>454</v>
      </c>
      <c r="B756" t="s">
        <v>445</v>
      </c>
      <c r="C756" t="s">
        <v>24571</v>
      </c>
      <c r="D756" s="24">
        <v>44754</v>
      </c>
      <c r="E756" s="24" t="s">
        <v>13553</v>
      </c>
      <c r="F756" s="24" t="s">
        <v>24572</v>
      </c>
      <c r="G756" s="24" t="s">
        <v>13808</v>
      </c>
      <c r="H756" s="24"/>
      <c r="I756" s="24" t="s">
        <v>13809</v>
      </c>
      <c r="J756" s="24"/>
      <c r="K756" s="24" t="s">
        <v>13808</v>
      </c>
      <c r="L756" s="24"/>
      <c r="M756" s="24" t="s">
        <v>13846</v>
      </c>
      <c r="N756" s="24" t="s">
        <v>13808</v>
      </c>
      <c r="O756" s="24"/>
      <c r="P756" s="24" t="s">
        <v>13808</v>
      </c>
      <c r="Q756" s="24"/>
      <c r="R756" s="24" t="s">
        <v>13808</v>
      </c>
      <c r="S756" s="24"/>
      <c r="T756" t="s">
        <v>24573</v>
      </c>
      <c r="U756" t="s">
        <v>13808</v>
      </c>
      <c r="W756" t="s">
        <v>13808</v>
      </c>
      <c r="X756" t="s">
        <v>24574</v>
      </c>
      <c r="Y756" t="s">
        <v>13809</v>
      </c>
      <c r="AA756" t="s">
        <v>13849</v>
      </c>
      <c r="AB756" t="s">
        <v>13699</v>
      </c>
      <c r="AC756" t="s">
        <v>13809</v>
      </c>
      <c r="AH756" t="s">
        <v>13851</v>
      </c>
      <c r="AI756" t="s">
        <v>13808</v>
      </c>
      <c r="AN756" t="s">
        <v>24575</v>
      </c>
      <c r="AO756" t="s">
        <v>13808</v>
      </c>
      <c r="AT756" t="s">
        <v>24576</v>
      </c>
      <c r="AU756" t="s">
        <v>13808</v>
      </c>
      <c r="AZ756" t="s">
        <v>24577</v>
      </c>
      <c r="BA756" t="s">
        <v>13808</v>
      </c>
      <c r="BF756" t="s">
        <v>24578</v>
      </c>
      <c r="BG756" t="s">
        <v>13808</v>
      </c>
      <c r="BL756" t="s">
        <v>23636</v>
      </c>
      <c r="BM756" t="s">
        <v>13808</v>
      </c>
      <c r="BR756" t="s">
        <v>24579</v>
      </c>
      <c r="BS756" t="s">
        <v>14213</v>
      </c>
      <c r="BT756" t="s">
        <v>13808</v>
      </c>
      <c r="BU756" t="s">
        <v>13985</v>
      </c>
      <c r="BY756" t="s">
        <v>13860</v>
      </c>
      <c r="BZ756" t="s">
        <v>13808</v>
      </c>
      <c r="CA756" t="s">
        <v>13937</v>
      </c>
      <c r="CE756" t="s">
        <v>14292</v>
      </c>
      <c r="CF756" t="s">
        <v>13808</v>
      </c>
      <c r="CK756" t="s">
        <v>13760</v>
      </c>
      <c r="CL756" t="s">
        <v>13809</v>
      </c>
      <c r="CQ756" t="s">
        <v>13766</v>
      </c>
      <c r="CR756" t="s">
        <v>13809</v>
      </c>
      <c r="CT756" t="s">
        <v>24580</v>
      </c>
      <c r="CU756" t="s">
        <v>24581</v>
      </c>
      <c r="CV756" t="s">
        <v>13808</v>
      </c>
      <c r="DA756" t="s">
        <v>24582</v>
      </c>
      <c r="DB756" t="s">
        <v>13808</v>
      </c>
      <c r="DM756" t="s">
        <v>24583</v>
      </c>
      <c r="DN756" t="s">
        <v>13808</v>
      </c>
      <c r="DP756" t="s">
        <v>24584</v>
      </c>
      <c r="DQ756" t="s">
        <v>13808</v>
      </c>
      <c r="DY756" t="s">
        <v>13869</v>
      </c>
      <c r="DZ756" t="s">
        <v>24585</v>
      </c>
      <c r="EA756" t="s">
        <v>13871</v>
      </c>
      <c r="EC756">
        <v>44754</v>
      </c>
      <c r="ED756" t="s">
        <v>17062</v>
      </c>
      <c r="EE756" t="s">
        <v>4886</v>
      </c>
    </row>
    <row r="757" spans="1:135">
      <c r="A757" t="s">
        <v>711</v>
      </c>
      <c r="B757" t="s">
        <v>710</v>
      </c>
      <c r="C757" t="s">
        <v>24586</v>
      </c>
      <c r="D757" s="24">
        <v>44477</v>
      </c>
      <c r="E757" s="24" t="s">
        <v>13555</v>
      </c>
      <c r="F757" s="24" t="s">
        <v>24587</v>
      </c>
      <c r="G757" s="24" t="s">
        <v>13808</v>
      </c>
      <c r="H757" s="24"/>
      <c r="I757" s="24" t="s">
        <v>13809</v>
      </c>
      <c r="J757" s="24"/>
      <c r="K757" s="24" t="s">
        <v>13808</v>
      </c>
      <c r="L757" s="24"/>
      <c r="M757" s="24" t="s">
        <v>17316</v>
      </c>
      <c r="N757" s="24" t="s">
        <v>13808</v>
      </c>
      <c r="O757" s="24"/>
      <c r="P757" s="24" t="s">
        <v>13808</v>
      </c>
      <c r="Q757" s="24"/>
      <c r="R757" s="24" t="s">
        <v>13808</v>
      </c>
      <c r="S757" s="24"/>
      <c r="T757" t="s">
        <v>14016</v>
      </c>
      <c r="U757" t="s">
        <v>13809</v>
      </c>
      <c r="W757" t="s">
        <v>13808</v>
      </c>
      <c r="X757" t="s">
        <v>24588</v>
      </c>
      <c r="Y757" t="s">
        <v>13809</v>
      </c>
      <c r="AA757" t="s">
        <v>13877</v>
      </c>
      <c r="AB757" t="s">
        <v>19021</v>
      </c>
      <c r="AC757" t="s">
        <v>13808</v>
      </c>
      <c r="AH757" t="s">
        <v>13909</v>
      </c>
      <c r="AI757" t="s">
        <v>13808</v>
      </c>
      <c r="AN757" t="s">
        <v>14674</v>
      </c>
      <c r="AO757" t="s">
        <v>13808</v>
      </c>
      <c r="AT757" t="s">
        <v>13892</v>
      </c>
      <c r="AU757" t="s">
        <v>13808</v>
      </c>
      <c r="AZ757" t="s">
        <v>17398</v>
      </c>
      <c r="BA757" t="s">
        <v>13808</v>
      </c>
      <c r="BF757" t="s">
        <v>15936</v>
      </c>
      <c r="BG757" t="s">
        <v>13808</v>
      </c>
      <c r="BL757" t="s">
        <v>24589</v>
      </c>
      <c r="BM757" t="s">
        <v>13808</v>
      </c>
      <c r="BR757" t="s">
        <v>24590</v>
      </c>
      <c r="BT757" t="s">
        <v>13809</v>
      </c>
      <c r="BY757" t="s">
        <v>13887</v>
      </c>
      <c r="BZ757" t="s">
        <v>13808</v>
      </c>
      <c r="CA757" t="s">
        <v>24591</v>
      </c>
      <c r="CE757" t="s">
        <v>24592</v>
      </c>
      <c r="CF757" t="s">
        <v>13808</v>
      </c>
      <c r="CL757" t="s">
        <v>13809</v>
      </c>
      <c r="CR757" t="s">
        <v>13809</v>
      </c>
      <c r="CT757" t="s">
        <v>14027</v>
      </c>
      <c r="CU757" t="s">
        <v>24593</v>
      </c>
      <c r="CV757" t="s">
        <v>13808</v>
      </c>
      <c r="DA757" t="s">
        <v>24594</v>
      </c>
      <c r="DB757" t="s">
        <v>13808</v>
      </c>
      <c r="DG757" t="s">
        <v>24595</v>
      </c>
      <c r="DH757" t="s">
        <v>13818</v>
      </c>
      <c r="DM757" t="s">
        <v>24596</v>
      </c>
      <c r="DN757" t="s">
        <v>13808</v>
      </c>
      <c r="DO757" t="s">
        <v>24597</v>
      </c>
      <c r="DP757" t="s">
        <v>24598</v>
      </c>
      <c r="DQ757" t="s">
        <v>13808</v>
      </c>
      <c r="DR757" t="s">
        <v>14947</v>
      </c>
      <c r="DY757" t="s">
        <v>20954</v>
      </c>
      <c r="DZ757" t="s">
        <v>13970</v>
      </c>
      <c r="EA757" t="s">
        <v>13922</v>
      </c>
      <c r="EC757">
        <v>44481</v>
      </c>
      <c r="ED757" t="s">
        <v>24599</v>
      </c>
      <c r="EE757" t="s">
        <v>5143</v>
      </c>
    </row>
    <row r="758" spans="1:135">
      <c r="A758" t="s">
        <v>461</v>
      </c>
      <c r="B758" t="s">
        <v>445</v>
      </c>
      <c r="C758" t="s">
        <v>24600</v>
      </c>
      <c r="D758" s="24">
        <v>44754</v>
      </c>
      <c r="E758" s="24" t="s">
        <v>13553</v>
      </c>
      <c r="F758" s="24" t="s">
        <v>24601</v>
      </c>
      <c r="G758" s="24" t="s">
        <v>13808</v>
      </c>
      <c r="H758" s="24"/>
      <c r="I758" s="24" t="s">
        <v>13809</v>
      </c>
      <c r="J758" s="24"/>
      <c r="K758" s="24" t="s">
        <v>13808</v>
      </c>
      <c r="L758" s="24"/>
      <c r="M758" s="24" t="s">
        <v>13846</v>
      </c>
      <c r="N758" s="24" t="s">
        <v>13808</v>
      </c>
      <c r="O758" s="24"/>
      <c r="P758" s="24" t="s">
        <v>13808</v>
      </c>
      <c r="Q758" s="24"/>
      <c r="R758" s="24" t="s">
        <v>13808</v>
      </c>
      <c r="S758" s="24"/>
      <c r="T758" t="s">
        <v>24602</v>
      </c>
      <c r="U758" t="s">
        <v>13809</v>
      </c>
      <c r="W758" t="s">
        <v>13808</v>
      </c>
      <c r="X758" t="s">
        <v>24603</v>
      </c>
      <c r="Y758" t="s">
        <v>13809</v>
      </c>
      <c r="AA758" t="s">
        <v>13849</v>
      </c>
      <c r="AB758" t="s">
        <v>20414</v>
      </c>
      <c r="AC758" t="s">
        <v>13808</v>
      </c>
      <c r="AH758" t="s">
        <v>13851</v>
      </c>
      <c r="AI758" t="s">
        <v>13808</v>
      </c>
      <c r="AN758" t="s">
        <v>24604</v>
      </c>
      <c r="AO758" t="s">
        <v>13808</v>
      </c>
      <c r="AT758" t="s">
        <v>24158</v>
      </c>
      <c r="AU758" t="s">
        <v>13808</v>
      </c>
      <c r="AZ758" t="s">
        <v>24605</v>
      </c>
      <c r="BA758" t="s">
        <v>13808</v>
      </c>
      <c r="BF758" t="s">
        <v>24606</v>
      </c>
      <c r="BG758" t="s">
        <v>13808</v>
      </c>
      <c r="BL758" t="s">
        <v>13735</v>
      </c>
      <c r="BM758" t="s">
        <v>13809</v>
      </c>
      <c r="BR758" t="s">
        <v>24579</v>
      </c>
      <c r="BS758" t="s">
        <v>14213</v>
      </c>
      <c r="BT758" t="s">
        <v>13808</v>
      </c>
      <c r="BU758" t="s">
        <v>13985</v>
      </c>
      <c r="BY758" t="s">
        <v>13860</v>
      </c>
      <c r="BZ758" t="s">
        <v>13808</v>
      </c>
      <c r="CA758" t="s">
        <v>13937</v>
      </c>
      <c r="CE758" t="s">
        <v>14292</v>
      </c>
      <c r="CF758" t="s">
        <v>13808</v>
      </c>
      <c r="CK758" t="s">
        <v>13760</v>
      </c>
      <c r="CL758" t="s">
        <v>13809</v>
      </c>
      <c r="CQ758" t="s">
        <v>13766</v>
      </c>
      <c r="CR758" t="s">
        <v>13809</v>
      </c>
      <c r="CT758" t="s">
        <v>24607</v>
      </c>
      <c r="CU758" t="s">
        <v>24608</v>
      </c>
      <c r="CV758" t="s">
        <v>13808</v>
      </c>
      <c r="DA758" t="s">
        <v>24609</v>
      </c>
      <c r="DB758" t="s">
        <v>13808</v>
      </c>
      <c r="DM758" t="s">
        <v>24610</v>
      </c>
      <c r="DN758" t="s">
        <v>13808</v>
      </c>
      <c r="DP758" t="s">
        <v>24611</v>
      </c>
      <c r="DQ758" t="s">
        <v>13808</v>
      </c>
      <c r="DY758" t="s">
        <v>13869</v>
      </c>
      <c r="DZ758" t="s">
        <v>24612</v>
      </c>
      <c r="EA758" t="s">
        <v>13871</v>
      </c>
      <c r="EC758">
        <v>44754</v>
      </c>
      <c r="ED758" t="s">
        <v>17062</v>
      </c>
      <c r="EE758" t="s">
        <v>4893</v>
      </c>
    </row>
    <row r="759" spans="1:135">
      <c r="A759" t="s">
        <v>292</v>
      </c>
      <c r="B759" t="s">
        <v>287</v>
      </c>
      <c r="C759" t="s">
        <v>24613</v>
      </c>
      <c r="D759" s="24">
        <v>44791</v>
      </c>
      <c r="E759" s="24" t="s">
        <v>13558</v>
      </c>
      <c r="F759" s="24" t="s">
        <v>24614</v>
      </c>
      <c r="G759" s="24" t="s">
        <v>13808</v>
      </c>
      <c r="H759" s="24"/>
      <c r="I759" s="24" t="s">
        <v>13809</v>
      </c>
      <c r="J759" s="24"/>
      <c r="K759" s="24" t="s">
        <v>13809</v>
      </c>
      <c r="L759" s="24"/>
      <c r="M759" s="24" t="s">
        <v>13811</v>
      </c>
      <c r="N759" s="24" t="s">
        <v>13808</v>
      </c>
      <c r="O759" s="24"/>
      <c r="P759" s="24" t="s">
        <v>13818</v>
      </c>
      <c r="Q759" s="24" t="s">
        <v>14305</v>
      </c>
      <c r="R759" s="24" t="s">
        <v>13808</v>
      </c>
      <c r="S759" s="24"/>
      <c r="T759" t="s">
        <v>14071</v>
      </c>
      <c r="U759" t="s">
        <v>13809</v>
      </c>
      <c r="W759" t="s">
        <v>13809</v>
      </c>
      <c r="Y759" t="s">
        <v>13809</v>
      </c>
      <c r="AA759" t="s">
        <v>24615</v>
      </c>
      <c r="AH759" t="s">
        <v>24616</v>
      </c>
      <c r="AI759" t="s">
        <v>24617</v>
      </c>
      <c r="AJ759" t="s">
        <v>13819</v>
      </c>
      <c r="AK759" t="s">
        <v>14073</v>
      </c>
      <c r="AL759" t="s">
        <v>13808</v>
      </c>
      <c r="AN759" t="s">
        <v>19519</v>
      </c>
      <c r="AO759" t="s">
        <v>13809</v>
      </c>
      <c r="AT759" t="s">
        <v>14555</v>
      </c>
      <c r="AU759" t="s">
        <v>13818</v>
      </c>
      <c r="AV759" t="s">
        <v>13819</v>
      </c>
      <c r="AZ759" t="s">
        <v>24618</v>
      </c>
      <c r="BA759" t="s">
        <v>13808</v>
      </c>
      <c r="BC759" t="s">
        <v>24619</v>
      </c>
      <c r="BD759" t="s">
        <v>13818</v>
      </c>
      <c r="BE759" t="s">
        <v>13819</v>
      </c>
      <c r="BF759" t="s">
        <v>24620</v>
      </c>
      <c r="BG759" t="s">
        <v>13808</v>
      </c>
      <c r="BL759" t="s">
        <v>24621</v>
      </c>
      <c r="BM759" t="s">
        <v>13818</v>
      </c>
      <c r="BN759" t="s">
        <v>13819</v>
      </c>
      <c r="BR759" t="s">
        <v>24622</v>
      </c>
      <c r="BS759" t="s">
        <v>13824</v>
      </c>
      <c r="BT759" t="s">
        <v>13818</v>
      </c>
      <c r="BU759" t="s">
        <v>24623</v>
      </c>
      <c r="BY759" t="s">
        <v>13826</v>
      </c>
      <c r="BZ759" t="s">
        <v>13818</v>
      </c>
      <c r="CA759" t="s">
        <v>14780</v>
      </c>
      <c r="CE759" t="s">
        <v>24624</v>
      </c>
      <c r="CF759" t="s">
        <v>13818</v>
      </c>
      <c r="CG759" t="s">
        <v>13819</v>
      </c>
      <c r="CK759" t="s">
        <v>13760</v>
      </c>
      <c r="CL759" t="s">
        <v>13809</v>
      </c>
      <c r="CQ759" t="s">
        <v>13766</v>
      </c>
      <c r="CR759" t="s">
        <v>13809</v>
      </c>
      <c r="CT759" t="s">
        <v>13830</v>
      </c>
      <c r="CU759" t="s">
        <v>15268</v>
      </c>
      <c r="CV759" t="s">
        <v>13818</v>
      </c>
      <c r="DA759" t="s">
        <v>15063</v>
      </c>
      <c r="DB759" t="s">
        <v>13818</v>
      </c>
      <c r="DG759" t="s">
        <v>14240</v>
      </c>
      <c r="DH759" t="s">
        <v>13818</v>
      </c>
      <c r="DY759" t="s">
        <v>14606</v>
      </c>
      <c r="DZ759" t="s">
        <v>13841</v>
      </c>
      <c r="EA759" t="s">
        <v>13842</v>
      </c>
      <c r="EC759">
        <v>44796</v>
      </c>
      <c r="ED759" t="s">
        <v>17062</v>
      </c>
      <c r="EE759" t="s">
        <v>4708</v>
      </c>
    </row>
    <row r="760" spans="1:135">
      <c r="A760" t="s">
        <v>465</v>
      </c>
      <c r="B760" t="s">
        <v>445</v>
      </c>
      <c r="C760" t="s">
        <v>24625</v>
      </c>
      <c r="D760" s="24">
        <v>43311</v>
      </c>
      <c r="E760" s="24" t="s">
        <v>13555</v>
      </c>
      <c r="F760" s="24" t="s">
        <v>24626</v>
      </c>
      <c r="G760" s="24" t="s">
        <v>13808</v>
      </c>
      <c r="H760" s="24"/>
      <c r="I760" s="24" t="s">
        <v>13809</v>
      </c>
      <c r="J760" s="24"/>
      <c r="K760" s="24" t="s">
        <v>13809</v>
      </c>
      <c r="L760" s="24"/>
      <c r="M760" s="24" t="s">
        <v>24627</v>
      </c>
      <c r="N760" s="24" t="s">
        <v>13808</v>
      </c>
      <c r="O760" s="24"/>
      <c r="P760" s="24" t="s">
        <v>13808</v>
      </c>
      <c r="Q760" s="24"/>
      <c r="R760" s="24" t="s">
        <v>13808</v>
      </c>
      <c r="S760" s="24"/>
      <c r="T760" t="s">
        <v>13907</v>
      </c>
      <c r="U760" t="s">
        <v>13808</v>
      </c>
      <c r="W760" t="s">
        <v>13808</v>
      </c>
      <c r="X760" t="s">
        <v>21108</v>
      </c>
      <c r="Y760" t="s">
        <v>13809</v>
      </c>
      <c r="AA760" t="s">
        <v>14971</v>
      </c>
      <c r="AB760" t="s">
        <v>14058</v>
      </c>
      <c r="AC760" t="s">
        <v>13808</v>
      </c>
      <c r="AH760" t="s">
        <v>13909</v>
      </c>
      <c r="AI760" t="s">
        <v>13808</v>
      </c>
      <c r="AN760" t="s">
        <v>21583</v>
      </c>
      <c r="AO760" t="s">
        <v>13808</v>
      </c>
      <c r="AT760" t="s">
        <v>14703</v>
      </c>
      <c r="AU760" t="s">
        <v>13808</v>
      </c>
      <c r="AZ760" t="s">
        <v>17124</v>
      </c>
      <c r="BA760" t="s">
        <v>13808</v>
      </c>
      <c r="BF760" t="s">
        <v>15276</v>
      </c>
      <c r="BG760" t="s">
        <v>13808</v>
      </c>
      <c r="BM760" t="s">
        <v>13809</v>
      </c>
      <c r="BR760" t="s">
        <v>24628</v>
      </c>
      <c r="BS760" t="s">
        <v>13885</v>
      </c>
      <c r="BT760" t="s">
        <v>13808</v>
      </c>
      <c r="BU760" t="s">
        <v>14128</v>
      </c>
      <c r="BY760" t="s">
        <v>13887</v>
      </c>
      <c r="BZ760" t="s">
        <v>13808</v>
      </c>
      <c r="CA760" t="s">
        <v>13861</v>
      </c>
      <c r="CE760" t="s">
        <v>13887</v>
      </c>
      <c r="CF760" t="s">
        <v>13808</v>
      </c>
      <c r="CG760" t="s">
        <v>13863</v>
      </c>
      <c r="CL760" t="s">
        <v>13809</v>
      </c>
      <c r="CR760" t="s">
        <v>13809</v>
      </c>
      <c r="CT760" t="s">
        <v>20725</v>
      </c>
      <c r="CU760" t="s">
        <v>13909</v>
      </c>
      <c r="CV760" t="s">
        <v>13808</v>
      </c>
      <c r="DA760" t="s">
        <v>13909</v>
      </c>
      <c r="DB760" t="s">
        <v>13808</v>
      </c>
      <c r="DH760" t="s">
        <v>13809</v>
      </c>
      <c r="DM760" t="s">
        <v>13909</v>
      </c>
      <c r="DN760" t="s">
        <v>13808</v>
      </c>
      <c r="DZ760" t="s">
        <v>24629</v>
      </c>
      <c r="EA760" t="s">
        <v>13871</v>
      </c>
      <c r="EC760">
        <v>43480</v>
      </c>
      <c r="ED760" t="s">
        <v>13903</v>
      </c>
      <c r="EE760" t="s">
        <v>4897</v>
      </c>
    </row>
    <row r="761" spans="1:135">
      <c r="A761" t="s">
        <v>12753</v>
      </c>
      <c r="B761" t="s">
        <v>445</v>
      </c>
      <c r="C761" t="s">
        <v>24630</v>
      </c>
      <c r="D761" s="24">
        <v>44820</v>
      </c>
      <c r="E761" s="24" t="s">
        <v>13550</v>
      </c>
      <c r="F761" s="24" t="s">
        <v>24631</v>
      </c>
      <c r="G761" s="24" t="s">
        <v>13808</v>
      </c>
      <c r="H761" s="24"/>
      <c r="I761" s="24" t="s">
        <v>13809</v>
      </c>
      <c r="J761" s="24"/>
      <c r="K761" s="24" t="s">
        <v>13818</v>
      </c>
      <c r="L761" s="24" t="s">
        <v>24632</v>
      </c>
      <c r="M761" s="24" t="s">
        <v>15539</v>
      </c>
      <c r="N761" s="24" t="s">
        <v>13818</v>
      </c>
      <c r="O761" s="24"/>
      <c r="P761" s="24" t="s">
        <v>13818</v>
      </c>
      <c r="Q761" s="24"/>
      <c r="R761" s="24" t="s">
        <v>13808</v>
      </c>
      <c r="S761" s="24"/>
      <c r="T761" t="s">
        <v>24633</v>
      </c>
      <c r="U761" t="s">
        <v>13809</v>
      </c>
      <c r="W761" t="s">
        <v>13818</v>
      </c>
      <c r="X761" t="s">
        <v>24634</v>
      </c>
      <c r="Y761" t="s">
        <v>13808</v>
      </c>
      <c r="Z761" t="s">
        <v>24635</v>
      </c>
      <c r="AA761" t="s">
        <v>14386</v>
      </c>
      <c r="AB761" t="s">
        <v>13699</v>
      </c>
      <c r="AC761" t="s">
        <v>13809</v>
      </c>
      <c r="AH761" t="s">
        <v>13851</v>
      </c>
      <c r="AI761" t="s">
        <v>13818</v>
      </c>
      <c r="AJ761" t="s">
        <v>13819</v>
      </c>
      <c r="AN761" t="s">
        <v>13711</v>
      </c>
      <c r="AO761" t="s">
        <v>13809</v>
      </c>
      <c r="AT761" t="s">
        <v>24636</v>
      </c>
      <c r="AU761" t="s">
        <v>13818</v>
      </c>
      <c r="AV761" t="s">
        <v>13819</v>
      </c>
      <c r="AZ761" t="s">
        <v>24637</v>
      </c>
      <c r="BA761" t="s">
        <v>13818</v>
      </c>
      <c r="BB761" t="s">
        <v>13819</v>
      </c>
      <c r="BF761" t="s">
        <v>24638</v>
      </c>
      <c r="BG761" t="s">
        <v>13818</v>
      </c>
      <c r="BH761" t="s">
        <v>13819</v>
      </c>
      <c r="BL761" t="s">
        <v>24639</v>
      </c>
      <c r="BM761" t="s">
        <v>13818</v>
      </c>
      <c r="BN761" t="s">
        <v>13819</v>
      </c>
      <c r="BR761" t="s">
        <v>24640</v>
      </c>
      <c r="BS761" t="s">
        <v>13824</v>
      </c>
      <c r="BT761" t="s">
        <v>13818</v>
      </c>
      <c r="BU761" t="s">
        <v>14528</v>
      </c>
      <c r="BY761" t="s">
        <v>24641</v>
      </c>
      <c r="BZ761" t="s">
        <v>13808</v>
      </c>
      <c r="CA761" t="s">
        <v>13937</v>
      </c>
      <c r="CE761" t="s">
        <v>14292</v>
      </c>
      <c r="CF761" t="s">
        <v>13818</v>
      </c>
      <c r="CK761" t="s">
        <v>13760</v>
      </c>
      <c r="CL761" t="s">
        <v>13809</v>
      </c>
      <c r="CQ761" t="s">
        <v>13766</v>
      </c>
      <c r="CR761" t="s">
        <v>13809</v>
      </c>
      <c r="CT761" t="s">
        <v>14781</v>
      </c>
      <c r="CU761" t="s">
        <v>24642</v>
      </c>
      <c r="CV761" t="s">
        <v>13818</v>
      </c>
      <c r="DA761" t="s">
        <v>24643</v>
      </c>
      <c r="DB761" t="s">
        <v>13818</v>
      </c>
      <c r="DG761" t="s">
        <v>24644</v>
      </c>
      <c r="DH761" t="s">
        <v>13818</v>
      </c>
      <c r="DM761" t="s">
        <v>24645</v>
      </c>
      <c r="DN761" t="s">
        <v>13818</v>
      </c>
      <c r="DY761" t="s">
        <v>14664</v>
      </c>
      <c r="DZ761" t="s">
        <v>14665</v>
      </c>
      <c r="EA761" t="s">
        <v>14118</v>
      </c>
      <c r="EC761">
        <v>44943</v>
      </c>
      <c r="ED761" t="s">
        <v>17062</v>
      </c>
      <c r="EE761" t="s">
        <v>13654</v>
      </c>
    </row>
    <row r="762" spans="1:135">
      <c r="A762" t="s">
        <v>12762</v>
      </c>
      <c r="B762" t="s">
        <v>11</v>
      </c>
      <c r="C762" t="s">
        <v>24646</v>
      </c>
      <c r="D762" s="24">
        <v>44267</v>
      </c>
      <c r="E762" s="24" t="s">
        <v>13550</v>
      </c>
      <c r="F762" s="24" t="s">
        <v>24647</v>
      </c>
      <c r="G762" s="24" t="s">
        <v>13808</v>
      </c>
      <c r="H762" s="24"/>
      <c r="I762" s="24" t="s">
        <v>13809</v>
      </c>
      <c r="J762" s="24"/>
      <c r="K762" s="24" t="s">
        <v>13808</v>
      </c>
      <c r="L762" s="24"/>
      <c r="M762" s="24" t="s">
        <v>24648</v>
      </c>
      <c r="N762" s="24" t="s">
        <v>13808</v>
      </c>
      <c r="O762" s="24"/>
      <c r="P762" s="24" t="s">
        <v>13808</v>
      </c>
      <c r="Q762" s="24"/>
      <c r="R762" s="24" t="s">
        <v>13818</v>
      </c>
      <c r="S762" s="24" t="s">
        <v>24649</v>
      </c>
      <c r="T762" t="s">
        <v>24650</v>
      </c>
      <c r="U762" t="s">
        <v>13809</v>
      </c>
      <c r="W762" t="s">
        <v>13809</v>
      </c>
      <c r="Y762" t="s">
        <v>13809</v>
      </c>
      <c r="AA762" t="s">
        <v>24651</v>
      </c>
      <c r="AB762" t="s">
        <v>18460</v>
      </c>
      <c r="AC762" t="s">
        <v>13818</v>
      </c>
      <c r="AD762" t="s">
        <v>14309</v>
      </c>
      <c r="AH762" t="s">
        <v>13909</v>
      </c>
      <c r="AI762" t="s">
        <v>13818</v>
      </c>
      <c r="AJ762" t="s">
        <v>14309</v>
      </c>
      <c r="AN762" t="s">
        <v>24652</v>
      </c>
      <c r="AO762" t="s">
        <v>13818</v>
      </c>
      <c r="AP762" t="s">
        <v>14309</v>
      </c>
      <c r="AT762" t="s">
        <v>24653</v>
      </c>
      <c r="AU762" t="s">
        <v>13818</v>
      </c>
      <c r="AV762" t="s">
        <v>14309</v>
      </c>
      <c r="AZ762" t="s">
        <v>24654</v>
      </c>
      <c r="BA762" t="s">
        <v>13818</v>
      </c>
      <c r="BB762" t="s">
        <v>14309</v>
      </c>
      <c r="BF762" t="s">
        <v>14598</v>
      </c>
      <c r="BG762" t="s">
        <v>13818</v>
      </c>
      <c r="BH762" t="s">
        <v>14309</v>
      </c>
      <c r="BM762" t="s">
        <v>13809</v>
      </c>
      <c r="BR762" t="s">
        <v>24655</v>
      </c>
      <c r="BS762" t="s">
        <v>13885</v>
      </c>
      <c r="BT762" t="s">
        <v>13818</v>
      </c>
      <c r="BU762" t="s">
        <v>24656</v>
      </c>
      <c r="BY762" t="s">
        <v>13887</v>
      </c>
      <c r="BZ762" t="s">
        <v>13808</v>
      </c>
      <c r="CA762" t="s">
        <v>24657</v>
      </c>
      <c r="CE762" t="s">
        <v>15138</v>
      </c>
      <c r="CF762" t="s">
        <v>13818</v>
      </c>
      <c r="CG762" t="s">
        <v>18683</v>
      </c>
      <c r="CL762" t="s">
        <v>13809</v>
      </c>
      <c r="CR762" t="s">
        <v>13809</v>
      </c>
      <c r="CT762" t="s">
        <v>24658</v>
      </c>
      <c r="CU762" t="s">
        <v>24659</v>
      </c>
      <c r="CV762" t="s">
        <v>13818</v>
      </c>
      <c r="DA762" t="s">
        <v>24660</v>
      </c>
      <c r="DB762" t="s">
        <v>13818</v>
      </c>
      <c r="DM762" t="s">
        <v>24661</v>
      </c>
      <c r="DN762" t="s">
        <v>13818</v>
      </c>
      <c r="DP762" t="s">
        <v>24662</v>
      </c>
      <c r="DQ762" t="s">
        <v>13818</v>
      </c>
      <c r="DR762" t="s">
        <v>24663</v>
      </c>
      <c r="DY762" t="s">
        <v>24664</v>
      </c>
      <c r="DZ762" t="s">
        <v>14607</v>
      </c>
      <c r="EA762" t="s">
        <v>14461</v>
      </c>
      <c r="ED762" t="s">
        <v>14608</v>
      </c>
      <c r="EE762" t="s">
        <v>13655</v>
      </c>
    </row>
    <row r="763" spans="1:135">
      <c r="A763" t="s">
        <v>469</v>
      </c>
      <c r="B763" t="s">
        <v>445</v>
      </c>
      <c r="C763" t="s">
        <v>24665</v>
      </c>
      <c r="D763" s="24">
        <v>43733</v>
      </c>
      <c r="E763" s="24" t="s">
        <v>13553</v>
      </c>
      <c r="F763" s="24" t="s">
        <v>24666</v>
      </c>
      <c r="G763" s="24" t="s">
        <v>13808</v>
      </c>
      <c r="H763" s="24"/>
      <c r="I763" s="24" t="s">
        <v>13809</v>
      </c>
      <c r="J763" s="24"/>
      <c r="K763" s="24" t="s">
        <v>13809</v>
      </c>
      <c r="L763" s="24"/>
      <c r="M763" s="24" t="s">
        <v>14163</v>
      </c>
      <c r="N763" s="24" t="s">
        <v>13808</v>
      </c>
      <c r="O763" s="24"/>
      <c r="P763" s="24" t="s">
        <v>13808</v>
      </c>
      <c r="Q763" s="24"/>
      <c r="R763" s="24" t="s">
        <v>13808</v>
      </c>
      <c r="S763" s="24"/>
      <c r="T763" t="s">
        <v>16463</v>
      </c>
      <c r="U763" t="s">
        <v>13809</v>
      </c>
      <c r="W763" t="s">
        <v>13808</v>
      </c>
      <c r="X763" t="s">
        <v>24667</v>
      </c>
      <c r="Y763" t="s">
        <v>13808</v>
      </c>
      <c r="AA763" t="s">
        <v>13877</v>
      </c>
      <c r="AB763" t="s">
        <v>18417</v>
      </c>
      <c r="AC763" t="s">
        <v>13808</v>
      </c>
      <c r="AH763" t="s">
        <v>13909</v>
      </c>
      <c r="AI763" t="s">
        <v>13808</v>
      </c>
      <c r="AO763" t="s">
        <v>13809</v>
      </c>
      <c r="AT763" t="s">
        <v>14705</v>
      </c>
      <c r="AU763" t="s">
        <v>13808</v>
      </c>
      <c r="AZ763" t="s">
        <v>14192</v>
      </c>
      <c r="BA763" t="s">
        <v>13808</v>
      </c>
      <c r="BF763" t="s">
        <v>14170</v>
      </c>
      <c r="BG763" t="s">
        <v>13808</v>
      </c>
      <c r="BM763" t="s">
        <v>13809</v>
      </c>
      <c r="BR763" t="s">
        <v>24668</v>
      </c>
      <c r="BS763" t="s">
        <v>13887</v>
      </c>
      <c r="BT763" t="s">
        <v>13808</v>
      </c>
      <c r="BU763" t="s">
        <v>14437</v>
      </c>
      <c r="BY763" t="s">
        <v>13887</v>
      </c>
      <c r="BZ763" t="s">
        <v>13808</v>
      </c>
      <c r="CA763" t="s">
        <v>14026</v>
      </c>
      <c r="CE763" t="s">
        <v>14197</v>
      </c>
      <c r="CF763" t="s">
        <v>13808</v>
      </c>
      <c r="CG763" t="s">
        <v>14173</v>
      </c>
      <c r="CL763" t="s">
        <v>13809</v>
      </c>
      <c r="CR763" t="s">
        <v>13809</v>
      </c>
      <c r="CT763" t="s">
        <v>24669</v>
      </c>
      <c r="CU763" t="s">
        <v>24670</v>
      </c>
      <c r="CV763" t="s">
        <v>13808</v>
      </c>
      <c r="DA763" t="s">
        <v>24671</v>
      </c>
      <c r="DB763" t="s">
        <v>13808</v>
      </c>
      <c r="DH763" t="s">
        <v>13809</v>
      </c>
      <c r="DM763" t="s">
        <v>24672</v>
      </c>
      <c r="DN763" t="s">
        <v>13808</v>
      </c>
      <c r="DP763" t="s">
        <v>24673</v>
      </c>
      <c r="DQ763" t="s">
        <v>13808</v>
      </c>
      <c r="DY763" t="s">
        <v>15828</v>
      </c>
      <c r="DZ763" t="s">
        <v>24674</v>
      </c>
      <c r="EA763" t="s">
        <v>14500</v>
      </c>
      <c r="EC763">
        <v>43753</v>
      </c>
      <c r="ED763" t="s">
        <v>13903</v>
      </c>
      <c r="EE763" t="s">
        <v>4904</v>
      </c>
    </row>
    <row r="764" spans="1:135">
      <c r="A764" t="s">
        <v>152</v>
      </c>
      <c r="B764" t="s">
        <v>147</v>
      </c>
      <c r="C764" t="s">
        <v>24675</v>
      </c>
      <c r="D764" s="24">
        <v>44756</v>
      </c>
      <c r="E764" s="24" t="s">
        <v>13555</v>
      </c>
      <c r="F764" s="24" t="s">
        <v>24676</v>
      </c>
      <c r="G764" s="24" t="s">
        <v>13808</v>
      </c>
      <c r="H764" s="24"/>
      <c r="I764" s="24" t="s">
        <v>13809</v>
      </c>
      <c r="J764" s="24"/>
      <c r="K764" s="24" t="s">
        <v>13808</v>
      </c>
      <c r="L764" s="24"/>
      <c r="M764" s="24" t="s">
        <v>24677</v>
      </c>
      <c r="N764" s="24" t="s">
        <v>13808</v>
      </c>
      <c r="O764" s="24"/>
      <c r="P764" s="24" t="s">
        <v>13808</v>
      </c>
      <c r="Q764" s="24"/>
      <c r="R764" s="24" t="s">
        <v>13808</v>
      </c>
      <c r="S764" s="24"/>
      <c r="T764" t="s">
        <v>13907</v>
      </c>
      <c r="U764" t="s">
        <v>13808</v>
      </c>
      <c r="W764" t="s">
        <v>13808</v>
      </c>
      <c r="Y764" t="s">
        <v>13809</v>
      </c>
      <c r="AA764" t="s">
        <v>13849</v>
      </c>
      <c r="AB764" t="s">
        <v>14792</v>
      </c>
      <c r="AC764" t="s">
        <v>13808</v>
      </c>
      <c r="AH764" t="s">
        <v>13851</v>
      </c>
      <c r="AI764" t="s">
        <v>13808</v>
      </c>
      <c r="AN764" t="s">
        <v>18593</v>
      </c>
      <c r="AO764" t="s">
        <v>13808</v>
      </c>
      <c r="AT764" t="s">
        <v>16807</v>
      </c>
      <c r="AU764" t="s">
        <v>13808</v>
      </c>
      <c r="AZ764" t="s">
        <v>24678</v>
      </c>
      <c r="BA764" t="s">
        <v>13808</v>
      </c>
      <c r="BF764" t="s">
        <v>24679</v>
      </c>
      <c r="BG764" t="s">
        <v>13808</v>
      </c>
      <c r="BL764" t="s">
        <v>13735</v>
      </c>
      <c r="BM764" t="s">
        <v>13809</v>
      </c>
      <c r="BR764" t="s">
        <v>24680</v>
      </c>
      <c r="BS764" t="s">
        <v>13824</v>
      </c>
      <c r="BT764" t="s">
        <v>13808</v>
      </c>
      <c r="BU764" t="s">
        <v>13985</v>
      </c>
      <c r="BY764" t="s">
        <v>13826</v>
      </c>
      <c r="BZ764" t="s">
        <v>13808</v>
      </c>
      <c r="CA764" t="s">
        <v>13937</v>
      </c>
      <c r="CE764" t="s">
        <v>14215</v>
      </c>
      <c r="CF764" t="s">
        <v>13808</v>
      </c>
      <c r="CK764" t="s">
        <v>13760</v>
      </c>
      <c r="CL764" t="s">
        <v>13809</v>
      </c>
      <c r="CQ764" t="s">
        <v>13766</v>
      </c>
      <c r="CR764" t="s">
        <v>13809</v>
      </c>
      <c r="CT764" t="s">
        <v>24681</v>
      </c>
      <c r="CU764" t="s">
        <v>24682</v>
      </c>
      <c r="CV764" t="s">
        <v>13808</v>
      </c>
      <c r="DA764" t="s">
        <v>24683</v>
      </c>
      <c r="DB764" t="s">
        <v>13808</v>
      </c>
      <c r="DM764" t="s">
        <v>24684</v>
      </c>
      <c r="DN764" t="s">
        <v>13808</v>
      </c>
      <c r="DY764" t="s">
        <v>13840</v>
      </c>
      <c r="DZ764" t="s">
        <v>24685</v>
      </c>
      <c r="EA764" t="s">
        <v>14118</v>
      </c>
      <c r="EC764">
        <v>44756</v>
      </c>
      <c r="ED764" t="s">
        <v>17062</v>
      </c>
      <c r="EE764" t="s">
        <v>4589</v>
      </c>
    </row>
    <row r="765" spans="1:135">
      <c r="A765" t="s">
        <v>471</v>
      </c>
      <c r="B765" t="s">
        <v>445</v>
      </c>
      <c r="C765" t="s">
        <v>24686</v>
      </c>
      <c r="D765" s="24">
        <v>44755</v>
      </c>
      <c r="E765" s="24" t="s">
        <v>13553</v>
      </c>
      <c r="F765" s="24" t="s">
        <v>24687</v>
      </c>
      <c r="G765" s="24" t="s">
        <v>13808</v>
      </c>
      <c r="H765" s="24"/>
      <c r="I765" s="24" t="s">
        <v>13809</v>
      </c>
      <c r="J765" s="24"/>
      <c r="K765" s="24" t="s">
        <v>13809</v>
      </c>
      <c r="L765" s="24"/>
      <c r="M765" s="24" t="s">
        <v>13846</v>
      </c>
      <c r="N765" s="24" t="s">
        <v>13808</v>
      </c>
      <c r="O765" s="24"/>
      <c r="P765" s="24" t="s">
        <v>13808</v>
      </c>
      <c r="Q765" s="24"/>
      <c r="R765" s="24" t="s">
        <v>13808</v>
      </c>
      <c r="S765" s="24"/>
      <c r="T765" t="s">
        <v>13907</v>
      </c>
      <c r="U765" t="s">
        <v>13809</v>
      </c>
      <c r="W765" t="s">
        <v>13808</v>
      </c>
      <c r="X765" t="s">
        <v>24688</v>
      </c>
      <c r="Y765" t="s">
        <v>13809</v>
      </c>
      <c r="AA765" t="s">
        <v>13849</v>
      </c>
      <c r="AB765" t="s">
        <v>14330</v>
      </c>
      <c r="AC765" t="s">
        <v>13808</v>
      </c>
      <c r="AH765" t="s">
        <v>13851</v>
      </c>
      <c r="AI765" t="s">
        <v>13808</v>
      </c>
      <c r="AN765" t="s">
        <v>15168</v>
      </c>
      <c r="AO765" t="s">
        <v>13808</v>
      </c>
      <c r="AT765" t="s">
        <v>15224</v>
      </c>
      <c r="AU765" t="s">
        <v>13808</v>
      </c>
      <c r="AZ765" t="s">
        <v>18254</v>
      </c>
      <c r="BA765" t="s">
        <v>13808</v>
      </c>
      <c r="BF765" t="s">
        <v>14795</v>
      </c>
      <c r="BG765" t="s">
        <v>13808</v>
      </c>
      <c r="BL765" t="s">
        <v>24689</v>
      </c>
      <c r="BM765" t="s">
        <v>13808</v>
      </c>
      <c r="BR765" t="s">
        <v>24690</v>
      </c>
      <c r="BS765" t="s">
        <v>14213</v>
      </c>
      <c r="BT765" t="s">
        <v>13808</v>
      </c>
      <c r="BU765" t="s">
        <v>14336</v>
      </c>
      <c r="BY765" t="s">
        <v>13860</v>
      </c>
      <c r="BZ765" t="s">
        <v>13808</v>
      </c>
      <c r="CA765" t="s">
        <v>13937</v>
      </c>
      <c r="CE765" t="s">
        <v>14292</v>
      </c>
      <c r="CF765" t="s">
        <v>13808</v>
      </c>
      <c r="CK765" t="s">
        <v>13760</v>
      </c>
      <c r="CL765" t="s">
        <v>13809</v>
      </c>
      <c r="CQ765" t="s">
        <v>13766</v>
      </c>
      <c r="CR765" t="s">
        <v>13809</v>
      </c>
      <c r="CT765" t="s">
        <v>24669</v>
      </c>
      <c r="CU765" t="s">
        <v>24691</v>
      </c>
      <c r="CV765" t="s">
        <v>13808</v>
      </c>
      <c r="DA765" t="s">
        <v>24692</v>
      </c>
      <c r="DB765" t="s">
        <v>13808</v>
      </c>
      <c r="DM765" t="s">
        <v>24693</v>
      </c>
      <c r="DN765" t="s">
        <v>13808</v>
      </c>
      <c r="DP765" t="s">
        <v>24694</v>
      </c>
      <c r="DQ765" t="s">
        <v>13808</v>
      </c>
      <c r="DY765" t="s">
        <v>13869</v>
      </c>
      <c r="DZ765" t="s">
        <v>24695</v>
      </c>
      <c r="EA765" t="s">
        <v>13871</v>
      </c>
      <c r="EC765">
        <v>44755</v>
      </c>
      <c r="ED765" t="s">
        <v>17062</v>
      </c>
      <c r="EE765" t="s">
        <v>4908</v>
      </c>
    </row>
    <row r="766" spans="1:135">
      <c r="A766" t="s">
        <v>13</v>
      </c>
      <c r="B766" t="s">
        <v>11</v>
      </c>
      <c r="C766" t="s">
        <v>24696</v>
      </c>
      <c r="D766" s="24">
        <v>43130</v>
      </c>
      <c r="E766" s="24" t="s">
        <v>13558</v>
      </c>
      <c r="F766" s="24" t="s">
        <v>24697</v>
      </c>
      <c r="G766" s="24" t="s">
        <v>13808</v>
      </c>
      <c r="H766" s="24"/>
      <c r="I766" s="24" t="s">
        <v>13809</v>
      </c>
      <c r="J766" s="24"/>
      <c r="K766" s="24" t="s">
        <v>13809</v>
      </c>
      <c r="L766" s="24"/>
      <c r="M766" s="24" t="s">
        <v>15163</v>
      </c>
      <c r="N766" s="24" t="s">
        <v>13808</v>
      </c>
      <c r="O766" s="24"/>
      <c r="P766" s="24" t="s">
        <v>13808</v>
      </c>
      <c r="Q766" s="24"/>
      <c r="R766" s="24" t="s">
        <v>13808</v>
      </c>
      <c r="S766" s="24"/>
      <c r="T766" t="s">
        <v>14071</v>
      </c>
      <c r="U766" t="s">
        <v>13809</v>
      </c>
      <c r="W766" t="s">
        <v>13809</v>
      </c>
      <c r="Y766" t="s">
        <v>13809</v>
      </c>
      <c r="AA766" t="s">
        <v>24698</v>
      </c>
      <c r="AB766" t="s">
        <v>15834</v>
      </c>
      <c r="AC766" t="s">
        <v>13818</v>
      </c>
      <c r="AD766" t="s">
        <v>14309</v>
      </c>
      <c r="AH766" t="s">
        <v>13887</v>
      </c>
      <c r="AI766" t="s">
        <v>13808</v>
      </c>
      <c r="AK766" t="s">
        <v>15934</v>
      </c>
      <c r="AL766" t="s">
        <v>13818</v>
      </c>
      <c r="AM766" t="s">
        <v>14309</v>
      </c>
      <c r="AO766" t="s">
        <v>13809</v>
      </c>
      <c r="AT766" t="s">
        <v>15820</v>
      </c>
      <c r="AU766" t="s">
        <v>13808</v>
      </c>
      <c r="AZ766" t="s">
        <v>24699</v>
      </c>
      <c r="BA766" t="s">
        <v>13808</v>
      </c>
      <c r="BF766" t="s">
        <v>13882</v>
      </c>
      <c r="BG766" t="s">
        <v>13808</v>
      </c>
      <c r="BM766" t="s">
        <v>13809</v>
      </c>
      <c r="BR766" t="s">
        <v>24700</v>
      </c>
      <c r="BS766" t="s">
        <v>13887</v>
      </c>
      <c r="BT766" t="s">
        <v>13808</v>
      </c>
      <c r="BU766" t="s">
        <v>14836</v>
      </c>
      <c r="BY766" t="s">
        <v>13887</v>
      </c>
      <c r="BZ766" t="s">
        <v>13808</v>
      </c>
      <c r="CA766" t="s">
        <v>13937</v>
      </c>
      <c r="CE766" t="s">
        <v>13887</v>
      </c>
      <c r="CF766" t="s">
        <v>13808</v>
      </c>
      <c r="CL766" t="s">
        <v>13809</v>
      </c>
      <c r="CR766" t="s">
        <v>13809</v>
      </c>
      <c r="CT766" t="s">
        <v>24701</v>
      </c>
      <c r="CU766" t="s">
        <v>13909</v>
      </c>
      <c r="CV766" t="s">
        <v>13818</v>
      </c>
      <c r="DA766" t="s">
        <v>13909</v>
      </c>
      <c r="DB766" t="s">
        <v>13818</v>
      </c>
      <c r="DG766" t="s">
        <v>13909</v>
      </c>
      <c r="DH766" t="s">
        <v>13818</v>
      </c>
      <c r="DZ766" t="s">
        <v>24702</v>
      </c>
      <c r="EA766" t="s">
        <v>16821</v>
      </c>
      <c r="EC766">
        <v>43480</v>
      </c>
      <c r="ED766" t="s">
        <v>13903</v>
      </c>
      <c r="EE766" t="s">
        <v>4452</v>
      </c>
    </row>
    <row r="767" spans="1:135">
      <c r="A767" t="s">
        <v>12812</v>
      </c>
      <c r="B767" t="s">
        <v>287</v>
      </c>
      <c r="C767" t="s">
        <v>24703</v>
      </c>
      <c r="D767" s="24">
        <v>43193</v>
      </c>
      <c r="E767" s="24" t="s">
        <v>13550</v>
      </c>
      <c r="F767" s="24" t="s">
        <v>24704</v>
      </c>
      <c r="G767" s="24" t="s">
        <v>13808</v>
      </c>
      <c r="H767" s="24"/>
      <c r="I767" s="24" t="s">
        <v>13809</v>
      </c>
      <c r="J767" s="24"/>
      <c r="K767" s="24" t="s">
        <v>13809</v>
      </c>
      <c r="L767" s="24"/>
      <c r="M767" s="24" t="s">
        <v>24705</v>
      </c>
      <c r="N767" s="24" t="s">
        <v>13808</v>
      </c>
      <c r="O767" s="24"/>
      <c r="P767" s="24" t="s">
        <v>13808</v>
      </c>
      <c r="Q767" s="24"/>
      <c r="R767" s="24" t="s">
        <v>13808</v>
      </c>
      <c r="S767" s="24"/>
      <c r="T767" t="s">
        <v>24706</v>
      </c>
      <c r="U767" t="s">
        <v>13809</v>
      </c>
      <c r="W767" t="s">
        <v>13809</v>
      </c>
      <c r="Y767" t="s">
        <v>13809</v>
      </c>
      <c r="AA767" t="s">
        <v>24707</v>
      </c>
      <c r="AB767" t="s">
        <v>16368</v>
      </c>
      <c r="AC767" t="s">
        <v>13818</v>
      </c>
      <c r="AH767" t="s">
        <v>14813</v>
      </c>
      <c r="AI767" t="s">
        <v>13818</v>
      </c>
      <c r="AJ767" t="s">
        <v>24708</v>
      </c>
      <c r="AN767" t="s">
        <v>14852</v>
      </c>
      <c r="AO767" t="s">
        <v>13818</v>
      </c>
      <c r="AT767" t="s">
        <v>15209</v>
      </c>
      <c r="AU767" t="s">
        <v>13818</v>
      </c>
      <c r="AZ767" t="s">
        <v>24709</v>
      </c>
      <c r="BA767" t="s">
        <v>13818</v>
      </c>
      <c r="BF767" t="s">
        <v>18680</v>
      </c>
      <c r="BG767" t="s">
        <v>13818</v>
      </c>
      <c r="BM767" t="s">
        <v>13809</v>
      </c>
      <c r="BR767" t="s">
        <v>24710</v>
      </c>
      <c r="BT767" t="s">
        <v>13809</v>
      </c>
      <c r="BY767" t="s">
        <v>14003</v>
      </c>
      <c r="BZ767" t="s">
        <v>13808</v>
      </c>
      <c r="CA767" t="s">
        <v>13937</v>
      </c>
      <c r="CE767" t="s">
        <v>13887</v>
      </c>
      <c r="CF767" t="s">
        <v>13818</v>
      </c>
      <c r="CG767" t="s">
        <v>24711</v>
      </c>
      <c r="CK767" t="s">
        <v>14003</v>
      </c>
      <c r="CL767" t="s">
        <v>13808</v>
      </c>
      <c r="CN767" t="s">
        <v>13885</v>
      </c>
      <c r="CO767" t="s">
        <v>13818</v>
      </c>
      <c r="CP767" t="s">
        <v>24711</v>
      </c>
      <c r="CR767" t="s">
        <v>13809</v>
      </c>
      <c r="CT767" t="s">
        <v>24712</v>
      </c>
      <c r="CU767" t="s">
        <v>14003</v>
      </c>
      <c r="CV767" t="s">
        <v>13808</v>
      </c>
      <c r="CX767" t="s">
        <v>18957</v>
      </c>
      <c r="CY767" t="s">
        <v>13818</v>
      </c>
      <c r="CZ767" t="s">
        <v>24708</v>
      </c>
      <c r="DA767" t="s">
        <v>14003</v>
      </c>
      <c r="DB767" t="s">
        <v>13808</v>
      </c>
      <c r="DD767" t="s">
        <v>14813</v>
      </c>
      <c r="DE767" t="s">
        <v>13818</v>
      </c>
      <c r="DF767" t="s">
        <v>24708</v>
      </c>
      <c r="DG767" t="s">
        <v>13909</v>
      </c>
      <c r="DH767" t="s">
        <v>13818</v>
      </c>
      <c r="DZ767" t="s">
        <v>15812</v>
      </c>
      <c r="EA767" t="s">
        <v>14201</v>
      </c>
      <c r="EC767">
        <v>43480</v>
      </c>
      <c r="ED767" t="s">
        <v>13903</v>
      </c>
      <c r="EE767" t="s">
        <v>13656</v>
      </c>
    </row>
    <row r="768" spans="1:135">
      <c r="A768" t="s">
        <v>475</v>
      </c>
      <c r="B768" t="s">
        <v>445</v>
      </c>
      <c r="C768" t="s">
        <v>24713</v>
      </c>
      <c r="D768" s="24">
        <v>43763</v>
      </c>
      <c r="E768" s="24" t="s">
        <v>13553</v>
      </c>
      <c r="F768" s="24" t="s">
        <v>24714</v>
      </c>
      <c r="G768" s="24" t="s">
        <v>13808</v>
      </c>
      <c r="H768" s="24"/>
      <c r="I768" s="24" t="s">
        <v>13809</v>
      </c>
      <c r="J768" s="24"/>
      <c r="K768" s="24" t="s">
        <v>13809</v>
      </c>
      <c r="L768" s="24"/>
      <c r="M768" s="24" t="s">
        <v>24715</v>
      </c>
      <c r="N768" s="24" t="s">
        <v>13808</v>
      </c>
      <c r="O768" s="24"/>
      <c r="P768" s="24" t="s">
        <v>13808</v>
      </c>
      <c r="Q768" s="24"/>
      <c r="R768" s="24" t="s">
        <v>13808</v>
      </c>
      <c r="S768" s="24"/>
      <c r="T768" t="s">
        <v>14429</v>
      </c>
      <c r="U768" t="s">
        <v>13809</v>
      </c>
      <c r="W768" t="s">
        <v>13808</v>
      </c>
      <c r="X768" t="s">
        <v>24716</v>
      </c>
      <c r="Y768" t="s">
        <v>13809</v>
      </c>
      <c r="AA768" t="s">
        <v>13877</v>
      </c>
      <c r="AB768" t="s">
        <v>18350</v>
      </c>
      <c r="AC768" t="s">
        <v>13808</v>
      </c>
      <c r="AH768" t="s">
        <v>13909</v>
      </c>
      <c r="AI768" t="s">
        <v>13808</v>
      </c>
      <c r="AJ768" t="s">
        <v>24717</v>
      </c>
      <c r="AN768" t="s">
        <v>14705</v>
      </c>
      <c r="AO768" t="s">
        <v>13808</v>
      </c>
      <c r="AT768" t="s">
        <v>14169</v>
      </c>
      <c r="AU768" t="s">
        <v>13808</v>
      </c>
      <c r="AZ768" t="s">
        <v>15883</v>
      </c>
      <c r="BA768" t="s">
        <v>13808</v>
      </c>
      <c r="BF768" t="s">
        <v>14189</v>
      </c>
      <c r="BG768" t="s">
        <v>13808</v>
      </c>
      <c r="BL768" t="s">
        <v>15209</v>
      </c>
      <c r="BM768" t="s">
        <v>13808</v>
      </c>
      <c r="BR768" t="s">
        <v>24718</v>
      </c>
      <c r="BS768" t="s">
        <v>13887</v>
      </c>
      <c r="BT768" t="s">
        <v>13818</v>
      </c>
      <c r="BU768" t="s">
        <v>24719</v>
      </c>
      <c r="BY768" t="s">
        <v>13887</v>
      </c>
      <c r="BZ768" t="s">
        <v>13808</v>
      </c>
      <c r="CA768" t="s">
        <v>14026</v>
      </c>
      <c r="CE768" t="s">
        <v>13885</v>
      </c>
      <c r="CF768" t="s">
        <v>13808</v>
      </c>
      <c r="CG768" t="s">
        <v>14173</v>
      </c>
      <c r="CK768" t="s">
        <v>14433</v>
      </c>
      <c r="CL768" t="s">
        <v>13808</v>
      </c>
      <c r="CM768" t="s">
        <v>14173</v>
      </c>
      <c r="CR768" t="s">
        <v>13809</v>
      </c>
      <c r="CT768" t="s">
        <v>24720</v>
      </c>
      <c r="CU768" t="s">
        <v>24721</v>
      </c>
      <c r="CV768" t="s">
        <v>13808</v>
      </c>
      <c r="DA768" t="s">
        <v>24722</v>
      </c>
      <c r="DB768" t="s">
        <v>13808</v>
      </c>
      <c r="DG768" t="s">
        <v>24723</v>
      </c>
      <c r="DH768" t="s">
        <v>13808</v>
      </c>
      <c r="DM768" t="s">
        <v>24724</v>
      </c>
      <c r="DN768" t="s">
        <v>13808</v>
      </c>
      <c r="DY768" t="s">
        <v>15828</v>
      </c>
      <c r="DZ768" t="s">
        <v>24725</v>
      </c>
      <c r="EA768" t="s">
        <v>14500</v>
      </c>
      <c r="EC768">
        <v>43783</v>
      </c>
      <c r="ED768" t="s">
        <v>17062</v>
      </c>
      <c r="EE768" t="s">
        <v>4917</v>
      </c>
    </row>
    <row r="769" spans="1:135">
      <c r="A769" t="s">
        <v>156</v>
      </c>
      <c r="B769" t="s">
        <v>147</v>
      </c>
      <c r="C769" t="s">
        <v>24726</v>
      </c>
      <c r="D769" s="24">
        <v>44756</v>
      </c>
      <c r="E769" s="24" t="s">
        <v>13555</v>
      </c>
      <c r="F769" s="24" t="s">
        <v>24727</v>
      </c>
      <c r="G769" s="24" t="s">
        <v>13808</v>
      </c>
      <c r="H769" s="24"/>
      <c r="I769" s="24" t="s">
        <v>13809</v>
      </c>
      <c r="J769" s="24"/>
      <c r="K769" s="24" t="s">
        <v>13809</v>
      </c>
      <c r="L769" s="24"/>
      <c r="M769" s="24" t="s">
        <v>13846</v>
      </c>
      <c r="N769" s="24" t="s">
        <v>13808</v>
      </c>
      <c r="O769" s="24"/>
      <c r="P769" s="24" t="s">
        <v>13808</v>
      </c>
      <c r="Q769" s="24"/>
      <c r="R769" s="24" t="s">
        <v>13808</v>
      </c>
      <c r="S769" s="24"/>
      <c r="T769" t="s">
        <v>13907</v>
      </c>
      <c r="U769" t="s">
        <v>13809</v>
      </c>
      <c r="W769" t="s">
        <v>13808</v>
      </c>
      <c r="X769" t="s">
        <v>24728</v>
      </c>
      <c r="Y769" t="s">
        <v>13809</v>
      </c>
      <c r="AA769" t="s">
        <v>14971</v>
      </c>
      <c r="AB769" t="s">
        <v>14771</v>
      </c>
      <c r="AC769" t="s">
        <v>13808</v>
      </c>
      <c r="AH769" t="s">
        <v>13851</v>
      </c>
      <c r="AI769" t="s">
        <v>13808</v>
      </c>
      <c r="AN769" t="s">
        <v>24729</v>
      </c>
      <c r="AO769" t="s">
        <v>13808</v>
      </c>
      <c r="AT769" t="s">
        <v>15110</v>
      </c>
      <c r="AU769" t="s">
        <v>13808</v>
      </c>
      <c r="AZ769" t="s">
        <v>24730</v>
      </c>
      <c r="BA769" t="s">
        <v>13808</v>
      </c>
      <c r="BF769" t="s">
        <v>24731</v>
      </c>
      <c r="BG769" t="s">
        <v>13808</v>
      </c>
      <c r="BL769" t="s">
        <v>13735</v>
      </c>
      <c r="BM769" t="s">
        <v>13809</v>
      </c>
      <c r="BR769" t="s">
        <v>24732</v>
      </c>
      <c r="BS769" t="s">
        <v>13824</v>
      </c>
      <c r="BT769" t="s">
        <v>13808</v>
      </c>
      <c r="BU769" t="s">
        <v>14233</v>
      </c>
      <c r="BY769" t="s">
        <v>15336</v>
      </c>
      <c r="BZ769" t="s">
        <v>13808</v>
      </c>
      <c r="CA769" t="s">
        <v>13937</v>
      </c>
      <c r="CE769" t="s">
        <v>13754</v>
      </c>
      <c r="CF769" t="s">
        <v>13809</v>
      </c>
      <c r="CK769" t="s">
        <v>14581</v>
      </c>
      <c r="CL769" t="s">
        <v>13808</v>
      </c>
      <c r="CQ769" t="s">
        <v>13766</v>
      </c>
      <c r="CR769" t="s">
        <v>13809</v>
      </c>
      <c r="CT769" t="s">
        <v>24733</v>
      </c>
      <c r="CU769" t="s">
        <v>24734</v>
      </c>
      <c r="CV769" t="s">
        <v>13808</v>
      </c>
      <c r="CX769" t="s">
        <v>24735</v>
      </c>
      <c r="CY769" t="s">
        <v>13818</v>
      </c>
      <c r="DA769" t="s">
        <v>24736</v>
      </c>
      <c r="DB769" t="s">
        <v>13808</v>
      </c>
      <c r="DD769" t="s">
        <v>24737</v>
      </c>
      <c r="DE769" t="s">
        <v>13818</v>
      </c>
      <c r="DM769" t="s">
        <v>24738</v>
      </c>
      <c r="DN769" t="s">
        <v>13808</v>
      </c>
      <c r="DZ769" t="s">
        <v>24739</v>
      </c>
      <c r="EA769" t="s">
        <v>16821</v>
      </c>
      <c r="EC769">
        <v>44756</v>
      </c>
      <c r="ED769" t="s">
        <v>17062</v>
      </c>
      <c r="EE769" t="s">
        <v>4593</v>
      </c>
    </row>
    <row r="770" spans="1:135">
      <c r="A770" t="s">
        <v>12841</v>
      </c>
      <c r="B770" t="s">
        <v>11</v>
      </c>
      <c r="C770" t="s">
        <v>24740</v>
      </c>
      <c r="D770" s="24">
        <v>44060</v>
      </c>
      <c r="E770" s="24" t="s">
        <v>13561</v>
      </c>
      <c r="F770" s="24" t="s">
        <v>24741</v>
      </c>
      <c r="G770" s="24" t="s">
        <v>13818</v>
      </c>
      <c r="H770" s="24"/>
      <c r="I770" s="24" t="s">
        <v>13809</v>
      </c>
      <c r="J770" s="24"/>
      <c r="K770" s="24" t="s">
        <v>13818</v>
      </c>
      <c r="L770" s="24"/>
      <c r="M770" s="24" t="s">
        <v>15021</v>
      </c>
      <c r="N770" s="24" t="s">
        <v>13808</v>
      </c>
      <c r="O770" s="24"/>
      <c r="P770" s="24" t="s">
        <v>13808</v>
      </c>
      <c r="Q770" s="24"/>
      <c r="R770" s="24" t="s">
        <v>13808</v>
      </c>
      <c r="S770" s="24"/>
      <c r="T770" t="s">
        <v>21943</v>
      </c>
      <c r="U770" t="s">
        <v>13809</v>
      </c>
      <c r="W770" t="s">
        <v>13809</v>
      </c>
      <c r="Y770" t="s">
        <v>13809</v>
      </c>
      <c r="AA770" t="s">
        <v>16322</v>
      </c>
      <c r="AB770" t="s">
        <v>15837</v>
      </c>
      <c r="AC770" t="s">
        <v>13809</v>
      </c>
      <c r="AH770" t="s">
        <v>13909</v>
      </c>
      <c r="AI770" t="s">
        <v>13818</v>
      </c>
      <c r="AO770" t="s">
        <v>13809</v>
      </c>
      <c r="AT770" t="s">
        <v>15898</v>
      </c>
      <c r="AU770" t="s">
        <v>13818</v>
      </c>
      <c r="AZ770" t="s">
        <v>24742</v>
      </c>
      <c r="BA770" t="s">
        <v>13818</v>
      </c>
      <c r="BF770" t="s">
        <v>15883</v>
      </c>
      <c r="BG770" t="s">
        <v>13818</v>
      </c>
      <c r="BM770" t="s">
        <v>13809</v>
      </c>
      <c r="BR770" t="s">
        <v>24743</v>
      </c>
      <c r="BS770" t="s">
        <v>14265</v>
      </c>
      <c r="BT770" t="s">
        <v>13818</v>
      </c>
      <c r="BY770" t="s">
        <v>13887</v>
      </c>
      <c r="BZ770" t="s">
        <v>13818</v>
      </c>
      <c r="CA770" t="s">
        <v>24744</v>
      </c>
      <c r="CE770" t="s">
        <v>14265</v>
      </c>
      <c r="CF770" t="s">
        <v>13818</v>
      </c>
      <c r="CL770" t="s">
        <v>13809</v>
      </c>
      <c r="CR770" t="s">
        <v>13809</v>
      </c>
      <c r="CT770" t="s">
        <v>24745</v>
      </c>
      <c r="CU770" t="s">
        <v>24746</v>
      </c>
      <c r="CV770" t="s">
        <v>13818</v>
      </c>
      <c r="DA770" t="s">
        <v>24747</v>
      </c>
      <c r="DB770" t="s">
        <v>13818</v>
      </c>
      <c r="DG770" t="s">
        <v>24748</v>
      </c>
      <c r="DH770" t="s">
        <v>13818</v>
      </c>
      <c r="DY770" t="s">
        <v>24749</v>
      </c>
      <c r="DZ770" t="s">
        <v>24750</v>
      </c>
      <c r="EA770" t="s">
        <v>24751</v>
      </c>
      <c r="ED770" t="s">
        <v>14608</v>
      </c>
      <c r="EE770" t="s">
        <v>13657</v>
      </c>
    </row>
    <row r="771" spans="1:135">
      <c r="A771" t="s">
        <v>160</v>
      </c>
      <c r="B771" t="s">
        <v>147</v>
      </c>
      <c r="C771" t="s">
        <v>24752</v>
      </c>
      <c r="D771" s="24">
        <v>44063</v>
      </c>
      <c r="E771" s="24" t="s">
        <v>13558</v>
      </c>
      <c r="F771" s="24" t="s">
        <v>24753</v>
      </c>
      <c r="G771" s="24" t="s">
        <v>13808</v>
      </c>
      <c r="H771" s="24"/>
      <c r="I771" s="24" t="s">
        <v>13809</v>
      </c>
      <c r="J771" s="24"/>
      <c r="K771" s="24" t="s">
        <v>13809</v>
      </c>
      <c r="L771" s="24"/>
      <c r="M771" s="24" t="s">
        <v>24754</v>
      </c>
      <c r="N771" s="24" t="s">
        <v>13808</v>
      </c>
      <c r="O771" s="24"/>
      <c r="P771" s="24" t="s">
        <v>13808</v>
      </c>
      <c r="Q771" s="24"/>
      <c r="R771" s="24" t="s">
        <v>13818</v>
      </c>
      <c r="S771" s="24" t="s">
        <v>24755</v>
      </c>
      <c r="T771" t="s">
        <v>14071</v>
      </c>
      <c r="U771" t="s">
        <v>13809</v>
      </c>
      <c r="W771" t="s">
        <v>13809</v>
      </c>
      <c r="Y771" t="s">
        <v>13809</v>
      </c>
      <c r="AA771" t="s">
        <v>24756</v>
      </c>
      <c r="AB771" t="s">
        <v>17154</v>
      </c>
      <c r="AC771" t="s">
        <v>13818</v>
      </c>
      <c r="AD771" t="s">
        <v>24757</v>
      </c>
      <c r="AH771" t="s">
        <v>24758</v>
      </c>
      <c r="AI771" t="s">
        <v>13808</v>
      </c>
      <c r="AO771" t="s">
        <v>13809</v>
      </c>
      <c r="AT771" t="s">
        <v>24759</v>
      </c>
      <c r="AU771" t="s">
        <v>13818</v>
      </c>
      <c r="AV771" t="s">
        <v>14414</v>
      </c>
      <c r="AZ771" t="s">
        <v>24760</v>
      </c>
      <c r="BA771" t="s">
        <v>13808</v>
      </c>
      <c r="BC771" t="s">
        <v>24761</v>
      </c>
      <c r="BD771" t="s">
        <v>13818</v>
      </c>
      <c r="BE771" t="s">
        <v>14309</v>
      </c>
      <c r="BF771" t="s">
        <v>14192</v>
      </c>
      <c r="BG771" t="s">
        <v>13808</v>
      </c>
      <c r="BL771" t="s">
        <v>14543</v>
      </c>
      <c r="BM771" t="s">
        <v>13818</v>
      </c>
      <c r="BN771" t="s">
        <v>14309</v>
      </c>
      <c r="BR771" t="s">
        <v>24762</v>
      </c>
      <c r="BS771" t="s">
        <v>13887</v>
      </c>
      <c r="BT771" t="s">
        <v>13818</v>
      </c>
      <c r="BU771" t="s">
        <v>24763</v>
      </c>
      <c r="BY771" t="s">
        <v>24764</v>
      </c>
      <c r="BZ771" t="s">
        <v>13818</v>
      </c>
      <c r="CA771" t="s">
        <v>13937</v>
      </c>
      <c r="CE771" t="s">
        <v>13887</v>
      </c>
      <c r="CF771" t="s">
        <v>13818</v>
      </c>
      <c r="CG771" t="s">
        <v>24757</v>
      </c>
      <c r="CL771" t="s">
        <v>13809</v>
      </c>
      <c r="CR771" t="s">
        <v>13809</v>
      </c>
      <c r="CT771" t="s">
        <v>24765</v>
      </c>
      <c r="CU771" t="s">
        <v>24766</v>
      </c>
      <c r="CV771" t="s">
        <v>13818</v>
      </c>
      <c r="DA771" t="s">
        <v>24767</v>
      </c>
      <c r="DB771" t="s">
        <v>13818</v>
      </c>
      <c r="DG771" t="s">
        <v>24768</v>
      </c>
      <c r="DH771" t="s">
        <v>13818</v>
      </c>
      <c r="DM771" t="s">
        <v>20459</v>
      </c>
      <c r="DN771" t="s">
        <v>13808</v>
      </c>
      <c r="DO771" t="s">
        <v>24769</v>
      </c>
      <c r="DY771" t="s">
        <v>13840</v>
      </c>
      <c r="DZ771" t="s">
        <v>13841</v>
      </c>
      <c r="EA771" t="s">
        <v>13842</v>
      </c>
      <c r="ED771" t="s">
        <v>14608</v>
      </c>
      <c r="EE771" t="s">
        <v>4597</v>
      </c>
    </row>
    <row r="772" spans="1:135">
      <c r="A772" t="s">
        <v>479</v>
      </c>
      <c r="B772" t="s">
        <v>445</v>
      </c>
      <c r="C772" t="s">
        <v>24770</v>
      </c>
      <c r="D772" s="24">
        <v>44755</v>
      </c>
      <c r="E772" s="24" t="s">
        <v>13553</v>
      </c>
      <c r="F772" s="24" t="s">
        <v>24771</v>
      </c>
      <c r="G772" s="24" t="s">
        <v>13808</v>
      </c>
      <c r="H772" s="24"/>
      <c r="I772" s="24" t="s">
        <v>13809</v>
      </c>
      <c r="J772" s="24"/>
      <c r="K772" s="24" t="s">
        <v>13808</v>
      </c>
      <c r="L772" s="24"/>
      <c r="M772" s="24" t="s">
        <v>13846</v>
      </c>
      <c r="N772" s="24" t="s">
        <v>13808</v>
      </c>
      <c r="O772" s="24"/>
      <c r="P772" s="24" t="s">
        <v>13808</v>
      </c>
      <c r="Q772" s="24"/>
      <c r="R772" s="24" t="s">
        <v>13808</v>
      </c>
      <c r="S772" s="24"/>
      <c r="T772" t="s">
        <v>13907</v>
      </c>
      <c r="U772" t="s">
        <v>13809</v>
      </c>
      <c r="W772" t="s">
        <v>13808</v>
      </c>
      <c r="X772" t="s">
        <v>24772</v>
      </c>
      <c r="Y772" t="s">
        <v>13809</v>
      </c>
      <c r="AA772" t="s">
        <v>13849</v>
      </c>
      <c r="AB772" t="s">
        <v>18208</v>
      </c>
      <c r="AC772" t="s">
        <v>13808</v>
      </c>
      <c r="AH772" t="s">
        <v>13851</v>
      </c>
      <c r="AI772" t="s">
        <v>13808</v>
      </c>
      <c r="AN772" t="s">
        <v>13711</v>
      </c>
      <c r="AO772" t="s">
        <v>13809</v>
      </c>
      <c r="AT772" t="s">
        <v>16922</v>
      </c>
      <c r="AU772" t="s">
        <v>13808</v>
      </c>
      <c r="AZ772" t="s">
        <v>14954</v>
      </c>
      <c r="BA772" t="s">
        <v>13808</v>
      </c>
      <c r="BF772" t="s">
        <v>16452</v>
      </c>
      <c r="BG772" t="s">
        <v>13808</v>
      </c>
      <c r="BL772" t="s">
        <v>13735</v>
      </c>
      <c r="BM772" t="s">
        <v>13809</v>
      </c>
      <c r="BR772" t="s">
        <v>24773</v>
      </c>
      <c r="BS772" t="s">
        <v>13824</v>
      </c>
      <c r="BT772" t="s">
        <v>13808</v>
      </c>
      <c r="BU772" t="s">
        <v>14336</v>
      </c>
      <c r="BY772" t="s">
        <v>13860</v>
      </c>
      <c r="BZ772" t="s">
        <v>13808</v>
      </c>
      <c r="CA772" t="s">
        <v>13937</v>
      </c>
      <c r="CE772" t="s">
        <v>14292</v>
      </c>
      <c r="CF772" t="s">
        <v>13808</v>
      </c>
      <c r="CK772" t="s">
        <v>13760</v>
      </c>
      <c r="CL772" t="s">
        <v>13809</v>
      </c>
      <c r="CQ772" t="s">
        <v>13766</v>
      </c>
      <c r="CR772" t="s">
        <v>13809</v>
      </c>
      <c r="CT772" t="s">
        <v>24774</v>
      </c>
      <c r="CU772" t="s">
        <v>24775</v>
      </c>
      <c r="CV772" t="s">
        <v>13808</v>
      </c>
      <c r="DA772" t="s">
        <v>24776</v>
      </c>
      <c r="DB772" t="s">
        <v>13808</v>
      </c>
      <c r="DM772" t="s">
        <v>24777</v>
      </c>
      <c r="DN772" t="s">
        <v>13808</v>
      </c>
      <c r="DP772" t="s">
        <v>24778</v>
      </c>
      <c r="DQ772" t="s">
        <v>13808</v>
      </c>
      <c r="DY772" t="s">
        <v>13869</v>
      </c>
      <c r="DZ772" t="s">
        <v>24779</v>
      </c>
      <c r="EA772" t="s">
        <v>13871</v>
      </c>
      <c r="EC772">
        <v>44755</v>
      </c>
      <c r="ED772" t="s">
        <v>17062</v>
      </c>
      <c r="EE772" t="s">
        <v>4921</v>
      </c>
    </row>
    <row r="773" spans="1:135">
      <c r="A773" t="s">
        <v>483</v>
      </c>
      <c r="B773" t="s">
        <v>445</v>
      </c>
      <c r="C773" t="s">
        <v>24780</v>
      </c>
      <c r="D773" s="24">
        <v>43558</v>
      </c>
      <c r="E773" s="24" t="s">
        <v>13553</v>
      </c>
      <c r="F773" s="24" t="s">
        <v>24781</v>
      </c>
      <c r="G773" s="24" t="s">
        <v>13808</v>
      </c>
      <c r="H773" s="24"/>
      <c r="I773" s="24" t="s">
        <v>13809</v>
      </c>
      <c r="J773" s="24"/>
      <c r="K773" s="24" t="s">
        <v>13809</v>
      </c>
      <c r="L773" s="24"/>
      <c r="M773" s="24" t="s">
        <v>14163</v>
      </c>
      <c r="N773" s="24" t="s">
        <v>13808</v>
      </c>
      <c r="O773" s="24"/>
      <c r="P773" s="24" t="s">
        <v>13808</v>
      </c>
      <c r="Q773" s="24"/>
      <c r="R773" s="24" t="s">
        <v>13808</v>
      </c>
      <c r="S773" s="24"/>
      <c r="T773" t="s">
        <v>14429</v>
      </c>
      <c r="U773" t="s">
        <v>13808</v>
      </c>
      <c r="W773" t="s">
        <v>13808</v>
      </c>
      <c r="X773" t="s">
        <v>14429</v>
      </c>
      <c r="Y773" t="s">
        <v>13809</v>
      </c>
      <c r="AA773" t="s">
        <v>13877</v>
      </c>
      <c r="AB773" t="s">
        <v>17868</v>
      </c>
      <c r="AC773" t="s">
        <v>13808</v>
      </c>
      <c r="AH773" t="s">
        <v>13909</v>
      </c>
      <c r="AI773" t="s">
        <v>13808</v>
      </c>
      <c r="AO773" t="s">
        <v>13809</v>
      </c>
      <c r="AT773" t="s">
        <v>24782</v>
      </c>
      <c r="AU773" t="s">
        <v>13808</v>
      </c>
      <c r="AZ773" t="s">
        <v>14260</v>
      </c>
      <c r="BA773" t="s">
        <v>13808</v>
      </c>
      <c r="BF773" t="s">
        <v>15883</v>
      </c>
      <c r="BG773" t="s">
        <v>13808</v>
      </c>
      <c r="BL773" t="s">
        <v>14058</v>
      </c>
      <c r="BM773" t="s">
        <v>13808</v>
      </c>
      <c r="BR773" t="s">
        <v>24783</v>
      </c>
      <c r="BT773" t="s">
        <v>13809</v>
      </c>
      <c r="BY773" t="s">
        <v>14265</v>
      </c>
      <c r="BZ773" t="s">
        <v>13808</v>
      </c>
      <c r="CA773" t="s">
        <v>13861</v>
      </c>
      <c r="CE773" t="s">
        <v>13885</v>
      </c>
      <c r="CF773" t="s">
        <v>13808</v>
      </c>
      <c r="CG773" t="s">
        <v>24784</v>
      </c>
      <c r="CK773" t="s">
        <v>13887</v>
      </c>
      <c r="CL773" t="s">
        <v>13808</v>
      </c>
      <c r="CM773" t="s">
        <v>13863</v>
      </c>
      <c r="CR773" t="s">
        <v>13809</v>
      </c>
      <c r="CT773" t="s">
        <v>24785</v>
      </c>
      <c r="CU773" t="s">
        <v>24786</v>
      </c>
      <c r="CV773" t="s">
        <v>13808</v>
      </c>
      <c r="DA773" t="s">
        <v>24787</v>
      </c>
      <c r="DB773" t="s">
        <v>13808</v>
      </c>
      <c r="DH773" t="s">
        <v>13809</v>
      </c>
      <c r="DM773" t="s">
        <v>24788</v>
      </c>
      <c r="DN773" t="s">
        <v>13808</v>
      </c>
      <c r="DZ773" t="s">
        <v>24789</v>
      </c>
      <c r="EA773" t="s">
        <v>19319</v>
      </c>
      <c r="ED773" t="s">
        <v>13903</v>
      </c>
      <c r="EE773" t="s">
        <v>4925</v>
      </c>
    </row>
    <row r="774" spans="1:135">
      <c r="A774" t="s">
        <v>168</v>
      </c>
      <c r="B774" t="s">
        <v>147</v>
      </c>
      <c r="C774" t="s">
        <v>24790</v>
      </c>
      <c r="D774" s="24">
        <v>44225</v>
      </c>
      <c r="E774" s="24" t="s">
        <v>13558</v>
      </c>
      <c r="F774" s="24" t="s">
        <v>24791</v>
      </c>
      <c r="G774" s="24" t="s">
        <v>13808</v>
      </c>
      <c r="H774" s="24"/>
      <c r="I774" s="24" t="s">
        <v>13809</v>
      </c>
      <c r="J774" s="24"/>
      <c r="K774" s="24" t="s">
        <v>13808</v>
      </c>
      <c r="L774" s="24"/>
      <c r="M774" s="24" t="s">
        <v>24648</v>
      </c>
      <c r="N774" s="24" t="s">
        <v>13808</v>
      </c>
      <c r="O774" s="24"/>
      <c r="P774" s="24" t="s">
        <v>13808</v>
      </c>
      <c r="Q774" s="24"/>
      <c r="R774" s="24" t="s">
        <v>13808</v>
      </c>
      <c r="S774" s="24"/>
      <c r="T774" t="s">
        <v>24792</v>
      </c>
      <c r="U774" t="s">
        <v>13809</v>
      </c>
      <c r="W774" t="s">
        <v>13809</v>
      </c>
      <c r="Y774" t="s">
        <v>13809</v>
      </c>
      <c r="AA774" t="s">
        <v>24793</v>
      </c>
      <c r="AB774" t="s">
        <v>22437</v>
      </c>
      <c r="AC774" t="s">
        <v>13818</v>
      </c>
      <c r="AD774" t="s">
        <v>24794</v>
      </c>
      <c r="AH774" t="s">
        <v>24795</v>
      </c>
      <c r="AI774" t="s">
        <v>13808</v>
      </c>
      <c r="AO774" t="s">
        <v>13809</v>
      </c>
      <c r="AT774" t="s">
        <v>15209</v>
      </c>
      <c r="AU774" t="s">
        <v>13818</v>
      </c>
      <c r="AV774" t="s">
        <v>13819</v>
      </c>
      <c r="AZ774" t="s">
        <v>24796</v>
      </c>
      <c r="BA774" t="s">
        <v>13818</v>
      </c>
      <c r="BB774" t="s">
        <v>14414</v>
      </c>
      <c r="BF774" t="s">
        <v>24797</v>
      </c>
      <c r="BG774" t="s">
        <v>13818</v>
      </c>
      <c r="BH774" t="s">
        <v>14309</v>
      </c>
      <c r="BM774" t="s">
        <v>13809</v>
      </c>
      <c r="BR774" t="s">
        <v>24798</v>
      </c>
      <c r="BS774" t="s">
        <v>13885</v>
      </c>
      <c r="BT774" t="s">
        <v>13818</v>
      </c>
      <c r="BU774" t="s">
        <v>24799</v>
      </c>
      <c r="BY774" t="s">
        <v>13887</v>
      </c>
      <c r="BZ774" t="s">
        <v>13808</v>
      </c>
      <c r="CA774" t="s">
        <v>24800</v>
      </c>
      <c r="CE774" t="s">
        <v>24801</v>
      </c>
      <c r="CF774" t="s">
        <v>13818</v>
      </c>
      <c r="CG774" t="s">
        <v>24802</v>
      </c>
      <c r="CK774" t="s">
        <v>24803</v>
      </c>
      <c r="CL774" t="s">
        <v>13808</v>
      </c>
      <c r="CR774" t="s">
        <v>13809</v>
      </c>
      <c r="CT774" t="s">
        <v>24804</v>
      </c>
      <c r="CU774" t="s">
        <v>24805</v>
      </c>
      <c r="CV774" t="s">
        <v>13818</v>
      </c>
      <c r="CX774" t="s">
        <v>24806</v>
      </c>
      <c r="CY774" t="s">
        <v>13818</v>
      </c>
      <c r="DA774" t="s">
        <v>24807</v>
      </c>
      <c r="DB774" t="s">
        <v>14262</v>
      </c>
      <c r="DD774" t="s">
        <v>24808</v>
      </c>
      <c r="DM774" t="s">
        <v>24809</v>
      </c>
      <c r="DN774" t="s">
        <v>13818</v>
      </c>
      <c r="DP774" t="s">
        <v>24810</v>
      </c>
      <c r="DQ774" t="s">
        <v>13818</v>
      </c>
      <c r="DY774" t="s">
        <v>15144</v>
      </c>
      <c r="DZ774" t="s">
        <v>24811</v>
      </c>
      <c r="EA774" t="s">
        <v>14461</v>
      </c>
      <c r="ED774" t="s">
        <v>14608</v>
      </c>
      <c r="EE774" t="s">
        <v>4602</v>
      </c>
    </row>
    <row r="775" spans="1:135">
      <c r="A775" t="s">
        <v>12881</v>
      </c>
      <c r="B775" t="s">
        <v>914</v>
      </c>
      <c r="C775" t="s">
        <v>24812</v>
      </c>
      <c r="D775" s="24">
        <v>44169</v>
      </c>
      <c r="E775" s="24" t="s">
        <v>13550</v>
      </c>
      <c r="F775" s="24" t="s">
        <v>24813</v>
      </c>
      <c r="G775" s="24" t="s">
        <v>13808</v>
      </c>
      <c r="H775" s="24"/>
      <c r="I775" s="24" t="s">
        <v>13809</v>
      </c>
      <c r="J775" s="24"/>
      <c r="K775" s="24" t="s">
        <v>13809</v>
      </c>
      <c r="L775" s="24"/>
      <c r="M775" s="24" t="s">
        <v>15106</v>
      </c>
      <c r="N775" s="24" t="s">
        <v>13808</v>
      </c>
      <c r="O775" s="24"/>
      <c r="P775" s="24" t="s">
        <v>13808</v>
      </c>
      <c r="Q775" s="24"/>
      <c r="R775" s="24" t="s">
        <v>13808</v>
      </c>
      <c r="S775" s="24"/>
      <c r="T775" t="s">
        <v>14071</v>
      </c>
      <c r="U775" t="s">
        <v>13809</v>
      </c>
      <c r="W775" t="s">
        <v>13809</v>
      </c>
      <c r="Y775" t="s">
        <v>13809</v>
      </c>
      <c r="AA775" t="s">
        <v>24814</v>
      </c>
      <c r="AC775" t="s">
        <v>13809</v>
      </c>
      <c r="AH775" t="s">
        <v>13909</v>
      </c>
      <c r="AI775" t="s">
        <v>13818</v>
      </c>
      <c r="AJ775" t="s">
        <v>14309</v>
      </c>
      <c r="AN775" t="s">
        <v>19390</v>
      </c>
      <c r="AO775" t="s">
        <v>13818</v>
      </c>
      <c r="AP775" t="s">
        <v>24815</v>
      </c>
      <c r="AT775" t="s">
        <v>15834</v>
      </c>
      <c r="AU775" t="s">
        <v>13818</v>
      </c>
      <c r="AV775" t="s">
        <v>14309</v>
      </c>
      <c r="AZ775" t="s">
        <v>24816</v>
      </c>
      <c r="BA775" t="s">
        <v>13818</v>
      </c>
      <c r="BB775" t="s">
        <v>14309</v>
      </c>
      <c r="BF775" t="s">
        <v>15883</v>
      </c>
      <c r="BG775" t="s">
        <v>13808</v>
      </c>
      <c r="BL775" t="s">
        <v>16105</v>
      </c>
      <c r="BM775" t="s">
        <v>13818</v>
      </c>
      <c r="BN775" t="s">
        <v>14309</v>
      </c>
      <c r="BR775" t="s">
        <v>24817</v>
      </c>
      <c r="BS775" t="s">
        <v>13885</v>
      </c>
      <c r="BT775" t="s">
        <v>13818</v>
      </c>
      <c r="BU775" t="s">
        <v>24818</v>
      </c>
      <c r="BY775" t="s">
        <v>13887</v>
      </c>
      <c r="BZ775" t="s">
        <v>13808</v>
      </c>
      <c r="CA775" t="s">
        <v>13937</v>
      </c>
      <c r="CE775" t="s">
        <v>13887</v>
      </c>
      <c r="CF775" t="s">
        <v>13808</v>
      </c>
      <c r="CL775" t="s">
        <v>13809</v>
      </c>
      <c r="CR775" t="s">
        <v>13809</v>
      </c>
      <c r="CT775" t="s">
        <v>13830</v>
      </c>
      <c r="CU775" t="s">
        <v>24819</v>
      </c>
      <c r="CV775" t="s">
        <v>13818</v>
      </c>
      <c r="DA775" t="s">
        <v>24820</v>
      </c>
      <c r="DB775" t="s">
        <v>13818</v>
      </c>
      <c r="DM775" t="s">
        <v>24821</v>
      </c>
      <c r="DN775" t="s">
        <v>13818</v>
      </c>
      <c r="DO775" t="s">
        <v>24822</v>
      </c>
      <c r="DP775" t="s">
        <v>24823</v>
      </c>
      <c r="DQ775" t="s">
        <v>13818</v>
      </c>
      <c r="DY775" t="s">
        <v>24824</v>
      </c>
      <c r="DZ775" t="s">
        <v>24825</v>
      </c>
      <c r="EA775" t="s">
        <v>13842</v>
      </c>
      <c r="EC775">
        <v>44265</v>
      </c>
      <c r="ED775" t="s">
        <v>14608</v>
      </c>
      <c r="EE775" t="s">
        <v>13658</v>
      </c>
    </row>
    <row r="776" spans="1:135">
      <c r="A776" t="s">
        <v>28</v>
      </c>
      <c r="B776" t="s">
        <v>11</v>
      </c>
      <c r="C776" t="s">
        <v>24826</v>
      </c>
      <c r="D776" s="24">
        <v>43693</v>
      </c>
      <c r="E776" s="24" t="s">
        <v>13564</v>
      </c>
      <c r="F776" s="24" t="s">
        <v>24827</v>
      </c>
      <c r="G776" s="24" t="s">
        <v>13808</v>
      </c>
      <c r="H776" s="24"/>
      <c r="I776" s="24" t="s">
        <v>13809</v>
      </c>
      <c r="J776" s="24"/>
      <c r="K776" s="24" t="s">
        <v>13809</v>
      </c>
      <c r="L776" s="24"/>
      <c r="M776" s="24" t="s">
        <v>24828</v>
      </c>
      <c r="N776" s="24" t="s">
        <v>13808</v>
      </c>
      <c r="O776" s="24"/>
      <c r="P776" s="24" t="s">
        <v>13818</v>
      </c>
      <c r="Q776" s="24" t="s">
        <v>23233</v>
      </c>
      <c r="R776" s="24" t="s">
        <v>13808</v>
      </c>
      <c r="S776" s="24"/>
      <c r="T776" t="s">
        <v>13907</v>
      </c>
      <c r="U776" t="s">
        <v>13809</v>
      </c>
      <c r="W776" t="s">
        <v>13808</v>
      </c>
      <c r="X776" t="s">
        <v>24829</v>
      </c>
      <c r="Y776" t="s">
        <v>13809</v>
      </c>
      <c r="AA776" t="s">
        <v>15089</v>
      </c>
      <c r="AB776" t="s">
        <v>13850</v>
      </c>
      <c r="AC776" t="s">
        <v>13809</v>
      </c>
      <c r="AH776" t="s">
        <v>13851</v>
      </c>
      <c r="AI776" t="s">
        <v>13808</v>
      </c>
      <c r="AN776" t="s">
        <v>24830</v>
      </c>
      <c r="AO776" t="s">
        <v>13808</v>
      </c>
      <c r="AT776" t="s">
        <v>15245</v>
      </c>
      <c r="AU776" t="s">
        <v>13808</v>
      </c>
      <c r="AZ776" t="s">
        <v>24831</v>
      </c>
      <c r="BA776" t="s">
        <v>13808</v>
      </c>
      <c r="BF776" t="s">
        <v>24832</v>
      </c>
      <c r="BG776" t="s">
        <v>13808</v>
      </c>
      <c r="BL776" t="s">
        <v>13934</v>
      </c>
      <c r="BM776" t="s">
        <v>13809</v>
      </c>
      <c r="BR776" t="s">
        <v>24833</v>
      </c>
      <c r="BS776" t="s">
        <v>14213</v>
      </c>
      <c r="BT776" t="s">
        <v>13808</v>
      </c>
      <c r="BU776" t="s">
        <v>13985</v>
      </c>
      <c r="BY776" t="s">
        <v>13986</v>
      </c>
      <c r="BZ776" t="s">
        <v>13808</v>
      </c>
      <c r="CA776" t="s">
        <v>13937</v>
      </c>
      <c r="CE776" t="s">
        <v>13754</v>
      </c>
      <c r="CF776" t="s">
        <v>13809</v>
      </c>
      <c r="CK776" t="s">
        <v>13760</v>
      </c>
      <c r="CL776" t="s">
        <v>13809</v>
      </c>
      <c r="CQ776" t="s">
        <v>13766</v>
      </c>
      <c r="CR776" t="s">
        <v>13809</v>
      </c>
      <c r="CT776" t="s">
        <v>24834</v>
      </c>
      <c r="CU776" t="s">
        <v>24835</v>
      </c>
      <c r="CV776" t="s">
        <v>13808</v>
      </c>
      <c r="CX776" t="s">
        <v>24836</v>
      </c>
      <c r="CY776" t="s">
        <v>13818</v>
      </c>
      <c r="DA776" t="s">
        <v>24837</v>
      </c>
      <c r="DB776" t="s">
        <v>13808</v>
      </c>
      <c r="DD776" t="s">
        <v>24836</v>
      </c>
      <c r="DE776" t="s">
        <v>13818</v>
      </c>
      <c r="DH776" t="s">
        <v>13808</v>
      </c>
      <c r="DM776" t="s">
        <v>24838</v>
      </c>
      <c r="DN776" t="s">
        <v>13808</v>
      </c>
      <c r="DP776" t="s">
        <v>24839</v>
      </c>
      <c r="DQ776" t="s">
        <v>13808</v>
      </c>
      <c r="DY776" t="s">
        <v>14606</v>
      </c>
      <c r="DZ776" t="s">
        <v>14341</v>
      </c>
      <c r="EA776" t="s">
        <v>14666</v>
      </c>
      <c r="EC776">
        <v>44627</v>
      </c>
      <c r="ED776" t="s">
        <v>13843</v>
      </c>
      <c r="EE776" t="s">
        <v>4460</v>
      </c>
    </row>
    <row r="777" spans="1:135">
      <c r="A777" t="s">
        <v>715</v>
      </c>
      <c r="B777" t="s">
        <v>710</v>
      </c>
      <c r="C777" t="s">
        <v>24840</v>
      </c>
      <c r="D777" s="24">
        <v>43194</v>
      </c>
      <c r="E777" s="24" t="s">
        <v>13560</v>
      </c>
      <c r="F777" s="24" t="s">
        <v>24841</v>
      </c>
      <c r="G777" s="24" t="s">
        <v>13808</v>
      </c>
      <c r="H777" s="24"/>
      <c r="I777" s="24" t="s">
        <v>13809</v>
      </c>
      <c r="J777" s="24"/>
      <c r="K777" s="24" t="s">
        <v>13808</v>
      </c>
      <c r="L777" s="24"/>
      <c r="M777" s="24" t="s">
        <v>14304</v>
      </c>
      <c r="N777" s="24" t="s">
        <v>13808</v>
      </c>
      <c r="O777" s="24"/>
      <c r="P777" s="24" t="s">
        <v>13808</v>
      </c>
      <c r="Q777" s="24"/>
      <c r="R777" s="24" t="s">
        <v>13808</v>
      </c>
      <c r="S777" s="24"/>
      <c r="T777" t="s">
        <v>24842</v>
      </c>
      <c r="U777" t="s">
        <v>13809</v>
      </c>
      <c r="W777" t="s">
        <v>13808</v>
      </c>
      <c r="X777" t="s">
        <v>24843</v>
      </c>
      <c r="Y777" t="s">
        <v>13809</v>
      </c>
      <c r="AA777" t="s">
        <v>24844</v>
      </c>
      <c r="AB777" t="s">
        <v>13699</v>
      </c>
      <c r="AC777" t="s">
        <v>13809</v>
      </c>
      <c r="AH777" t="s">
        <v>24845</v>
      </c>
      <c r="AI777" t="s">
        <v>13808</v>
      </c>
      <c r="AK777" t="s">
        <v>24846</v>
      </c>
      <c r="AL777" t="s">
        <v>13818</v>
      </c>
      <c r="AM777" t="s">
        <v>24847</v>
      </c>
      <c r="AN777" t="s">
        <v>24848</v>
      </c>
      <c r="AO777" t="s">
        <v>13818</v>
      </c>
      <c r="AP777" t="s">
        <v>14414</v>
      </c>
      <c r="AT777" t="s">
        <v>24849</v>
      </c>
      <c r="AU777" t="s">
        <v>13818</v>
      </c>
      <c r="AV777" t="s">
        <v>14414</v>
      </c>
      <c r="AZ777" t="s">
        <v>13981</v>
      </c>
      <c r="BA777" t="s">
        <v>13808</v>
      </c>
      <c r="BF777" t="s">
        <v>24850</v>
      </c>
      <c r="BG777" t="s">
        <v>13808</v>
      </c>
      <c r="BL777" t="s">
        <v>13735</v>
      </c>
      <c r="BM777" t="s">
        <v>13809</v>
      </c>
      <c r="BR777" t="s">
        <v>24851</v>
      </c>
      <c r="BS777" t="s">
        <v>14290</v>
      </c>
      <c r="BT777" t="s">
        <v>13808</v>
      </c>
      <c r="BU777" t="s">
        <v>14528</v>
      </c>
      <c r="BY777" t="s">
        <v>14337</v>
      </c>
      <c r="BZ777" t="s">
        <v>13808</v>
      </c>
      <c r="CA777" t="s">
        <v>13937</v>
      </c>
      <c r="CE777" t="s">
        <v>13828</v>
      </c>
      <c r="CF777" t="s">
        <v>13808</v>
      </c>
      <c r="CK777" t="s">
        <v>13760</v>
      </c>
      <c r="CL777" t="s">
        <v>13809</v>
      </c>
      <c r="CQ777" t="s">
        <v>13766</v>
      </c>
      <c r="CR777" t="s">
        <v>13809</v>
      </c>
      <c r="CT777" t="s">
        <v>22106</v>
      </c>
      <c r="CU777" t="s">
        <v>24852</v>
      </c>
      <c r="CV777" t="s">
        <v>13808</v>
      </c>
      <c r="CX777" t="s">
        <v>23907</v>
      </c>
      <c r="CY777" t="s">
        <v>13818</v>
      </c>
      <c r="DA777" t="s">
        <v>24853</v>
      </c>
      <c r="DB777" t="s">
        <v>13808</v>
      </c>
      <c r="DD777" t="s">
        <v>23907</v>
      </c>
      <c r="DE777" t="s">
        <v>13818</v>
      </c>
      <c r="DG777" t="s">
        <v>14240</v>
      </c>
      <c r="DH777" t="s">
        <v>13808</v>
      </c>
      <c r="DZ777" t="s">
        <v>14341</v>
      </c>
      <c r="EA777" t="s">
        <v>15744</v>
      </c>
      <c r="EC777">
        <v>44669</v>
      </c>
      <c r="ED777" t="s">
        <v>17062</v>
      </c>
      <c r="EE777" t="s">
        <v>5152</v>
      </c>
    </row>
    <row r="778" spans="1:135">
      <c r="A778" t="s">
        <v>12927</v>
      </c>
      <c r="B778" t="s">
        <v>287</v>
      </c>
      <c r="C778" t="s">
        <v>24854</v>
      </c>
      <c r="D778" s="24">
        <v>44176</v>
      </c>
      <c r="E778" s="24" t="s">
        <v>13550</v>
      </c>
      <c r="F778" s="24" t="s">
        <v>24855</v>
      </c>
      <c r="G778" s="24" t="s">
        <v>13808</v>
      </c>
      <c r="H778" s="24"/>
      <c r="I778" s="24" t="s">
        <v>13809</v>
      </c>
      <c r="J778" s="24"/>
      <c r="K778" s="24" t="s">
        <v>13808</v>
      </c>
      <c r="L778" s="24"/>
      <c r="M778" s="24" t="s">
        <v>15805</v>
      </c>
      <c r="N778" s="24" t="s">
        <v>13808</v>
      </c>
      <c r="O778" s="24"/>
      <c r="P778" s="24" t="s">
        <v>13808</v>
      </c>
      <c r="Q778" s="24"/>
      <c r="R778" s="24" t="s">
        <v>13808</v>
      </c>
      <c r="S778" s="24"/>
      <c r="T778" t="s">
        <v>24856</v>
      </c>
      <c r="U778" t="s">
        <v>13809</v>
      </c>
      <c r="W778" t="s">
        <v>13809</v>
      </c>
      <c r="Y778" t="s">
        <v>13809</v>
      </c>
      <c r="AA778" t="s">
        <v>24814</v>
      </c>
      <c r="AB778" t="s">
        <v>16360</v>
      </c>
      <c r="AC778" t="s">
        <v>13818</v>
      </c>
      <c r="AD778" t="s">
        <v>14309</v>
      </c>
      <c r="AH778" t="s">
        <v>13909</v>
      </c>
      <c r="AI778" t="s">
        <v>13818</v>
      </c>
      <c r="AJ778" t="s">
        <v>14309</v>
      </c>
      <c r="AO778" t="s">
        <v>13809</v>
      </c>
      <c r="AT778" t="s">
        <v>21226</v>
      </c>
      <c r="AU778" t="s">
        <v>13818</v>
      </c>
      <c r="AV778" t="s">
        <v>14309</v>
      </c>
      <c r="AZ778" t="s">
        <v>14598</v>
      </c>
      <c r="BA778" t="s">
        <v>13818</v>
      </c>
      <c r="BB778" t="s">
        <v>14309</v>
      </c>
      <c r="BF778" t="s">
        <v>24857</v>
      </c>
      <c r="BG778" t="s">
        <v>13818</v>
      </c>
      <c r="BH778" t="s">
        <v>14309</v>
      </c>
      <c r="BM778" t="s">
        <v>13809</v>
      </c>
      <c r="BR778" t="s">
        <v>24858</v>
      </c>
      <c r="BS778" t="s">
        <v>13885</v>
      </c>
      <c r="BT778" t="s">
        <v>13818</v>
      </c>
      <c r="BU778" t="s">
        <v>20021</v>
      </c>
      <c r="BY778" t="s">
        <v>13887</v>
      </c>
      <c r="BZ778" t="s">
        <v>13818</v>
      </c>
      <c r="CA778" t="s">
        <v>24859</v>
      </c>
      <c r="CE778" t="s">
        <v>13887</v>
      </c>
      <c r="CF778" t="s">
        <v>13818</v>
      </c>
      <c r="CG778" t="s">
        <v>15645</v>
      </c>
      <c r="CK778" t="s">
        <v>13887</v>
      </c>
      <c r="CL778" t="s">
        <v>13808</v>
      </c>
      <c r="CQ778" t="s">
        <v>14265</v>
      </c>
      <c r="CR778" t="s">
        <v>13818</v>
      </c>
      <c r="CS778" t="s">
        <v>14309</v>
      </c>
      <c r="CT778" t="s">
        <v>14781</v>
      </c>
      <c r="CU778" t="s">
        <v>24860</v>
      </c>
      <c r="CV778" t="s">
        <v>13818</v>
      </c>
      <c r="DA778" t="s">
        <v>24861</v>
      </c>
      <c r="DB778" t="s">
        <v>13818</v>
      </c>
      <c r="DG778" t="s">
        <v>24862</v>
      </c>
      <c r="DH778" t="s">
        <v>13818</v>
      </c>
      <c r="DM778" t="s">
        <v>24863</v>
      </c>
      <c r="DN778" t="s">
        <v>13818</v>
      </c>
      <c r="DY778" t="s">
        <v>15364</v>
      </c>
      <c r="DZ778" t="s">
        <v>24864</v>
      </c>
      <c r="EA778" t="s">
        <v>14461</v>
      </c>
      <c r="EC778">
        <v>44265</v>
      </c>
      <c r="ED778" t="s">
        <v>14608</v>
      </c>
      <c r="EE778" t="s">
        <v>13659</v>
      </c>
    </row>
    <row r="779" spans="1:135">
      <c r="A779" t="s">
        <v>173</v>
      </c>
      <c r="B779" t="s">
        <v>147</v>
      </c>
      <c r="C779" t="s">
        <v>24865</v>
      </c>
      <c r="D779" s="24">
        <v>44756</v>
      </c>
      <c r="E779" s="24" t="s">
        <v>13555</v>
      </c>
      <c r="F779" s="24" t="s">
        <v>24866</v>
      </c>
      <c r="G779" s="24" t="s">
        <v>13808</v>
      </c>
      <c r="H779" s="24"/>
      <c r="I779" s="24" t="s">
        <v>13809</v>
      </c>
      <c r="J779" s="24"/>
      <c r="K779" s="24" t="s">
        <v>13808</v>
      </c>
      <c r="L779" s="24"/>
      <c r="M779" s="24" t="s">
        <v>13846</v>
      </c>
      <c r="N779" s="24" t="s">
        <v>13808</v>
      </c>
      <c r="O779" s="24"/>
      <c r="P779" s="24" t="s">
        <v>13808</v>
      </c>
      <c r="Q779" s="24"/>
      <c r="R779" s="24" t="s">
        <v>13808</v>
      </c>
      <c r="S779" s="24"/>
      <c r="T779" t="s">
        <v>14863</v>
      </c>
      <c r="U779" t="s">
        <v>13809</v>
      </c>
      <c r="W779" t="s">
        <v>13808</v>
      </c>
      <c r="X779" t="s">
        <v>24867</v>
      </c>
      <c r="Y779" t="s">
        <v>13808</v>
      </c>
      <c r="AA779" t="s">
        <v>14971</v>
      </c>
      <c r="AB779" t="s">
        <v>15348</v>
      </c>
      <c r="AC779" t="s">
        <v>13809</v>
      </c>
      <c r="AH779" t="s">
        <v>13851</v>
      </c>
      <c r="AI779" t="s">
        <v>13808</v>
      </c>
      <c r="AN779" t="s">
        <v>24868</v>
      </c>
      <c r="AO779" t="s">
        <v>13808</v>
      </c>
      <c r="AT779" t="s">
        <v>24145</v>
      </c>
      <c r="AU779" t="s">
        <v>13808</v>
      </c>
      <c r="AZ779" t="s">
        <v>13981</v>
      </c>
      <c r="BA779" t="s">
        <v>13808</v>
      </c>
      <c r="BF779" t="s">
        <v>14910</v>
      </c>
      <c r="BG779" t="s">
        <v>13808</v>
      </c>
      <c r="BL779" t="s">
        <v>13735</v>
      </c>
      <c r="BM779" t="s">
        <v>13809</v>
      </c>
      <c r="BR779" t="s">
        <v>24869</v>
      </c>
      <c r="BS779" t="s">
        <v>13824</v>
      </c>
      <c r="BT779" t="s">
        <v>13808</v>
      </c>
      <c r="BU779" t="s">
        <v>14336</v>
      </c>
      <c r="BY779" t="s">
        <v>13860</v>
      </c>
      <c r="BZ779" t="s">
        <v>13808</v>
      </c>
      <c r="CA779" t="s">
        <v>13937</v>
      </c>
      <c r="CE779" t="s">
        <v>24870</v>
      </c>
      <c r="CF779" t="s">
        <v>13808</v>
      </c>
      <c r="CG779" t="s">
        <v>24871</v>
      </c>
      <c r="CK779" t="s">
        <v>14581</v>
      </c>
      <c r="CL779" t="s">
        <v>13808</v>
      </c>
      <c r="CQ779" t="s">
        <v>13766</v>
      </c>
      <c r="CR779" t="s">
        <v>13809</v>
      </c>
      <c r="CT779" t="s">
        <v>24872</v>
      </c>
      <c r="CU779" t="s">
        <v>15376</v>
      </c>
      <c r="CV779" t="s">
        <v>13808</v>
      </c>
      <c r="CX779" t="s">
        <v>16714</v>
      </c>
      <c r="CY779" t="s">
        <v>13818</v>
      </c>
      <c r="DA779" t="s">
        <v>24873</v>
      </c>
      <c r="DB779" t="s">
        <v>13808</v>
      </c>
      <c r="DD779" t="s">
        <v>15379</v>
      </c>
      <c r="DE779" t="s">
        <v>13818</v>
      </c>
      <c r="DG779" t="s">
        <v>14240</v>
      </c>
      <c r="DH779" t="s">
        <v>13808</v>
      </c>
      <c r="DY779" t="s">
        <v>24874</v>
      </c>
      <c r="DZ779" t="s">
        <v>24875</v>
      </c>
      <c r="EA779" t="s">
        <v>16821</v>
      </c>
      <c r="EC779">
        <v>44756</v>
      </c>
      <c r="ED779" t="s">
        <v>17062</v>
      </c>
      <c r="EE779" t="s">
        <v>4608</v>
      </c>
    </row>
    <row r="780" spans="1:135">
      <c r="A780" t="s">
        <v>177</v>
      </c>
      <c r="B780" t="s">
        <v>147</v>
      </c>
      <c r="C780" t="s">
        <v>24876</v>
      </c>
      <c r="D780" s="24">
        <v>43446</v>
      </c>
      <c r="E780" s="24" t="s">
        <v>13557</v>
      </c>
      <c r="F780" s="24" t="s">
        <v>24877</v>
      </c>
      <c r="G780" s="24" t="s">
        <v>13808</v>
      </c>
      <c r="H780" s="24"/>
      <c r="I780" s="24" t="s">
        <v>13809</v>
      </c>
      <c r="J780" s="24"/>
      <c r="K780" s="24" t="s">
        <v>13809</v>
      </c>
      <c r="L780" s="24"/>
      <c r="M780" s="24" t="s">
        <v>15106</v>
      </c>
      <c r="N780" s="24" t="s">
        <v>13808</v>
      </c>
      <c r="O780" s="24"/>
      <c r="P780" s="24" t="s">
        <v>13808</v>
      </c>
      <c r="Q780" s="24"/>
      <c r="R780" s="24" t="s">
        <v>13808</v>
      </c>
      <c r="S780" s="24"/>
      <c r="T780" t="s">
        <v>13875</v>
      </c>
      <c r="U780" t="s">
        <v>13809</v>
      </c>
      <c r="W780" t="s">
        <v>13808</v>
      </c>
      <c r="X780" t="s">
        <v>24878</v>
      </c>
      <c r="Y780" t="s">
        <v>13808</v>
      </c>
      <c r="AA780" t="s">
        <v>13928</v>
      </c>
      <c r="AB780" t="s">
        <v>16855</v>
      </c>
      <c r="AC780" t="s">
        <v>13808</v>
      </c>
      <c r="AH780" t="s">
        <v>13909</v>
      </c>
      <c r="AI780" t="s">
        <v>13808</v>
      </c>
      <c r="AK780" t="s">
        <v>14816</v>
      </c>
      <c r="AL780" t="s">
        <v>13808</v>
      </c>
      <c r="AN780" t="s">
        <v>14816</v>
      </c>
      <c r="AO780" t="s">
        <v>13808</v>
      </c>
      <c r="AT780" t="s">
        <v>20754</v>
      </c>
      <c r="AU780" t="s">
        <v>13808</v>
      </c>
      <c r="AZ780" t="s">
        <v>24879</v>
      </c>
      <c r="BA780" t="s">
        <v>13808</v>
      </c>
      <c r="BF780" t="s">
        <v>24880</v>
      </c>
      <c r="BG780" t="s">
        <v>13808</v>
      </c>
      <c r="BL780" t="s">
        <v>24881</v>
      </c>
      <c r="BM780" t="s">
        <v>13808</v>
      </c>
      <c r="BR780" t="s">
        <v>24882</v>
      </c>
      <c r="BS780" t="s">
        <v>13885</v>
      </c>
      <c r="BT780" t="s">
        <v>13808</v>
      </c>
      <c r="BU780" t="s">
        <v>24883</v>
      </c>
      <c r="BY780" t="s">
        <v>16024</v>
      </c>
      <c r="BZ780" t="s">
        <v>13808</v>
      </c>
      <c r="CA780" t="s">
        <v>13861</v>
      </c>
      <c r="CE780" t="s">
        <v>13887</v>
      </c>
      <c r="CF780" t="s">
        <v>13808</v>
      </c>
      <c r="CL780" t="s">
        <v>13809</v>
      </c>
      <c r="CR780" t="s">
        <v>13809</v>
      </c>
      <c r="CT780" t="s">
        <v>24884</v>
      </c>
      <c r="CU780" t="s">
        <v>24885</v>
      </c>
      <c r="CV780" t="s">
        <v>13808</v>
      </c>
      <c r="CX780" t="s">
        <v>13885</v>
      </c>
      <c r="CY780" t="s">
        <v>13818</v>
      </c>
      <c r="DA780" t="s">
        <v>16503</v>
      </c>
      <c r="DB780" t="s">
        <v>13808</v>
      </c>
      <c r="DD780" t="s">
        <v>13885</v>
      </c>
      <c r="DE780" t="s">
        <v>13818</v>
      </c>
      <c r="DH780" t="s">
        <v>13809</v>
      </c>
      <c r="DM780" t="s">
        <v>21650</v>
      </c>
      <c r="DN780" t="s">
        <v>13808</v>
      </c>
      <c r="DZ780" t="s">
        <v>24886</v>
      </c>
      <c r="EA780" t="s">
        <v>16821</v>
      </c>
      <c r="EC780">
        <v>43480</v>
      </c>
      <c r="ED780" t="s">
        <v>13903</v>
      </c>
      <c r="EE780" t="s">
        <v>4612</v>
      </c>
    </row>
    <row r="781" spans="1:135">
      <c r="A781" t="s">
        <v>487</v>
      </c>
      <c r="B781" t="s">
        <v>445</v>
      </c>
      <c r="C781" t="s">
        <v>24887</v>
      </c>
      <c r="D781" s="24">
        <v>43312</v>
      </c>
      <c r="E781" s="24" t="s">
        <v>13555</v>
      </c>
      <c r="F781" s="24" t="s">
        <v>24888</v>
      </c>
      <c r="G781" s="24" t="s">
        <v>13808</v>
      </c>
      <c r="H781" s="24"/>
      <c r="I781" s="24" t="s">
        <v>13809</v>
      </c>
      <c r="J781" s="24"/>
      <c r="K781" s="24" t="s">
        <v>13808</v>
      </c>
      <c r="L781" s="24"/>
      <c r="M781" s="24" t="s">
        <v>24889</v>
      </c>
      <c r="N781" s="24" t="s">
        <v>13808</v>
      </c>
      <c r="O781" s="24"/>
      <c r="P781" s="24" t="s">
        <v>13808</v>
      </c>
      <c r="Q781" s="24"/>
      <c r="R781" s="24" t="s">
        <v>13808</v>
      </c>
      <c r="S781" s="24"/>
      <c r="T781" t="s">
        <v>24890</v>
      </c>
      <c r="U781" t="s">
        <v>13808</v>
      </c>
      <c r="W781" t="s">
        <v>13808</v>
      </c>
      <c r="Y781" t="s">
        <v>13809</v>
      </c>
      <c r="AA781" t="s">
        <v>14188</v>
      </c>
      <c r="AB781" t="s">
        <v>24891</v>
      </c>
      <c r="AC781" t="s">
        <v>13808</v>
      </c>
      <c r="AH781" t="s">
        <v>13909</v>
      </c>
      <c r="AI781" t="s">
        <v>13808</v>
      </c>
      <c r="AL781" t="s">
        <v>13809</v>
      </c>
      <c r="AO781" t="s">
        <v>13809</v>
      </c>
      <c r="AT781" t="s">
        <v>14416</v>
      </c>
      <c r="AU781" t="s">
        <v>13808</v>
      </c>
      <c r="AZ781" t="s">
        <v>24892</v>
      </c>
      <c r="BA781" t="s">
        <v>13808</v>
      </c>
      <c r="BF781" t="s">
        <v>24893</v>
      </c>
      <c r="BG781" t="s">
        <v>13808</v>
      </c>
      <c r="BL781" t="s">
        <v>24894</v>
      </c>
      <c r="BM781" t="s">
        <v>13808</v>
      </c>
      <c r="BR781" t="s">
        <v>24895</v>
      </c>
      <c r="BS781" t="s">
        <v>13885</v>
      </c>
      <c r="BT781" t="s">
        <v>13808</v>
      </c>
      <c r="BU781" t="s">
        <v>16499</v>
      </c>
      <c r="BY781" t="s">
        <v>13887</v>
      </c>
      <c r="BZ781" t="s">
        <v>13808</v>
      </c>
      <c r="CA781" t="s">
        <v>13937</v>
      </c>
      <c r="CE781" t="s">
        <v>24896</v>
      </c>
      <c r="CF781" t="s">
        <v>13808</v>
      </c>
      <c r="CG781" t="s">
        <v>13863</v>
      </c>
      <c r="CL781" t="s">
        <v>13809</v>
      </c>
      <c r="CR781" t="s">
        <v>13809</v>
      </c>
      <c r="CT781" t="s">
        <v>24897</v>
      </c>
      <c r="CU781" t="s">
        <v>13909</v>
      </c>
      <c r="CV781" t="s">
        <v>13808</v>
      </c>
      <c r="DA781" t="s">
        <v>13909</v>
      </c>
      <c r="DB781" t="s">
        <v>13808</v>
      </c>
      <c r="DH781" t="s">
        <v>13809</v>
      </c>
      <c r="DM781" t="s">
        <v>13909</v>
      </c>
      <c r="DN781" t="s">
        <v>13808</v>
      </c>
      <c r="DZ781" t="s">
        <v>24898</v>
      </c>
      <c r="EA781" t="s">
        <v>14201</v>
      </c>
      <c r="EC781">
        <v>43480</v>
      </c>
      <c r="ED781" t="s">
        <v>13903</v>
      </c>
      <c r="EE781" t="s">
        <v>4934</v>
      </c>
    </row>
    <row r="782" spans="1:135">
      <c r="A782" t="s">
        <v>498</v>
      </c>
      <c r="B782" t="s">
        <v>445</v>
      </c>
      <c r="C782" t="s">
        <v>24899</v>
      </c>
      <c r="D782" s="24">
        <v>43311</v>
      </c>
      <c r="E782" s="24" t="s">
        <v>13557</v>
      </c>
      <c r="F782" s="24" t="s">
        <v>24900</v>
      </c>
      <c r="G782" s="24" t="s">
        <v>13808</v>
      </c>
      <c r="H782" s="24"/>
      <c r="I782" s="24" t="s">
        <v>13809</v>
      </c>
      <c r="J782" s="24"/>
      <c r="K782" s="24" t="s">
        <v>13808</v>
      </c>
      <c r="L782" s="24"/>
      <c r="M782" s="24" t="s">
        <v>17316</v>
      </c>
      <c r="N782" s="24" t="s">
        <v>13808</v>
      </c>
      <c r="O782" s="24"/>
      <c r="P782" s="24" t="s">
        <v>13808</v>
      </c>
      <c r="Q782" s="24"/>
      <c r="R782" s="24" t="s">
        <v>13808</v>
      </c>
      <c r="S782" s="24"/>
      <c r="T782" t="s">
        <v>24901</v>
      </c>
      <c r="U782" t="s">
        <v>13809</v>
      </c>
      <c r="W782" t="s">
        <v>13808</v>
      </c>
      <c r="X782" t="s">
        <v>24902</v>
      </c>
      <c r="Y782" t="s">
        <v>13809</v>
      </c>
      <c r="AA782" t="s">
        <v>15186</v>
      </c>
      <c r="AB782" t="s">
        <v>14705</v>
      </c>
      <c r="AC782" t="s">
        <v>13808</v>
      </c>
      <c r="AH782" t="s">
        <v>13909</v>
      </c>
      <c r="AI782" t="s">
        <v>13808</v>
      </c>
      <c r="AN782" t="s">
        <v>15209</v>
      </c>
      <c r="AO782" t="s">
        <v>13808</v>
      </c>
      <c r="AT782" t="s">
        <v>24903</v>
      </c>
      <c r="AU782" t="s">
        <v>13808</v>
      </c>
      <c r="AZ782" t="s">
        <v>24904</v>
      </c>
      <c r="BA782" t="s">
        <v>13808</v>
      </c>
      <c r="BF782" t="s">
        <v>24905</v>
      </c>
      <c r="BG782" t="s">
        <v>13808</v>
      </c>
      <c r="BL782" t="s">
        <v>14674</v>
      </c>
      <c r="BM782" t="s">
        <v>13808</v>
      </c>
      <c r="BR782" t="s">
        <v>24906</v>
      </c>
      <c r="BS782" t="s">
        <v>13887</v>
      </c>
      <c r="BT782" t="s">
        <v>13808</v>
      </c>
      <c r="BU782" t="s">
        <v>13985</v>
      </c>
      <c r="BY782" t="s">
        <v>13887</v>
      </c>
      <c r="BZ782" t="s">
        <v>13808</v>
      </c>
      <c r="CA782" t="s">
        <v>13937</v>
      </c>
      <c r="CE782" t="s">
        <v>24907</v>
      </c>
      <c r="CF782" t="s">
        <v>13818</v>
      </c>
      <c r="CG782" t="s">
        <v>24908</v>
      </c>
      <c r="CH782" t="s">
        <v>15138</v>
      </c>
      <c r="CI782" t="s">
        <v>13808</v>
      </c>
      <c r="CL782" t="s">
        <v>13809</v>
      </c>
      <c r="CR782" t="s">
        <v>13809</v>
      </c>
      <c r="CT782" t="s">
        <v>24909</v>
      </c>
      <c r="CU782" t="s">
        <v>24910</v>
      </c>
      <c r="CV782" t="s">
        <v>13808</v>
      </c>
      <c r="CX782" t="s">
        <v>15197</v>
      </c>
      <c r="CY782" t="s">
        <v>13818</v>
      </c>
      <c r="DA782" t="s">
        <v>24910</v>
      </c>
      <c r="DB782" t="s">
        <v>13808</v>
      </c>
      <c r="DD782" t="s">
        <v>15197</v>
      </c>
      <c r="DE782" t="s">
        <v>13818</v>
      </c>
      <c r="DH782" t="s">
        <v>13809</v>
      </c>
      <c r="DM782" t="s">
        <v>24911</v>
      </c>
      <c r="DN782" t="s">
        <v>13808</v>
      </c>
      <c r="DY782" t="s">
        <v>13840</v>
      </c>
      <c r="DZ782" t="s">
        <v>24912</v>
      </c>
      <c r="EA782" t="s">
        <v>16821</v>
      </c>
      <c r="EC782">
        <v>43480</v>
      </c>
      <c r="ED782" t="s">
        <v>13903</v>
      </c>
      <c r="EE782" t="s">
        <v>4940</v>
      </c>
    </row>
    <row r="783" spans="1:135">
      <c r="A783" t="s">
        <v>302</v>
      </c>
      <c r="B783" t="s">
        <v>287</v>
      </c>
      <c r="C783" t="s">
        <v>24913</v>
      </c>
      <c r="D783" s="24">
        <v>42908</v>
      </c>
      <c r="E783" s="24" t="s">
        <v>13555</v>
      </c>
      <c r="F783" s="24" t="s">
        <v>24914</v>
      </c>
      <c r="G783" s="24" t="s">
        <v>13808</v>
      </c>
      <c r="H783" s="24"/>
      <c r="I783" s="24" t="s">
        <v>13809</v>
      </c>
      <c r="J783" s="24"/>
      <c r="K783" s="24" t="s">
        <v>13808</v>
      </c>
      <c r="L783" s="24"/>
      <c r="M783" s="24" t="s">
        <v>24915</v>
      </c>
      <c r="N783" s="24" t="s">
        <v>13808</v>
      </c>
      <c r="O783" s="24"/>
      <c r="P783" s="24" t="s">
        <v>13808</v>
      </c>
      <c r="Q783" s="24"/>
      <c r="R783" s="24" t="s">
        <v>13808</v>
      </c>
      <c r="S783" s="24"/>
      <c r="T783" t="s">
        <v>22923</v>
      </c>
      <c r="U783" t="s">
        <v>13808</v>
      </c>
      <c r="W783" t="s">
        <v>13808</v>
      </c>
      <c r="X783" t="s">
        <v>24916</v>
      </c>
      <c r="Y783" t="s">
        <v>13809</v>
      </c>
      <c r="AA783" t="s">
        <v>24917</v>
      </c>
      <c r="AB783" t="s">
        <v>24918</v>
      </c>
      <c r="AC783" t="s">
        <v>13808</v>
      </c>
      <c r="AH783" t="s">
        <v>13909</v>
      </c>
      <c r="AI783" t="s">
        <v>13808</v>
      </c>
      <c r="AN783" t="s">
        <v>24919</v>
      </c>
      <c r="AO783" t="s">
        <v>13808</v>
      </c>
      <c r="AT783" t="s">
        <v>15023</v>
      </c>
      <c r="AU783" t="s">
        <v>13808</v>
      </c>
      <c r="AZ783" t="s">
        <v>24920</v>
      </c>
      <c r="BA783" t="s">
        <v>13808</v>
      </c>
      <c r="BF783" t="s">
        <v>14595</v>
      </c>
      <c r="BG783" t="s">
        <v>13808</v>
      </c>
      <c r="BL783" t="s">
        <v>23214</v>
      </c>
      <c r="BM783" t="s">
        <v>13808</v>
      </c>
      <c r="BR783" t="s">
        <v>24921</v>
      </c>
      <c r="BS783" t="s">
        <v>13887</v>
      </c>
      <c r="BT783" t="s">
        <v>13808</v>
      </c>
      <c r="BU783" t="s">
        <v>24883</v>
      </c>
      <c r="BY783" t="s">
        <v>13887</v>
      </c>
      <c r="BZ783" t="s">
        <v>13808</v>
      </c>
      <c r="CA783" t="s">
        <v>13937</v>
      </c>
      <c r="CE783" t="s">
        <v>24922</v>
      </c>
      <c r="CF783" t="s">
        <v>13808</v>
      </c>
      <c r="CL783" t="s">
        <v>13809</v>
      </c>
      <c r="CR783" t="s">
        <v>13809</v>
      </c>
      <c r="CT783" t="s">
        <v>24923</v>
      </c>
      <c r="CU783" t="s">
        <v>13909</v>
      </c>
      <c r="CV783" t="s">
        <v>13808</v>
      </c>
      <c r="DA783" t="s">
        <v>13909</v>
      </c>
      <c r="DB783" t="s">
        <v>13808</v>
      </c>
      <c r="DH783" t="s">
        <v>13809</v>
      </c>
      <c r="DM783" t="s">
        <v>17303</v>
      </c>
      <c r="DN783" t="s">
        <v>13808</v>
      </c>
      <c r="DZ783" t="s">
        <v>24924</v>
      </c>
      <c r="EA783" t="s">
        <v>13842</v>
      </c>
      <c r="EC783">
        <v>43480</v>
      </c>
      <c r="ED783" t="s">
        <v>13903</v>
      </c>
      <c r="EE783" t="s">
        <v>4715</v>
      </c>
    </row>
    <row r="784" spans="1:135">
      <c r="A784" t="s">
        <v>719</v>
      </c>
      <c r="B784" t="s">
        <v>710</v>
      </c>
      <c r="C784" t="s">
        <v>24925</v>
      </c>
      <c r="D784" s="24">
        <v>44805</v>
      </c>
      <c r="E784" s="24" t="s">
        <v>13555</v>
      </c>
      <c r="F784" s="24" t="s">
        <v>24926</v>
      </c>
      <c r="G784" s="24" t="s">
        <v>13808</v>
      </c>
      <c r="H784" s="24"/>
      <c r="I784" s="24" t="s">
        <v>13809</v>
      </c>
      <c r="J784" s="24"/>
      <c r="K784" s="24" t="s">
        <v>13808</v>
      </c>
      <c r="L784" s="24"/>
      <c r="M784" s="24" t="s">
        <v>14304</v>
      </c>
      <c r="N784" s="24" t="s">
        <v>13808</v>
      </c>
      <c r="O784" s="24"/>
      <c r="P784" s="24" t="s">
        <v>13808</v>
      </c>
      <c r="Q784" s="24"/>
      <c r="R784" s="24" t="s">
        <v>13808</v>
      </c>
      <c r="S784" s="24"/>
      <c r="T784" t="s">
        <v>13907</v>
      </c>
      <c r="U784" t="s">
        <v>13808</v>
      </c>
      <c r="W784" t="s">
        <v>13808</v>
      </c>
      <c r="X784" t="s">
        <v>24927</v>
      </c>
      <c r="Y784" t="s">
        <v>13809</v>
      </c>
      <c r="AA784" t="s">
        <v>13849</v>
      </c>
      <c r="AB784" t="s">
        <v>24928</v>
      </c>
      <c r="AC784" t="s">
        <v>13808</v>
      </c>
      <c r="AH784" t="s">
        <v>13851</v>
      </c>
      <c r="AI784" t="s">
        <v>13808</v>
      </c>
      <c r="AN784" t="s">
        <v>24929</v>
      </c>
      <c r="AO784" t="s">
        <v>13808</v>
      </c>
      <c r="AT784" t="s">
        <v>20018</v>
      </c>
      <c r="AU784" t="s">
        <v>13808</v>
      </c>
      <c r="AZ784" t="s">
        <v>13981</v>
      </c>
      <c r="BA784" t="s">
        <v>13808</v>
      </c>
      <c r="BF784" t="s">
        <v>15288</v>
      </c>
      <c r="BG784" t="s">
        <v>13808</v>
      </c>
      <c r="BL784" t="s">
        <v>13934</v>
      </c>
      <c r="BM784" t="s">
        <v>13809</v>
      </c>
      <c r="BR784" t="s">
        <v>24930</v>
      </c>
      <c r="BS784" t="s">
        <v>13824</v>
      </c>
      <c r="BT784" t="s">
        <v>13808</v>
      </c>
      <c r="BU784" t="s">
        <v>13985</v>
      </c>
      <c r="BY784" t="s">
        <v>13986</v>
      </c>
      <c r="BZ784" t="s">
        <v>13808</v>
      </c>
      <c r="CA784" t="s">
        <v>13937</v>
      </c>
      <c r="CE784" t="s">
        <v>13862</v>
      </c>
      <c r="CF784" t="s">
        <v>13808</v>
      </c>
      <c r="CG784" t="s">
        <v>15354</v>
      </c>
      <c r="CK784" t="s">
        <v>13760</v>
      </c>
      <c r="CL784" t="s">
        <v>13809</v>
      </c>
      <c r="CQ784" t="s">
        <v>13766</v>
      </c>
      <c r="CR784" t="s">
        <v>13809</v>
      </c>
      <c r="CT784" t="s">
        <v>24931</v>
      </c>
      <c r="CU784" t="s">
        <v>24932</v>
      </c>
      <c r="CV784" t="s">
        <v>13808</v>
      </c>
      <c r="CX784" t="s">
        <v>24933</v>
      </c>
      <c r="CY784" t="s">
        <v>13818</v>
      </c>
      <c r="DA784" t="s">
        <v>24934</v>
      </c>
      <c r="DB784" t="s">
        <v>13808</v>
      </c>
      <c r="DD784" t="s">
        <v>24935</v>
      </c>
      <c r="DE784" t="s">
        <v>13818</v>
      </c>
      <c r="DM784" t="s">
        <v>24936</v>
      </c>
      <c r="DN784" t="s">
        <v>13808</v>
      </c>
      <c r="DO784" t="s">
        <v>20606</v>
      </c>
      <c r="DZ784" t="s">
        <v>24937</v>
      </c>
      <c r="EA784" t="s">
        <v>14201</v>
      </c>
      <c r="EC784">
        <v>44811</v>
      </c>
      <c r="ED784" t="s">
        <v>17062</v>
      </c>
      <c r="EE784" t="s">
        <v>5161</v>
      </c>
    </row>
    <row r="785" spans="1:135">
      <c r="A785" t="s">
        <v>915</v>
      </c>
      <c r="B785" t="s">
        <v>914</v>
      </c>
      <c r="C785" t="s">
        <v>24938</v>
      </c>
      <c r="D785" s="24">
        <v>44197</v>
      </c>
      <c r="E785" s="24" t="s">
        <v>13555</v>
      </c>
      <c r="F785" s="24" t="s">
        <v>24939</v>
      </c>
      <c r="G785" s="24" t="s">
        <v>13808</v>
      </c>
      <c r="H785" s="24"/>
      <c r="I785" s="24" t="s">
        <v>13809</v>
      </c>
      <c r="J785" s="24"/>
      <c r="K785" s="24" t="s">
        <v>13808</v>
      </c>
      <c r="L785" s="24"/>
      <c r="M785" s="24" t="s">
        <v>13846</v>
      </c>
      <c r="N785" s="24" t="s">
        <v>13808</v>
      </c>
      <c r="O785" s="24"/>
      <c r="P785" s="24" t="s">
        <v>13808</v>
      </c>
      <c r="Q785" s="24"/>
      <c r="R785" s="24" t="s">
        <v>13808</v>
      </c>
      <c r="S785" s="24"/>
      <c r="T785" t="s">
        <v>24940</v>
      </c>
      <c r="U785" t="s">
        <v>13809</v>
      </c>
      <c r="W785" t="s">
        <v>13808</v>
      </c>
      <c r="Y785" t="s">
        <v>13808</v>
      </c>
      <c r="AA785" t="s">
        <v>13849</v>
      </c>
      <c r="AB785" t="s">
        <v>14370</v>
      </c>
      <c r="AC785" t="s">
        <v>13808</v>
      </c>
      <c r="AH785" t="s">
        <v>13909</v>
      </c>
      <c r="AI785" t="s">
        <v>13808</v>
      </c>
      <c r="AN785" t="s">
        <v>24941</v>
      </c>
      <c r="AO785" t="s">
        <v>13808</v>
      </c>
      <c r="AT785" t="s">
        <v>14705</v>
      </c>
      <c r="AU785" t="s">
        <v>13808</v>
      </c>
      <c r="AZ785" t="s">
        <v>14037</v>
      </c>
      <c r="BA785" t="s">
        <v>13808</v>
      </c>
      <c r="BF785" t="s">
        <v>24942</v>
      </c>
      <c r="BG785" t="s">
        <v>13808</v>
      </c>
      <c r="BM785" t="s">
        <v>13809</v>
      </c>
      <c r="BR785" t="s">
        <v>24943</v>
      </c>
      <c r="BS785" t="s">
        <v>14197</v>
      </c>
      <c r="BT785" t="s">
        <v>13808</v>
      </c>
      <c r="BU785" t="s">
        <v>22069</v>
      </c>
      <c r="BY785" t="s">
        <v>13887</v>
      </c>
      <c r="BZ785" t="s">
        <v>13808</v>
      </c>
      <c r="CA785" t="s">
        <v>13937</v>
      </c>
      <c r="CE785" t="s">
        <v>13887</v>
      </c>
      <c r="CF785" t="s">
        <v>13808</v>
      </c>
      <c r="CL785" t="s">
        <v>13809</v>
      </c>
      <c r="CR785" t="s">
        <v>13809</v>
      </c>
      <c r="CT785" t="s">
        <v>24944</v>
      </c>
      <c r="CU785" t="s">
        <v>24945</v>
      </c>
      <c r="CV785" t="s">
        <v>13808</v>
      </c>
      <c r="CW785" t="s">
        <v>24946</v>
      </c>
      <c r="CX785" t="s">
        <v>24947</v>
      </c>
      <c r="CY785" t="s">
        <v>13818</v>
      </c>
      <c r="DA785" t="s">
        <v>24948</v>
      </c>
      <c r="DB785" t="s">
        <v>13808</v>
      </c>
      <c r="DC785" t="s">
        <v>24946</v>
      </c>
      <c r="DD785" t="s">
        <v>14366</v>
      </c>
      <c r="DE785" t="s">
        <v>13818</v>
      </c>
      <c r="DG785" t="s">
        <v>24949</v>
      </c>
      <c r="DH785" t="s">
        <v>13808</v>
      </c>
      <c r="DZ785" t="s">
        <v>24950</v>
      </c>
      <c r="EA785" t="s">
        <v>24951</v>
      </c>
      <c r="EC785">
        <v>44256</v>
      </c>
      <c r="ED785" t="s">
        <v>17223</v>
      </c>
      <c r="EE785" t="s">
        <v>5330</v>
      </c>
    </row>
    <row r="786" spans="1:135">
      <c r="A786" t="s">
        <v>505</v>
      </c>
      <c r="B786" t="s">
        <v>445</v>
      </c>
      <c r="C786" t="s">
        <v>24952</v>
      </c>
      <c r="D786" s="24">
        <v>43311</v>
      </c>
      <c r="E786" s="24" t="s">
        <v>13559</v>
      </c>
      <c r="F786" s="24" t="s">
        <v>24953</v>
      </c>
      <c r="G786" s="24" t="s">
        <v>13808</v>
      </c>
      <c r="H786" s="24"/>
      <c r="I786" s="24" t="s">
        <v>13809</v>
      </c>
      <c r="J786" s="24"/>
      <c r="K786" s="24" t="s">
        <v>13809</v>
      </c>
      <c r="L786" s="24"/>
      <c r="M786" s="24" t="s">
        <v>14410</v>
      </c>
      <c r="N786" s="24" t="s">
        <v>13808</v>
      </c>
      <c r="O786" s="24"/>
      <c r="P786" s="24" t="s">
        <v>13808</v>
      </c>
      <c r="Q786" s="24"/>
      <c r="R786" s="24" t="s">
        <v>13808</v>
      </c>
      <c r="S786" s="24"/>
      <c r="T786" t="s">
        <v>13907</v>
      </c>
      <c r="U786" t="s">
        <v>13808</v>
      </c>
      <c r="W786" t="s">
        <v>13808</v>
      </c>
      <c r="X786" t="s">
        <v>24954</v>
      </c>
      <c r="Y786" t="s">
        <v>13809</v>
      </c>
      <c r="AA786" t="s">
        <v>15259</v>
      </c>
      <c r="AB786" t="s">
        <v>14058</v>
      </c>
      <c r="AC786" t="s">
        <v>13808</v>
      </c>
      <c r="AH786" t="s">
        <v>13909</v>
      </c>
      <c r="AI786" t="s">
        <v>13808</v>
      </c>
      <c r="AN786" t="s">
        <v>15837</v>
      </c>
      <c r="AO786" t="s">
        <v>13808</v>
      </c>
      <c r="AT786" t="s">
        <v>14022</v>
      </c>
      <c r="AU786" t="s">
        <v>13808</v>
      </c>
      <c r="AZ786" t="s">
        <v>15898</v>
      </c>
      <c r="BA786" t="s">
        <v>13808</v>
      </c>
      <c r="BF786" t="s">
        <v>16048</v>
      </c>
      <c r="BG786" t="s">
        <v>13808</v>
      </c>
      <c r="BM786" t="s">
        <v>13809</v>
      </c>
      <c r="BR786" t="s">
        <v>24955</v>
      </c>
      <c r="BS786" t="s">
        <v>13887</v>
      </c>
      <c r="BT786" t="s">
        <v>13808</v>
      </c>
      <c r="BU786" t="s">
        <v>14147</v>
      </c>
      <c r="BY786" t="s">
        <v>14265</v>
      </c>
      <c r="BZ786" t="s">
        <v>13808</v>
      </c>
      <c r="CA786" t="s">
        <v>13937</v>
      </c>
      <c r="CE786" t="s">
        <v>14197</v>
      </c>
      <c r="CF786" t="s">
        <v>13808</v>
      </c>
      <c r="CG786" t="s">
        <v>15354</v>
      </c>
      <c r="CL786" t="s">
        <v>13809</v>
      </c>
      <c r="CR786" t="s">
        <v>13809</v>
      </c>
      <c r="CT786" t="s">
        <v>24956</v>
      </c>
      <c r="CU786" t="s">
        <v>13909</v>
      </c>
      <c r="CV786" t="s">
        <v>13818</v>
      </c>
      <c r="DA786" t="s">
        <v>16503</v>
      </c>
      <c r="DB786" t="s">
        <v>13808</v>
      </c>
      <c r="DD786" t="s">
        <v>24957</v>
      </c>
      <c r="DE786" t="s">
        <v>13818</v>
      </c>
      <c r="DG786" t="s">
        <v>13909</v>
      </c>
      <c r="DH786" t="s">
        <v>13818</v>
      </c>
      <c r="DM786" t="s">
        <v>14197</v>
      </c>
      <c r="DN786" t="s">
        <v>13808</v>
      </c>
      <c r="DZ786" t="s">
        <v>24958</v>
      </c>
      <c r="EA786" t="s">
        <v>16821</v>
      </c>
      <c r="EC786">
        <v>43480</v>
      </c>
      <c r="ED786" t="s">
        <v>13903</v>
      </c>
      <c r="EE786" t="s">
        <v>4947</v>
      </c>
    </row>
    <row r="787" spans="1:135">
      <c r="A787" t="s">
        <v>509</v>
      </c>
      <c r="B787" t="s">
        <v>445</v>
      </c>
      <c r="C787" t="s">
        <v>24959</v>
      </c>
      <c r="D787" s="24">
        <v>43312</v>
      </c>
      <c r="E787" s="24" t="s">
        <v>13558</v>
      </c>
      <c r="F787" s="24" t="s">
        <v>24960</v>
      </c>
      <c r="G787" s="24" t="s">
        <v>13808</v>
      </c>
      <c r="H787" s="24"/>
      <c r="I787" s="24" t="s">
        <v>13809</v>
      </c>
      <c r="J787" s="24"/>
      <c r="K787" s="24" t="s">
        <v>13808</v>
      </c>
      <c r="L787" s="24" t="s">
        <v>24961</v>
      </c>
      <c r="M787" s="24" t="s">
        <v>24962</v>
      </c>
      <c r="N787" s="24" t="s">
        <v>13808</v>
      </c>
      <c r="O787" s="24"/>
      <c r="P787" s="24" t="s">
        <v>13808</v>
      </c>
      <c r="Q787" s="24"/>
      <c r="R787" s="24" t="s">
        <v>13808</v>
      </c>
      <c r="S787" s="24"/>
      <c r="T787" t="s">
        <v>13875</v>
      </c>
      <c r="U787" t="s">
        <v>13809</v>
      </c>
      <c r="W787" t="s">
        <v>13808</v>
      </c>
      <c r="X787" t="s">
        <v>24963</v>
      </c>
      <c r="Y787" t="s">
        <v>13809</v>
      </c>
      <c r="AA787" t="s">
        <v>24964</v>
      </c>
      <c r="AC787" t="s">
        <v>13809</v>
      </c>
      <c r="AH787" t="s">
        <v>13909</v>
      </c>
      <c r="AI787" t="s">
        <v>13808</v>
      </c>
      <c r="AN787" t="s">
        <v>24965</v>
      </c>
      <c r="AO787" t="s">
        <v>13808</v>
      </c>
      <c r="AT787" t="s">
        <v>13885</v>
      </c>
      <c r="AU787" t="s">
        <v>13808</v>
      </c>
      <c r="AZ787" t="s">
        <v>20772</v>
      </c>
      <c r="BA787" t="s">
        <v>13808</v>
      </c>
      <c r="BF787" t="s">
        <v>24966</v>
      </c>
      <c r="BG787" t="s">
        <v>13808</v>
      </c>
      <c r="BM787" t="s">
        <v>13809</v>
      </c>
      <c r="BR787" t="s">
        <v>24967</v>
      </c>
      <c r="BS787" t="s">
        <v>13887</v>
      </c>
      <c r="BT787" t="s">
        <v>13808</v>
      </c>
      <c r="BU787" t="s">
        <v>14147</v>
      </c>
      <c r="BY787" t="s">
        <v>13887</v>
      </c>
      <c r="BZ787" t="s">
        <v>13808</v>
      </c>
      <c r="CA787" t="s">
        <v>13937</v>
      </c>
      <c r="CE787" t="s">
        <v>15138</v>
      </c>
      <c r="CF787" t="s">
        <v>13808</v>
      </c>
      <c r="CH787" t="s">
        <v>24968</v>
      </c>
      <c r="CI787" t="s">
        <v>13818</v>
      </c>
      <c r="CJ787" t="s">
        <v>24969</v>
      </c>
      <c r="CK787" t="s">
        <v>13887</v>
      </c>
      <c r="CL787" t="s">
        <v>13808</v>
      </c>
      <c r="CR787" t="s">
        <v>13809</v>
      </c>
      <c r="CT787" t="s">
        <v>13830</v>
      </c>
      <c r="CU787" t="s">
        <v>13909</v>
      </c>
      <c r="CV787" t="s">
        <v>13818</v>
      </c>
      <c r="DA787" t="s">
        <v>13909</v>
      </c>
      <c r="DB787" t="s">
        <v>13818</v>
      </c>
      <c r="DG787" t="s">
        <v>13909</v>
      </c>
      <c r="DH787" t="s">
        <v>13818</v>
      </c>
      <c r="DZ787" t="s">
        <v>14274</v>
      </c>
      <c r="EA787" t="s">
        <v>13996</v>
      </c>
      <c r="EC787">
        <v>43480</v>
      </c>
      <c r="ED787" t="s">
        <v>13903</v>
      </c>
      <c r="EE787" t="s">
        <v>4951</v>
      </c>
    </row>
    <row r="788" spans="1:135">
      <c r="A788" t="s">
        <v>313</v>
      </c>
      <c r="B788" t="s">
        <v>287</v>
      </c>
      <c r="C788" t="s">
        <v>24970</v>
      </c>
      <c r="D788" s="24">
        <v>43164</v>
      </c>
      <c r="E788" s="24" t="s">
        <v>13559</v>
      </c>
      <c r="F788" s="24" t="s">
        <v>24971</v>
      </c>
      <c r="G788" s="24" t="s">
        <v>13808</v>
      </c>
      <c r="H788" s="24"/>
      <c r="I788" s="24" t="s">
        <v>13809</v>
      </c>
      <c r="J788" s="24"/>
      <c r="K788" s="24" t="s">
        <v>13818</v>
      </c>
      <c r="L788" s="24" t="s">
        <v>24972</v>
      </c>
      <c r="M788" s="24" t="s">
        <v>24973</v>
      </c>
      <c r="N788" s="24" t="s">
        <v>13808</v>
      </c>
      <c r="O788" s="24"/>
      <c r="P788" s="24" t="s">
        <v>13808</v>
      </c>
      <c r="Q788" s="24"/>
      <c r="R788" s="24" t="s">
        <v>13808</v>
      </c>
      <c r="S788" s="24"/>
      <c r="T788" t="s">
        <v>14137</v>
      </c>
      <c r="U788" t="s">
        <v>13808</v>
      </c>
      <c r="W788" t="s">
        <v>13809</v>
      </c>
      <c r="Y788" t="s">
        <v>13809</v>
      </c>
      <c r="AA788" t="s">
        <v>20582</v>
      </c>
      <c r="AB788" t="s">
        <v>24974</v>
      </c>
      <c r="AC788" t="s">
        <v>13818</v>
      </c>
      <c r="AD788" t="s">
        <v>13819</v>
      </c>
      <c r="AH788" t="s">
        <v>18592</v>
      </c>
      <c r="AI788" t="s">
        <v>13808</v>
      </c>
      <c r="AK788" t="s">
        <v>15592</v>
      </c>
      <c r="AL788" t="s">
        <v>13818</v>
      </c>
      <c r="AM788" t="s">
        <v>13819</v>
      </c>
      <c r="AN788" t="s">
        <v>14522</v>
      </c>
      <c r="AO788" t="s">
        <v>13818</v>
      </c>
      <c r="AP788" t="s">
        <v>13819</v>
      </c>
      <c r="AT788" t="s">
        <v>17668</v>
      </c>
      <c r="AU788" t="s">
        <v>13818</v>
      </c>
      <c r="AV788" t="s">
        <v>13819</v>
      </c>
      <c r="AZ788" t="s">
        <v>24975</v>
      </c>
      <c r="BA788" t="s">
        <v>13818</v>
      </c>
      <c r="BB788" t="s">
        <v>13819</v>
      </c>
      <c r="BF788" t="s">
        <v>24976</v>
      </c>
      <c r="BG788" t="s">
        <v>13808</v>
      </c>
      <c r="BL788" t="s">
        <v>13934</v>
      </c>
      <c r="BM788" t="s">
        <v>13809</v>
      </c>
      <c r="BR788" t="s">
        <v>24977</v>
      </c>
      <c r="BS788" t="s">
        <v>13824</v>
      </c>
      <c r="BT788" t="s">
        <v>13808</v>
      </c>
      <c r="BU788" t="s">
        <v>13985</v>
      </c>
      <c r="BY788" t="s">
        <v>13986</v>
      </c>
      <c r="BZ788" t="s">
        <v>13808</v>
      </c>
      <c r="CA788" t="s">
        <v>13937</v>
      </c>
      <c r="CE788" t="s">
        <v>24978</v>
      </c>
      <c r="CF788" t="s">
        <v>13818</v>
      </c>
      <c r="CG788" t="s">
        <v>16911</v>
      </c>
      <c r="CK788" t="s">
        <v>13760</v>
      </c>
      <c r="CL788" t="s">
        <v>13809</v>
      </c>
      <c r="CQ788" t="s">
        <v>13766</v>
      </c>
      <c r="CR788" t="s">
        <v>13809</v>
      </c>
      <c r="CT788" t="s">
        <v>14338</v>
      </c>
      <c r="CU788" t="s">
        <v>13941</v>
      </c>
      <c r="CV788" t="s">
        <v>13808</v>
      </c>
      <c r="CX788" t="s">
        <v>24979</v>
      </c>
      <c r="CY788" t="s">
        <v>13818</v>
      </c>
      <c r="DA788" t="s">
        <v>14340</v>
      </c>
      <c r="DB788" t="s">
        <v>13808</v>
      </c>
      <c r="DD788" t="s">
        <v>24979</v>
      </c>
      <c r="DE788" t="s">
        <v>13818</v>
      </c>
      <c r="DG788" t="s">
        <v>14240</v>
      </c>
      <c r="DH788" t="s">
        <v>13808</v>
      </c>
      <c r="DZ788" t="s">
        <v>14341</v>
      </c>
      <c r="EA788" t="s">
        <v>14201</v>
      </c>
      <c r="EC788">
        <v>44627</v>
      </c>
      <c r="ED788" t="s">
        <v>17062</v>
      </c>
      <c r="EE788" t="s">
        <v>4723</v>
      </c>
    </row>
    <row r="789" spans="1:135">
      <c r="A789" t="s">
        <v>917</v>
      </c>
      <c r="B789" t="s">
        <v>914</v>
      </c>
      <c r="C789" t="s">
        <v>24980</v>
      </c>
      <c r="D789" s="24">
        <v>44294</v>
      </c>
      <c r="E789" s="24" t="s">
        <v>13560</v>
      </c>
      <c r="F789" s="24" t="s">
        <v>24981</v>
      </c>
      <c r="G789" s="24" t="s">
        <v>13808</v>
      </c>
      <c r="H789" s="24"/>
      <c r="I789" s="24" t="s">
        <v>13809</v>
      </c>
      <c r="J789" s="24"/>
      <c r="K789" s="24" t="s">
        <v>13809</v>
      </c>
      <c r="L789" s="24"/>
      <c r="M789" s="24" t="s">
        <v>15805</v>
      </c>
      <c r="N789" s="24" t="s">
        <v>13808</v>
      </c>
      <c r="O789" s="24"/>
      <c r="P789" s="24" t="s">
        <v>13808</v>
      </c>
      <c r="Q789" s="24"/>
      <c r="R789" s="24" t="s">
        <v>13808</v>
      </c>
      <c r="S789" s="24"/>
      <c r="T789" t="s">
        <v>18348</v>
      </c>
      <c r="U789" t="s">
        <v>13809</v>
      </c>
      <c r="W789" t="s">
        <v>13809</v>
      </c>
      <c r="Y789" t="s">
        <v>13809</v>
      </c>
      <c r="AA789" t="s">
        <v>17350</v>
      </c>
      <c r="AC789" t="s">
        <v>13809</v>
      </c>
      <c r="AH789" t="s">
        <v>13887</v>
      </c>
      <c r="AI789" t="s">
        <v>13808</v>
      </c>
      <c r="AN789" t="s">
        <v>24982</v>
      </c>
      <c r="AO789" t="s">
        <v>13818</v>
      </c>
      <c r="AP789" t="s">
        <v>14309</v>
      </c>
      <c r="AT789" t="s">
        <v>14687</v>
      </c>
      <c r="AU789" t="s">
        <v>13818</v>
      </c>
      <c r="AV789" t="s">
        <v>14309</v>
      </c>
      <c r="AZ789" t="s">
        <v>24983</v>
      </c>
      <c r="BA789" t="s">
        <v>13818</v>
      </c>
      <c r="BB789" t="s">
        <v>14259</v>
      </c>
      <c r="BF789" t="s">
        <v>24984</v>
      </c>
      <c r="BG789" t="s">
        <v>13818</v>
      </c>
      <c r="BH789" t="s">
        <v>14259</v>
      </c>
      <c r="BM789" t="s">
        <v>13809</v>
      </c>
      <c r="BR789" t="s">
        <v>24985</v>
      </c>
      <c r="BS789" t="s">
        <v>13887</v>
      </c>
      <c r="BT789" t="s">
        <v>13808</v>
      </c>
      <c r="BU789" t="s">
        <v>14010</v>
      </c>
      <c r="BY789" t="s">
        <v>13887</v>
      </c>
      <c r="BZ789" t="s">
        <v>13808</v>
      </c>
      <c r="CA789" t="s">
        <v>13937</v>
      </c>
      <c r="CE789" t="s">
        <v>14197</v>
      </c>
      <c r="CF789" t="s">
        <v>13818</v>
      </c>
      <c r="CG789" t="s">
        <v>24986</v>
      </c>
      <c r="CK789" t="s">
        <v>13887</v>
      </c>
      <c r="CL789" t="s">
        <v>13808</v>
      </c>
      <c r="CR789" t="s">
        <v>13809</v>
      </c>
      <c r="CT789" t="s">
        <v>15632</v>
      </c>
      <c r="CU789" t="s">
        <v>17167</v>
      </c>
      <c r="CV789" t="s">
        <v>13808</v>
      </c>
      <c r="CX789" t="s">
        <v>24987</v>
      </c>
      <c r="CY789" t="s">
        <v>13818</v>
      </c>
      <c r="DA789" t="s">
        <v>21683</v>
      </c>
      <c r="DB789" t="s">
        <v>13808</v>
      </c>
      <c r="DD789" t="s">
        <v>24988</v>
      </c>
      <c r="DE789" t="s">
        <v>13818</v>
      </c>
      <c r="DG789" t="s">
        <v>24989</v>
      </c>
      <c r="DH789" t="s">
        <v>13818</v>
      </c>
      <c r="DY789" t="s">
        <v>15144</v>
      </c>
      <c r="DZ789" t="s">
        <v>24990</v>
      </c>
      <c r="EA789" t="s">
        <v>14461</v>
      </c>
      <c r="ED789" t="s">
        <v>14608</v>
      </c>
      <c r="EE789" t="s">
        <v>5332</v>
      </c>
    </row>
    <row r="790" spans="1:135">
      <c r="A790" t="s">
        <v>513</v>
      </c>
      <c r="B790" t="s">
        <v>445</v>
      </c>
      <c r="C790" t="s">
        <v>24991</v>
      </c>
      <c r="D790" s="24">
        <v>43559</v>
      </c>
      <c r="E790" s="24" t="s">
        <v>13555</v>
      </c>
      <c r="F790" s="24" t="s">
        <v>24992</v>
      </c>
      <c r="G790" s="24" t="s">
        <v>13808</v>
      </c>
      <c r="H790" s="24"/>
      <c r="I790" s="24" t="s">
        <v>13809</v>
      </c>
      <c r="J790" s="24"/>
      <c r="K790" s="24" t="s">
        <v>13808</v>
      </c>
      <c r="L790" s="24"/>
      <c r="M790" s="24" t="s">
        <v>13846</v>
      </c>
      <c r="N790" s="24" t="s">
        <v>13808</v>
      </c>
      <c r="O790" s="24"/>
      <c r="P790" s="24" t="s">
        <v>13818</v>
      </c>
      <c r="Q790" s="24" t="s">
        <v>24993</v>
      </c>
      <c r="R790" s="24" t="s">
        <v>13808</v>
      </c>
      <c r="S790" s="24"/>
      <c r="T790" t="s">
        <v>14429</v>
      </c>
      <c r="U790" t="s">
        <v>13809</v>
      </c>
      <c r="W790" t="s">
        <v>13808</v>
      </c>
      <c r="X790" t="s">
        <v>24994</v>
      </c>
      <c r="Y790" t="s">
        <v>13809</v>
      </c>
      <c r="AA790" t="s">
        <v>13849</v>
      </c>
      <c r="AB790" t="s">
        <v>24995</v>
      </c>
      <c r="AC790" t="s">
        <v>13808</v>
      </c>
      <c r="AH790" t="s">
        <v>13909</v>
      </c>
      <c r="AI790" t="s">
        <v>13808</v>
      </c>
      <c r="AN790" t="s">
        <v>14058</v>
      </c>
      <c r="AO790" t="s">
        <v>13808</v>
      </c>
      <c r="AT790" t="s">
        <v>24996</v>
      </c>
      <c r="AU790" t="s">
        <v>13808</v>
      </c>
      <c r="AZ790" t="s">
        <v>24997</v>
      </c>
      <c r="BA790" t="s">
        <v>13808</v>
      </c>
      <c r="BF790" t="s">
        <v>24998</v>
      </c>
      <c r="BG790" t="s">
        <v>13808</v>
      </c>
      <c r="BL790" t="s">
        <v>24999</v>
      </c>
      <c r="BM790" t="s">
        <v>13808</v>
      </c>
      <c r="BR790" t="s">
        <v>25000</v>
      </c>
      <c r="BS790" t="s">
        <v>13887</v>
      </c>
      <c r="BT790" t="s">
        <v>13808</v>
      </c>
      <c r="BU790" t="s">
        <v>14147</v>
      </c>
      <c r="BY790" t="s">
        <v>14265</v>
      </c>
      <c r="BZ790" t="s">
        <v>13808</v>
      </c>
      <c r="CA790" t="s">
        <v>17630</v>
      </c>
      <c r="CE790" t="s">
        <v>14197</v>
      </c>
      <c r="CF790" t="s">
        <v>13818</v>
      </c>
      <c r="CG790" t="s">
        <v>25001</v>
      </c>
      <c r="CH790" t="s">
        <v>14693</v>
      </c>
      <c r="CI790" t="s">
        <v>13818</v>
      </c>
      <c r="CJ790" t="s">
        <v>25002</v>
      </c>
      <c r="CK790" t="s">
        <v>14265</v>
      </c>
      <c r="CL790" t="s">
        <v>13808</v>
      </c>
      <c r="CR790" t="s">
        <v>13809</v>
      </c>
      <c r="CT790" t="s">
        <v>25003</v>
      </c>
      <c r="CU790" t="s">
        <v>25004</v>
      </c>
      <c r="CV790" t="s">
        <v>13808</v>
      </c>
      <c r="DA790" t="s">
        <v>25005</v>
      </c>
      <c r="DB790" t="s">
        <v>13808</v>
      </c>
      <c r="DH790" t="s">
        <v>13809</v>
      </c>
      <c r="DM790" t="s">
        <v>25006</v>
      </c>
      <c r="DN790" t="s">
        <v>13808</v>
      </c>
      <c r="DP790" t="s">
        <v>25007</v>
      </c>
      <c r="DQ790" t="s">
        <v>13808</v>
      </c>
      <c r="DY790" t="s">
        <v>13869</v>
      </c>
      <c r="DZ790" t="s">
        <v>25008</v>
      </c>
      <c r="EA790" t="s">
        <v>16821</v>
      </c>
      <c r="ED790" t="s">
        <v>13903</v>
      </c>
      <c r="EE790" t="s">
        <v>4955</v>
      </c>
    </row>
    <row r="791" spans="1:135">
      <c r="A791" t="s">
        <v>723</v>
      </c>
      <c r="B791" t="s">
        <v>710</v>
      </c>
      <c r="C791" t="s">
        <v>25009</v>
      </c>
      <c r="D791" s="24">
        <v>44755</v>
      </c>
      <c r="E791" s="24" t="s">
        <v>13553</v>
      </c>
      <c r="F791" s="24" t="s">
        <v>25010</v>
      </c>
      <c r="G791" s="24" t="s">
        <v>13808</v>
      </c>
      <c r="H791" s="24"/>
      <c r="I791" s="24" t="s">
        <v>13809</v>
      </c>
      <c r="J791" s="24"/>
      <c r="K791" s="24" t="s">
        <v>13808</v>
      </c>
      <c r="L791" s="24"/>
      <c r="M791" s="24" t="s">
        <v>13846</v>
      </c>
      <c r="N791" s="24" t="s">
        <v>13808</v>
      </c>
      <c r="O791" s="24"/>
      <c r="P791" s="24" t="s">
        <v>13808</v>
      </c>
      <c r="Q791" s="24"/>
      <c r="R791" s="24" t="s">
        <v>13808</v>
      </c>
      <c r="S791" s="24"/>
      <c r="T791" t="s">
        <v>13847</v>
      </c>
      <c r="U791" t="s">
        <v>13808</v>
      </c>
      <c r="V791" t="s">
        <v>25011</v>
      </c>
      <c r="W791" t="s">
        <v>13808</v>
      </c>
      <c r="X791" t="s">
        <v>25012</v>
      </c>
      <c r="Y791" t="s">
        <v>13809</v>
      </c>
      <c r="AA791" t="s">
        <v>13849</v>
      </c>
      <c r="AB791" t="s">
        <v>25013</v>
      </c>
      <c r="AC791" t="s">
        <v>13808</v>
      </c>
      <c r="AH791" t="s">
        <v>13851</v>
      </c>
      <c r="AI791" t="s">
        <v>13808</v>
      </c>
      <c r="AN791" t="s">
        <v>25014</v>
      </c>
      <c r="AO791" t="s">
        <v>13808</v>
      </c>
      <c r="AT791" t="s">
        <v>25015</v>
      </c>
      <c r="AU791" t="s">
        <v>13808</v>
      </c>
      <c r="AZ791" t="s">
        <v>15570</v>
      </c>
      <c r="BA791" t="s">
        <v>13808</v>
      </c>
      <c r="BF791" t="s">
        <v>25016</v>
      </c>
      <c r="BG791" t="s">
        <v>13808</v>
      </c>
      <c r="BL791" t="s">
        <v>25017</v>
      </c>
      <c r="BM791" t="s">
        <v>13808</v>
      </c>
      <c r="BR791" t="s">
        <v>25018</v>
      </c>
      <c r="BS791" t="s">
        <v>13824</v>
      </c>
      <c r="BT791" t="s">
        <v>13808</v>
      </c>
      <c r="BU791" t="s">
        <v>13985</v>
      </c>
      <c r="BY791" t="s">
        <v>13826</v>
      </c>
      <c r="BZ791" t="s">
        <v>13808</v>
      </c>
      <c r="CA791" t="s">
        <v>13861</v>
      </c>
      <c r="CE791" t="s">
        <v>13862</v>
      </c>
      <c r="CF791" t="s">
        <v>13808</v>
      </c>
      <c r="CG791" t="s">
        <v>15354</v>
      </c>
      <c r="CK791" t="s">
        <v>13760</v>
      </c>
      <c r="CL791" t="s">
        <v>13809</v>
      </c>
      <c r="CQ791" t="s">
        <v>13766</v>
      </c>
      <c r="CR791" t="s">
        <v>13809</v>
      </c>
      <c r="CT791" t="s">
        <v>24669</v>
      </c>
      <c r="CU791" t="s">
        <v>25019</v>
      </c>
      <c r="CV791" t="s">
        <v>13808</v>
      </c>
      <c r="DA791" t="s">
        <v>25020</v>
      </c>
      <c r="DB791" t="s">
        <v>13808</v>
      </c>
      <c r="DM791" t="s">
        <v>25021</v>
      </c>
      <c r="DN791" t="s">
        <v>13808</v>
      </c>
      <c r="DP791" t="s">
        <v>25022</v>
      </c>
      <c r="DQ791" t="s">
        <v>13808</v>
      </c>
      <c r="DY791" t="s">
        <v>13869</v>
      </c>
      <c r="DZ791" t="s">
        <v>25023</v>
      </c>
      <c r="EA791" t="s">
        <v>25024</v>
      </c>
      <c r="EC791">
        <v>44755</v>
      </c>
      <c r="ED791" t="s">
        <v>17062</v>
      </c>
      <c r="EE791" t="s">
        <v>5165</v>
      </c>
    </row>
    <row r="792" spans="1:135">
      <c r="A792" t="s">
        <v>727</v>
      </c>
      <c r="B792" t="s">
        <v>710</v>
      </c>
      <c r="C792" t="s">
        <v>25025</v>
      </c>
      <c r="D792" s="24">
        <v>44477</v>
      </c>
      <c r="E792" s="24" t="s">
        <v>13555</v>
      </c>
      <c r="F792" s="24" t="s">
        <v>25026</v>
      </c>
      <c r="G792" s="24" t="s">
        <v>13808</v>
      </c>
      <c r="H792" s="24"/>
      <c r="I792" s="24" t="s">
        <v>13809</v>
      </c>
      <c r="J792" s="24"/>
      <c r="K792" s="24" t="s">
        <v>13808</v>
      </c>
      <c r="L792" s="24"/>
      <c r="M792" s="24" t="s">
        <v>25027</v>
      </c>
      <c r="N792" s="24" t="s">
        <v>13808</v>
      </c>
      <c r="O792" s="24"/>
      <c r="P792" s="24" t="s">
        <v>13808</v>
      </c>
      <c r="Q792" s="24"/>
      <c r="R792" s="24" t="s">
        <v>13808</v>
      </c>
      <c r="S792" s="24"/>
      <c r="T792" t="s">
        <v>13847</v>
      </c>
      <c r="U792" t="s">
        <v>13809</v>
      </c>
      <c r="W792" t="s">
        <v>13808</v>
      </c>
      <c r="X792" t="s">
        <v>25028</v>
      </c>
      <c r="Y792" t="s">
        <v>13809</v>
      </c>
      <c r="AA792" t="s">
        <v>13877</v>
      </c>
      <c r="AC792" t="s">
        <v>13809</v>
      </c>
      <c r="AH792" t="s">
        <v>13909</v>
      </c>
      <c r="AI792" t="s">
        <v>13808</v>
      </c>
      <c r="AO792" t="s">
        <v>13809</v>
      </c>
      <c r="AT792" t="s">
        <v>25029</v>
      </c>
      <c r="AU792" t="s">
        <v>13808</v>
      </c>
      <c r="AZ792" t="s">
        <v>21500</v>
      </c>
      <c r="BA792" t="s">
        <v>13808</v>
      </c>
      <c r="BF792" t="s">
        <v>15530</v>
      </c>
      <c r="BG792" t="s">
        <v>13808</v>
      </c>
      <c r="BM792" t="s">
        <v>13809</v>
      </c>
      <c r="BR792" t="s">
        <v>25030</v>
      </c>
      <c r="BT792" t="s">
        <v>13809</v>
      </c>
      <c r="BY792" t="s">
        <v>13887</v>
      </c>
      <c r="BZ792" t="s">
        <v>13808</v>
      </c>
      <c r="CA792" t="s">
        <v>14026</v>
      </c>
      <c r="CE792" t="s">
        <v>14197</v>
      </c>
      <c r="CF792" t="s">
        <v>13808</v>
      </c>
      <c r="CG792" t="s">
        <v>14128</v>
      </c>
      <c r="CL792" t="s">
        <v>13809</v>
      </c>
      <c r="CR792" t="s">
        <v>13809</v>
      </c>
      <c r="CT792" t="s">
        <v>14293</v>
      </c>
      <c r="CU792" t="s">
        <v>25031</v>
      </c>
      <c r="CV792" t="s">
        <v>13808</v>
      </c>
      <c r="CX792" t="s">
        <v>25032</v>
      </c>
      <c r="CY792" t="s">
        <v>13818</v>
      </c>
      <c r="DA792" t="s">
        <v>25033</v>
      </c>
      <c r="DB792" t="s">
        <v>13808</v>
      </c>
      <c r="DG792" t="s">
        <v>25034</v>
      </c>
      <c r="DH792" t="s">
        <v>13818</v>
      </c>
      <c r="DM792" t="s">
        <v>25035</v>
      </c>
      <c r="DN792" t="s">
        <v>13808</v>
      </c>
      <c r="DY792" t="s">
        <v>15828</v>
      </c>
      <c r="DZ792" t="s">
        <v>14274</v>
      </c>
      <c r="EA792" t="s">
        <v>25036</v>
      </c>
      <c r="ED792" t="s">
        <v>14608</v>
      </c>
      <c r="EE792" t="s">
        <v>5169</v>
      </c>
    </row>
    <row r="793" spans="1:135">
      <c r="A793" t="s">
        <v>922</v>
      </c>
      <c r="B793" t="s">
        <v>914</v>
      </c>
      <c r="C793" t="s">
        <v>25037</v>
      </c>
      <c r="D793" s="24">
        <v>43763</v>
      </c>
      <c r="E793" s="24" t="s">
        <v>13555</v>
      </c>
      <c r="F793" s="24" t="s">
        <v>25038</v>
      </c>
      <c r="G793" s="24" t="s">
        <v>13808</v>
      </c>
      <c r="H793" s="24"/>
      <c r="I793" s="24" t="s">
        <v>13809</v>
      </c>
      <c r="J793" s="24"/>
      <c r="K793" s="24" t="s">
        <v>13808</v>
      </c>
      <c r="L793" s="24"/>
      <c r="M793" s="24" t="s">
        <v>14163</v>
      </c>
      <c r="N793" s="24" t="s">
        <v>13808</v>
      </c>
      <c r="O793" s="24"/>
      <c r="P793" s="24" t="s">
        <v>13808</v>
      </c>
      <c r="Q793" s="24"/>
      <c r="R793" s="24" t="s">
        <v>13808</v>
      </c>
      <c r="S793" s="24"/>
      <c r="T793" t="s">
        <v>14034</v>
      </c>
      <c r="U793" t="s">
        <v>13808</v>
      </c>
      <c r="V793" t="s">
        <v>25039</v>
      </c>
      <c r="W793" t="s">
        <v>13808</v>
      </c>
      <c r="X793" t="s">
        <v>25040</v>
      </c>
      <c r="Y793" t="s">
        <v>13809</v>
      </c>
      <c r="AA793" t="s">
        <v>13877</v>
      </c>
      <c r="AB793" t="s">
        <v>25041</v>
      </c>
      <c r="AC793" t="s">
        <v>13808</v>
      </c>
      <c r="AH793" t="s">
        <v>13909</v>
      </c>
      <c r="AI793" t="s">
        <v>13808</v>
      </c>
      <c r="AN793" t="s">
        <v>25042</v>
      </c>
      <c r="AO793" t="s">
        <v>13808</v>
      </c>
      <c r="AU793" t="s">
        <v>13809</v>
      </c>
      <c r="AZ793" t="s">
        <v>25043</v>
      </c>
      <c r="BA793" t="s">
        <v>13808</v>
      </c>
      <c r="BF793" t="s">
        <v>13910</v>
      </c>
      <c r="BG793" t="s">
        <v>13808</v>
      </c>
      <c r="BL793" t="s">
        <v>25044</v>
      </c>
      <c r="BM793" t="s">
        <v>13808</v>
      </c>
      <c r="BR793" t="s">
        <v>25045</v>
      </c>
      <c r="BS793" t="s">
        <v>13887</v>
      </c>
      <c r="BT793" t="s">
        <v>13808</v>
      </c>
      <c r="BU793" t="s">
        <v>14128</v>
      </c>
      <c r="BY793" t="s">
        <v>14265</v>
      </c>
      <c r="BZ793" t="s">
        <v>13808</v>
      </c>
      <c r="CA793" t="s">
        <v>13888</v>
      </c>
      <c r="CE793" t="s">
        <v>13885</v>
      </c>
      <c r="CF793" t="s">
        <v>13808</v>
      </c>
      <c r="CL793" t="s">
        <v>13809</v>
      </c>
      <c r="CR793" t="s">
        <v>13809</v>
      </c>
      <c r="CT793" t="s">
        <v>14027</v>
      </c>
      <c r="CU793" t="s">
        <v>25046</v>
      </c>
      <c r="CV793" t="s">
        <v>13808</v>
      </c>
      <c r="DA793" t="s">
        <v>25047</v>
      </c>
      <c r="DB793" t="s">
        <v>13808</v>
      </c>
      <c r="DH793" t="s">
        <v>13809</v>
      </c>
      <c r="DM793" t="s">
        <v>25048</v>
      </c>
      <c r="DN793" t="s">
        <v>13808</v>
      </c>
      <c r="DY793" t="s">
        <v>15828</v>
      </c>
      <c r="DZ793" t="s">
        <v>25049</v>
      </c>
      <c r="EA793" t="s">
        <v>14049</v>
      </c>
      <c r="EC793">
        <v>43776</v>
      </c>
      <c r="ED793" t="s">
        <v>13903</v>
      </c>
      <c r="EE793" t="s">
        <v>5337</v>
      </c>
    </row>
    <row r="794" spans="1:135">
      <c r="A794" t="s">
        <v>185</v>
      </c>
      <c r="B794" t="s">
        <v>147</v>
      </c>
      <c r="C794" t="s">
        <v>25050</v>
      </c>
      <c r="D794" s="24">
        <v>42944</v>
      </c>
      <c r="E794" s="24" t="s">
        <v>13560</v>
      </c>
      <c r="F794" s="24" t="s">
        <v>25051</v>
      </c>
      <c r="G794" s="24" t="s">
        <v>13808</v>
      </c>
      <c r="H794" s="24"/>
      <c r="I794" s="24" t="s">
        <v>13809</v>
      </c>
      <c r="J794" s="24"/>
      <c r="K794" s="24" t="s">
        <v>13808</v>
      </c>
      <c r="L794" s="24"/>
      <c r="M794" s="24" t="s">
        <v>25052</v>
      </c>
      <c r="N794" s="24" t="s">
        <v>13808</v>
      </c>
      <c r="O794" s="24"/>
      <c r="P794" s="24" t="s">
        <v>13808</v>
      </c>
      <c r="Q794" s="24"/>
      <c r="R794" s="24" t="s">
        <v>13818</v>
      </c>
      <c r="S794" s="24" t="s">
        <v>25053</v>
      </c>
      <c r="T794" t="s">
        <v>25054</v>
      </c>
      <c r="U794" t="s">
        <v>13809</v>
      </c>
      <c r="W794" t="s">
        <v>13809</v>
      </c>
      <c r="Y794" t="s">
        <v>13808</v>
      </c>
      <c r="Z794" t="s">
        <v>25055</v>
      </c>
      <c r="AA794" t="s">
        <v>25056</v>
      </c>
      <c r="AB794" t="s">
        <v>25057</v>
      </c>
      <c r="AC794" t="s">
        <v>13818</v>
      </c>
      <c r="AD794" t="s">
        <v>14414</v>
      </c>
      <c r="AH794" t="s">
        <v>13887</v>
      </c>
      <c r="AI794" t="s">
        <v>13808</v>
      </c>
      <c r="AK794" t="s">
        <v>14839</v>
      </c>
      <c r="AL794" t="s">
        <v>13818</v>
      </c>
      <c r="AN794" t="s">
        <v>14007</v>
      </c>
      <c r="AO794" t="s">
        <v>13808</v>
      </c>
      <c r="AT794" t="s">
        <v>16121</v>
      </c>
      <c r="AU794" t="s">
        <v>13818</v>
      </c>
      <c r="AV794" t="s">
        <v>14309</v>
      </c>
      <c r="AZ794" t="s">
        <v>25058</v>
      </c>
      <c r="BA794" t="s">
        <v>13808</v>
      </c>
      <c r="BC794" t="s">
        <v>25059</v>
      </c>
      <c r="BD794" t="s">
        <v>13818</v>
      </c>
      <c r="BE794" t="s">
        <v>13819</v>
      </c>
      <c r="BG794" t="s">
        <v>13809</v>
      </c>
      <c r="BL794" t="s">
        <v>16346</v>
      </c>
      <c r="BM794" t="s">
        <v>13818</v>
      </c>
      <c r="BN794" t="s">
        <v>25060</v>
      </c>
      <c r="BR794" t="s">
        <v>25061</v>
      </c>
      <c r="BS794" t="s">
        <v>13887</v>
      </c>
      <c r="BT794" t="s">
        <v>13808</v>
      </c>
      <c r="BU794" t="s">
        <v>25062</v>
      </c>
      <c r="BY794" t="s">
        <v>14265</v>
      </c>
      <c r="BZ794" t="s">
        <v>13818</v>
      </c>
      <c r="CA794" t="s">
        <v>25063</v>
      </c>
      <c r="CE794" t="s">
        <v>13887</v>
      </c>
      <c r="CF794" t="s">
        <v>13808</v>
      </c>
      <c r="CK794" t="s">
        <v>23734</v>
      </c>
      <c r="CL794" t="s">
        <v>13818</v>
      </c>
      <c r="CM794" t="s">
        <v>14309</v>
      </c>
      <c r="CR794" t="s">
        <v>13809</v>
      </c>
      <c r="CT794" t="s">
        <v>15632</v>
      </c>
      <c r="CU794" t="s">
        <v>14170</v>
      </c>
      <c r="CV794" t="s">
        <v>13808</v>
      </c>
      <c r="CX794" t="s">
        <v>25064</v>
      </c>
      <c r="CY794" t="s">
        <v>13818</v>
      </c>
      <c r="CZ794" t="s">
        <v>25065</v>
      </c>
      <c r="DA794" t="s">
        <v>14192</v>
      </c>
      <c r="DB794" t="s">
        <v>13808</v>
      </c>
      <c r="DD794" t="s">
        <v>25066</v>
      </c>
      <c r="DE794" t="s">
        <v>13818</v>
      </c>
      <c r="DF794" t="s">
        <v>25067</v>
      </c>
      <c r="DG794" t="s">
        <v>13909</v>
      </c>
      <c r="DH794" t="s">
        <v>13818</v>
      </c>
      <c r="DZ794" t="s">
        <v>24702</v>
      </c>
      <c r="EA794" t="s">
        <v>25068</v>
      </c>
      <c r="EC794">
        <v>43726</v>
      </c>
      <c r="ED794" t="s">
        <v>17062</v>
      </c>
      <c r="EE794" t="s">
        <v>4616</v>
      </c>
    </row>
    <row r="795" spans="1:135">
      <c r="A795" t="s">
        <v>927</v>
      </c>
      <c r="B795" t="s">
        <v>914</v>
      </c>
      <c r="C795" t="s">
        <v>25069</v>
      </c>
      <c r="D795" s="24">
        <v>43130</v>
      </c>
      <c r="E795" s="24" t="s">
        <v>13557</v>
      </c>
      <c r="F795" s="24" t="s">
        <v>25070</v>
      </c>
      <c r="G795" s="24" t="s">
        <v>13808</v>
      </c>
      <c r="H795" s="24"/>
      <c r="I795" s="24" t="s">
        <v>13809</v>
      </c>
      <c r="J795" s="24"/>
      <c r="K795" s="24" t="s">
        <v>13808</v>
      </c>
      <c r="L795" s="24"/>
      <c r="M795" s="24" t="s">
        <v>25071</v>
      </c>
      <c r="N795" s="24" t="s">
        <v>13808</v>
      </c>
      <c r="O795" s="24"/>
      <c r="P795" s="24" t="s">
        <v>13808</v>
      </c>
      <c r="Q795" s="24"/>
      <c r="R795" s="24" t="s">
        <v>13818</v>
      </c>
      <c r="S795" s="24"/>
      <c r="T795" t="s">
        <v>15051</v>
      </c>
      <c r="U795" t="s">
        <v>13809</v>
      </c>
      <c r="W795" t="s">
        <v>13808</v>
      </c>
      <c r="X795" t="s">
        <v>25072</v>
      </c>
      <c r="Y795" t="s">
        <v>13808</v>
      </c>
      <c r="AA795" t="s">
        <v>16901</v>
      </c>
      <c r="AB795" t="s">
        <v>13878</v>
      </c>
      <c r="AC795" t="s">
        <v>13808</v>
      </c>
      <c r="AH795" t="s">
        <v>13909</v>
      </c>
      <c r="AI795" t="s">
        <v>13808</v>
      </c>
      <c r="AK795" t="s">
        <v>25073</v>
      </c>
      <c r="AL795" t="s">
        <v>13818</v>
      </c>
      <c r="AM795" t="s">
        <v>21657</v>
      </c>
      <c r="AN795" t="s">
        <v>14812</v>
      </c>
      <c r="AO795" t="s">
        <v>13808</v>
      </c>
      <c r="AT795" t="s">
        <v>14059</v>
      </c>
      <c r="AU795" t="s">
        <v>13808</v>
      </c>
      <c r="AZ795" t="s">
        <v>25074</v>
      </c>
      <c r="BA795" t="s">
        <v>13808</v>
      </c>
      <c r="BF795" t="s">
        <v>15973</v>
      </c>
      <c r="BG795" t="s">
        <v>13808</v>
      </c>
      <c r="BM795" t="s">
        <v>13809</v>
      </c>
      <c r="BR795" t="s">
        <v>25075</v>
      </c>
      <c r="BS795" t="s">
        <v>13887</v>
      </c>
      <c r="BT795" t="s">
        <v>13808</v>
      </c>
      <c r="BU795" t="s">
        <v>14836</v>
      </c>
      <c r="BY795" t="s">
        <v>13887</v>
      </c>
      <c r="BZ795" t="s">
        <v>13808</v>
      </c>
      <c r="CA795" t="s">
        <v>13937</v>
      </c>
      <c r="CE795" t="s">
        <v>14693</v>
      </c>
      <c r="CF795" t="s">
        <v>13808</v>
      </c>
      <c r="CL795" t="s">
        <v>13809</v>
      </c>
      <c r="CR795" t="s">
        <v>13809</v>
      </c>
      <c r="CT795" t="s">
        <v>25076</v>
      </c>
      <c r="CU795" t="s">
        <v>14255</v>
      </c>
      <c r="CV795" t="s">
        <v>13808</v>
      </c>
      <c r="CX795" t="s">
        <v>13887</v>
      </c>
      <c r="CY795" t="s">
        <v>13818</v>
      </c>
      <c r="DA795" t="s">
        <v>25077</v>
      </c>
      <c r="DB795" t="s">
        <v>13808</v>
      </c>
      <c r="DG795" t="s">
        <v>13909</v>
      </c>
      <c r="DH795" t="s">
        <v>13808</v>
      </c>
      <c r="DZ795" t="s">
        <v>14923</v>
      </c>
      <c r="EA795" t="s">
        <v>25078</v>
      </c>
      <c r="EC795">
        <v>44179</v>
      </c>
      <c r="ED795" t="s">
        <v>13903</v>
      </c>
      <c r="EE795" t="s">
        <v>5341</v>
      </c>
    </row>
    <row r="796" spans="1:135">
      <c r="A796" t="s">
        <v>731</v>
      </c>
      <c r="B796" t="s">
        <v>710</v>
      </c>
      <c r="C796" t="s">
        <v>25079</v>
      </c>
      <c r="D796" s="24">
        <v>44537</v>
      </c>
      <c r="E796" s="24" t="s">
        <v>13564</v>
      </c>
      <c r="F796" s="24" t="s">
        <v>25080</v>
      </c>
      <c r="G796" s="24" t="s">
        <v>13808</v>
      </c>
      <c r="H796" s="24"/>
      <c r="I796" s="24" t="s">
        <v>13809</v>
      </c>
      <c r="J796" s="24"/>
      <c r="K796" s="24" t="s">
        <v>13809</v>
      </c>
      <c r="L796" s="24"/>
      <c r="M796" s="24" t="s">
        <v>16119</v>
      </c>
      <c r="N796" s="24" t="s">
        <v>13808</v>
      </c>
      <c r="O796" s="24"/>
      <c r="P796" s="24" t="s">
        <v>13808</v>
      </c>
      <c r="Q796" s="24"/>
      <c r="R796" s="24" t="s">
        <v>13808</v>
      </c>
      <c r="S796" s="24"/>
      <c r="T796" t="s">
        <v>14034</v>
      </c>
      <c r="U796" t="s">
        <v>13809</v>
      </c>
      <c r="W796" t="s">
        <v>13808</v>
      </c>
      <c r="X796" t="s">
        <v>25081</v>
      </c>
      <c r="Y796" t="s">
        <v>13809</v>
      </c>
      <c r="AA796" t="s">
        <v>16563</v>
      </c>
      <c r="AB796" t="s">
        <v>16048</v>
      </c>
      <c r="AC796" t="s">
        <v>13808</v>
      </c>
      <c r="AH796" t="s">
        <v>13909</v>
      </c>
      <c r="AI796" t="s">
        <v>13808</v>
      </c>
      <c r="AN796" t="s">
        <v>15212</v>
      </c>
      <c r="AO796" t="s">
        <v>13808</v>
      </c>
      <c r="AT796" t="s">
        <v>14851</v>
      </c>
      <c r="AU796" t="s">
        <v>13808</v>
      </c>
      <c r="AZ796" t="s">
        <v>15529</v>
      </c>
      <c r="BA796" t="s">
        <v>13808</v>
      </c>
      <c r="BF796" t="s">
        <v>14177</v>
      </c>
      <c r="BG796" t="s">
        <v>13808</v>
      </c>
      <c r="BM796" t="s">
        <v>13809</v>
      </c>
      <c r="BR796" t="s">
        <v>25082</v>
      </c>
      <c r="BS796" t="s">
        <v>13887</v>
      </c>
      <c r="BT796" t="s">
        <v>13808</v>
      </c>
      <c r="BU796" t="s">
        <v>25083</v>
      </c>
      <c r="BY796" t="s">
        <v>13887</v>
      </c>
      <c r="BZ796" t="s">
        <v>13808</v>
      </c>
      <c r="CA796" t="s">
        <v>13888</v>
      </c>
      <c r="CE796" t="s">
        <v>14197</v>
      </c>
      <c r="CF796" t="s">
        <v>13818</v>
      </c>
      <c r="CG796" t="s">
        <v>25084</v>
      </c>
      <c r="CL796" t="s">
        <v>13809</v>
      </c>
      <c r="CR796" t="s">
        <v>13809</v>
      </c>
      <c r="CT796" t="s">
        <v>25085</v>
      </c>
      <c r="CU796" t="s">
        <v>16071</v>
      </c>
      <c r="CV796" t="s">
        <v>13808</v>
      </c>
      <c r="CX796" t="s">
        <v>25086</v>
      </c>
      <c r="CY796" t="s">
        <v>13818</v>
      </c>
      <c r="DA796" t="s">
        <v>15514</v>
      </c>
      <c r="DB796" t="s">
        <v>13808</v>
      </c>
      <c r="DC796" t="s">
        <v>25087</v>
      </c>
      <c r="DG796" t="s">
        <v>25088</v>
      </c>
      <c r="DH796" t="s">
        <v>13818</v>
      </c>
      <c r="DM796" t="s">
        <v>25089</v>
      </c>
      <c r="DN796" t="s">
        <v>13818</v>
      </c>
      <c r="DY796" t="s">
        <v>25090</v>
      </c>
      <c r="DZ796" t="s">
        <v>13970</v>
      </c>
      <c r="EA796" t="s">
        <v>13842</v>
      </c>
      <c r="ED796" t="s">
        <v>14608</v>
      </c>
      <c r="EE796" t="s">
        <v>5173</v>
      </c>
    </row>
    <row r="797" spans="1:135">
      <c r="A797" t="s">
        <v>735</v>
      </c>
      <c r="B797" t="s">
        <v>710</v>
      </c>
      <c r="C797" t="s">
        <v>25091</v>
      </c>
      <c r="D797" s="24">
        <v>43693</v>
      </c>
      <c r="E797" s="24" t="s">
        <v>13553</v>
      </c>
      <c r="F797" s="24" t="s">
        <v>25092</v>
      </c>
      <c r="G797" s="24" t="s">
        <v>13808</v>
      </c>
      <c r="H797" s="24"/>
      <c r="I797" s="24" t="s">
        <v>13809</v>
      </c>
      <c r="J797" s="24"/>
      <c r="K797" s="24" t="s">
        <v>13809</v>
      </c>
      <c r="L797" s="24"/>
      <c r="M797" s="24" t="s">
        <v>14163</v>
      </c>
      <c r="N797" s="24" t="s">
        <v>13808</v>
      </c>
      <c r="O797" s="24"/>
      <c r="P797" s="24" t="s">
        <v>13808</v>
      </c>
      <c r="Q797" s="24"/>
      <c r="R797" s="24" t="s">
        <v>13808</v>
      </c>
      <c r="S797" s="24"/>
      <c r="T797" t="s">
        <v>14016</v>
      </c>
      <c r="U797" t="s">
        <v>13808</v>
      </c>
      <c r="V797" t="s">
        <v>25093</v>
      </c>
      <c r="W797" t="s">
        <v>13808</v>
      </c>
      <c r="X797" t="s">
        <v>25094</v>
      </c>
      <c r="Y797" t="s">
        <v>13809</v>
      </c>
      <c r="AA797" t="s">
        <v>13877</v>
      </c>
      <c r="AB797" t="s">
        <v>25095</v>
      </c>
      <c r="AC797" t="s">
        <v>13808</v>
      </c>
      <c r="AH797" t="s">
        <v>13909</v>
      </c>
      <c r="AI797" t="s">
        <v>13808</v>
      </c>
      <c r="AN797" t="s">
        <v>17124</v>
      </c>
      <c r="AO797" t="s">
        <v>13808</v>
      </c>
      <c r="AT797" t="s">
        <v>25096</v>
      </c>
      <c r="AU797" t="s">
        <v>13808</v>
      </c>
      <c r="AZ797" t="s">
        <v>14367</v>
      </c>
      <c r="BA797" t="s">
        <v>13808</v>
      </c>
      <c r="BF797" t="s">
        <v>14490</v>
      </c>
      <c r="BG797" t="s">
        <v>13808</v>
      </c>
      <c r="BL797" t="s">
        <v>25097</v>
      </c>
      <c r="BM797" t="s">
        <v>13808</v>
      </c>
      <c r="BR797" t="s">
        <v>25098</v>
      </c>
      <c r="BS797" t="s">
        <v>13887</v>
      </c>
      <c r="BT797" t="s">
        <v>13808</v>
      </c>
      <c r="BU797" t="s">
        <v>14128</v>
      </c>
      <c r="BY797" t="s">
        <v>13887</v>
      </c>
      <c r="BZ797" t="s">
        <v>13808</v>
      </c>
      <c r="CA797" t="s">
        <v>14026</v>
      </c>
      <c r="CE797" t="s">
        <v>14197</v>
      </c>
      <c r="CF797" t="s">
        <v>13808</v>
      </c>
      <c r="CK797" t="s">
        <v>13887</v>
      </c>
      <c r="CL797" t="s">
        <v>13808</v>
      </c>
      <c r="CR797" t="s">
        <v>13809</v>
      </c>
      <c r="CT797" t="s">
        <v>25099</v>
      </c>
      <c r="CU797" t="s">
        <v>25100</v>
      </c>
      <c r="CV797" t="s">
        <v>13808</v>
      </c>
      <c r="DA797" t="s">
        <v>25101</v>
      </c>
      <c r="DB797" t="s">
        <v>13808</v>
      </c>
      <c r="DH797" t="s">
        <v>13809</v>
      </c>
      <c r="DM797" t="s">
        <v>25102</v>
      </c>
      <c r="DN797" t="s">
        <v>13897</v>
      </c>
      <c r="DP797" t="s">
        <v>25103</v>
      </c>
      <c r="DQ797" t="s">
        <v>13897</v>
      </c>
      <c r="DR797" t="s">
        <v>14947</v>
      </c>
      <c r="DY797" t="s">
        <v>13900</v>
      </c>
      <c r="DZ797" t="s">
        <v>25104</v>
      </c>
      <c r="EA797" t="s">
        <v>25105</v>
      </c>
      <c r="ED797" t="s">
        <v>13903</v>
      </c>
      <c r="EE797" t="s">
        <v>5178</v>
      </c>
    </row>
    <row r="798" spans="1:135">
      <c r="A798" t="s">
        <v>739</v>
      </c>
      <c r="B798" t="s">
        <v>710</v>
      </c>
      <c r="C798" t="s">
        <v>25106</v>
      </c>
      <c r="D798" s="24">
        <v>44085</v>
      </c>
      <c r="E798" s="24" t="s">
        <v>13558</v>
      </c>
      <c r="F798" s="24" t="s">
        <v>25107</v>
      </c>
      <c r="G798" s="24" t="s">
        <v>13808</v>
      </c>
      <c r="H798" s="24"/>
      <c r="I798" s="24" t="s">
        <v>13809</v>
      </c>
      <c r="J798" s="24"/>
      <c r="K798" s="24" t="s">
        <v>13809</v>
      </c>
      <c r="L798" s="24"/>
      <c r="M798" s="24" t="s">
        <v>15106</v>
      </c>
      <c r="N798" s="24" t="s">
        <v>13808</v>
      </c>
      <c r="O798" s="24"/>
      <c r="P798" s="24" t="s">
        <v>13808</v>
      </c>
      <c r="Q798" s="24"/>
      <c r="R798" s="24" t="s">
        <v>13808</v>
      </c>
      <c r="S798" s="24"/>
      <c r="T798" t="s">
        <v>14137</v>
      </c>
      <c r="U798" t="s">
        <v>13809</v>
      </c>
      <c r="W798" t="s">
        <v>13809</v>
      </c>
      <c r="Y798" t="s">
        <v>13809</v>
      </c>
      <c r="AA798" t="s">
        <v>14307</v>
      </c>
      <c r="AB798" t="s">
        <v>13699</v>
      </c>
      <c r="AC798" t="s">
        <v>13809</v>
      </c>
      <c r="AH798" t="s">
        <v>14073</v>
      </c>
      <c r="AI798" t="s">
        <v>13808</v>
      </c>
      <c r="AK798" t="s">
        <v>24616</v>
      </c>
      <c r="AL798" t="s">
        <v>13818</v>
      </c>
      <c r="AM798" t="s">
        <v>13819</v>
      </c>
      <c r="AN798" t="s">
        <v>25108</v>
      </c>
      <c r="AO798" t="s">
        <v>13818</v>
      </c>
      <c r="AP798" t="s">
        <v>13819</v>
      </c>
      <c r="AT798" t="s">
        <v>25109</v>
      </c>
      <c r="AU798" t="s">
        <v>13808</v>
      </c>
      <c r="AZ798" t="s">
        <v>25110</v>
      </c>
      <c r="BA798" t="s">
        <v>13808</v>
      </c>
      <c r="BC798" t="s">
        <v>25111</v>
      </c>
      <c r="BD798" t="s">
        <v>13818</v>
      </c>
      <c r="BE798" t="s">
        <v>13819</v>
      </c>
      <c r="BF798" t="s">
        <v>25112</v>
      </c>
      <c r="BG798" t="s">
        <v>13808</v>
      </c>
      <c r="BL798" t="s">
        <v>13735</v>
      </c>
      <c r="BM798" t="s">
        <v>13809</v>
      </c>
      <c r="BR798" t="s">
        <v>25113</v>
      </c>
      <c r="BS798" t="s">
        <v>14290</v>
      </c>
      <c r="BT798" t="s">
        <v>13818</v>
      </c>
      <c r="BU798" t="s">
        <v>13985</v>
      </c>
      <c r="BY798" t="s">
        <v>13860</v>
      </c>
      <c r="BZ798" t="s">
        <v>13808</v>
      </c>
      <c r="CA798" t="s">
        <v>13937</v>
      </c>
      <c r="CE798" t="s">
        <v>13828</v>
      </c>
      <c r="CF798" t="s">
        <v>13808</v>
      </c>
      <c r="CG798" t="s">
        <v>25114</v>
      </c>
      <c r="CK798" t="s">
        <v>13760</v>
      </c>
      <c r="CL798" t="s">
        <v>13809</v>
      </c>
      <c r="CQ798" t="s">
        <v>13766</v>
      </c>
      <c r="CR798" t="s">
        <v>13809</v>
      </c>
      <c r="CT798" t="s">
        <v>13830</v>
      </c>
      <c r="CU798" t="s">
        <v>25115</v>
      </c>
      <c r="CV798" t="s">
        <v>13818</v>
      </c>
      <c r="DA798" t="s">
        <v>25116</v>
      </c>
      <c r="DB798" t="s">
        <v>13818</v>
      </c>
      <c r="DG798" t="s">
        <v>25117</v>
      </c>
      <c r="DH798" t="s">
        <v>13818</v>
      </c>
      <c r="DM798" t="s">
        <v>25118</v>
      </c>
      <c r="DN798" t="s">
        <v>13818</v>
      </c>
      <c r="DO798" t="s">
        <v>25119</v>
      </c>
      <c r="DY798" t="s">
        <v>13840</v>
      </c>
      <c r="DZ798" t="s">
        <v>13841</v>
      </c>
      <c r="EA798" t="s">
        <v>13842</v>
      </c>
      <c r="EC798">
        <v>44627</v>
      </c>
      <c r="ED798" t="s">
        <v>13843</v>
      </c>
      <c r="EE798" t="s">
        <v>5182</v>
      </c>
    </row>
    <row r="799" spans="1:135">
      <c r="A799" t="s">
        <v>749</v>
      </c>
      <c r="B799" t="s">
        <v>710</v>
      </c>
      <c r="C799" t="s">
        <v>25120</v>
      </c>
      <c r="D799" s="24">
        <v>43194</v>
      </c>
      <c r="E799" s="24" t="s">
        <v>13565</v>
      </c>
      <c r="F799" s="24" t="s">
        <v>25121</v>
      </c>
      <c r="G799" s="24" t="s">
        <v>13808</v>
      </c>
      <c r="H799" s="24"/>
      <c r="I799" s="24" t="s">
        <v>13809</v>
      </c>
      <c r="J799" s="24"/>
      <c r="K799" s="24" t="s">
        <v>13809</v>
      </c>
      <c r="L799" s="24"/>
      <c r="M799" s="24" t="s">
        <v>18884</v>
      </c>
      <c r="N799" s="24" t="s">
        <v>13808</v>
      </c>
      <c r="O799" s="24"/>
      <c r="P799" s="24" t="s">
        <v>13808</v>
      </c>
      <c r="Q799" s="24"/>
      <c r="R799" s="24" t="s">
        <v>13808</v>
      </c>
      <c r="S799" s="24"/>
      <c r="T799" t="s">
        <v>25122</v>
      </c>
      <c r="U799" t="s">
        <v>13809</v>
      </c>
      <c r="W799" t="s">
        <v>13808</v>
      </c>
      <c r="X799" t="s">
        <v>25123</v>
      </c>
      <c r="Y799" t="s">
        <v>13809</v>
      </c>
      <c r="AA799" t="s">
        <v>25124</v>
      </c>
      <c r="AB799" t="s">
        <v>14972</v>
      </c>
      <c r="AC799" t="s">
        <v>13808</v>
      </c>
      <c r="AH799" t="s">
        <v>13909</v>
      </c>
      <c r="AI799" t="s">
        <v>13808</v>
      </c>
      <c r="AN799" t="s">
        <v>20630</v>
      </c>
      <c r="AO799" t="s">
        <v>13808</v>
      </c>
      <c r="AT799" t="s">
        <v>16074</v>
      </c>
      <c r="AU799" t="s">
        <v>13808</v>
      </c>
      <c r="AZ799" t="s">
        <v>25125</v>
      </c>
      <c r="BA799" t="s">
        <v>13808</v>
      </c>
      <c r="BF799" t="s">
        <v>25126</v>
      </c>
      <c r="BG799" t="s">
        <v>13808</v>
      </c>
      <c r="BM799" t="s">
        <v>13809</v>
      </c>
      <c r="BR799" t="s">
        <v>25127</v>
      </c>
      <c r="BS799" t="s">
        <v>13887</v>
      </c>
      <c r="BT799" t="s">
        <v>13808</v>
      </c>
      <c r="BU799" t="s">
        <v>15304</v>
      </c>
      <c r="BY799" t="s">
        <v>13887</v>
      </c>
      <c r="BZ799" t="s">
        <v>13808</v>
      </c>
      <c r="CA799" t="s">
        <v>13937</v>
      </c>
      <c r="CE799" t="s">
        <v>14197</v>
      </c>
      <c r="CF799" t="s">
        <v>13808</v>
      </c>
      <c r="CL799" t="s">
        <v>13809</v>
      </c>
      <c r="CR799" t="s">
        <v>13809</v>
      </c>
      <c r="CT799" t="s">
        <v>25128</v>
      </c>
      <c r="CU799" t="s">
        <v>16368</v>
      </c>
      <c r="CV799" t="s">
        <v>13808</v>
      </c>
      <c r="CX799" t="s">
        <v>25129</v>
      </c>
      <c r="CY799" t="s">
        <v>13818</v>
      </c>
      <c r="DA799" t="s">
        <v>20202</v>
      </c>
      <c r="DB799" t="s">
        <v>13808</v>
      </c>
      <c r="DD799" t="s">
        <v>25130</v>
      </c>
      <c r="DE799" t="s">
        <v>13818</v>
      </c>
      <c r="DG799" t="s">
        <v>25131</v>
      </c>
      <c r="DH799" t="s">
        <v>13818</v>
      </c>
      <c r="DI799" t="s">
        <v>25132</v>
      </c>
      <c r="DJ799" t="s">
        <v>25133</v>
      </c>
      <c r="DK799" t="s">
        <v>13818</v>
      </c>
      <c r="DL799" t="s">
        <v>13968</v>
      </c>
      <c r="DM799" t="s">
        <v>25134</v>
      </c>
      <c r="DN799" t="s">
        <v>13818</v>
      </c>
      <c r="DP799" t="s">
        <v>25135</v>
      </c>
      <c r="DQ799" t="s">
        <v>13818</v>
      </c>
      <c r="DR799" t="s">
        <v>25136</v>
      </c>
      <c r="DY799" t="s">
        <v>13840</v>
      </c>
      <c r="DZ799" t="s">
        <v>14341</v>
      </c>
      <c r="EA799" t="s">
        <v>16100</v>
      </c>
      <c r="EC799">
        <v>43782</v>
      </c>
      <c r="ED799" t="s">
        <v>13903</v>
      </c>
      <c r="EE799" t="s">
        <v>5188</v>
      </c>
    </row>
    <row r="800" spans="1:135">
      <c r="A800" t="s">
        <v>13074</v>
      </c>
      <c r="B800" t="s">
        <v>287</v>
      </c>
      <c r="C800" t="s">
        <v>25137</v>
      </c>
      <c r="D800" s="24">
        <v>44295</v>
      </c>
      <c r="E800" s="24" t="s">
        <v>13561</v>
      </c>
      <c r="F800" s="24" t="s">
        <v>25138</v>
      </c>
      <c r="G800" s="24" t="s">
        <v>13818</v>
      </c>
      <c r="H800" s="24" t="s">
        <v>25139</v>
      </c>
      <c r="I800" s="24" t="s">
        <v>13809</v>
      </c>
      <c r="J800" s="24"/>
      <c r="K800" s="24" t="s">
        <v>13809</v>
      </c>
      <c r="L800" s="24"/>
      <c r="M800" s="24" t="s">
        <v>25140</v>
      </c>
      <c r="N800" s="24" t="s">
        <v>13808</v>
      </c>
      <c r="O800" s="24"/>
      <c r="P800" s="24" t="s">
        <v>13818</v>
      </c>
      <c r="Q800" s="24"/>
      <c r="R800" s="24" t="s">
        <v>13808</v>
      </c>
      <c r="S800" s="24"/>
      <c r="T800" t="s">
        <v>25141</v>
      </c>
      <c r="U800" t="s">
        <v>13809</v>
      </c>
      <c r="W800" t="s">
        <v>13809</v>
      </c>
      <c r="Y800" t="s">
        <v>13809</v>
      </c>
      <c r="AA800" t="s">
        <v>25142</v>
      </c>
      <c r="AC800" t="s">
        <v>13809</v>
      </c>
      <c r="AH800" t="s">
        <v>13909</v>
      </c>
      <c r="AI800" t="s">
        <v>13818</v>
      </c>
      <c r="AJ800" t="s">
        <v>14309</v>
      </c>
      <c r="AO800" t="s">
        <v>13809</v>
      </c>
      <c r="AT800" t="s">
        <v>25143</v>
      </c>
      <c r="AU800" t="s">
        <v>13818</v>
      </c>
      <c r="AV800" t="s">
        <v>14309</v>
      </c>
      <c r="AZ800" t="s">
        <v>25144</v>
      </c>
      <c r="BA800" t="s">
        <v>13818</v>
      </c>
      <c r="BB800" t="s">
        <v>14414</v>
      </c>
      <c r="BF800" t="s">
        <v>25145</v>
      </c>
      <c r="BG800" t="s">
        <v>13818</v>
      </c>
      <c r="BH800" t="s">
        <v>14309</v>
      </c>
      <c r="BM800" t="s">
        <v>13809</v>
      </c>
      <c r="BR800" t="s">
        <v>25146</v>
      </c>
      <c r="BS800" t="s">
        <v>13887</v>
      </c>
      <c r="BT800" t="s">
        <v>13818</v>
      </c>
      <c r="BU800" t="s">
        <v>25147</v>
      </c>
      <c r="BY800" t="s">
        <v>14265</v>
      </c>
      <c r="BZ800" t="s">
        <v>13818</v>
      </c>
      <c r="CA800" t="s">
        <v>25148</v>
      </c>
      <c r="CE800" t="s">
        <v>25149</v>
      </c>
      <c r="CF800" t="s">
        <v>13818</v>
      </c>
      <c r="CG800" t="s">
        <v>18683</v>
      </c>
      <c r="CL800" t="s">
        <v>13809</v>
      </c>
      <c r="CR800" t="s">
        <v>13809</v>
      </c>
      <c r="CT800" t="s">
        <v>24658</v>
      </c>
      <c r="CU800" t="s">
        <v>15127</v>
      </c>
      <c r="CV800" t="s">
        <v>13818</v>
      </c>
      <c r="DA800" t="s">
        <v>25150</v>
      </c>
      <c r="DB800" t="s">
        <v>13818</v>
      </c>
      <c r="DG800" t="s">
        <v>25151</v>
      </c>
      <c r="DH800" t="s">
        <v>13818</v>
      </c>
      <c r="DY800" t="s">
        <v>14606</v>
      </c>
      <c r="DZ800" t="s">
        <v>14607</v>
      </c>
      <c r="EA800" t="s">
        <v>14461</v>
      </c>
      <c r="ED800" t="s">
        <v>14608</v>
      </c>
      <c r="EE800" t="s">
        <v>13660</v>
      </c>
    </row>
    <row r="801" spans="1:135">
      <c r="A801" t="s">
        <v>520</v>
      </c>
      <c r="B801" t="s">
        <v>445</v>
      </c>
      <c r="C801" t="s">
        <v>25152</v>
      </c>
      <c r="D801" s="24">
        <v>43670</v>
      </c>
      <c r="E801" s="24" t="s">
        <v>13559</v>
      </c>
      <c r="F801" s="24" t="s">
        <v>25153</v>
      </c>
      <c r="G801" s="24" t="s">
        <v>13808</v>
      </c>
      <c r="H801" s="24"/>
      <c r="I801" s="24" t="s">
        <v>13809</v>
      </c>
      <c r="J801" s="24"/>
      <c r="K801" s="24" t="s">
        <v>13808</v>
      </c>
      <c r="L801" s="24"/>
      <c r="M801" s="24" t="s">
        <v>15805</v>
      </c>
      <c r="N801" s="24" t="s">
        <v>13818</v>
      </c>
      <c r="O801" s="24" t="s">
        <v>15815</v>
      </c>
      <c r="P801" s="24" t="s">
        <v>13808</v>
      </c>
      <c r="Q801" s="24"/>
      <c r="R801" s="24" t="s">
        <v>13808</v>
      </c>
      <c r="S801" s="24"/>
      <c r="T801" t="s">
        <v>25154</v>
      </c>
      <c r="U801" t="s">
        <v>13808</v>
      </c>
      <c r="W801" t="s">
        <v>13808</v>
      </c>
      <c r="X801" t="s">
        <v>25155</v>
      </c>
      <c r="Y801" t="s">
        <v>13818</v>
      </c>
      <c r="Z801" t="s">
        <v>25156</v>
      </c>
      <c r="AA801" t="s">
        <v>18651</v>
      </c>
      <c r="AC801" t="s">
        <v>13809</v>
      </c>
      <c r="AH801" t="s">
        <v>13909</v>
      </c>
      <c r="AI801" t="s">
        <v>13808</v>
      </c>
      <c r="AN801" t="s">
        <v>25157</v>
      </c>
      <c r="AO801" t="s">
        <v>13808</v>
      </c>
      <c r="AT801" t="s">
        <v>16368</v>
      </c>
      <c r="AU801" t="s">
        <v>13808</v>
      </c>
      <c r="AZ801" t="s">
        <v>25158</v>
      </c>
      <c r="BA801" t="s">
        <v>13808</v>
      </c>
      <c r="BF801" t="s">
        <v>15025</v>
      </c>
      <c r="BG801" t="s">
        <v>13808</v>
      </c>
      <c r="BL801" t="s">
        <v>14687</v>
      </c>
      <c r="BM801" t="s">
        <v>13808</v>
      </c>
      <c r="BR801" t="s">
        <v>25159</v>
      </c>
      <c r="BS801" t="s">
        <v>13887</v>
      </c>
      <c r="BT801" t="s">
        <v>13818</v>
      </c>
      <c r="BU801" t="s">
        <v>25160</v>
      </c>
      <c r="BY801" t="s">
        <v>15138</v>
      </c>
      <c r="BZ801" t="s">
        <v>13808</v>
      </c>
      <c r="CA801" t="s">
        <v>13888</v>
      </c>
      <c r="CE801" t="s">
        <v>14265</v>
      </c>
      <c r="CF801" t="s">
        <v>13808</v>
      </c>
      <c r="CG801" t="s">
        <v>25161</v>
      </c>
      <c r="CL801" t="s">
        <v>13809</v>
      </c>
      <c r="CQ801" t="s">
        <v>14265</v>
      </c>
      <c r="CR801" t="s">
        <v>13808</v>
      </c>
      <c r="CS801" t="s">
        <v>25161</v>
      </c>
      <c r="CT801" t="s">
        <v>14396</v>
      </c>
      <c r="CU801" t="s">
        <v>25162</v>
      </c>
      <c r="CV801" t="s">
        <v>13808</v>
      </c>
      <c r="CW801" t="s">
        <v>25163</v>
      </c>
      <c r="CX801" t="s">
        <v>25164</v>
      </c>
      <c r="CY801" t="s">
        <v>13818</v>
      </c>
      <c r="DA801" t="s">
        <v>25165</v>
      </c>
      <c r="DB801" t="s">
        <v>13808</v>
      </c>
      <c r="DC801" t="s">
        <v>25166</v>
      </c>
      <c r="DD801" t="s">
        <v>25167</v>
      </c>
      <c r="DE801" t="s">
        <v>13818</v>
      </c>
      <c r="DG801" t="s">
        <v>25168</v>
      </c>
      <c r="DH801" t="s">
        <v>13818</v>
      </c>
      <c r="DY801" t="s">
        <v>13869</v>
      </c>
      <c r="DZ801" t="s">
        <v>14274</v>
      </c>
      <c r="EA801" t="s">
        <v>13842</v>
      </c>
      <c r="EC801">
        <v>44179</v>
      </c>
      <c r="ED801" t="s">
        <v>13903</v>
      </c>
      <c r="EE801" t="s">
        <v>4961</v>
      </c>
    </row>
    <row r="802" spans="1:135">
      <c r="A802" t="s">
        <v>938</v>
      </c>
      <c r="B802" t="s">
        <v>914</v>
      </c>
      <c r="C802" t="s">
        <v>25169</v>
      </c>
      <c r="D802" s="24">
        <v>43130</v>
      </c>
      <c r="E802" s="24" t="s">
        <v>13558</v>
      </c>
      <c r="F802" s="24" t="s">
        <v>25170</v>
      </c>
      <c r="G802" s="24" t="s">
        <v>13808</v>
      </c>
      <c r="H802" s="24"/>
      <c r="I802" s="24" t="s">
        <v>13809</v>
      </c>
      <c r="J802" s="24"/>
      <c r="K802" s="24" t="s">
        <v>13808</v>
      </c>
      <c r="L802" s="24"/>
      <c r="M802" s="24" t="s">
        <v>15163</v>
      </c>
      <c r="N802" s="24" t="s">
        <v>13808</v>
      </c>
      <c r="O802" s="24"/>
      <c r="P802" s="24" t="s">
        <v>13808</v>
      </c>
      <c r="Q802" s="24"/>
      <c r="R802" s="24" t="s">
        <v>13808</v>
      </c>
      <c r="S802" s="24"/>
      <c r="T802" t="s">
        <v>15051</v>
      </c>
      <c r="U802" t="s">
        <v>13809</v>
      </c>
      <c r="W802" t="s">
        <v>13808</v>
      </c>
      <c r="X802" t="s">
        <v>25171</v>
      </c>
      <c r="Y802" t="s">
        <v>13808</v>
      </c>
      <c r="AA802" t="s">
        <v>25172</v>
      </c>
      <c r="AB802" t="s">
        <v>21951</v>
      </c>
      <c r="AC802" t="s">
        <v>13808</v>
      </c>
      <c r="AH802" t="s">
        <v>13909</v>
      </c>
      <c r="AI802" t="s">
        <v>13808</v>
      </c>
      <c r="AN802" t="s">
        <v>25173</v>
      </c>
      <c r="AO802" t="s">
        <v>13808</v>
      </c>
      <c r="AT802" t="s">
        <v>14166</v>
      </c>
      <c r="AU802" t="s">
        <v>13808</v>
      </c>
      <c r="AZ802" t="s">
        <v>25174</v>
      </c>
      <c r="BA802" t="s">
        <v>13808</v>
      </c>
      <c r="BF802" t="s">
        <v>25175</v>
      </c>
      <c r="BG802" t="s">
        <v>13808</v>
      </c>
      <c r="BL802" t="s">
        <v>25176</v>
      </c>
      <c r="BM802" t="s">
        <v>13808</v>
      </c>
      <c r="BR802" t="s">
        <v>25177</v>
      </c>
      <c r="BS802" t="s">
        <v>13887</v>
      </c>
      <c r="BT802" t="s">
        <v>13808</v>
      </c>
      <c r="BU802" t="s">
        <v>14147</v>
      </c>
      <c r="BY802" t="s">
        <v>13887</v>
      </c>
      <c r="BZ802" t="s">
        <v>13808</v>
      </c>
      <c r="CA802" t="s">
        <v>13937</v>
      </c>
      <c r="CE802" t="s">
        <v>13885</v>
      </c>
      <c r="CF802" t="s">
        <v>13808</v>
      </c>
      <c r="CL802" t="s">
        <v>13809</v>
      </c>
      <c r="CR802" t="s">
        <v>13809</v>
      </c>
      <c r="CT802" t="s">
        <v>25178</v>
      </c>
      <c r="CU802" t="s">
        <v>13909</v>
      </c>
      <c r="CV802" t="s">
        <v>13818</v>
      </c>
      <c r="DA802" t="s">
        <v>13909</v>
      </c>
      <c r="DB802" t="s">
        <v>13818</v>
      </c>
      <c r="DG802" t="s">
        <v>13909</v>
      </c>
      <c r="DH802" t="s">
        <v>13818</v>
      </c>
      <c r="DM802" t="s">
        <v>14197</v>
      </c>
      <c r="DN802" t="s">
        <v>13808</v>
      </c>
      <c r="DZ802" t="s">
        <v>14923</v>
      </c>
      <c r="EA802" t="s">
        <v>25179</v>
      </c>
      <c r="EC802">
        <v>44179</v>
      </c>
      <c r="ED802" t="s">
        <v>13903</v>
      </c>
      <c r="EE802" t="s">
        <v>5348</v>
      </c>
    </row>
    <row r="803" spans="1:135">
      <c r="A803" t="s">
        <v>525</v>
      </c>
      <c r="B803" t="s">
        <v>445</v>
      </c>
      <c r="C803" t="s">
        <v>25180</v>
      </c>
      <c r="D803" s="24">
        <v>43578</v>
      </c>
      <c r="E803" s="24" t="s">
        <v>13560</v>
      </c>
      <c r="F803" s="24" t="s">
        <v>25181</v>
      </c>
      <c r="G803" s="24" t="s">
        <v>13808</v>
      </c>
      <c r="H803" s="24"/>
      <c r="I803" s="24" t="s">
        <v>13809</v>
      </c>
      <c r="J803" s="24"/>
      <c r="K803" s="24" t="s">
        <v>13808</v>
      </c>
      <c r="L803" s="24"/>
      <c r="M803" s="24" t="s">
        <v>15106</v>
      </c>
      <c r="N803" s="24" t="s">
        <v>13818</v>
      </c>
      <c r="O803" s="24" t="s">
        <v>23233</v>
      </c>
      <c r="P803" s="24" t="s">
        <v>13808</v>
      </c>
      <c r="Q803" s="24"/>
      <c r="R803" s="24" t="s">
        <v>13818</v>
      </c>
      <c r="S803" s="24" t="s">
        <v>25182</v>
      </c>
      <c r="T803" t="s">
        <v>13875</v>
      </c>
      <c r="U803" t="s">
        <v>13809</v>
      </c>
      <c r="W803" t="s">
        <v>13808</v>
      </c>
      <c r="X803" t="s">
        <v>17446</v>
      </c>
      <c r="Y803" t="s">
        <v>13809</v>
      </c>
      <c r="AA803" t="s">
        <v>25183</v>
      </c>
      <c r="AC803" t="s">
        <v>13809</v>
      </c>
      <c r="AH803" t="s">
        <v>13909</v>
      </c>
      <c r="AI803" t="s">
        <v>13808</v>
      </c>
      <c r="AO803" t="s">
        <v>13809</v>
      </c>
      <c r="AT803" t="s">
        <v>14166</v>
      </c>
      <c r="AU803" t="s">
        <v>13808</v>
      </c>
      <c r="AZ803" t="s">
        <v>14816</v>
      </c>
      <c r="BA803" t="s">
        <v>13808</v>
      </c>
      <c r="BF803" t="s">
        <v>15973</v>
      </c>
      <c r="BG803" t="s">
        <v>13808</v>
      </c>
      <c r="BL803" t="s">
        <v>15212</v>
      </c>
      <c r="BM803" t="s">
        <v>13808</v>
      </c>
      <c r="BR803" t="s">
        <v>25184</v>
      </c>
      <c r="BS803" t="s">
        <v>13887</v>
      </c>
      <c r="BT803" t="s">
        <v>13808</v>
      </c>
      <c r="BU803" t="s">
        <v>19121</v>
      </c>
      <c r="BY803" t="s">
        <v>14265</v>
      </c>
      <c r="BZ803" t="s">
        <v>13808</v>
      </c>
      <c r="CA803" t="s">
        <v>13937</v>
      </c>
      <c r="CE803" t="s">
        <v>14693</v>
      </c>
      <c r="CF803" t="s">
        <v>13808</v>
      </c>
      <c r="CI803" t="s">
        <v>14197</v>
      </c>
      <c r="CJ803" t="s">
        <v>13818</v>
      </c>
      <c r="CK803" t="s">
        <v>13887</v>
      </c>
      <c r="CL803" t="s">
        <v>19698</v>
      </c>
      <c r="CR803" t="s">
        <v>13809</v>
      </c>
      <c r="CT803" t="s">
        <v>15599</v>
      </c>
      <c r="CU803" t="s">
        <v>25185</v>
      </c>
      <c r="CV803" t="s">
        <v>13808</v>
      </c>
      <c r="CX803" t="s">
        <v>15934</v>
      </c>
      <c r="CY803" t="s">
        <v>13818</v>
      </c>
      <c r="DA803" t="s">
        <v>25185</v>
      </c>
      <c r="DB803" t="s">
        <v>13808</v>
      </c>
      <c r="DD803" t="s">
        <v>15934</v>
      </c>
      <c r="DE803" t="s">
        <v>13818</v>
      </c>
      <c r="DG803" t="s">
        <v>13909</v>
      </c>
      <c r="DH803" t="s">
        <v>13818</v>
      </c>
      <c r="DZ803" t="s">
        <v>25186</v>
      </c>
      <c r="EA803" t="s">
        <v>16821</v>
      </c>
      <c r="EC803">
        <v>44179</v>
      </c>
      <c r="ED803" t="s">
        <v>13903</v>
      </c>
      <c r="EE803" t="s">
        <v>4963</v>
      </c>
    </row>
    <row r="804" spans="1:135">
      <c r="A804" t="s">
        <v>192</v>
      </c>
      <c r="B804" t="s">
        <v>147</v>
      </c>
      <c r="C804" t="s">
        <v>25187</v>
      </c>
      <c r="D804" s="24">
        <v>44075</v>
      </c>
      <c r="E804" s="24" t="s">
        <v>13558</v>
      </c>
      <c r="F804" s="24" t="s">
        <v>25188</v>
      </c>
      <c r="G804" s="24" t="s">
        <v>13808</v>
      </c>
      <c r="H804" s="24"/>
      <c r="I804" s="24" t="s">
        <v>13809</v>
      </c>
      <c r="J804" s="24"/>
      <c r="K804" s="24" t="s">
        <v>13808</v>
      </c>
      <c r="L804" s="24"/>
      <c r="M804" s="24" t="s">
        <v>15106</v>
      </c>
      <c r="N804" s="24" t="s">
        <v>13808</v>
      </c>
      <c r="O804" s="24"/>
      <c r="P804" s="24" t="s">
        <v>13808</v>
      </c>
      <c r="Q804" s="24"/>
      <c r="R804" s="24" t="s">
        <v>13808</v>
      </c>
      <c r="S804" s="24"/>
      <c r="T804" t="s">
        <v>14137</v>
      </c>
      <c r="U804" t="s">
        <v>13809</v>
      </c>
      <c r="W804" t="s">
        <v>13809</v>
      </c>
      <c r="Y804" t="s">
        <v>13809</v>
      </c>
      <c r="AA804" t="s">
        <v>25189</v>
      </c>
      <c r="AB804" t="s">
        <v>19244</v>
      </c>
      <c r="AC804" t="s">
        <v>13808</v>
      </c>
      <c r="AH804" t="s">
        <v>13887</v>
      </c>
      <c r="AI804" t="s">
        <v>13808</v>
      </c>
      <c r="AK804" t="s">
        <v>25190</v>
      </c>
      <c r="AL804" t="s">
        <v>13818</v>
      </c>
      <c r="AM804" t="s">
        <v>14309</v>
      </c>
      <c r="AN804" t="s">
        <v>17167</v>
      </c>
      <c r="AO804" t="s">
        <v>13808</v>
      </c>
      <c r="AU804" t="s">
        <v>13809</v>
      </c>
      <c r="AZ804" t="s">
        <v>25191</v>
      </c>
      <c r="BA804" t="s">
        <v>13808</v>
      </c>
      <c r="BC804" t="s">
        <v>25192</v>
      </c>
      <c r="BD804" t="s">
        <v>13818</v>
      </c>
      <c r="BE804" t="s">
        <v>14309</v>
      </c>
      <c r="BF804" t="s">
        <v>17606</v>
      </c>
      <c r="BG804" t="s">
        <v>13818</v>
      </c>
      <c r="BH804" t="s">
        <v>14309</v>
      </c>
      <c r="BL804" t="s">
        <v>25193</v>
      </c>
      <c r="BM804" t="s">
        <v>13818</v>
      </c>
      <c r="BN804" t="s">
        <v>14309</v>
      </c>
      <c r="BR804" t="s">
        <v>25194</v>
      </c>
      <c r="BS804" t="s">
        <v>13887</v>
      </c>
      <c r="BT804" t="s">
        <v>13808</v>
      </c>
      <c r="BU804" t="s">
        <v>25195</v>
      </c>
      <c r="BY804" t="s">
        <v>24764</v>
      </c>
      <c r="BZ804" t="s">
        <v>13818</v>
      </c>
      <c r="CA804" t="s">
        <v>14107</v>
      </c>
      <c r="CE804" t="s">
        <v>24764</v>
      </c>
      <c r="CF804" t="s">
        <v>13818</v>
      </c>
      <c r="CG804" t="s">
        <v>17575</v>
      </c>
      <c r="CL804" t="s">
        <v>13809</v>
      </c>
      <c r="CR804" t="s">
        <v>13809</v>
      </c>
      <c r="CT804" t="s">
        <v>13830</v>
      </c>
      <c r="CU804" t="s">
        <v>25196</v>
      </c>
      <c r="CV804" t="s">
        <v>13818</v>
      </c>
      <c r="DA804" t="s">
        <v>25197</v>
      </c>
      <c r="DB804" t="s">
        <v>13818</v>
      </c>
      <c r="DG804" t="s">
        <v>25198</v>
      </c>
      <c r="DH804" t="s">
        <v>13818</v>
      </c>
      <c r="DI804" t="s">
        <v>25199</v>
      </c>
      <c r="DM804" t="s">
        <v>25200</v>
      </c>
      <c r="DN804" t="s">
        <v>13818</v>
      </c>
      <c r="DO804" t="s">
        <v>25201</v>
      </c>
      <c r="DY804" t="s">
        <v>14606</v>
      </c>
      <c r="DZ804" t="s">
        <v>13841</v>
      </c>
      <c r="EA804" t="s">
        <v>13842</v>
      </c>
      <c r="ED804" t="s">
        <v>14608</v>
      </c>
      <c r="EE804" t="s">
        <v>4624</v>
      </c>
    </row>
    <row r="805" spans="1:135">
      <c r="A805" t="s">
        <v>757</v>
      </c>
      <c r="B805" t="s">
        <v>710</v>
      </c>
      <c r="C805" t="s">
        <v>25202</v>
      </c>
      <c r="D805" s="24">
        <v>44987</v>
      </c>
      <c r="E805" s="24" t="s">
        <v>13555</v>
      </c>
      <c r="F805" s="24" t="s">
        <v>25203</v>
      </c>
      <c r="G805" s="24" t="s">
        <v>13808</v>
      </c>
      <c r="H805" s="24"/>
      <c r="I805" s="24" t="s">
        <v>13809</v>
      </c>
      <c r="J805" s="24"/>
      <c r="K805" s="24" t="s">
        <v>13808</v>
      </c>
      <c r="L805" s="24"/>
      <c r="M805" s="24" t="s">
        <v>14304</v>
      </c>
      <c r="N805" s="24" t="s">
        <v>13808</v>
      </c>
      <c r="O805" s="24"/>
      <c r="P805" s="24" t="s">
        <v>13808</v>
      </c>
      <c r="Q805" s="24"/>
      <c r="R805" s="24" t="s">
        <v>13808</v>
      </c>
      <c r="S805" s="24"/>
      <c r="T805" t="s">
        <v>13907</v>
      </c>
      <c r="U805" t="s">
        <v>13809</v>
      </c>
      <c r="W805" t="s">
        <v>13808</v>
      </c>
      <c r="X805" t="s">
        <v>25204</v>
      </c>
      <c r="Y805" t="s">
        <v>13809</v>
      </c>
      <c r="AA805" t="s">
        <v>13849</v>
      </c>
      <c r="AB805" t="s">
        <v>25205</v>
      </c>
      <c r="AC805" t="s">
        <v>13808</v>
      </c>
      <c r="AH805" t="s">
        <v>13851</v>
      </c>
      <c r="AI805" t="s">
        <v>13808</v>
      </c>
      <c r="AN805" t="s">
        <v>25206</v>
      </c>
      <c r="AO805" t="s">
        <v>13808</v>
      </c>
      <c r="AT805" t="s">
        <v>25207</v>
      </c>
      <c r="AU805" t="s">
        <v>13808</v>
      </c>
      <c r="AZ805" t="s">
        <v>25208</v>
      </c>
      <c r="BA805" t="s">
        <v>13808</v>
      </c>
      <c r="BF805" t="s">
        <v>24731</v>
      </c>
      <c r="BG805" t="s">
        <v>13808</v>
      </c>
      <c r="BL805" t="s">
        <v>25209</v>
      </c>
      <c r="BM805" t="s">
        <v>13808</v>
      </c>
      <c r="BR805" t="s">
        <v>22896</v>
      </c>
      <c r="BS805" t="s">
        <v>13824</v>
      </c>
      <c r="BT805" t="s">
        <v>13808</v>
      </c>
      <c r="BU805" t="s">
        <v>13985</v>
      </c>
      <c r="BY805" t="s">
        <v>14337</v>
      </c>
      <c r="BZ805" t="s">
        <v>13808</v>
      </c>
      <c r="CA805" t="s">
        <v>13937</v>
      </c>
      <c r="CE805" t="s">
        <v>16708</v>
      </c>
      <c r="CF805" t="s">
        <v>13808</v>
      </c>
      <c r="CK805" t="s">
        <v>13760</v>
      </c>
      <c r="CL805" t="s">
        <v>13809</v>
      </c>
      <c r="CQ805" t="s">
        <v>13766</v>
      </c>
      <c r="CR805" t="s">
        <v>13809</v>
      </c>
      <c r="CT805" t="s">
        <v>25210</v>
      </c>
      <c r="CU805" t="s">
        <v>25211</v>
      </c>
      <c r="CV805" t="s">
        <v>13808</v>
      </c>
      <c r="CX805" t="s">
        <v>25212</v>
      </c>
      <c r="CY805" t="s">
        <v>13818</v>
      </c>
      <c r="DA805" t="s">
        <v>25213</v>
      </c>
      <c r="DB805" t="s">
        <v>13808</v>
      </c>
      <c r="DD805" t="s">
        <v>25214</v>
      </c>
      <c r="DE805" t="s">
        <v>13818</v>
      </c>
      <c r="DG805" t="s">
        <v>14240</v>
      </c>
      <c r="DH805" t="s">
        <v>13818</v>
      </c>
      <c r="DY805" t="s">
        <v>13869</v>
      </c>
      <c r="DZ805" t="s">
        <v>13841</v>
      </c>
      <c r="EA805" t="s">
        <v>14666</v>
      </c>
      <c r="EC805">
        <v>45027</v>
      </c>
      <c r="ED805" t="s">
        <v>17062</v>
      </c>
      <c r="EE805" t="s">
        <v>5190</v>
      </c>
    </row>
    <row r="806" spans="1:135">
      <c r="A806" t="s">
        <v>949</v>
      </c>
      <c r="B806" t="s">
        <v>914</v>
      </c>
      <c r="C806" t="s">
        <v>25215</v>
      </c>
      <c r="D806" s="24">
        <v>43137</v>
      </c>
      <c r="E806" s="24" t="s">
        <v>13558</v>
      </c>
      <c r="F806" s="24" t="s">
        <v>25216</v>
      </c>
      <c r="G806" s="24" t="s">
        <v>13808</v>
      </c>
      <c r="H806" s="24"/>
      <c r="I806" s="24" t="s">
        <v>13809</v>
      </c>
      <c r="J806" s="24"/>
      <c r="K806" s="24" t="s">
        <v>13809</v>
      </c>
      <c r="L806" s="24"/>
      <c r="M806" s="24" t="s">
        <v>15163</v>
      </c>
      <c r="N806" s="24" t="s">
        <v>13808</v>
      </c>
      <c r="O806" s="24"/>
      <c r="P806" s="24" t="s">
        <v>13808</v>
      </c>
      <c r="Q806" s="24"/>
      <c r="R806" s="24" t="s">
        <v>13808</v>
      </c>
      <c r="S806" s="24"/>
      <c r="T806" t="s">
        <v>15051</v>
      </c>
      <c r="U806" t="s">
        <v>13809</v>
      </c>
      <c r="W806" t="s">
        <v>13808</v>
      </c>
      <c r="X806" t="s">
        <v>25217</v>
      </c>
      <c r="Y806" t="s">
        <v>13809</v>
      </c>
      <c r="AA806" t="s">
        <v>16494</v>
      </c>
      <c r="AC806" t="s">
        <v>13809</v>
      </c>
      <c r="AH806" t="s">
        <v>13909</v>
      </c>
      <c r="AI806" t="s">
        <v>13808</v>
      </c>
      <c r="AN806" t="s">
        <v>25218</v>
      </c>
      <c r="AO806" t="s">
        <v>13808</v>
      </c>
      <c r="AU806" t="s">
        <v>13809</v>
      </c>
      <c r="AZ806" t="s">
        <v>25219</v>
      </c>
      <c r="BA806" t="s">
        <v>13808</v>
      </c>
      <c r="BF806" t="s">
        <v>17780</v>
      </c>
      <c r="BG806" t="s">
        <v>13808</v>
      </c>
      <c r="BL806" t="s">
        <v>25176</v>
      </c>
      <c r="BM806" t="s">
        <v>13808</v>
      </c>
      <c r="BR806" t="s">
        <v>25220</v>
      </c>
      <c r="BS806" t="s">
        <v>13887</v>
      </c>
      <c r="BT806" t="s">
        <v>13808</v>
      </c>
      <c r="BU806" t="s">
        <v>14641</v>
      </c>
      <c r="BY806" t="s">
        <v>13887</v>
      </c>
      <c r="BZ806" t="s">
        <v>13808</v>
      </c>
      <c r="CA806" t="s">
        <v>13861</v>
      </c>
      <c r="CE806" t="s">
        <v>13887</v>
      </c>
      <c r="CF806" t="s">
        <v>13808</v>
      </c>
      <c r="CL806" t="s">
        <v>13809</v>
      </c>
      <c r="CR806" t="s">
        <v>13809</v>
      </c>
      <c r="CT806" t="s">
        <v>25221</v>
      </c>
      <c r="CU806" t="s">
        <v>13909</v>
      </c>
      <c r="CV806" t="s">
        <v>13818</v>
      </c>
      <c r="DA806" t="s">
        <v>13909</v>
      </c>
      <c r="DB806" t="s">
        <v>13818</v>
      </c>
      <c r="DG806" t="s">
        <v>13909</v>
      </c>
      <c r="DH806" t="s">
        <v>13818</v>
      </c>
      <c r="DZ806" t="s">
        <v>14923</v>
      </c>
      <c r="EA806" t="s">
        <v>23111</v>
      </c>
      <c r="EC806">
        <v>44179</v>
      </c>
      <c r="ED806" t="s">
        <v>13903</v>
      </c>
      <c r="EE806" t="s">
        <v>5356</v>
      </c>
    </row>
    <row r="807" spans="1:135">
      <c r="A807" t="s">
        <v>203</v>
      </c>
      <c r="B807" t="s">
        <v>147</v>
      </c>
      <c r="C807" t="s">
        <v>25222</v>
      </c>
      <c r="D807" s="24">
        <v>44075</v>
      </c>
      <c r="E807" s="24" t="s">
        <v>13558</v>
      </c>
      <c r="F807" s="24" t="s">
        <v>25223</v>
      </c>
      <c r="G807" s="24" t="s">
        <v>13808</v>
      </c>
      <c r="H807" s="24"/>
      <c r="I807" s="24" t="s">
        <v>13809</v>
      </c>
      <c r="J807" s="24"/>
      <c r="K807" s="24" t="s">
        <v>13809</v>
      </c>
      <c r="L807" s="24"/>
      <c r="M807" s="24" t="s">
        <v>15106</v>
      </c>
      <c r="N807" s="24" t="s">
        <v>13808</v>
      </c>
      <c r="O807" s="24"/>
      <c r="P807" s="24" t="s">
        <v>13808</v>
      </c>
      <c r="Q807" s="24"/>
      <c r="R807" s="24" t="s">
        <v>13808</v>
      </c>
      <c r="S807" s="24"/>
      <c r="T807" t="s">
        <v>14071</v>
      </c>
      <c r="U807" t="s">
        <v>13809</v>
      </c>
      <c r="W807" t="s">
        <v>13809</v>
      </c>
      <c r="Y807" t="s">
        <v>13809</v>
      </c>
      <c r="AA807" t="s">
        <v>14551</v>
      </c>
      <c r="AB807" t="s">
        <v>23749</v>
      </c>
      <c r="AC807" t="s">
        <v>13818</v>
      </c>
      <c r="AH807" t="s">
        <v>13887</v>
      </c>
      <c r="AI807" t="s">
        <v>13808</v>
      </c>
      <c r="AK807" t="s">
        <v>25224</v>
      </c>
      <c r="AL807" t="s">
        <v>13818</v>
      </c>
      <c r="AM807" t="s">
        <v>14309</v>
      </c>
      <c r="AO807" t="s">
        <v>13809</v>
      </c>
      <c r="AT807" t="s">
        <v>14595</v>
      </c>
      <c r="AU807" t="s">
        <v>13818</v>
      </c>
      <c r="AV807" t="s">
        <v>14309</v>
      </c>
      <c r="AZ807" t="s">
        <v>25225</v>
      </c>
      <c r="BA807" t="s">
        <v>13808</v>
      </c>
      <c r="BC807" t="s">
        <v>25226</v>
      </c>
      <c r="BD807" t="s">
        <v>13818</v>
      </c>
      <c r="BE807" t="s">
        <v>14309</v>
      </c>
      <c r="BF807" t="s">
        <v>15883</v>
      </c>
      <c r="BG807" t="s">
        <v>13808</v>
      </c>
      <c r="BL807" t="s">
        <v>25227</v>
      </c>
      <c r="BM807" t="s">
        <v>13818</v>
      </c>
      <c r="BN807" t="s">
        <v>14309</v>
      </c>
      <c r="BR807" t="s">
        <v>25228</v>
      </c>
      <c r="BS807" t="s">
        <v>13887</v>
      </c>
      <c r="BT807" t="s">
        <v>13808</v>
      </c>
      <c r="BU807" t="s">
        <v>25229</v>
      </c>
      <c r="BY807" t="s">
        <v>13887</v>
      </c>
      <c r="BZ807" t="s">
        <v>13808</v>
      </c>
      <c r="CA807" t="s">
        <v>13937</v>
      </c>
      <c r="CE807" t="s">
        <v>13887</v>
      </c>
      <c r="CF807" t="s">
        <v>13808</v>
      </c>
      <c r="CG807" t="s">
        <v>14173</v>
      </c>
      <c r="CL807" t="s">
        <v>13809</v>
      </c>
      <c r="CR807" t="s">
        <v>13809</v>
      </c>
      <c r="CT807" t="s">
        <v>25230</v>
      </c>
      <c r="CU807" t="s">
        <v>25231</v>
      </c>
      <c r="CV807" t="s">
        <v>13818</v>
      </c>
      <c r="DA807" t="s">
        <v>25232</v>
      </c>
      <c r="DB807" t="s">
        <v>13818</v>
      </c>
      <c r="DG807" t="s">
        <v>25233</v>
      </c>
      <c r="DH807" t="s">
        <v>13818</v>
      </c>
      <c r="DM807" t="s">
        <v>25234</v>
      </c>
      <c r="DN807" t="s">
        <v>13808</v>
      </c>
      <c r="DO807" t="s">
        <v>25235</v>
      </c>
      <c r="DP807" t="s">
        <v>25236</v>
      </c>
      <c r="DQ807" t="s">
        <v>13818</v>
      </c>
      <c r="DR807" t="s">
        <v>14309</v>
      </c>
      <c r="DY807" t="s">
        <v>14606</v>
      </c>
      <c r="DZ807" t="s">
        <v>13841</v>
      </c>
      <c r="EA807" t="s">
        <v>13842</v>
      </c>
      <c r="ED807" t="s">
        <v>14608</v>
      </c>
      <c r="EE807" t="s">
        <v>4632</v>
      </c>
    </row>
    <row r="808" spans="1:135">
      <c r="A808" t="s">
        <v>321</v>
      </c>
      <c r="B808" t="s">
        <v>287</v>
      </c>
      <c r="C808" t="s">
        <v>25237</v>
      </c>
      <c r="D808" s="24">
        <v>43164</v>
      </c>
      <c r="E808" s="24" t="s">
        <v>13557</v>
      </c>
      <c r="F808" s="24" t="s">
        <v>25238</v>
      </c>
      <c r="G808" s="24" t="s">
        <v>13808</v>
      </c>
      <c r="H808" s="24"/>
      <c r="I808" s="24" t="s">
        <v>13809</v>
      </c>
      <c r="J808" s="24"/>
      <c r="K808" s="24" t="s">
        <v>13809</v>
      </c>
      <c r="L808" s="24"/>
      <c r="M808" s="24" t="s">
        <v>14304</v>
      </c>
      <c r="N808" s="24" t="s">
        <v>13808</v>
      </c>
      <c r="O808" s="24"/>
      <c r="P808" s="24" t="s">
        <v>13808</v>
      </c>
      <c r="Q808" s="24"/>
      <c r="R808" s="24" t="s">
        <v>13808</v>
      </c>
      <c r="S808" s="24"/>
      <c r="T808" t="s">
        <v>13875</v>
      </c>
      <c r="U808" t="s">
        <v>13809</v>
      </c>
      <c r="W808" t="s">
        <v>13808</v>
      </c>
      <c r="X808" t="s">
        <v>25239</v>
      </c>
      <c r="Y808" t="s">
        <v>13808</v>
      </c>
      <c r="AA808" t="s">
        <v>15186</v>
      </c>
      <c r="AB808" t="s">
        <v>25240</v>
      </c>
      <c r="AC808" t="s">
        <v>13808</v>
      </c>
      <c r="AH808" t="s">
        <v>13909</v>
      </c>
      <c r="AI808" t="s">
        <v>13808</v>
      </c>
      <c r="AN808" t="s">
        <v>25241</v>
      </c>
      <c r="AO808" t="s">
        <v>13808</v>
      </c>
      <c r="AT808" t="s">
        <v>14816</v>
      </c>
      <c r="AU808" t="s">
        <v>13808</v>
      </c>
      <c r="AZ808" t="s">
        <v>16268</v>
      </c>
      <c r="BA808" t="s">
        <v>13808</v>
      </c>
      <c r="BF808" t="s">
        <v>14423</v>
      </c>
      <c r="BG808" t="s">
        <v>13808</v>
      </c>
      <c r="BM808" t="s">
        <v>13809</v>
      </c>
      <c r="BR808" t="s">
        <v>25242</v>
      </c>
      <c r="BS808" t="s">
        <v>14265</v>
      </c>
      <c r="BT808" t="s">
        <v>13808</v>
      </c>
      <c r="BU808" t="s">
        <v>13985</v>
      </c>
      <c r="BY808" t="s">
        <v>14265</v>
      </c>
      <c r="BZ808" t="s">
        <v>13808</v>
      </c>
      <c r="CA808" t="s">
        <v>13937</v>
      </c>
      <c r="CE808" t="s">
        <v>13887</v>
      </c>
      <c r="CF808" t="s">
        <v>13808</v>
      </c>
      <c r="CL808" t="s">
        <v>13809</v>
      </c>
      <c r="CR808" t="s">
        <v>13809</v>
      </c>
      <c r="CT808" t="s">
        <v>25243</v>
      </c>
      <c r="CU808" t="s">
        <v>25244</v>
      </c>
      <c r="CV808" t="s">
        <v>13808</v>
      </c>
      <c r="CX808" t="s">
        <v>13885</v>
      </c>
      <c r="CY808" t="s">
        <v>13818</v>
      </c>
      <c r="DA808" t="s">
        <v>13909</v>
      </c>
      <c r="DB808" t="s">
        <v>13808</v>
      </c>
      <c r="DG808" t="s">
        <v>25245</v>
      </c>
      <c r="DH808" t="s">
        <v>13808</v>
      </c>
      <c r="DJ808" t="s">
        <v>14625</v>
      </c>
      <c r="DK808" t="s">
        <v>13818</v>
      </c>
      <c r="DZ808" t="s">
        <v>25246</v>
      </c>
      <c r="EA808" t="s">
        <v>16821</v>
      </c>
      <c r="EC808">
        <v>44179</v>
      </c>
      <c r="ED808" t="s">
        <v>13903</v>
      </c>
      <c r="EE808" t="s">
        <v>4748</v>
      </c>
    </row>
    <row r="809" spans="1:135">
      <c r="A809" t="s">
        <v>956</v>
      </c>
      <c r="B809" t="s">
        <v>914</v>
      </c>
      <c r="C809" t="s">
        <v>25247</v>
      </c>
      <c r="D809" s="24">
        <v>44281</v>
      </c>
      <c r="E809" s="24" t="s">
        <v>13558</v>
      </c>
      <c r="F809" s="24" t="s">
        <v>25248</v>
      </c>
      <c r="G809" s="24" t="s">
        <v>13808</v>
      </c>
      <c r="H809" s="24"/>
      <c r="I809" s="24" t="s">
        <v>13809</v>
      </c>
      <c r="J809" s="24"/>
      <c r="K809" s="24" t="s">
        <v>13808</v>
      </c>
      <c r="L809" s="24"/>
      <c r="M809" s="24" t="s">
        <v>13950</v>
      </c>
      <c r="N809" s="24" t="s">
        <v>13808</v>
      </c>
      <c r="O809" s="24"/>
      <c r="P809" s="24" t="s">
        <v>13808</v>
      </c>
      <c r="Q809" s="24"/>
      <c r="R809" s="24" t="s">
        <v>13808</v>
      </c>
      <c r="S809" s="24"/>
      <c r="T809" t="s">
        <v>14034</v>
      </c>
      <c r="U809" t="s">
        <v>13809</v>
      </c>
      <c r="W809" t="s">
        <v>13808</v>
      </c>
      <c r="X809" t="s">
        <v>25249</v>
      </c>
      <c r="Y809" t="s">
        <v>13809</v>
      </c>
      <c r="AA809" t="s">
        <v>18651</v>
      </c>
      <c r="AB809" t="s">
        <v>25250</v>
      </c>
      <c r="AC809" t="s">
        <v>13808</v>
      </c>
      <c r="AH809" t="s">
        <v>13909</v>
      </c>
      <c r="AI809" t="s">
        <v>13808</v>
      </c>
      <c r="AN809" t="s">
        <v>14058</v>
      </c>
      <c r="AO809" t="s">
        <v>13808</v>
      </c>
      <c r="AT809" t="s">
        <v>14432</v>
      </c>
      <c r="AU809" t="s">
        <v>13808</v>
      </c>
      <c r="AZ809" t="s">
        <v>14039</v>
      </c>
      <c r="BA809" t="s">
        <v>13808</v>
      </c>
      <c r="BF809" t="s">
        <v>25251</v>
      </c>
      <c r="BG809" t="s">
        <v>13808</v>
      </c>
      <c r="BM809" t="s">
        <v>13809</v>
      </c>
      <c r="BR809" t="s">
        <v>15125</v>
      </c>
      <c r="BS809" t="s">
        <v>13887</v>
      </c>
      <c r="BT809" t="s">
        <v>13808</v>
      </c>
      <c r="BU809" t="s">
        <v>14010</v>
      </c>
      <c r="BY809" t="s">
        <v>14265</v>
      </c>
      <c r="BZ809" t="s">
        <v>13808</v>
      </c>
      <c r="CA809" t="s">
        <v>13937</v>
      </c>
      <c r="CE809" t="s">
        <v>17321</v>
      </c>
      <c r="CF809" t="s">
        <v>13808</v>
      </c>
      <c r="CL809" t="s">
        <v>13809</v>
      </c>
      <c r="CR809" t="s">
        <v>13809</v>
      </c>
      <c r="CT809" t="s">
        <v>14459</v>
      </c>
      <c r="CU809" t="s">
        <v>24788</v>
      </c>
      <c r="CV809" t="s">
        <v>13818</v>
      </c>
      <c r="DA809" t="s">
        <v>24786</v>
      </c>
      <c r="DB809" t="s">
        <v>13818</v>
      </c>
      <c r="DG809" t="s">
        <v>25252</v>
      </c>
      <c r="DH809" t="s">
        <v>13818</v>
      </c>
      <c r="DM809" t="s">
        <v>16234</v>
      </c>
      <c r="DN809" t="s">
        <v>13818</v>
      </c>
      <c r="DY809" t="s">
        <v>15144</v>
      </c>
      <c r="DZ809" t="s">
        <v>25253</v>
      </c>
      <c r="EA809" t="s">
        <v>14461</v>
      </c>
      <c r="ED809" t="s">
        <v>14608</v>
      </c>
      <c r="EE809" t="s">
        <v>5360</v>
      </c>
    </row>
    <row r="810" spans="1:135">
      <c r="A810" t="s">
        <v>529</v>
      </c>
      <c r="B810" t="s">
        <v>445</v>
      </c>
      <c r="C810" t="s">
        <v>25254</v>
      </c>
      <c r="D810" s="24">
        <v>42919</v>
      </c>
      <c r="E810" s="24" t="s">
        <v>13560</v>
      </c>
      <c r="F810" s="24" t="s">
        <v>25255</v>
      </c>
      <c r="G810" s="24" t="s">
        <v>13808</v>
      </c>
      <c r="H810" s="24"/>
      <c r="I810" s="24" t="s">
        <v>13818</v>
      </c>
      <c r="J810" s="24"/>
      <c r="K810" s="24" t="s">
        <v>13808</v>
      </c>
      <c r="L810" s="24"/>
      <c r="M810" s="24" t="s">
        <v>14304</v>
      </c>
      <c r="N810" s="24" t="s">
        <v>13808</v>
      </c>
      <c r="O810" s="24"/>
      <c r="P810" s="24" t="s">
        <v>13808</v>
      </c>
      <c r="Q810" s="24"/>
      <c r="R810" s="24" t="s">
        <v>13808</v>
      </c>
      <c r="S810" s="24"/>
      <c r="T810" t="s">
        <v>22923</v>
      </c>
      <c r="U810" t="s">
        <v>13809</v>
      </c>
      <c r="W810" t="s">
        <v>13808</v>
      </c>
      <c r="X810" t="s">
        <v>25256</v>
      </c>
      <c r="Y810" t="s">
        <v>13808</v>
      </c>
      <c r="AA810" t="s">
        <v>25257</v>
      </c>
      <c r="AB810" t="s">
        <v>25258</v>
      </c>
      <c r="AC810" t="s">
        <v>13808</v>
      </c>
      <c r="AH810" t="s">
        <v>13909</v>
      </c>
      <c r="AI810" t="s">
        <v>13808</v>
      </c>
      <c r="AN810" t="s">
        <v>14366</v>
      </c>
      <c r="AO810" t="s">
        <v>13808</v>
      </c>
      <c r="AT810" t="s">
        <v>23115</v>
      </c>
      <c r="AU810" t="s">
        <v>13808</v>
      </c>
      <c r="AZ810" t="s">
        <v>25259</v>
      </c>
      <c r="BA810" t="s">
        <v>13808</v>
      </c>
      <c r="BF810" t="s">
        <v>14851</v>
      </c>
      <c r="BG810" t="s">
        <v>13808</v>
      </c>
      <c r="BL810" t="s">
        <v>25260</v>
      </c>
      <c r="BM810" t="s">
        <v>13808</v>
      </c>
      <c r="BR810" t="s">
        <v>25261</v>
      </c>
      <c r="BS810" t="s">
        <v>13885</v>
      </c>
      <c r="BT810" t="s">
        <v>13808</v>
      </c>
      <c r="BU810" t="s">
        <v>14233</v>
      </c>
      <c r="BY810" t="s">
        <v>20776</v>
      </c>
      <c r="BZ810" t="s">
        <v>13808</v>
      </c>
      <c r="CA810" t="s">
        <v>13937</v>
      </c>
      <c r="CE810" t="s">
        <v>14197</v>
      </c>
      <c r="CF810" t="s">
        <v>13808</v>
      </c>
      <c r="CL810" t="s">
        <v>13809</v>
      </c>
      <c r="CR810" t="s">
        <v>13809</v>
      </c>
      <c r="CT810" t="s">
        <v>25262</v>
      </c>
      <c r="CU810" t="s">
        <v>14197</v>
      </c>
      <c r="CV810" t="s">
        <v>13808</v>
      </c>
      <c r="CX810" t="s">
        <v>25263</v>
      </c>
      <c r="CY810" t="s">
        <v>13818</v>
      </c>
      <c r="DA810" t="s">
        <v>14197</v>
      </c>
      <c r="DB810" t="s">
        <v>13808</v>
      </c>
      <c r="DD810" t="s">
        <v>25263</v>
      </c>
      <c r="DE810" t="s">
        <v>13818</v>
      </c>
      <c r="DG810" t="s">
        <v>13909</v>
      </c>
      <c r="DH810" t="s">
        <v>13818</v>
      </c>
      <c r="DZ810" t="s">
        <v>25264</v>
      </c>
      <c r="EA810" t="s">
        <v>13842</v>
      </c>
      <c r="EC810">
        <v>44179</v>
      </c>
      <c r="ED810" t="s">
        <v>13903</v>
      </c>
      <c r="EE810" t="s">
        <v>4969</v>
      </c>
    </row>
    <row r="811" spans="1:135">
      <c r="A811" t="s">
        <v>13149</v>
      </c>
      <c r="B811" t="s">
        <v>147</v>
      </c>
      <c r="C811" t="s">
        <v>25265</v>
      </c>
      <c r="D811" s="24">
        <v>44060</v>
      </c>
      <c r="E811" s="24" t="s">
        <v>13550</v>
      </c>
      <c r="F811" s="24" t="s">
        <v>25266</v>
      </c>
      <c r="G811" s="24" t="s">
        <v>13808</v>
      </c>
      <c r="H811" s="24"/>
      <c r="I811" s="24" t="s">
        <v>13809</v>
      </c>
      <c r="J811" s="24"/>
      <c r="K811" s="24" t="s">
        <v>13809</v>
      </c>
      <c r="L811" s="24"/>
      <c r="M811" s="24" t="s">
        <v>14304</v>
      </c>
      <c r="N811" s="24" t="s">
        <v>13808</v>
      </c>
      <c r="O811" s="24"/>
      <c r="P811" s="24" t="s">
        <v>13808</v>
      </c>
      <c r="Q811" s="24"/>
      <c r="R811" s="24" t="s">
        <v>13818</v>
      </c>
      <c r="S811" s="24"/>
      <c r="T811" t="s">
        <v>14071</v>
      </c>
      <c r="U811" t="s">
        <v>13809</v>
      </c>
      <c r="W811" t="s">
        <v>13809</v>
      </c>
      <c r="Y811" t="s">
        <v>13809</v>
      </c>
      <c r="AA811" t="s">
        <v>25267</v>
      </c>
      <c r="AB811" t="s">
        <v>15820</v>
      </c>
      <c r="AC811" t="s">
        <v>13818</v>
      </c>
      <c r="AD811" t="s">
        <v>14309</v>
      </c>
      <c r="AH811" t="s">
        <v>25268</v>
      </c>
      <c r="AI811" t="s">
        <v>13808</v>
      </c>
      <c r="AN811" t="s">
        <v>25269</v>
      </c>
      <c r="AO811" t="s">
        <v>13818</v>
      </c>
      <c r="AP811" t="s">
        <v>14309</v>
      </c>
      <c r="AT811" t="s">
        <v>21583</v>
      </c>
      <c r="AU811" t="s">
        <v>13818</v>
      </c>
      <c r="AV811" t="s">
        <v>14309</v>
      </c>
      <c r="AZ811" t="s">
        <v>16368</v>
      </c>
      <c r="BA811" t="s">
        <v>13818</v>
      </c>
      <c r="BB811" t="s">
        <v>14309</v>
      </c>
      <c r="BF811" t="s">
        <v>14046</v>
      </c>
      <c r="BG811" t="s">
        <v>13818</v>
      </c>
      <c r="BH811" t="s">
        <v>14309</v>
      </c>
      <c r="BM811" t="s">
        <v>13809</v>
      </c>
      <c r="BR811" t="s">
        <v>25270</v>
      </c>
      <c r="BS811" t="s">
        <v>24764</v>
      </c>
      <c r="BT811" t="s">
        <v>13818</v>
      </c>
      <c r="BU811" t="s">
        <v>13819</v>
      </c>
      <c r="BY811" t="s">
        <v>13887</v>
      </c>
      <c r="BZ811" t="s">
        <v>13818</v>
      </c>
      <c r="CA811" t="s">
        <v>14780</v>
      </c>
      <c r="CE811" t="s">
        <v>13885</v>
      </c>
      <c r="CF811" t="s">
        <v>13818</v>
      </c>
      <c r="CG811" t="s">
        <v>14309</v>
      </c>
      <c r="CL811" t="s">
        <v>13809</v>
      </c>
      <c r="CR811" t="s">
        <v>13809</v>
      </c>
      <c r="CT811" t="s">
        <v>25271</v>
      </c>
      <c r="CU811" t="s">
        <v>25272</v>
      </c>
      <c r="CV811" t="s">
        <v>13818</v>
      </c>
      <c r="DA811" t="s">
        <v>25273</v>
      </c>
      <c r="DB811" t="s">
        <v>13818</v>
      </c>
      <c r="DG811" t="s">
        <v>25274</v>
      </c>
      <c r="DH811" t="s">
        <v>13818</v>
      </c>
      <c r="DM811" t="s">
        <v>25275</v>
      </c>
      <c r="DN811" t="s">
        <v>13818</v>
      </c>
      <c r="DP811" t="s">
        <v>25276</v>
      </c>
      <c r="DQ811" t="s">
        <v>13808</v>
      </c>
      <c r="DR811" t="s">
        <v>13839</v>
      </c>
      <c r="DY811" t="s">
        <v>14243</v>
      </c>
      <c r="ED811" t="s">
        <v>14608</v>
      </c>
      <c r="EE811" t="s">
        <v>13661</v>
      </c>
    </row>
    <row r="812" spans="1:135">
      <c r="A812" t="s">
        <v>537</v>
      </c>
      <c r="B812" t="s">
        <v>445</v>
      </c>
      <c r="C812" t="s">
        <v>25277</v>
      </c>
      <c r="D812" s="24">
        <v>42902</v>
      </c>
      <c r="E812" s="24" t="s">
        <v>13555</v>
      </c>
      <c r="F812" s="24" t="s">
        <v>25278</v>
      </c>
      <c r="G812" s="24" t="s">
        <v>13808</v>
      </c>
      <c r="H812" s="24"/>
      <c r="I812" s="24" t="s">
        <v>13809</v>
      </c>
      <c r="J812" s="24"/>
      <c r="K812" s="24" t="s">
        <v>13808</v>
      </c>
      <c r="L812" s="24"/>
      <c r="M812" s="24" t="s">
        <v>25279</v>
      </c>
      <c r="N812" s="24" t="s">
        <v>13808</v>
      </c>
      <c r="O812" s="24"/>
      <c r="P812" s="24" t="s">
        <v>13808</v>
      </c>
      <c r="Q812" s="24"/>
      <c r="R812" s="24" t="s">
        <v>13808</v>
      </c>
      <c r="S812" s="24"/>
      <c r="T812" t="s">
        <v>22923</v>
      </c>
      <c r="U812" t="s">
        <v>13809</v>
      </c>
      <c r="W812" t="s">
        <v>13808</v>
      </c>
      <c r="X812" t="s">
        <v>25280</v>
      </c>
      <c r="Y812" t="s">
        <v>13808</v>
      </c>
      <c r="AA812" t="s">
        <v>14971</v>
      </c>
      <c r="AB812" t="s">
        <v>25281</v>
      </c>
      <c r="AC812" t="s">
        <v>13808</v>
      </c>
      <c r="AH812" t="s">
        <v>13909</v>
      </c>
      <c r="AI812" t="s">
        <v>13808</v>
      </c>
      <c r="AN812" t="s">
        <v>25282</v>
      </c>
      <c r="AO812" t="s">
        <v>13808</v>
      </c>
      <c r="AT812" t="s">
        <v>13887</v>
      </c>
      <c r="AU812" t="s">
        <v>13808</v>
      </c>
      <c r="AZ812" t="s">
        <v>18680</v>
      </c>
      <c r="BA812" t="s">
        <v>13808</v>
      </c>
      <c r="BF812" t="s">
        <v>18846</v>
      </c>
      <c r="BG812" t="s">
        <v>13808</v>
      </c>
      <c r="BL812" t="s">
        <v>25283</v>
      </c>
      <c r="BM812" t="s">
        <v>13808</v>
      </c>
      <c r="BR812" t="s">
        <v>25284</v>
      </c>
      <c r="BS812" t="s">
        <v>13887</v>
      </c>
      <c r="BT812" t="s">
        <v>13808</v>
      </c>
      <c r="BU812" t="s">
        <v>14147</v>
      </c>
      <c r="BY812" t="s">
        <v>14265</v>
      </c>
      <c r="BZ812" t="s">
        <v>13808</v>
      </c>
      <c r="CA812" t="s">
        <v>13937</v>
      </c>
      <c r="CE812" t="s">
        <v>13887</v>
      </c>
      <c r="CF812" t="s">
        <v>13808</v>
      </c>
      <c r="CL812" t="s">
        <v>13809</v>
      </c>
      <c r="CR812" t="s">
        <v>13809</v>
      </c>
      <c r="CT812" t="s">
        <v>17233</v>
      </c>
      <c r="CU812" t="s">
        <v>13909</v>
      </c>
      <c r="CV812" t="s">
        <v>13808</v>
      </c>
      <c r="DA812" t="s">
        <v>13909</v>
      </c>
      <c r="DB812" t="s">
        <v>13808</v>
      </c>
      <c r="DG812" t="s">
        <v>13909</v>
      </c>
      <c r="DH812" t="s">
        <v>13808</v>
      </c>
      <c r="DY812" t="s">
        <v>15364</v>
      </c>
      <c r="DZ812" t="s">
        <v>25285</v>
      </c>
      <c r="EA812" t="s">
        <v>14201</v>
      </c>
      <c r="EC812">
        <v>43977</v>
      </c>
      <c r="ED812" t="s">
        <v>13903</v>
      </c>
      <c r="EE812" t="s">
        <v>4976</v>
      </c>
    </row>
    <row r="813" spans="1:135">
      <c r="A813" t="s">
        <v>13155</v>
      </c>
      <c r="B813" t="s">
        <v>710</v>
      </c>
      <c r="C813" t="s">
        <v>25286</v>
      </c>
      <c r="D813" s="24">
        <v>44806</v>
      </c>
      <c r="E813" s="24" t="s">
        <v>13561</v>
      </c>
      <c r="F813" s="24" t="s">
        <v>25287</v>
      </c>
      <c r="G813" s="24" t="s">
        <v>13808</v>
      </c>
      <c r="H813" s="24"/>
      <c r="I813" s="24" t="s">
        <v>13809</v>
      </c>
      <c r="J813" s="24"/>
      <c r="K813" s="24" t="s">
        <v>13818</v>
      </c>
      <c r="L813" s="24"/>
      <c r="M813" s="24" t="s">
        <v>13811</v>
      </c>
      <c r="N813" s="24" t="s">
        <v>13818</v>
      </c>
      <c r="O813" s="24"/>
      <c r="P813" s="24" t="s">
        <v>13818</v>
      </c>
      <c r="Q813" s="24"/>
      <c r="R813" s="24" t="s">
        <v>13808</v>
      </c>
      <c r="S813" s="24"/>
      <c r="T813" t="s">
        <v>21943</v>
      </c>
      <c r="U813" t="s">
        <v>13809</v>
      </c>
      <c r="W813" t="s">
        <v>13809</v>
      </c>
      <c r="Y813" t="s">
        <v>13809</v>
      </c>
      <c r="AA813" t="s">
        <v>17460</v>
      </c>
      <c r="AB813" t="s">
        <v>15348</v>
      </c>
      <c r="AC813" t="s">
        <v>13809</v>
      </c>
      <c r="AH813" t="s">
        <v>13851</v>
      </c>
      <c r="AI813" t="s">
        <v>13818</v>
      </c>
      <c r="AJ813" t="s">
        <v>18178</v>
      </c>
      <c r="AN813" t="s">
        <v>25288</v>
      </c>
      <c r="AO813" t="s">
        <v>13809</v>
      </c>
      <c r="AT813" t="s">
        <v>16450</v>
      </c>
      <c r="AU813" t="s">
        <v>13818</v>
      </c>
      <c r="AV813" t="s">
        <v>18178</v>
      </c>
      <c r="AZ813" t="s">
        <v>25289</v>
      </c>
      <c r="BA813" t="s">
        <v>13818</v>
      </c>
      <c r="BB813" t="s">
        <v>18178</v>
      </c>
      <c r="BF813" t="s">
        <v>25290</v>
      </c>
      <c r="BG813" t="s">
        <v>13818</v>
      </c>
      <c r="BH813" t="s">
        <v>18178</v>
      </c>
      <c r="BL813" t="s">
        <v>23906</v>
      </c>
      <c r="BM813" t="s">
        <v>13818</v>
      </c>
      <c r="BN813" t="s">
        <v>18178</v>
      </c>
      <c r="BR813" t="s">
        <v>25291</v>
      </c>
      <c r="BS813" t="s">
        <v>13824</v>
      </c>
      <c r="BT813" t="s">
        <v>13818</v>
      </c>
      <c r="BU813" t="s">
        <v>21286</v>
      </c>
      <c r="BY813" t="s">
        <v>24641</v>
      </c>
      <c r="BZ813" t="s">
        <v>13818</v>
      </c>
      <c r="CA813" t="s">
        <v>25292</v>
      </c>
      <c r="CE813" t="s">
        <v>13828</v>
      </c>
      <c r="CF813" t="s">
        <v>13818</v>
      </c>
      <c r="CG813" t="s">
        <v>13863</v>
      </c>
      <c r="CK813" t="s">
        <v>13760</v>
      </c>
      <c r="CL813" t="s">
        <v>13809</v>
      </c>
      <c r="CQ813" t="s">
        <v>13766</v>
      </c>
      <c r="CR813" t="s">
        <v>13809</v>
      </c>
      <c r="CT813" t="s">
        <v>13830</v>
      </c>
      <c r="CU813" t="s">
        <v>25293</v>
      </c>
      <c r="CV813" t="s">
        <v>13818</v>
      </c>
      <c r="DA813" t="s">
        <v>25294</v>
      </c>
      <c r="DB813" t="s">
        <v>13818</v>
      </c>
      <c r="DG813" t="s">
        <v>25295</v>
      </c>
      <c r="DH813" t="s">
        <v>13818</v>
      </c>
      <c r="DM813" t="s">
        <v>25296</v>
      </c>
      <c r="DN813" t="s">
        <v>13818</v>
      </c>
      <c r="DY813" t="s">
        <v>14606</v>
      </c>
      <c r="DZ813" t="s">
        <v>13841</v>
      </c>
      <c r="EA813" t="s">
        <v>13842</v>
      </c>
      <c r="EC813">
        <v>44816</v>
      </c>
      <c r="ED813" t="s">
        <v>17062</v>
      </c>
      <c r="EE813" t="s">
        <v>13662</v>
      </c>
    </row>
    <row r="814" spans="1:135">
      <c r="A814" t="s">
        <v>764</v>
      </c>
      <c r="B814" t="s">
        <v>710</v>
      </c>
      <c r="C814" t="s">
        <v>25297</v>
      </c>
      <c r="D814" s="24">
        <v>42901</v>
      </c>
      <c r="E814" s="24" t="s">
        <v>13559</v>
      </c>
      <c r="F814" s="24" t="s">
        <v>25298</v>
      </c>
      <c r="G814" s="24" t="s">
        <v>13808</v>
      </c>
      <c r="H814" s="24"/>
      <c r="I814" s="24" t="s">
        <v>13809</v>
      </c>
      <c r="J814" s="24"/>
      <c r="K814" s="24" t="s">
        <v>13808</v>
      </c>
      <c r="L814" s="24"/>
      <c r="M814" s="24" t="s">
        <v>13950</v>
      </c>
      <c r="N814" s="24" t="s">
        <v>13808</v>
      </c>
      <c r="O814" s="24"/>
      <c r="P814" s="24" t="s">
        <v>13808</v>
      </c>
      <c r="Q814" s="24"/>
      <c r="R814" s="24" t="s">
        <v>13808</v>
      </c>
      <c r="S814" s="24"/>
      <c r="T814" t="s">
        <v>25299</v>
      </c>
      <c r="U814" t="s">
        <v>13809</v>
      </c>
      <c r="W814" t="s">
        <v>13809</v>
      </c>
      <c r="Y814" t="s">
        <v>13809</v>
      </c>
      <c r="AA814" t="s">
        <v>25300</v>
      </c>
      <c r="AB814" t="s">
        <v>14490</v>
      </c>
      <c r="AC814" t="s">
        <v>13808</v>
      </c>
      <c r="AE814" t="s">
        <v>25301</v>
      </c>
      <c r="AF814" t="s">
        <v>13818</v>
      </c>
      <c r="AG814" t="s">
        <v>14309</v>
      </c>
      <c r="AH814" t="s">
        <v>13887</v>
      </c>
      <c r="AI814" t="s">
        <v>13808</v>
      </c>
      <c r="AK814" t="s">
        <v>15934</v>
      </c>
      <c r="AL814" t="s">
        <v>13818</v>
      </c>
      <c r="AM814" t="s">
        <v>14309</v>
      </c>
      <c r="AN814" t="s">
        <v>14732</v>
      </c>
      <c r="AO814" t="s">
        <v>13818</v>
      </c>
      <c r="AP814" t="s">
        <v>14309</v>
      </c>
      <c r="AT814" t="s">
        <v>15936</v>
      </c>
      <c r="AU814" t="s">
        <v>13818</v>
      </c>
      <c r="AV814" t="s">
        <v>14309</v>
      </c>
      <c r="AZ814" t="s">
        <v>25302</v>
      </c>
      <c r="BA814" t="s">
        <v>13808</v>
      </c>
      <c r="BC814" t="s">
        <v>25303</v>
      </c>
      <c r="BD814" t="s">
        <v>13818</v>
      </c>
      <c r="BE814" t="s">
        <v>14309</v>
      </c>
      <c r="BF814" t="s">
        <v>19744</v>
      </c>
      <c r="BG814" t="s">
        <v>13808</v>
      </c>
      <c r="BL814" t="s">
        <v>25304</v>
      </c>
      <c r="BM814" t="s">
        <v>13818</v>
      </c>
      <c r="BN814" t="s">
        <v>14309</v>
      </c>
      <c r="BR814" t="s">
        <v>25305</v>
      </c>
      <c r="BS814" t="s">
        <v>13887</v>
      </c>
      <c r="BT814" t="s">
        <v>13818</v>
      </c>
      <c r="BU814" t="s">
        <v>25306</v>
      </c>
      <c r="BY814" t="s">
        <v>13887</v>
      </c>
      <c r="BZ814" t="s">
        <v>13808</v>
      </c>
      <c r="CA814" t="s">
        <v>17109</v>
      </c>
      <c r="CE814" t="s">
        <v>13887</v>
      </c>
      <c r="CF814" t="s">
        <v>13818</v>
      </c>
      <c r="CG814" t="s">
        <v>25307</v>
      </c>
      <c r="CL814" t="s">
        <v>13809</v>
      </c>
      <c r="CR814" t="s">
        <v>13809</v>
      </c>
      <c r="CT814" t="s">
        <v>25308</v>
      </c>
      <c r="CU814" t="s">
        <v>15824</v>
      </c>
      <c r="CV814" t="s">
        <v>13808</v>
      </c>
      <c r="CX814" t="s">
        <v>14625</v>
      </c>
      <c r="CY814" t="s">
        <v>13818</v>
      </c>
      <c r="DA814" t="s">
        <v>16268</v>
      </c>
      <c r="DB814" t="s">
        <v>13808</v>
      </c>
      <c r="DD814" t="s">
        <v>14625</v>
      </c>
      <c r="DE814" t="s">
        <v>13818</v>
      </c>
      <c r="DG814" t="s">
        <v>13909</v>
      </c>
      <c r="DH814" t="s">
        <v>13818</v>
      </c>
      <c r="DY814" t="s">
        <v>13840</v>
      </c>
      <c r="DZ814" t="s">
        <v>15812</v>
      </c>
      <c r="EA814" t="s">
        <v>18291</v>
      </c>
      <c r="EC814">
        <v>43922</v>
      </c>
      <c r="ED814" t="s">
        <v>13903</v>
      </c>
      <c r="EE814" t="s">
        <v>5199</v>
      </c>
    </row>
    <row r="815" spans="1:135">
      <c r="A815" t="s">
        <v>13171</v>
      </c>
      <c r="B815" t="s">
        <v>287</v>
      </c>
      <c r="C815" t="s">
        <v>25309</v>
      </c>
      <c r="D815" s="24">
        <v>44791</v>
      </c>
      <c r="E815" s="24" t="s">
        <v>13550</v>
      </c>
      <c r="F815" s="24" t="s">
        <v>25310</v>
      </c>
      <c r="G815" s="24"/>
      <c r="H815" s="24"/>
      <c r="I815" s="24"/>
      <c r="J815" s="24"/>
      <c r="K815" s="24"/>
      <c r="L815" s="24"/>
      <c r="M815" s="24" t="s">
        <v>15539</v>
      </c>
      <c r="N815" s="24" t="s">
        <v>13818</v>
      </c>
      <c r="O815" s="24"/>
      <c r="P815" s="24" t="s">
        <v>13818</v>
      </c>
      <c r="Q815" s="24"/>
      <c r="R815" s="24" t="s">
        <v>13808</v>
      </c>
      <c r="S815" s="24"/>
      <c r="T815" t="s">
        <v>25311</v>
      </c>
      <c r="U815" t="s">
        <v>13809</v>
      </c>
      <c r="W815" t="s">
        <v>13809</v>
      </c>
      <c r="Y815" t="s">
        <v>13809</v>
      </c>
      <c r="AA815" t="s">
        <v>14386</v>
      </c>
      <c r="AB815" t="s">
        <v>25312</v>
      </c>
      <c r="AC815" t="s">
        <v>13818</v>
      </c>
      <c r="AD815" t="s">
        <v>13819</v>
      </c>
      <c r="AH815" t="s">
        <v>25313</v>
      </c>
      <c r="AI815" t="s">
        <v>13808</v>
      </c>
      <c r="AK815" t="s">
        <v>13851</v>
      </c>
      <c r="AL815" t="s">
        <v>13818</v>
      </c>
      <c r="AM815" t="s">
        <v>13819</v>
      </c>
      <c r="AN815" t="s">
        <v>13711</v>
      </c>
      <c r="AO815" t="s">
        <v>13809</v>
      </c>
      <c r="AT815" t="s">
        <v>25314</v>
      </c>
      <c r="AU815" t="s">
        <v>13818</v>
      </c>
      <c r="AV815" t="s">
        <v>13819</v>
      </c>
      <c r="AZ815" t="s">
        <v>25315</v>
      </c>
      <c r="BA815" t="s">
        <v>13818</v>
      </c>
      <c r="BB815" t="s">
        <v>13819</v>
      </c>
      <c r="BF815" t="s">
        <v>25316</v>
      </c>
      <c r="BG815" t="s">
        <v>13808</v>
      </c>
      <c r="BL815" t="s">
        <v>25317</v>
      </c>
      <c r="BM815" t="s">
        <v>13818</v>
      </c>
      <c r="BN815" t="s">
        <v>13819</v>
      </c>
      <c r="BR815" t="s">
        <v>25318</v>
      </c>
      <c r="BS815" t="s">
        <v>13824</v>
      </c>
      <c r="BT815" t="s">
        <v>13808</v>
      </c>
      <c r="BU815" t="s">
        <v>16987</v>
      </c>
      <c r="BY815" t="s">
        <v>13860</v>
      </c>
      <c r="BZ815" t="s">
        <v>13808</v>
      </c>
      <c r="CA815" t="s">
        <v>13937</v>
      </c>
      <c r="CE815" t="s">
        <v>13828</v>
      </c>
      <c r="CF815" t="s">
        <v>13808</v>
      </c>
      <c r="CK815" t="s">
        <v>13760</v>
      </c>
      <c r="CL815" t="s">
        <v>13809</v>
      </c>
      <c r="CQ815" t="s">
        <v>13766</v>
      </c>
      <c r="CR815" t="s">
        <v>13809</v>
      </c>
      <c r="CT815" t="s">
        <v>14781</v>
      </c>
      <c r="CU815" t="s">
        <v>25319</v>
      </c>
      <c r="CV815" t="s">
        <v>13818</v>
      </c>
      <c r="DA815" t="s">
        <v>25320</v>
      </c>
      <c r="DB815" t="s">
        <v>13818</v>
      </c>
      <c r="DG815" t="s">
        <v>25321</v>
      </c>
      <c r="DH815" t="s">
        <v>13818</v>
      </c>
      <c r="DY815" t="s">
        <v>23647</v>
      </c>
      <c r="DZ815" t="s">
        <v>13841</v>
      </c>
      <c r="EA815" t="s">
        <v>14118</v>
      </c>
      <c r="EC815">
        <v>44943</v>
      </c>
      <c r="ED815" t="s">
        <v>17062</v>
      </c>
      <c r="EE815" t="s">
        <v>13663</v>
      </c>
    </row>
    <row r="816" spans="1:135">
      <c r="A816" t="s">
        <v>325</v>
      </c>
      <c r="B816" t="s">
        <v>287</v>
      </c>
      <c r="C816" t="s">
        <v>25322</v>
      </c>
      <c r="D816" s="24">
        <v>43164</v>
      </c>
      <c r="E816" s="24" t="s">
        <v>13558</v>
      </c>
      <c r="F816" s="24" t="s">
        <v>25323</v>
      </c>
      <c r="G816" s="24" t="s">
        <v>13808</v>
      </c>
      <c r="H816" s="24"/>
      <c r="I816" s="24" t="s">
        <v>13809</v>
      </c>
      <c r="J816" s="24"/>
      <c r="K816" s="24" t="s">
        <v>13808</v>
      </c>
      <c r="L816" s="24" t="s">
        <v>25324</v>
      </c>
      <c r="M816" s="24" t="s">
        <v>13950</v>
      </c>
      <c r="N816" s="24" t="s">
        <v>13808</v>
      </c>
      <c r="O816" s="24"/>
      <c r="P816" s="24" t="s">
        <v>13808</v>
      </c>
      <c r="Q816" s="24"/>
      <c r="R816" s="24" t="s">
        <v>13808</v>
      </c>
      <c r="S816" s="24"/>
      <c r="T816" t="s">
        <v>13875</v>
      </c>
      <c r="U816" t="s">
        <v>13809</v>
      </c>
      <c r="W816" t="s">
        <v>13808</v>
      </c>
      <c r="X816" t="s">
        <v>25325</v>
      </c>
      <c r="Y816" t="s">
        <v>13809</v>
      </c>
      <c r="AA816" t="s">
        <v>16494</v>
      </c>
      <c r="AB816" t="s">
        <v>25326</v>
      </c>
      <c r="AC816" t="s">
        <v>13808</v>
      </c>
      <c r="AH816" t="s">
        <v>13909</v>
      </c>
      <c r="AI816" t="s">
        <v>13808</v>
      </c>
      <c r="AN816" t="s">
        <v>25327</v>
      </c>
      <c r="AO816" t="s">
        <v>13808</v>
      </c>
      <c r="AT816" t="s">
        <v>19656</v>
      </c>
      <c r="AU816" t="s">
        <v>13808</v>
      </c>
      <c r="AZ816" t="s">
        <v>25328</v>
      </c>
      <c r="BA816" t="s">
        <v>13808</v>
      </c>
      <c r="BF816" t="s">
        <v>14490</v>
      </c>
      <c r="BG816" t="s">
        <v>13808</v>
      </c>
      <c r="BL816" t="s">
        <v>25329</v>
      </c>
      <c r="BM816" t="s">
        <v>13808</v>
      </c>
      <c r="BR816" t="s">
        <v>25330</v>
      </c>
      <c r="BS816" t="s">
        <v>13887</v>
      </c>
      <c r="BT816" t="s">
        <v>13808</v>
      </c>
      <c r="BU816" t="s">
        <v>14233</v>
      </c>
      <c r="BY816" t="s">
        <v>13887</v>
      </c>
      <c r="BZ816" t="s">
        <v>13808</v>
      </c>
      <c r="CA816" t="s">
        <v>13937</v>
      </c>
      <c r="CE816" t="s">
        <v>13887</v>
      </c>
      <c r="CF816" t="s">
        <v>13808</v>
      </c>
      <c r="CL816" t="s">
        <v>13809</v>
      </c>
      <c r="CR816" t="s">
        <v>13809</v>
      </c>
      <c r="CT816" t="s">
        <v>25331</v>
      </c>
      <c r="CU816" t="s">
        <v>13909</v>
      </c>
      <c r="CV816" t="s">
        <v>13818</v>
      </c>
      <c r="DA816" t="s">
        <v>13909</v>
      </c>
      <c r="DB816" t="s">
        <v>13808</v>
      </c>
      <c r="DG816" t="s">
        <v>13909</v>
      </c>
      <c r="DH816" t="s">
        <v>13818</v>
      </c>
      <c r="DZ816" t="s">
        <v>25332</v>
      </c>
      <c r="EA816" t="s">
        <v>16821</v>
      </c>
      <c r="EC816">
        <v>44179</v>
      </c>
      <c r="ED816" t="s">
        <v>13903</v>
      </c>
      <c r="EE816" t="s">
        <v>4752</v>
      </c>
    </row>
    <row r="817" spans="1:135">
      <c r="A817" t="s">
        <v>35</v>
      </c>
      <c r="B817" t="s">
        <v>11</v>
      </c>
      <c r="C817" t="s">
        <v>25333</v>
      </c>
      <c r="D817" s="24">
        <v>42940</v>
      </c>
      <c r="E817" s="24" t="s">
        <v>13564</v>
      </c>
      <c r="F817" s="24" t="s">
        <v>25334</v>
      </c>
      <c r="G817" s="24" t="s">
        <v>13808</v>
      </c>
      <c r="H817" s="24"/>
      <c r="I817" s="24" t="s">
        <v>13809</v>
      </c>
      <c r="J817" s="24"/>
      <c r="K817" s="24" t="s">
        <v>13809</v>
      </c>
      <c r="L817" s="24"/>
      <c r="M817" s="24" t="s">
        <v>14136</v>
      </c>
      <c r="N817" s="24" t="s">
        <v>13808</v>
      </c>
      <c r="O817" s="24"/>
      <c r="P817" s="24" t="s">
        <v>13808</v>
      </c>
      <c r="Q817" s="24"/>
      <c r="R817" s="24" t="s">
        <v>13808</v>
      </c>
      <c r="S817" s="24"/>
      <c r="T817" t="s">
        <v>13907</v>
      </c>
      <c r="U817" t="s">
        <v>13809</v>
      </c>
      <c r="W817" t="s">
        <v>13808</v>
      </c>
      <c r="X817" t="s">
        <v>25335</v>
      </c>
      <c r="Y817" t="s">
        <v>13809</v>
      </c>
      <c r="AA817" t="s">
        <v>13928</v>
      </c>
      <c r="AB817" t="s">
        <v>25336</v>
      </c>
      <c r="AC817" t="s">
        <v>13808</v>
      </c>
      <c r="AH817" t="s">
        <v>13851</v>
      </c>
      <c r="AI817" t="s">
        <v>13808</v>
      </c>
      <c r="AN817" t="s">
        <v>25337</v>
      </c>
      <c r="AO817" t="s">
        <v>13808</v>
      </c>
      <c r="AT817" t="s">
        <v>25338</v>
      </c>
      <c r="AU817" t="s">
        <v>13808</v>
      </c>
      <c r="AZ817" t="s">
        <v>25339</v>
      </c>
      <c r="BA817" t="s">
        <v>13808</v>
      </c>
      <c r="BF817" t="s">
        <v>25340</v>
      </c>
      <c r="BG817" t="s">
        <v>13808</v>
      </c>
      <c r="BL817" t="s">
        <v>25341</v>
      </c>
      <c r="BM817" t="s">
        <v>13808</v>
      </c>
      <c r="BR817" t="s">
        <v>25342</v>
      </c>
      <c r="BS817" t="s">
        <v>25343</v>
      </c>
      <c r="BT817" t="s">
        <v>13808</v>
      </c>
      <c r="BU817" t="s">
        <v>25344</v>
      </c>
      <c r="BY817" t="s">
        <v>13860</v>
      </c>
      <c r="BZ817" t="s">
        <v>13808</v>
      </c>
      <c r="CA817" t="s">
        <v>13937</v>
      </c>
      <c r="CE817" t="s">
        <v>13828</v>
      </c>
      <c r="CF817" t="s">
        <v>13808</v>
      </c>
      <c r="CK817" t="s">
        <v>13760</v>
      </c>
      <c r="CL817" t="s">
        <v>13809</v>
      </c>
      <c r="CQ817" t="s">
        <v>13766</v>
      </c>
      <c r="CR817" t="s">
        <v>13809</v>
      </c>
      <c r="CT817" t="s">
        <v>14561</v>
      </c>
      <c r="DG817" t="s">
        <v>14562</v>
      </c>
      <c r="DZ817" t="s">
        <v>25345</v>
      </c>
      <c r="EA817" t="s">
        <v>13842</v>
      </c>
      <c r="EC817">
        <v>44671</v>
      </c>
      <c r="ED817" t="s">
        <v>13843</v>
      </c>
      <c r="EE817" t="s">
        <v>4478</v>
      </c>
    </row>
    <row r="818" spans="1:135">
      <c r="A818" t="s">
        <v>213</v>
      </c>
      <c r="B818" t="s">
        <v>147</v>
      </c>
      <c r="C818" t="s">
        <v>25346</v>
      </c>
      <c r="D818" s="24">
        <v>42933</v>
      </c>
      <c r="E818" s="24" t="s">
        <v>13558</v>
      </c>
      <c r="F818" s="24" t="s">
        <v>25347</v>
      </c>
      <c r="G818" s="24" t="s">
        <v>13808</v>
      </c>
      <c r="H818" s="24"/>
      <c r="I818" s="24" t="s">
        <v>13809</v>
      </c>
      <c r="J818" s="24"/>
      <c r="K818" s="24" t="s">
        <v>13808</v>
      </c>
      <c r="L818" s="24"/>
      <c r="M818" s="24" t="s">
        <v>15106</v>
      </c>
      <c r="N818" s="24" t="s">
        <v>13808</v>
      </c>
      <c r="O818" s="24"/>
      <c r="P818" s="24" t="s">
        <v>13808</v>
      </c>
      <c r="Q818" s="24"/>
      <c r="R818" s="24" t="s">
        <v>13808</v>
      </c>
      <c r="S818" s="24"/>
      <c r="T818" t="s">
        <v>15548</v>
      </c>
      <c r="U818" t="s">
        <v>13809</v>
      </c>
      <c r="W818" t="s">
        <v>13808</v>
      </c>
      <c r="X818" t="s">
        <v>25348</v>
      </c>
      <c r="Y818" t="s">
        <v>13809</v>
      </c>
      <c r="AA818" t="s">
        <v>16494</v>
      </c>
      <c r="AB818" t="s">
        <v>14046</v>
      </c>
      <c r="AC818" t="s">
        <v>13808</v>
      </c>
      <c r="AH818" t="s">
        <v>13909</v>
      </c>
      <c r="AI818" t="s">
        <v>13808</v>
      </c>
      <c r="AN818" t="s">
        <v>14596</v>
      </c>
      <c r="AO818" t="s">
        <v>13808</v>
      </c>
      <c r="AT818" t="s">
        <v>14177</v>
      </c>
      <c r="AU818" t="s">
        <v>13808</v>
      </c>
      <c r="AZ818" t="s">
        <v>25349</v>
      </c>
      <c r="BA818" t="s">
        <v>13808</v>
      </c>
      <c r="BF818" t="s">
        <v>13894</v>
      </c>
      <c r="BG818" t="s">
        <v>13808</v>
      </c>
      <c r="BM818" t="s">
        <v>13809</v>
      </c>
      <c r="BR818" t="s">
        <v>25350</v>
      </c>
      <c r="BS818" t="s">
        <v>13887</v>
      </c>
      <c r="BT818" t="s">
        <v>13808</v>
      </c>
      <c r="BU818" t="s">
        <v>14315</v>
      </c>
      <c r="BY818" t="s">
        <v>13887</v>
      </c>
      <c r="BZ818" t="s">
        <v>13808</v>
      </c>
      <c r="CA818" t="s">
        <v>13937</v>
      </c>
      <c r="CE818" t="s">
        <v>13887</v>
      </c>
      <c r="CF818" t="s">
        <v>13808</v>
      </c>
      <c r="CL818" t="s">
        <v>13809</v>
      </c>
      <c r="CR818" t="s">
        <v>13809</v>
      </c>
      <c r="CT818" t="s">
        <v>14781</v>
      </c>
      <c r="CU818" t="s">
        <v>13909</v>
      </c>
      <c r="CV818" t="s">
        <v>13818</v>
      </c>
      <c r="DA818" t="s">
        <v>13909</v>
      </c>
      <c r="DB818" t="s">
        <v>13818</v>
      </c>
      <c r="DG818" t="s">
        <v>13909</v>
      </c>
      <c r="DH818" t="s">
        <v>13818</v>
      </c>
      <c r="DZ818" t="s">
        <v>25351</v>
      </c>
      <c r="EA818" t="s">
        <v>16821</v>
      </c>
      <c r="EC818">
        <v>44179</v>
      </c>
      <c r="ED818" t="s">
        <v>13903</v>
      </c>
      <c r="EE818" t="s">
        <v>4640</v>
      </c>
    </row>
    <row r="819" spans="1:135">
      <c r="A819" t="s">
        <v>774</v>
      </c>
      <c r="B819" t="s">
        <v>710</v>
      </c>
      <c r="C819" t="s">
        <v>25352</v>
      </c>
      <c r="D819" s="24">
        <v>42934</v>
      </c>
      <c r="E819" s="24" t="s">
        <v>13555</v>
      </c>
      <c r="F819" s="24" t="s">
        <v>25353</v>
      </c>
      <c r="G819" s="24" t="s">
        <v>13808</v>
      </c>
      <c r="H819" s="24"/>
      <c r="I819" s="24" t="s">
        <v>13809</v>
      </c>
      <c r="J819" s="24"/>
      <c r="K819" s="24" t="s">
        <v>13809</v>
      </c>
      <c r="L819" s="24"/>
      <c r="M819" s="24" t="s">
        <v>25354</v>
      </c>
      <c r="N819" s="24" t="s">
        <v>13808</v>
      </c>
      <c r="O819" s="24"/>
      <c r="P819" s="24" t="s">
        <v>13808</v>
      </c>
      <c r="Q819" s="24"/>
      <c r="R819" s="24" t="s">
        <v>13808</v>
      </c>
      <c r="S819" s="24"/>
      <c r="T819" t="s">
        <v>15548</v>
      </c>
      <c r="U819" t="s">
        <v>13809</v>
      </c>
      <c r="W819" t="s">
        <v>13808</v>
      </c>
      <c r="X819" t="s">
        <v>25355</v>
      </c>
      <c r="Y819" t="s">
        <v>13809</v>
      </c>
      <c r="AA819" t="s">
        <v>14971</v>
      </c>
      <c r="AB819" t="s">
        <v>25356</v>
      </c>
      <c r="AC819" t="s">
        <v>13808</v>
      </c>
      <c r="AH819" t="s">
        <v>13851</v>
      </c>
      <c r="AI819" t="s">
        <v>13808</v>
      </c>
      <c r="AN819" t="s">
        <v>25357</v>
      </c>
      <c r="AO819" t="s">
        <v>13808</v>
      </c>
      <c r="AT819" t="s">
        <v>25358</v>
      </c>
      <c r="AU819" t="s">
        <v>13808</v>
      </c>
      <c r="AZ819" t="s">
        <v>25359</v>
      </c>
      <c r="BA819" t="s">
        <v>13808</v>
      </c>
      <c r="BF819" t="s">
        <v>25360</v>
      </c>
      <c r="BG819" t="s">
        <v>13808</v>
      </c>
      <c r="BL819" t="s">
        <v>25361</v>
      </c>
      <c r="BM819" t="s">
        <v>13808</v>
      </c>
      <c r="BR819" t="s">
        <v>25362</v>
      </c>
      <c r="BS819" t="s">
        <v>17108</v>
      </c>
      <c r="BT819" t="s">
        <v>13809</v>
      </c>
      <c r="BY819" t="s">
        <v>13860</v>
      </c>
      <c r="BZ819" t="s">
        <v>13808</v>
      </c>
      <c r="CA819" t="s">
        <v>13937</v>
      </c>
      <c r="CE819" t="s">
        <v>13754</v>
      </c>
      <c r="CF819" t="s">
        <v>13809</v>
      </c>
      <c r="CK819" t="s">
        <v>25363</v>
      </c>
      <c r="CL819" t="s">
        <v>13808</v>
      </c>
      <c r="CQ819" t="s">
        <v>13766</v>
      </c>
      <c r="CR819" t="s">
        <v>13809</v>
      </c>
      <c r="CT819" t="s">
        <v>25364</v>
      </c>
      <c r="DG819" t="s">
        <v>14562</v>
      </c>
      <c r="DY819" t="s">
        <v>13840</v>
      </c>
      <c r="DZ819" t="s">
        <v>25365</v>
      </c>
      <c r="EA819" t="s">
        <v>14118</v>
      </c>
      <c r="EC819">
        <v>44650</v>
      </c>
      <c r="ED819" t="s">
        <v>13843</v>
      </c>
      <c r="EE819" t="s">
        <v>5207</v>
      </c>
    </row>
    <row r="820" spans="1:135">
      <c r="A820" t="s">
        <v>47</v>
      </c>
      <c r="B820" t="s">
        <v>11</v>
      </c>
      <c r="C820" t="s">
        <v>25366</v>
      </c>
      <c r="D820" s="24">
        <v>42915</v>
      </c>
      <c r="E820" s="24" t="s">
        <v>13560</v>
      </c>
      <c r="F820" s="24" t="s">
        <v>25367</v>
      </c>
      <c r="G820" s="24" t="s">
        <v>13808</v>
      </c>
      <c r="H820" s="24"/>
      <c r="I820" s="24" t="s">
        <v>13809</v>
      </c>
      <c r="J820" s="24"/>
      <c r="K820" s="24" t="s">
        <v>13808</v>
      </c>
      <c r="L820" s="24"/>
      <c r="M820" s="24" t="s">
        <v>14304</v>
      </c>
      <c r="N820" s="24" t="s">
        <v>13808</v>
      </c>
      <c r="O820" s="24"/>
      <c r="P820" s="24" t="s">
        <v>13808</v>
      </c>
      <c r="Q820" s="24"/>
      <c r="R820" s="24" t="s">
        <v>13818</v>
      </c>
      <c r="S820" s="24"/>
      <c r="T820" t="s">
        <v>15222</v>
      </c>
      <c r="U820" t="s">
        <v>13809</v>
      </c>
      <c r="W820" t="s">
        <v>13809</v>
      </c>
      <c r="Y820" t="s">
        <v>13809</v>
      </c>
      <c r="AA820" t="s">
        <v>25368</v>
      </c>
      <c r="AB820" t="s">
        <v>25369</v>
      </c>
      <c r="AC820" t="s">
        <v>13808</v>
      </c>
      <c r="AH820" t="s">
        <v>14073</v>
      </c>
      <c r="AI820" t="s">
        <v>13808</v>
      </c>
      <c r="AK820" t="s">
        <v>14140</v>
      </c>
      <c r="AL820" t="s">
        <v>13818</v>
      </c>
      <c r="AM820" t="s">
        <v>14414</v>
      </c>
      <c r="AN820" t="s">
        <v>25370</v>
      </c>
      <c r="AO820" t="s">
        <v>13818</v>
      </c>
      <c r="AP820" t="s">
        <v>14414</v>
      </c>
      <c r="AT820" t="s">
        <v>25371</v>
      </c>
      <c r="AU820" t="s">
        <v>13808</v>
      </c>
      <c r="AZ820" t="s">
        <v>15955</v>
      </c>
      <c r="BA820" t="s">
        <v>13808</v>
      </c>
      <c r="BC820" t="s">
        <v>25372</v>
      </c>
      <c r="BD820" t="s">
        <v>13818</v>
      </c>
      <c r="BE820" t="s">
        <v>14414</v>
      </c>
      <c r="BF820" t="s">
        <v>14102</v>
      </c>
      <c r="BG820" t="s">
        <v>13808</v>
      </c>
      <c r="BL820" t="s">
        <v>25373</v>
      </c>
      <c r="BM820" t="s">
        <v>13818</v>
      </c>
      <c r="BN820" t="s">
        <v>14414</v>
      </c>
      <c r="BR820" t="s">
        <v>25374</v>
      </c>
      <c r="BS820" t="s">
        <v>14290</v>
      </c>
      <c r="BT820" t="s">
        <v>13818</v>
      </c>
      <c r="BU820" t="s">
        <v>14414</v>
      </c>
      <c r="BY820" t="s">
        <v>13826</v>
      </c>
      <c r="BZ820" t="s">
        <v>13818</v>
      </c>
      <c r="CA820" t="s">
        <v>14414</v>
      </c>
      <c r="CE820" t="s">
        <v>13938</v>
      </c>
      <c r="CF820" t="s">
        <v>13818</v>
      </c>
      <c r="CG820" t="s">
        <v>14309</v>
      </c>
      <c r="CK820" t="s">
        <v>13760</v>
      </c>
      <c r="CL820" t="s">
        <v>13809</v>
      </c>
      <c r="CQ820" t="s">
        <v>13766</v>
      </c>
      <c r="CR820" t="s">
        <v>13809</v>
      </c>
      <c r="CT820" t="s">
        <v>25375</v>
      </c>
      <c r="CU820" t="s">
        <v>25376</v>
      </c>
      <c r="CV820" t="s">
        <v>13808</v>
      </c>
      <c r="CX820" t="s">
        <v>15694</v>
      </c>
      <c r="CY820" t="s">
        <v>13818</v>
      </c>
      <c r="DA820" t="s">
        <v>25377</v>
      </c>
      <c r="DB820" t="s">
        <v>13808</v>
      </c>
      <c r="DD820" t="s">
        <v>15694</v>
      </c>
      <c r="DE820" t="s">
        <v>13818</v>
      </c>
      <c r="DG820" t="s">
        <v>14562</v>
      </c>
      <c r="DH820" t="s">
        <v>13808</v>
      </c>
      <c r="DY820" t="s">
        <v>13840</v>
      </c>
      <c r="DZ820" t="s">
        <v>25378</v>
      </c>
      <c r="EA820" t="s">
        <v>14118</v>
      </c>
      <c r="EC820">
        <v>44627</v>
      </c>
      <c r="ED820" t="s">
        <v>17062</v>
      </c>
      <c r="EE820" t="s">
        <v>4494</v>
      </c>
    </row>
    <row r="821" spans="1:135">
      <c r="A821" t="s">
        <v>57</v>
      </c>
      <c r="B821" t="s">
        <v>11</v>
      </c>
      <c r="C821" t="s">
        <v>25379</v>
      </c>
      <c r="D821" s="24">
        <v>44754</v>
      </c>
      <c r="E821" s="24" t="s">
        <v>13555</v>
      </c>
      <c r="F821" s="24" t="s">
        <v>25380</v>
      </c>
      <c r="G821" s="24" t="s">
        <v>13808</v>
      </c>
      <c r="H821" s="24"/>
      <c r="I821" s="24" t="s">
        <v>13809</v>
      </c>
      <c r="J821" s="24"/>
      <c r="K821" s="24" t="s">
        <v>13809</v>
      </c>
      <c r="L821" s="24"/>
      <c r="M821" s="24" t="s">
        <v>25381</v>
      </c>
      <c r="N821" s="24" t="s">
        <v>13808</v>
      </c>
      <c r="O821" s="24"/>
      <c r="P821" s="24" t="s">
        <v>13808</v>
      </c>
      <c r="Q821" s="24"/>
      <c r="R821" s="24" t="s">
        <v>13808</v>
      </c>
      <c r="S821" s="24"/>
      <c r="T821" t="s">
        <v>15051</v>
      </c>
      <c r="U821" t="s">
        <v>13808</v>
      </c>
      <c r="W821" t="s">
        <v>13808</v>
      </c>
      <c r="X821" t="s">
        <v>25382</v>
      </c>
      <c r="Y821" t="s">
        <v>13809</v>
      </c>
      <c r="AA821" t="s">
        <v>14971</v>
      </c>
      <c r="AB821" t="s">
        <v>25383</v>
      </c>
      <c r="AC821" t="s">
        <v>13808</v>
      </c>
      <c r="AH821" t="s">
        <v>13851</v>
      </c>
      <c r="AI821" t="s">
        <v>13808</v>
      </c>
      <c r="AN821" t="s">
        <v>25384</v>
      </c>
      <c r="AO821" t="s">
        <v>13808</v>
      </c>
      <c r="AT821" t="s">
        <v>17257</v>
      </c>
      <c r="AU821" t="s">
        <v>13808</v>
      </c>
      <c r="AZ821" t="s">
        <v>25385</v>
      </c>
      <c r="BA821" t="s">
        <v>13808</v>
      </c>
      <c r="BF821" t="s">
        <v>25386</v>
      </c>
      <c r="BG821" t="s">
        <v>13808</v>
      </c>
      <c r="BL821" t="s">
        <v>13934</v>
      </c>
      <c r="BM821" t="s">
        <v>13809</v>
      </c>
      <c r="BR821" t="s">
        <v>25387</v>
      </c>
      <c r="BS821" t="s">
        <v>13824</v>
      </c>
      <c r="BT821" t="s">
        <v>13808</v>
      </c>
      <c r="BU821" t="s">
        <v>14641</v>
      </c>
      <c r="BY821" t="s">
        <v>13860</v>
      </c>
      <c r="BZ821" t="s">
        <v>13808</v>
      </c>
      <c r="CA821" t="s">
        <v>25388</v>
      </c>
      <c r="CE821" t="s">
        <v>13828</v>
      </c>
      <c r="CF821" t="s">
        <v>13808</v>
      </c>
      <c r="CK821" t="s">
        <v>13760</v>
      </c>
      <c r="CL821" t="s">
        <v>13809</v>
      </c>
      <c r="CQ821" t="s">
        <v>13766</v>
      </c>
      <c r="CR821" t="s">
        <v>13809</v>
      </c>
      <c r="CT821" t="s">
        <v>25389</v>
      </c>
      <c r="DG821" t="s">
        <v>25390</v>
      </c>
      <c r="DH821" t="s">
        <v>21060</v>
      </c>
      <c r="DZ821" t="s">
        <v>25391</v>
      </c>
      <c r="EA821" t="s">
        <v>14182</v>
      </c>
      <c r="EC821">
        <v>44755</v>
      </c>
      <c r="ED821" t="s">
        <v>17062</v>
      </c>
      <c r="EE821" t="s">
        <v>4501</v>
      </c>
    </row>
    <row r="822" spans="1:135">
      <c r="A822" t="s">
        <v>958</v>
      </c>
      <c r="B822" t="s">
        <v>914</v>
      </c>
      <c r="C822" t="s">
        <v>25392</v>
      </c>
      <c r="D822" s="24">
        <v>44756</v>
      </c>
      <c r="E822" s="24" t="s">
        <v>13555</v>
      </c>
      <c r="F822" s="24" t="s">
        <v>25393</v>
      </c>
      <c r="G822" s="24" t="s">
        <v>13808</v>
      </c>
      <c r="H822" s="24"/>
      <c r="I822" s="24" t="s">
        <v>13809</v>
      </c>
      <c r="J822" s="24"/>
      <c r="K822" s="24" t="s">
        <v>13808</v>
      </c>
      <c r="L822" s="24" t="s">
        <v>25394</v>
      </c>
      <c r="M822" s="24" t="s">
        <v>14304</v>
      </c>
      <c r="N822" s="24" t="s">
        <v>13808</v>
      </c>
      <c r="O822" s="24"/>
      <c r="P822" s="24" t="s">
        <v>13808</v>
      </c>
      <c r="Q822" s="24"/>
      <c r="R822" s="24" t="s">
        <v>13808</v>
      </c>
      <c r="S822" s="24"/>
      <c r="T822" t="s">
        <v>25395</v>
      </c>
      <c r="U822" t="s">
        <v>13809</v>
      </c>
      <c r="W822" t="s">
        <v>13808</v>
      </c>
      <c r="X822" t="s">
        <v>25396</v>
      </c>
      <c r="Y822" t="s">
        <v>13809</v>
      </c>
      <c r="AA822" t="s">
        <v>25397</v>
      </c>
      <c r="AB822" t="s">
        <v>25398</v>
      </c>
      <c r="AC822" t="s">
        <v>13808</v>
      </c>
      <c r="AH822" t="s">
        <v>13851</v>
      </c>
      <c r="AI822" t="s">
        <v>13808</v>
      </c>
      <c r="AN822" t="s">
        <v>15055</v>
      </c>
      <c r="AO822" t="s">
        <v>13809</v>
      </c>
      <c r="AT822" t="s">
        <v>16982</v>
      </c>
      <c r="AU822" t="s">
        <v>13808</v>
      </c>
      <c r="AZ822" t="s">
        <v>25399</v>
      </c>
      <c r="BA822" t="s">
        <v>13808</v>
      </c>
      <c r="BF822" t="s">
        <v>18875</v>
      </c>
      <c r="BG822" t="s">
        <v>13808</v>
      </c>
      <c r="BL822" t="s">
        <v>25400</v>
      </c>
      <c r="BM822" t="s">
        <v>13808</v>
      </c>
      <c r="BR822" t="s">
        <v>25401</v>
      </c>
      <c r="BS822" t="s">
        <v>14213</v>
      </c>
      <c r="BT822" t="s">
        <v>13808</v>
      </c>
      <c r="BU822" t="s">
        <v>25402</v>
      </c>
      <c r="BY822" t="s">
        <v>25403</v>
      </c>
      <c r="BZ822" t="s">
        <v>13808</v>
      </c>
      <c r="CA822" t="s">
        <v>13937</v>
      </c>
      <c r="CE822" t="s">
        <v>18910</v>
      </c>
      <c r="CF822" t="s">
        <v>13808</v>
      </c>
      <c r="CK822" t="s">
        <v>13760</v>
      </c>
      <c r="CL822" t="s">
        <v>13809</v>
      </c>
      <c r="CQ822" t="s">
        <v>13766</v>
      </c>
      <c r="CR822" t="s">
        <v>13809</v>
      </c>
      <c r="CT822" t="s">
        <v>25404</v>
      </c>
      <c r="DZ822" t="s">
        <v>25405</v>
      </c>
      <c r="EA822" t="s">
        <v>25406</v>
      </c>
      <c r="EC822">
        <v>44761</v>
      </c>
      <c r="ED822" t="s">
        <v>17062</v>
      </c>
      <c r="EE822" t="s">
        <v>5364</v>
      </c>
    </row>
    <row r="823" spans="1:135">
      <c r="A823" t="s">
        <v>781</v>
      </c>
      <c r="B823" t="s">
        <v>710</v>
      </c>
      <c r="C823" t="s">
        <v>25407</v>
      </c>
      <c r="D823" s="24">
        <v>42901</v>
      </c>
      <c r="E823" s="24" t="s">
        <v>13557</v>
      </c>
      <c r="F823" s="24" t="s">
        <v>25408</v>
      </c>
      <c r="G823" s="24" t="s">
        <v>13808</v>
      </c>
      <c r="H823" s="24"/>
      <c r="I823" s="24" t="s">
        <v>13809</v>
      </c>
      <c r="J823" s="24"/>
      <c r="K823" s="24" t="s">
        <v>13808</v>
      </c>
      <c r="L823" s="24"/>
      <c r="M823" s="24" t="s">
        <v>15106</v>
      </c>
      <c r="N823" s="24" t="s">
        <v>13808</v>
      </c>
      <c r="O823" s="24"/>
      <c r="P823" s="24" t="s">
        <v>13808</v>
      </c>
      <c r="Q823" s="24"/>
      <c r="R823" s="24" t="s">
        <v>13808</v>
      </c>
      <c r="S823" s="24"/>
      <c r="T823" t="s">
        <v>22923</v>
      </c>
      <c r="U823" t="s">
        <v>13809</v>
      </c>
      <c r="W823" t="s">
        <v>13808</v>
      </c>
      <c r="X823" t="s">
        <v>25409</v>
      </c>
      <c r="Y823" t="s">
        <v>13809</v>
      </c>
      <c r="AA823" t="s">
        <v>13928</v>
      </c>
      <c r="AB823" t="s">
        <v>15348</v>
      </c>
      <c r="AC823" t="s">
        <v>13809</v>
      </c>
      <c r="AH823" t="s">
        <v>13851</v>
      </c>
      <c r="AI823" t="s">
        <v>13808</v>
      </c>
      <c r="AN823" t="s">
        <v>25410</v>
      </c>
      <c r="AO823" t="s">
        <v>13808</v>
      </c>
      <c r="AT823" t="s">
        <v>25411</v>
      </c>
      <c r="AU823" t="s">
        <v>13808</v>
      </c>
      <c r="AZ823" t="s">
        <v>25412</v>
      </c>
      <c r="BA823" t="s">
        <v>13808</v>
      </c>
      <c r="BF823" t="s">
        <v>25413</v>
      </c>
      <c r="BG823" t="s">
        <v>13808</v>
      </c>
      <c r="BL823" t="s">
        <v>13735</v>
      </c>
      <c r="BM823" t="s">
        <v>13809</v>
      </c>
      <c r="BR823" t="s">
        <v>25414</v>
      </c>
      <c r="BS823" t="s">
        <v>13824</v>
      </c>
      <c r="BT823" t="s">
        <v>13808</v>
      </c>
      <c r="BU823" t="s">
        <v>25344</v>
      </c>
      <c r="BY823" t="s">
        <v>25415</v>
      </c>
      <c r="BZ823" t="s">
        <v>13808</v>
      </c>
      <c r="CA823" t="s">
        <v>20961</v>
      </c>
      <c r="CE823" t="s">
        <v>13828</v>
      </c>
      <c r="CF823" t="s">
        <v>13808</v>
      </c>
      <c r="CK823" t="s">
        <v>13760</v>
      </c>
      <c r="CL823" t="s">
        <v>13809</v>
      </c>
      <c r="CQ823" t="s">
        <v>13766</v>
      </c>
      <c r="CR823" t="s">
        <v>13809</v>
      </c>
      <c r="CT823" t="s">
        <v>25416</v>
      </c>
      <c r="DG823" t="s">
        <v>14562</v>
      </c>
      <c r="DZ823" t="s">
        <v>25417</v>
      </c>
      <c r="EA823" t="s">
        <v>25418</v>
      </c>
      <c r="EC823">
        <v>44627</v>
      </c>
      <c r="ED823" t="s">
        <v>13843</v>
      </c>
      <c r="EE823" t="s">
        <v>5212</v>
      </c>
    </row>
    <row r="824" spans="1:135">
      <c r="A824" t="s">
        <v>69</v>
      </c>
      <c r="B824" t="s">
        <v>11</v>
      </c>
      <c r="C824" t="s">
        <v>25419</v>
      </c>
      <c r="D824" s="24">
        <v>44853</v>
      </c>
      <c r="E824" s="24" t="s">
        <v>13555</v>
      </c>
      <c r="F824" s="24" t="s">
        <v>25420</v>
      </c>
      <c r="G824" s="24" t="s">
        <v>13808</v>
      </c>
      <c r="H824" s="24"/>
      <c r="I824" s="24" t="s">
        <v>13809</v>
      </c>
      <c r="J824" s="24"/>
      <c r="K824" s="24" t="s">
        <v>13808</v>
      </c>
      <c r="L824" s="24" t="s">
        <v>25421</v>
      </c>
      <c r="M824" s="24" t="s">
        <v>13846</v>
      </c>
      <c r="N824" s="24" t="s">
        <v>13808</v>
      </c>
      <c r="O824" s="24"/>
      <c r="P824" s="24" t="s">
        <v>13808</v>
      </c>
      <c r="Q824" s="24"/>
      <c r="R824" s="24" t="s">
        <v>13808</v>
      </c>
      <c r="S824" s="24"/>
      <c r="T824" t="s">
        <v>25422</v>
      </c>
      <c r="U824" t="s">
        <v>13809</v>
      </c>
      <c r="W824" t="s">
        <v>13808</v>
      </c>
      <c r="X824" t="s">
        <v>25423</v>
      </c>
      <c r="Y824" t="s">
        <v>13809</v>
      </c>
      <c r="AA824" t="s">
        <v>13849</v>
      </c>
      <c r="AB824" t="s">
        <v>13699</v>
      </c>
      <c r="AC824" t="s">
        <v>13809</v>
      </c>
      <c r="AH824" t="s">
        <v>13851</v>
      </c>
      <c r="AI824" t="s">
        <v>13808</v>
      </c>
      <c r="AN824" t="s">
        <v>25424</v>
      </c>
      <c r="AO824" t="s">
        <v>13808</v>
      </c>
      <c r="AT824" t="s">
        <v>15110</v>
      </c>
      <c r="AU824" t="s">
        <v>13808</v>
      </c>
      <c r="AZ824" t="s">
        <v>25425</v>
      </c>
      <c r="BA824" t="s">
        <v>13808</v>
      </c>
      <c r="BF824" t="s">
        <v>18103</v>
      </c>
      <c r="BG824" t="s">
        <v>13808</v>
      </c>
      <c r="BL824" t="s">
        <v>13735</v>
      </c>
      <c r="BM824" t="s">
        <v>13809</v>
      </c>
      <c r="BR824" t="s">
        <v>25426</v>
      </c>
      <c r="BS824" t="s">
        <v>13824</v>
      </c>
      <c r="BT824" t="s">
        <v>13808</v>
      </c>
      <c r="BU824" t="s">
        <v>15988</v>
      </c>
      <c r="BY824" t="s">
        <v>13860</v>
      </c>
      <c r="BZ824" t="s">
        <v>13808</v>
      </c>
      <c r="CA824" t="s">
        <v>13861</v>
      </c>
      <c r="CE824" t="s">
        <v>13828</v>
      </c>
      <c r="CF824" t="s">
        <v>13808</v>
      </c>
      <c r="CG824" t="s">
        <v>13863</v>
      </c>
      <c r="CK824" t="s">
        <v>13760</v>
      </c>
      <c r="CL824" t="s">
        <v>13809</v>
      </c>
      <c r="CQ824" t="s">
        <v>13766</v>
      </c>
      <c r="CR824" t="s">
        <v>13809</v>
      </c>
      <c r="CT824" t="s">
        <v>17452</v>
      </c>
      <c r="CU824" t="s">
        <v>25427</v>
      </c>
      <c r="CV824" t="s">
        <v>13818</v>
      </c>
      <c r="DA824" t="s">
        <v>25428</v>
      </c>
      <c r="DB824" t="s">
        <v>13818</v>
      </c>
      <c r="DG824" t="s">
        <v>25429</v>
      </c>
      <c r="DH824" t="s">
        <v>13818</v>
      </c>
      <c r="DM824" t="s">
        <v>25430</v>
      </c>
      <c r="DN824" t="s">
        <v>13808</v>
      </c>
      <c r="DP824" t="s">
        <v>25431</v>
      </c>
      <c r="DQ824" t="s">
        <v>13808</v>
      </c>
      <c r="DR824" t="s">
        <v>13839</v>
      </c>
      <c r="DY824" t="s">
        <v>13869</v>
      </c>
      <c r="DZ824" t="s">
        <v>25432</v>
      </c>
      <c r="EA824" t="s">
        <v>14118</v>
      </c>
      <c r="EC824">
        <v>44973</v>
      </c>
      <c r="ED824" t="s">
        <v>14298</v>
      </c>
      <c r="EE824" t="s">
        <v>4515</v>
      </c>
    </row>
    <row r="825" spans="1:135">
      <c r="A825" t="s">
        <v>73</v>
      </c>
      <c r="B825" t="s">
        <v>11</v>
      </c>
      <c r="C825" t="s">
        <v>25433</v>
      </c>
      <c r="D825" s="24">
        <v>42914</v>
      </c>
      <c r="E825" s="24" t="s">
        <v>13565</v>
      </c>
      <c r="F825" s="24" t="s">
        <v>25434</v>
      </c>
      <c r="G825" s="24" t="s">
        <v>13808</v>
      </c>
      <c r="H825" s="24"/>
      <c r="I825" s="24" t="s">
        <v>13809</v>
      </c>
      <c r="J825" s="24"/>
      <c r="K825" s="24" t="s">
        <v>13809</v>
      </c>
      <c r="L825" s="24"/>
      <c r="M825" s="24" t="s">
        <v>14304</v>
      </c>
      <c r="N825" s="24" t="s">
        <v>13808</v>
      </c>
      <c r="O825" s="24"/>
      <c r="P825" s="24" t="s">
        <v>13808</v>
      </c>
      <c r="Q825" s="24"/>
      <c r="R825" s="24" t="s">
        <v>13808</v>
      </c>
      <c r="S825" s="24"/>
      <c r="T825" t="s">
        <v>22923</v>
      </c>
      <c r="U825" t="s">
        <v>13809</v>
      </c>
      <c r="W825" t="s">
        <v>13808</v>
      </c>
      <c r="X825" t="s">
        <v>25435</v>
      </c>
      <c r="Y825" t="s">
        <v>13809</v>
      </c>
      <c r="AA825" t="s">
        <v>13928</v>
      </c>
      <c r="AB825" t="s">
        <v>25436</v>
      </c>
      <c r="AC825" t="s">
        <v>13808</v>
      </c>
      <c r="AH825" t="s">
        <v>13909</v>
      </c>
      <c r="AI825" t="s">
        <v>13808</v>
      </c>
      <c r="AN825" t="s">
        <v>25437</v>
      </c>
      <c r="AO825" t="s">
        <v>13808</v>
      </c>
      <c r="AT825" t="s">
        <v>14693</v>
      </c>
      <c r="AU825" t="s">
        <v>13808</v>
      </c>
      <c r="AZ825" t="s">
        <v>25438</v>
      </c>
      <c r="BA825" t="s">
        <v>13808</v>
      </c>
      <c r="BF825" t="s">
        <v>14046</v>
      </c>
      <c r="BG825" t="s">
        <v>13808</v>
      </c>
      <c r="BL825" t="s">
        <v>25439</v>
      </c>
      <c r="BM825" t="s">
        <v>13808</v>
      </c>
      <c r="BR825" t="s">
        <v>25440</v>
      </c>
      <c r="BS825" t="s">
        <v>20871</v>
      </c>
      <c r="BT825" t="s">
        <v>13808</v>
      </c>
      <c r="BU825" t="s">
        <v>25441</v>
      </c>
      <c r="BY825" t="s">
        <v>13887</v>
      </c>
      <c r="BZ825" t="s">
        <v>13808</v>
      </c>
      <c r="CA825" t="s">
        <v>13937</v>
      </c>
      <c r="CE825" t="s">
        <v>14265</v>
      </c>
      <c r="CF825" t="s">
        <v>13808</v>
      </c>
      <c r="CL825" t="s">
        <v>13809</v>
      </c>
      <c r="CR825" t="s">
        <v>13809</v>
      </c>
      <c r="CT825" t="s">
        <v>25442</v>
      </c>
      <c r="CU825" t="s">
        <v>13909</v>
      </c>
      <c r="CV825" t="s">
        <v>13818</v>
      </c>
      <c r="DA825" t="s">
        <v>13909</v>
      </c>
      <c r="DB825" t="s">
        <v>13808</v>
      </c>
      <c r="DG825" t="s">
        <v>13909</v>
      </c>
      <c r="DH825" t="s">
        <v>13818</v>
      </c>
      <c r="DZ825" t="s">
        <v>25443</v>
      </c>
      <c r="EA825" t="s">
        <v>25418</v>
      </c>
      <c r="EC825">
        <v>44182</v>
      </c>
      <c r="ED825" t="s">
        <v>13903</v>
      </c>
      <c r="EE825" t="s">
        <v>4522</v>
      </c>
    </row>
    <row r="826" spans="1:135">
      <c r="A826" t="s">
        <v>336</v>
      </c>
      <c r="B826" t="s">
        <v>287</v>
      </c>
      <c r="C826" t="s">
        <v>25444</v>
      </c>
      <c r="D826" s="24">
        <v>44791</v>
      </c>
      <c r="E826" s="24" t="s">
        <v>13555</v>
      </c>
      <c r="F826" s="24" t="s">
        <v>25445</v>
      </c>
      <c r="G826" s="24" t="s">
        <v>13808</v>
      </c>
      <c r="H826" s="24"/>
      <c r="I826" s="24" t="s">
        <v>13809</v>
      </c>
      <c r="J826" s="24"/>
      <c r="K826" s="24" t="s">
        <v>13809</v>
      </c>
      <c r="L826" s="24"/>
      <c r="M826" s="24" t="s">
        <v>15106</v>
      </c>
      <c r="N826" s="24" t="s">
        <v>13808</v>
      </c>
      <c r="O826" s="24"/>
      <c r="P826" s="24" t="s">
        <v>13808</v>
      </c>
      <c r="Q826" s="24"/>
      <c r="R826" s="24" t="s">
        <v>13808</v>
      </c>
      <c r="S826" s="24"/>
      <c r="T826" t="s">
        <v>13907</v>
      </c>
      <c r="U826" t="s">
        <v>13809</v>
      </c>
      <c r="W826" t="s">
        <v>13808</v>
      </c>
      <c r="Y826" t="s">
        <v>13809</v>
      </c>
      <c r="AA826" t="s">
        <v>13849</v>
      </c>
      <c r="AB826" t="s">
        <v>25446</v>
      </c>
      <c r="AC826" t="s">
        <v>13808</v>
      </c>
      <c r="AH826" t="s">
        <v>13851</v>
      </c>
      <c r="AI826" t="s">
        <v>13808</v>
      </c>
      <c r="AN826" t="s">
        <v>25447</v>
      </c>
      <c r="AO826" t="s">
        <v>13808</v>
      </c>
      <c r="AT826" t="s">
        <v>25448</v>
      </c>
      <c r="AU826" t="s">
        <v>13808</v>
      </c>
      <c r="AZ826" t="s">
        <v>25449</v>
      </c>
      <c r="BA826" t="s">
        <v>13808</v>
      </c>
      <c r="BF826" t="s">
        <v>13933</v>
      </c>
      <c r="BG826" t="s">
        <v>13808</v>
      </c>
      <c r="BL826" t="s">
        <v>25450</v>
      </c>
      <c r="BM826" t="s">
        <v>13808</v>
      </c>
      <c r="BR826" t="s">
        <v>25451</v>
      </c>
      <c r="BS826" t="s">
        <v>13858</v>
      </c>
      <c r="BT826" t="s">
        <v>13808</v>
      </c>
      <c r="BU826" t="s">
        <v>25452</v>
      </c>
      <c r="BY826" t="s">
        <v>13860</v>
      </c>
      <c r="BZ826" t="s">
        <v>13808</v>
      </c>
      <c r="CA826" t="s">
        <v>13937</v>
      </c>
      <c r="CE826" t="s">
        <v>13828</v>
      </c>
      <c r="CF826" t="s">
        <v>13808</v>
      </c>
      <c r="CK826" t="s">
        <v>13760</v>
      </c>
      <c r="CL826" t="s">
        <v>13809</v>
      </c>
      <c r="CQ826" t="s">
        <v>13766</v>
      </c>
      <c r="CR826" t="s">
        <v>13809</v>
      </c>
      <c r="CT826" t="s">
        <v>25453</v>
      </c>
      <c r="CU826" t="s">
        <v>25454</v>
      </c>
      <c r="CV826" t="s">
        <v>13808</v>
      </c>
      <c r="CX826" t="s">
        <v>25455</v>
      </c>
      <c r="CY826" t="s">
        <v>13818</v>
      </c>
      <c r="DA826" t="s">
        <v>25456</v>
      </c>
      <c r="DB826" t="s">
        <v>13808</v>
      </c>
      <c r="DD826" t="s">
        <v>24487</v>
      </c>
      <c r="DE826" t="s">
        <v>13818</v>
      </c>
      <c r="DG826" t="s">
        <v>25457</v>
      </c>
      <c r="DH826" t="s">
        <v>13818</v>
      </c>
      <c r="DM826" t="s">
        <v>25458</v>
      </c>
      <c r="DN826" t="s">
        <v>13808</v>
      </c>
      <c r="DY826" t="s">
        <v>16668</v>
      </c>
      <c r="DZ826" t="s">
        <v>13841</v>
      </c>
      <c r="EA826" t="s">
        <v>13842</v>
      </c>
      <c r="EC826">
        <v>44816</v>
      </c>
      <c r="ED826" t="s">
        <v>17062</v>
      </c>
      <c r="EE826" t="s">
        <v>4771</v>
      </c>
    </row>
    <row r="827" spans="1:135">
      <c r="A827" t="s">
        <v>969</v>
      </c>
      <c r="B827" t="s">
        <v>914</v>
      </c>
      <c r="C827" t="s">
        <v>25459</v>
      </c>
      <c r="D827" s="24">
        <v>44158</v>
      </c>
      <c r="E827" s="24" t="s">
        <v>13555</v>
      </c>
      <c r="F827" s="24" t="s">
        <v>25460</v>
      </c>
      <c r="G827" s="24" t="s">
        <v>13808</v>
      </c>
      <c r="H827" s="24" t="s">
        <v>25461</v>
      </c>
      <c r="I827" s="24" t="s">
        <v>13809</v>
      </c>
      <c r="J827" s="24"/>
      <c r="K827" s="24" t="s">
        <v>13808</v>
      </c>
      <c r="L827" s="24"/>
      <c r="M827" s="24" t="s">
        <v>15163</v>
      </c>
      <c r="N827" s="24" t="s">
        <v>13808</v>
      </c>
      <c r="O827" s="24"/>
      <c r="P827" s="24" t="s">
        <v>13808</v>
      </c>
      <c r="Q827" s="24"/>
      <c r="R827" s="24" t="s">
        <v>13808</v>
      </c>
      <c r="S827" s="24"/>
      <c r="T827" t="s">
        <v>14863</v>
      </c>
      <c r="U827" t="s">
        <v>13808</v>
      </c>
      <c r="W827" t="s">
        <v>13808</v>
      </c>
      <c r="X827" t="s">
        <v>25462</v>
      </c>
      <c r="Y827" t="s">
        <v>13808</v>
      </c>
      <c r="AA827" t="s">
        <v>13849</v>
      </c>
      <c r="AB827" t="s">
        <v>25463</v>
      </c>
      <c r="AC827" t="s">
        <v>13808</v>
      </c>
      <c r="AH827" t="s">
        <v>13851</v>
      </c>
      <c r="AI827" t="s">
        <v>13808</v>
      </c>
      <c r="AN827" t="s">
        <v>13711</v>
      </c>
      <c r="AO827" t="s">
        <v>13809</v>
      </c>
      <c r="AT827" t="s">
        <v>25464</v>
      </c>
      <c r="AU827" t="s">
        <v>13808</v>
      </c>
      <c r="AZ827" t="s">
        <v>25465</v>
      </c>
      <c r="BA827" t="s">
        <v>13808</v>
      </c>
      <c r="BF827" t="s">
        <v>25466</v>
      </c>
      <c r="BG827" t="s">
        <v>13808</v>
      </c>
      <c r="BL827" t="s">
        <v>25467</v>
      </c>
      <c r="BM827" t="s">
        <v>13808</v>
      </c>
      <c r="BR827" t="s">
        <v>25468</v>
      </c>
      <c r="BS827" t="s">
        <v>14213</v>
      </c>
      <c r="BT827" t="s">
        <v>13808</v>
      </c>
      <c r="BU827" t="s">
        <v>25469</v>
      </c>
      <c r="BY827" t="s">
        <v>13860</v>
      </c>
      <c r="BZ827" t="s">
        <v>13808</v>
      </c>
      <c r="CA827" t="s">
        <v>13937</v>
      </c>
      <c r="CE827" t="s">
        <v>13938</v>
      </c>
      <c r="CF827" t="s">
        <v>13808</v>
      </c>
      <c r="CK827" t="s">
        <v>13760</v>
      </c>
      <c r="CL827" t="s">
        <v>13809</v>
      </c>
      <c r="CQ827" t="s">
        <v>13766</v>
      </c>
      <c r="CR827" t="s">
        <v>13809</v>
      </c>
      <c r="CT827" t="s">
        <v>25470</v>
      </c>
      <c r="DG827" t="s">
        <v>14562</v>
      </c>
      <c r="DH827" t="s">
        <v>13808</v>
      </c>
      <c r="DZ827" t="s">
        <v>14923</v>
      </c>
      <c r="EA827" t="s">
        <v>15065</v>
      </c>
      <c r="EC827">
        <v>44943</v>
      </c>
      <c r="ED827" t="s">
        <v>17062</v>
      </c>
      <c r="EE827" t="s">
        <v>5371</v>
      </c>
    </row>
    <row r="828" spans="1:135">
      <c r="A828" t="s">
        <v>788</v>
      </c>
      <c r="B828" t="s">
        <v>710</v>
      </c>
      <c r="C828" t="s">
        <v>25471</v>
      </c>
      <c r="D828" s="24">
        <v>44755</v>
      </c>
      <c r="E828" s="24" t="s">
        <v>13553</v>
      </c>
      <c r="F828" s="24" t="s">
        <v>25472</v>
      </c>
      <c r="G828" s="24" t="s">
        <v>13808</v>
      </c>
      <c r="H828" s="24"/>
      <c r="I828" s="24" t="s">
        <v>13809</v>
      </c>
      <c r="J828" s="24"/>
      <c r="K828" s="24" t="s">
        <v>13808</v>
      </c>
      <c r="L828" s="24"/>
      <c r="M828" s="24" t="s">
        <v>13846</v>
      </c>
      <c r="N828" s="24" t="s">
        <v>13808</v>
      </c>
      <c r="O828" s="24"/>
      <c r="P828" s="24" t="s">
        <v>13808</v>
      </c>
      <c r="Q828" s="24"/>
      <c r="R828" s="24" t="s">
        <v>13808</v>
      </c>
      <c r="S828" s="24"/>
      <c r="T828" t="s">
        <v>13847</v>
      </c>
      <c r="U828" t="s">
        <v>13809</v>
      </c>
      <c r="W828" t="s">
        <v>13808</v>
      </c>
      <c r="X828" t="s">
        <v>25473</v>
      </c>
      <c r="Y828" t="s">
        <v>13809</v>
      </c>
      <c r="AA828" t="s">
        <v>13849</v>
      </c>
      <c r="AB828" t="s">
        <v>25474</v>
      </c>
      <c r="AC828" t="s">
        <v>13808</v>
      </c>
      <c r="AH828" t="s">
        <v>13851</v>
      </c>
      <c r="AI828" t="s">
        <v>13808</v>
      </c>
      <c r="AN828" t="s">
        <v>13711</v>
      </c>
      <c r="AO828" t="s">
        <v>13809</v>
      </c>
      <c r="AT828" t="s">
        <v>15091</v>
      </c>
      <c r="AU828" t="s">
        <v>13808</v>
      </c>
      <c r="AZ828" t="s">
        <v>20528</v>
      </c>
      <c r="BA828" t="s">
        <v>13808</v>
      </c>
      <c r="BF828" t="s">
        <v>20646</v>
      </c>
      <c r="BG828" t="s">
        <v>13808</v>
      </c>
      <c r="BH828" t="s">
        <v>25475</v>
      </c>
      <c r="BL828" t="s">
        <v>13735</v>
      </c>
      <c r="BM828" t="s">
        <v>13809</v>
      </c>
      <c r="BR828" t="s">
        <v>25476</v>
      </c>
      <c r="BS828" t="s">
        <v>17108</v>
      </c>
      <c r="BT828" t="s">
        <v>13809</v>
      </c>
      <c r="BY828" t="s">
        <v>13860</v>
      </c>
      <c r="BZ828" t="s">
        <v>13808</v>
      </c>
      <c r="CA828" t="s">
        <v>13861</v>
      </c>
      <c r="CE828" t="s">
        <v>13828</v>
      </c>
      <c r="CF828" t="s">
        <v>13808</v>
      </c>
      <c r="CK828" t="s">
        <v>25477</v>
      </c>
      <c r="CL828" t="s">
        <v>13808</v>
      </c>
      <c r="CM828" t="s">
        <v>13863</v>
      </c>
      <c r="CQ828" t="s">
        <v>13766</v>
      </c>
      <c r="CR828" t="s">
        <v>13809</v>
      </c>
      <c r="CT828" t="s">
        <v>25478</v>
      </c>
      <c r="CU828" t="s">
        <v>25479</v>
      </c>
      <c r="CV828" t="s">
        <v>13808</v>
      </c>
      <c r="DA828" t="s">
        <v>25480</v>
      </c>
      <c r="DB828" t="s">
        <v>13808</v>
      </c>
      <c r="DM828" t="s">
        <v>25481</v>
      </c>
      <c r="DN828" t="s">
        <v>13808</v>
      </c>
      <c r="DP828" t="s">
        <v>25482</v>
      </c>
      <c r="DQ828" t="s">
        <v>13808</v>
      </c>
      <c r="DY828" t="s">
        <v>13840</v>
      </c>
      <c r="DZ828" t="s">
        <v>25483</v>
      </c>
      <c r="EA828" t="s">
        <v>13871</v>
      </c>
      <c r="EC828">
        <v>44755</v>
      </c>
      <c r="ED828" t="s">
        <v>17062</v>
      </c>
      <c r="EE828" t="s">
        <v>5218</v>
      </c>
    </row>
    <row r="829" spans="1:135">
      <c r="A829" t="s">
        <v>13239</v>
      </c>
      <c r="B829" t="s">
        <v>287</v>
      </c>
      <c r="C829" t="s">
        <v>25484</v>
      </c>
      <c r="D829" s="24">
        <v>44614</v>
      </c>
      <c r="E829" s="24" t="s">
        <v>13561</v>
      </c>
      <c r="F829" s="24" t="s">
        <v>25485</v>
      </c>
      <c r="G829" s="24" t="s">
        <v>13818</v>
      </c>
      <c r="H829" s="24" t="s">
        <v>25486</v>
      </c>
      <c r="I829" s="24" t="s">
        <v>13809</v>
      </c>
      <c r="J829" s="24"/>
      <c r="K829" s="24" t="s">
        <v>13809</v>
      </c>
      <c r="L829" s="24"/>
      <c r="M829" s="24" t="s">
        <v>13846</v>
      </c>
      <c r="N829" s="24" t="s">
        <v>13808</v>
      </c>
      <c r="O829" s="24"/>
      <c r="P829" s="24" t="s">
        <v>13808</v>
      </c>
      <c r="Q829" s="24"/>
      <c r="R829" s="24" t="s">
        <v>13808</v>
      </c>
      <c r="S829" s="24"/>
      <c r="T829" t="s">
        <v>13907</v>
      </c>
      <c r="U829" t="s">
        <v>13809</v>
      </c>
      <c r="W829" t="s">
        <v>13808</v>
      </c>
      <c r="X829" t="s">
        <v>25487</v>
      </c>
      <c r="Y829" t="s">
        <v>13808</v>
      </c>
      <c r="AA829" t="s">
        <v>25488</v>
      </c>
      <c r="AB829" t="s">
        <v>13850</v>
      </c>
      <c r="AC829" t="s">
        <v>13809</v>
      </c>
      <c r="AH829" t="s">
        <v>13851</v>
      </c>
      <c r="AI829" t="s">
        <v>13818</v>
      </c>
      <c r="AJ829" t="s">
        <v>14259</v>
      </c>
      <c r="AN829" t="s">
        <v>13711</v>
      </c>
      <c r="AO829" t="s">
        <v>13809</v>
      </c>
      <c r="AT829" t="s">
        <v>25489</v>
      </c>
      <c r="AU829" t="s">
        <v>13818</v>
      </c>
      <c r="AV829" t="s">
        <v>14259</v>
      </c>
      <c r="AZ829" t="s">
        <v>25490</v>
      </c>
      <c r="BA829" t="s">
        <v>13818</v>
      </c>
      <c r="BB829" t="s">
        <v>14259</v>
      </c>
      <c r="BF829" t="s">
        <v>25491</v>
      </c>
      <c r="BG829" t="s">
        <v>13818</v>
      </c>
      <c r="BH829" t="s">
        <v>14259</v>
      </c>
      <c r="BL829" t="s">
        <v>13934</v>
      </c>
      <c r="BM829" t="s">
        <v>13809</v>
      </c>
      <c r="BR829" t="s">
        <v>25492</v>
      </c>
      <c r="BS829" t="s">
        <v>17108</v>
      </c>
      <c r="BT829" t="s">
        <v>13809</v>
      </c>
      <c r="BY829" t="s">
        <v>13860</v>
      </c>
      <c r="BZ829" t="s">
        <v>13818</v>
      </c>
      <c r="CA829" t="s">
        <v>25493</v>
      </c>
      <c r="CE829" t="s">
        <v>15249</v>
      </c>
      <c r="CF829" t="s">
        <v>13809</v>
      </c>
      <c r="CK829" t="s">
        <v>13760</v>
      </c>
      <c r="CL829" t="s">
        <v>13809</v>
      </c>
      <c r="CQ829" t="s">
        <v>13766</v>
      </c>
      <c r="CR829" t="s">
        <v>13809</v>
      </c>
      <c r="CT829" t="s">
        <v>25494</v>
      </c>
      <c r="DM829" t="s">
        <v>25495</v>
      </c>
      <c r="DN829" t="s">
        <v>13818</v>
      </c>
      <c r="DO829" t="s">
        <v>14259</v>
      </c>
      <c r="DP829" t="s">
        <v>25496</v>
      </c>
      <c r="DQ829" t="s">
        <v>13818</v>
      </c>
      <c r="DR829" t="s">
        <v>14259</v>
      </c>
      <c r="DY829" t="s">
        <v>13869</v>
      </c>
      <c r="DZ829" t="s">
        <v>25497</v>
      </c>
      <c r="EA829" t="s">
        <v>13871</v>
      </c>
      <c r="EC829">
        <v>44684</v>
      </c>
      <c r="ED829" t="s">
        <v>17062</v>
      </c>
      <c r="EE829" t="s">
        <v>13664</v>
      </c>
    </row>
    <row r="830" spans="1:135">
      <c r="A830" t="s">
        <v>4776</v>
      </c>
      <c r="B830" t="s">
        <v>287</v>
      </c>
      <c r="C830" t="s">
        <v>25498</v>
      </c>
      <c r="D830" s="24">
        <v>44287</v>
      </c>
      <c r="E830" s="24" t="s">
        <v>13553</v>
      </c>
      <c r="F830" s="24" t="s">
        <v>25499</v>
      </c>
      <c r="G830" s="24" t="s">
        <v>13808</v>
      </c>
      <c r="H830" s="24"/>
      <c r="I830" s="24" t="s">
        <v>13809</v>
      </c>
      <c r="J830" s="24"/>
      <c r="K830" s="24" t="s">
        <v>13808</v>
      </c>
      <c r="L830" s="24"/>
      <c r="M830" s="24" t="s">
        <v>13950</v>
      </c>
      <c r="N830" s="24" t="s">
        <v>13808</v>
      </c>
      <c r="O830" s="24"/>
      <c r="P830" s="24" t="s">
        <v>13808</v>
      </c>
      <c r="Q830" s="24"/>
      <c r="R830" s="24" t="s">
        <v>13808</v>
      </c>
      <c r="S830" s="24"/>
      <c r="T830" t="s">
        <v>14034</v>
      </c>
      <c r="U830" t="s">
        <v>13809</v>
      </c>
      <c r="W830" t="s">
        <v>13808</v>
      </c>
      <c r="X830" t="s">
        <v>25500</v>
      </c>
      <c r="Y830" t="s">
        <v>13809</v>
      </c>
      <c r="AA830" t="s">
        <v>13877</v>
      </c>
      <c r="AC830" t="s">
        <v>13809</v>
      </c>
      <c r="AH830" t="s">
        <v>13909</v>
      </c>
      <c r="AI830" t="s">
        <v>13808</v>
      </c>
      <c r="AO830" t="s">
        <v>13809</v>
      </c>
      <c r="AT830" t="s">
        <v>14852</v>
      </c>
      <c r="AU830" t="s">
        <v>13808</v>
      </c>
      <c r="BA830" t="s">
        <v>13809</v>
      </c>
      <c r="BF830" t="s">
        <v>14006</v>
      </c>
      <c r="BG830" t="s">
        <v>13808</v>
      </c>
      <c r="BM830" t="s">
        <v>13809</v>
      </c>
      <c r="BR830" t="s">
        <v>25501</v>
      </c>
      <c r="BT830" t="s">
        <v>13809</v>
      </c>
      <c r="BY830" t="s">
        <v>13887</v>
      </c>
      <c r="BZ830" t="s">
        <v>13808</v>
      </c>
      <c r="CA830" t="s">
        <v>13937</v>
      </c>
      <c r="CF830" t="s">
        <v>13809</v>
      </c>
      <c r="CL830" t="s">
        <v>13809</v>
      </c>
      <c r="CR830" t="s">
        <v>13809</v>
      </c>
      <c r="CT830" t="s">
        <v>14027</v>
      </c>
      <c r="CU830" t="s">
        <v>14022</v>
      </c>
      <c r="CV830" t="s">
        <v>13808</v>
      </c>
      <c r="DA830" t="s">
        <v>14177</v>
      </c>
      <c r="DB830" t="s">
        <v>13808</v>
      </c>
      <c r="DM830" t="s">
        <v>25502</v>
      </c>
      <c r="DN830" t="s">
        <v>13808</v>
      </c>
      <c r="DP830" t="s">
        <v>25503</v>
      </c>
      <c r="DQ830" t="s">
        <v>13808</v>
      </c>
      <c r="DY830" t="s">
        <v>15828</v>
      </c>
      <c r="DZ830" t="s">
        <v>25504</v>
      </c>
      <c r="EA830" t="s">
        <v>14182</v>
      </c>
      <c r="ED830" t="s">
        <v>14608</v>
      </c>
      <c r="EE830" t="s">
        <v>4781</v>
      </c>
    </row>
    <row r="831" spans="1:135">
      <c r="A831" t="s">
        <v>4782</v>
      </c>
      <c r="B831" t="s">
        <v>287</v>
      </c>
      <c r="C831" t="s">
        <v>25505</v>
      </c>
      <c r="D831" s="24">
        <v>44294</v>
      </c>
      <c r="E831" s="24" t="s">
        <v>13553</v>
      </c>
      <c r="F831" s="24" t="s">
        <v>25506</v>
      </c>
      <c r="G831" s="24" t="s">
        <v>13808</v>
      </c>
      <c r="H831" s="24"/>
      <c r="I831" s="24" t="s">
        <v>13809</v>
      </c>
      <c r="J831" s="24"/>
      <c r="K831" s="24" t="s">
        <v>13809</v>
      </c>
      <c r="L831" s="24"/>
      <c r="M831" s="24" t="s">
        <v>13950</v>
      </c>
      <c r="N831" s="24" t="s">
        <v>13808</v>
      </c>
      <c r="O831" s="24"/>
      <c r="P831" s="24" t="s">
        <v>13808</v>
      </c>
      <c r="Q831" s="24"/>
      <c r="R831" s="24" t="s">
        <v>13808</v>
      </c>
      <c r="S831" s="24"/>
      <c r="T831" t="s">
        <v>14034</v>
      </c>
      <c r="U831" t="s">
        <v>13809</v>
      </c>
      <c r="W831" t="s">
        <v>13808</v>
      </c>
      <c r="X831" t="s">
        <v>25507</v>
      </c>
      <c r="Y831" t="s">
        <v>13809</v>
      </c>
      <c r="AA831" t="s">
        <v>13877</v>
      </c>
      <c r="AC831" t="s">
        <v>13809</v>
      </c>
      <c r="AH831" t="s">
        <v>13909</v>
      </c>
      <c r="AI831" t="s">
        <v>13808</v>
      </c>
      <c r="AO831" t="s">
        <v>13809</v>
      </c>
      <c r="AT831" t="s">
        <v>16346</v>
      </c>
      <c r="AU831" t="s">
        <v>13808</v>
      </c>
      <c r="AZ831" t="s">
        <v>14366</v>
      </c>
      <c r="BA831" t="s">
        <v>13808</v>
      </c>
      <c r="BF831" t="s">
        <v>14852</v>
      </c>
      <c r="BG831" t="s">
        <v>13808</v>
      </c>
      <c r="BM831" t="s">
        <v>13809</v>
      </c>
      <c r="BR831" t="s">
        <v>25501</v>
      </c>
      <c r="BT831" t="s">
        <v>13809</v>
      </c>
      <c r="BY831" t="s">
        <v>13887</v>
      </c>
      <c r="BZ831" t="s">
        <v>13808</v>
      </c>
      <c r="CA831" t="s">
        <v>13937</v>
      </c>
      <c r="CF831" t="s">
        <v>13809</v>
      </c>
      <c r="CL831" t="s">
        <v>13809</v>
      </c>
      <c r="CR831" t="s">
        <v>13809</v>
      </c>
      <c r="CT831" t="s">
        <v>25508</v>
      </c>
      <c r="CU831" t="s">
        <v>14022</v>
      </c>
      <c r="CV831" t="s">
        <v>13808</v>
      </c>
      <c r="CX831" t="s">
        <v>14598</v>
      </c>
      <c r="CY831" t="s">
        <v>13818</v>
      </c>
      <c r="DA831" t="s">
        <v>14008</v>
      </c>
      <c r="DB831" t="s">
        <v>13808</v>
      </c>
      <c r="DG831" t="s">
        <v>14367</v>
      </c>
      <c r="DH831" t="s">
        <v>13818</v>
      </c>
      <c r="DM831" t="s">
        <v>25509</v>
      </c>
      <c r="DN831" t="s">
        <v>13808</v>
      </c>
      <c r="DP831" t="s">
        <v>25503</v>
      </c>
      <c r="DQ831" t="s">
        <v>13808</v>
      </c>
      <c r="DR831" t="s">
        <v>14947</v>
      </c>
      <c r="DY831" t="s">
        <v>20954</v>
      </c>
      <c r="DZ831" t="s">
        <v>25510</v>
      </c>
      <c r="EA831" t="s">
        <v>14182</v>
      </c>
      <c r="ED831" t="s">
        <v>14608</v>
      </c>
      <c r="EE831" t="s">
        <v>4784</v>
      </c>
    </row>
    <row r="832" spans="1:135">
      <c r="A832" t="s">
        <v>347</v>
      </c>
      <c r="B832" t="s">
        <v>287</v>
      </c>
      <c r="C832" t="s">
        <v>25511</v>
      </c>
      <c r="D832" s="24">
        <v>43782</v>
      </c>
      <c r="E832" s="24" t="s">
        <v>13553</v>
      </c>
      <c r="F832" s="24" t="s">
        <v>25512</v>
      </c>
      <c r="G832" s="24" t="s">
        <v>13808</v>
      </c>
      <c r="H832" s="24"/>
      <c r="I832" s="24" t="s">
        <v>13809</v>
      </c>
      <c r="J832" s="24"/>
      <c r="K832" s="24" t="s">
        <v>13809</v>
      </c>
      <c r="L832" s="24"/>
      <c r="M832" s="24" t="s">
        <v>14163</v>
      </c>
      <c r="N832" s="24" t="s">
        <v>13808</v>
      </c>
      <c r="O832" s="24"/>
      <c r="P832" s="24" t="s">
        <v>13808</v>
      </c>
      <c r="Q832" s="24"/>
      <c r="R832" s="24" t="s">
        <v>13808</v>
      </c>
      <c r="S832" s="24"/>
      <c r="T832" t="s">
        <v>14034</v>
      </c>
      <c r="U832" t="s">
        <v>13809</v>
      </c>
      <c r="W832" t="s">
        <v>13808</v>
      </c>
      <c r="X832" t="s">
        <v>25513</v>
      </c>
      <c r="Y832" t="s">
        <v>13809</v>
      </c>
      <c r="AA832" t="s">
        <v>13877</v>
      </c>
      <c r="AC832" t="s">
        <v>13809</v>
      </c>
      <c r="AH832" t="s">
        <v>13909</v>
      </c>
      <c r="AI832" t="s">
        <v>13808</v>
      </c>
      <c r="AO832" t="s">
        <v>13809</v>
      </c>
      <c r="AT832" t="s">
        <v>14005</v>
      </c>
      <c r="AU832" t="s">
        <v>13808</v>
      </c>
      <c r="AZ832" t="s">
        <v>17877</v>
      </c>
      <c r="BA832" t="s">
        <v>13808</v>
      </c>
      <c r="BF832" t="s">
        <v>25514</v>
      </c>
      <c r="BG832" t="s">
        <v>13808</v>
      </c>
      <c r="BM832" t="s">
        <v>13808</v>
      </c>
      <c r="BR832" t="s">
        <v>25515</v>
      </c>
      <c r="BT832" t="s">
        <v>13809</v>
      </c>
      <c r="BY832" t="s">
        <v>14265</v>
      </c>
      <c r="BZ832" t="s">
        <v>13808</v>
      </c>
      <c r="CA832" t="s">
        <v>14026</v>
      </c>
      <c r="CF832" t="s">
        <v>13809</v>
      </c>
      <c r="CL832" t="s">
        <v>13809</v>
      </c>
      <c r="CR832" t="s">
        <v>13809</v>
      </c>
      <c r="CT832" t="s">
        <v>25516</v>
      </c>
      <c r="CU832" t="s">
        <v>25517</v>
      </c>
      <c r="CV832" t="s">
        <v>13808</v>
      </c>
      <c r="DA832" t="s">
        <v>25518</v>
      </c>
      <c r="DB832" t="s">
        <v>13808</v>
      </c>
      <c r="DH832" t="s">
        <v>13809</v>
      </c>
      <c r="DM832" t="s">
        <v>25519</v>
      </c>
      <c r="DN832" t="s">
        <v>13808</v>
      </c>
      <c r="DP832" t="s">
        <v>25520</v>
      </c>
      <c r="DQ832" t="s">
        <v>13808</v>
      </c>
      <c r="DY832" t="s">
        <v>13900</v>
      </c>
      <c r="DZ832" t="s">
        <v>25521</v>
      </c>
      <c r="EA832" t="s">
        <v>14500</v>
      </c>
      <c r="EC832">
        <v>43789</v>
      </c>
      <c r="ED832" t="s">
        <v>13903</v>
      </c>
      <c r="EE832" t="s">
        <v>4788</v>
      </c>
    </row>
    <row r="833" spans="1:135">
      <c r="A833" t="s">
        <v>217</v>
      </c>
      <c r="B833" t="s">
        <v>147</v>
      </c>
      <c r="C833" t="s">
        <v>25522</v>
      </c>
      <c r="D833" s="24">
        <v>42940</v>
      </c>
      <c r="E833" s="24" t="s">
        <v>13558</v>
      </c>
      <c r="F833" s="24" t="s">
        <v>25523</v>
      </c>
      <c r="G833" s="24" t="s">
        <v>13808</v>
      </c>
      <c r="H833" s="24"/>
      <c r="I833" s="24" t="s">
        <v>13809</v>
      </c>
      <c r="J833" s="24"/>
      <c r="K833" s="24" t="s">
        <v>13808</v>
      </c>
      <c r="L833" s="24"/>
      <c r="M833" s="24" t="s">
        <v>25524</v>
      </c>
      <c r="N833" s="24" t="s">
        <v>13818</v>
      </c>
      <c r="O833" s="24" t="s">
        <v>14885</v>
      </c>
      <c r="P833" s="24" t="s">
        <v>13808</v>
      </c>
      <c r="Q833" s="24"/>
      <c r="R833" s="24" t="s">
        <v>13808</v>
      </c>
      <c r="S833" s="24"/>
      <c r="T833" t="s">
        <v>25525</v>
      </c>
      <c r="U833" t="s">
        <v>13809</v>
      </c>
      <c r="W833" t="s">
        <v>13808</v>
      </c>
      <c r="X833" t="s">
        <v>25526</v>
      </c>
      <c r="Y833" t="s">
        <v>13809</v>
      </c>
      <c r="AA833" t="s">
        <v>25527</v>
      </c>
      <c r="AB833" t="s">
        <v>14169</v>
      </c>
      <c r="AC833" t="s">
        <v>13808</v>
      </c>
      <c r="AH833" t="s">
        <v>13909</v>
      </c>
      <c r="AI833" t="s">
        <v>13808</v>
      </c>
      <c r="AN833" t="s">
        <v>25528</v>
      </c>
      <c r="AO833" t="s">
        <v>13808</v>
      </c>
      <c r="AT833" t="s">
        <v>16268</v>
      </c>
      <c r="AU833" t="s">
        <v>13808</v>
      </c>
      <c r="AZ833" t="s">
        <v>25529</v>
      </c>
      <c r="BA833" t="s">
        <v>13808</v>
      </c>
      <c r="BF833" t="s">
        <v>16368</v>
      </c>
      <c r="BG833" t="s">
        <v>13808</v>
      </c>
      <c r="BL833" t="s">
        <v>25530</v>
      </c>
      <c r="BM833" t="s">
        <v>13808</v>
      </c>
      <c r="BR833" t="s">
        <v>25531</v>
      </c>
      <c r="BS833" t="s">
        <v>13885</v>
      </c>
      <c r="BT833" t="s">
        <v>13808</v>
      </c>
      <c r="BU833" t="s">
        <v>14315</v>
      </c>
      <c r="BY833" t="s">
        <v>13887</v>
      </c>
      <c r="BZ833" t="s">
        <v>13808</v>
      </c>
      <c r="CA833" t="s">
        <v>25532</v>
      </c>
      <c r="CE833" t="s">
        <v>13885</v>
      </c>
      <c r="CF833" t="s">
        <v>13808</v>
      </c>
      <c r="CL833" t="s">
        <v>13809</v>
      </c>
      <c r="CR833" t="s">
        <v>13809</v>
      </c>
      <c r="CT833" t="s">
        <v>25533</v>
      </c>
      <c r="CU833" t="s">
        <v>13909</v>
      </c>
      <c r="CV833" t="s">
        <v>13818</v>
      </c>
      <c r="DA833" t="s">
        <v>21416</v>
      </c>
      <c r="DB833" t="s">
        <v>13808</v>
      </c>
      <c r="DD833" t="s">
        <v>19026</v>
      </c>
      <c r="DE833" t="s">
        <v>13818</v>
      </c>
      <c r="DG833" t="s">
        <v>13909</v>
      </c>
      <c r="DH833" t="s">
        <v>13818</v>
      </c>
      <c r="DZ833" t="s">
        <v>25534</v>
      </c>
      <c r="EA833" t="s">
        <v>13842</v>
      </c>
      <c r="EC833">
        <v>44182</v>
      </c>
      <c r="ED833" t="s">
        <v>14298</v>
      </c>
      <c r="EE833" t="s">
        <v>13665</v>
      </c>
    </row>
    <row r="834" spans="1:135">
      <c r="A834" t="s">
        <v>5219</v>
      </c>
      <c r="B834" t="s">
        <v>710</v>
      </c>
      <c r="C834" t="s">
        <v>25535</v>
      </c>
      <c r="D834" s="24">
        <v>44085</v>
      </c>
      <c r="E834" s="24" t="s">
        <v>13550</v>
      </c>
      <c r="F834" s="24" t="s">
        <v>25536</v>
      </c>
      <c r="G834" s="24" t="s">
        <v>13808</v>
      </c>
      <c r="H834" s="24"/>
      <c r="I834" s="24" t="s">
        <v>13809</v>
      </c>
      <c r="J834" s="24"/>
      <c r="K834" s="24" t="s">
        <v>13809</v>
      </c>
      <c r="L834" s="24"/>
      <c r="M834" s="24" t="s">
        <v>15106</v>
      </c>
      <c r="N834" s="24" t="s">
        <v>13808</v>
      </c>
      <c r="O834" s="24"/>
      <c r="P834" s="24" t="s">
        <v>13808</v>
      </c>
      <c r="Q834" s="24"/>
      <c r="R834" s="24" t="s">
        <v>13808</v>
      </c>
      <c r="S834" s="24"/>
      <c r="T834" t="s">
        <v>14071</v>
      </c>
      <c r="U834" t="s">
        <v>13809</v>
      </c>
      <c r="W834" t="s">
        <v>13809</v>
      </c>
      <c r="Y834" t="s">
        <v>13809</v>
      </c>
      <c r="AA834" t="s">
        <v>14551</v>
      </c>
      <c r="AB834" t="s">
        <v>13883</v>
      </c>
      <c r="AC834" t="s">
        <v>13808</v>
      </c>
      <c r="AH834" t="s">
        <v>13887</v>
      </c>
      <c r="AI834" t="s">
        <v>13808</v>
      </c>
      <c r="AN834" t="s">
        <v>14598</v>
      </c>
      <c r="AO834" t="s">
        <v>13818</v>
      </c>
      <c r="AP834" t="s">
        <v>14309</v>
      </c>
      <c r="AT834" t="s">
        <v>18959</v>
      </c>
      <c r="AU834" t="s">
        <v>13818</v>
      </c>
      <c r="AV834" t="s">
        <v>14309</v>
      </c>
      <c r="AZ834" t="s">
        <v>15824</v>
      </c>
      <c r="BA834" t="s">
        <v>13808</v>
      </c>
      <c r="BF834" t="s">
        <v>18680</v>
      </c>
      <c r="BG834" t="s">
        <v>13808</v>
      </c>
      <c r="BL834" t="s">
        <v>15008</v>
      </c>
      <c r="BM834" t="s">
        <v>13818</v>
      </c>
      <c r="BN834" t="s">
        <v>14309</v>
      </c>
      <c r="BR834" t="s">
        <v>25537</v>
      </c>
      <c r="BT834" t="s">
        <v>13809</v>
      </c>
      <c r="BY834" t="s">
        <v>13887</v>
      </c>
      <c r="BZ834" t="s">
        <v>13808</v>
      </c>
      <c r="CA834" t="s">
        <v>17320</v>
      </c>
      <c r="CE834" t="s">
        <v>13887</v>
      </c>
      <c r="CF834" t="s">
        <v>13818</v>
      </c>
      <c r="CG834" t="s">
        <v>25538</v>
      </c>
      <c r="CL834" t="s">
        <v>13809</v>
      </c>
      <c r="CR834" t="s">
        <v>13809</v>
      </c>
      <c r="CT834" t="s">
        <v>13830</v>
      </c>
      <c r="CU834" t="s">
        <v>25539</v>
      </c>
      <c r="CV834" t="s">
        <v>13818</v>
      </c>
      <c r="DA834" t="s">
        <v>25540</v>
      </c>
      <c r="DB834" t="s">
        <v>13818</v>
      </c>
      <c r="DG834" t="s">
        <v>25541</v>
      </c>
      <c r="DH834" t="s">
        <v>13818</v>
      </c>
      <c r="DM834" t="s">
        <v>25542</v>
      </c>
      <c r="DN834" t="s">
        <v>13818</v>
      </c>
      <c r="DO834" t="s">
        <v>25543</v>
      </c>
      <c r="DP834" t="s">
        <v>25544</v>
      </c>
      <c r="DQ834" t="s">
        <v>13818</v>
      </c>
      <c r="DR834" t="s">
        <v>13839</v>
      </c>
      <c r="DY834" t="s">
        <v>13869</v>
      </c>
      <c r="DZ834" t="s">
        <v>13841</v>
      </c>
      <c r="EA834" t="s">
        <v>13871</v>
      </c>
      <c r="ED834" t="s">
        <v>14608</v>
      </c>
      <c r="EE834" t="s">
        <v>5223</v>
      </c>
    </row>
    <row r="835" spans="1:135">
      <c r="A835" t="s">
        <v>541</v>
      </c>
      <c r="B835" t="s">
        <v>445</v>
      </c>
      <c r="C835" t="s">
        <v>25545</v>
      </c>
      <c r="D835" s="24">
        <v>43733</v>
      </c>
      <c r="E835" s="24" t="s">
        <v>13553</v>
      </c>
      <c r="F835" s="24" t="s">
        <v>25546</v>
      </c>
      <c r="G835" s="24" t="s">
        <v>13808</v>
      </c>
      <c r="H835" s="24"/>
      <c r="I835" s="24" t="s">
        <v>13809</v>
      </c>
      <c r="J835" s="24"/>
      <c r="K835" s="24" t="s">
        <v>13809</v>
      </c>
      <c r="L835" s="24"/>
      <c r="M835" s="24" t="s">
        <v>14163</v>
      </c>
      <c r="N835" s="24" t="s">
        <v>13808</v>
      </c>
      <c r="O835" s="24"/>
      <c r="P835" s="24" t="s">
        <v>13808</v>
      </c>
      <c r="Q835" s="24"/>
      <c r="R835" s="24" t="s">
        <v>13808</v>
      </c>
      <c r="S835" s="24"/>
      <c r="T835" t="s">
        <v>16463</v>
      </c>
      <c r="U835" t="s">
        <v>13809</v>
      </c>
      <c r="W835" t="s">
        <v>13808</v>
      </c>
      <c r="X835" t="s">
        <v>25547</v>
      </c>
      <c r="Y835" t="s">
        <v>13808</v>
      </c>
      <c r="AA835" t="s">
        <v>13877</v>
      </c>
      <c r="AC835" t="s">
        <v>13809</v>
      </c>
      <c r="AH835" t="s">
        <v>13909</v>
      </c>
      <c r="AI835" t="s">
        <v>13808</v>
      </c>
      <c r="AO835" t="s">
        <v>13809</v>
      </c>
      <c r="AT835" t="s">
        <v>14433</v>
      </c>
      <c r="AU835" t="s">
        <v>13808</v>
      </c>
      <c r="AZ835" t="s">
        <v>20202</v>
      </c>
      <c r="BA835" t="s">
        <v>13808</v>
      </c>
      <c r="BF835" t="s">
        <v>14046</v>
      </c>
      <c r="BG835" t="s">
        <v>13808</v>
      </c>
      <c r="BL835" t="s">
        <v>25548</v>
      </c>
      <c r="BM835" t="s">
        <v>13808</v>
      </c>
      <c r="BR835" t="s">
        <v>25549</v>
      </c>
      <c r="BT835" t="s">
        <v>13809</v>
      </c>
      <c r="BY835" t="s">
        <v>13887</v>
      </c>
      <c r="BZ835" t="s">
        <v>13808</v>
      </c>
      <c r="CA835" t="s">
        <v>14026</v>
      </c>
      <c r="CE835" t="s">
        <v>13885</v>
      </c>
      <c r="CF835" t="s">
        <v>13808</v>
      </c>
      <c r="CH835" t="s">
        <v>14693</v>
      </c>
      <c r="CI835" t="s">
        <v>13808</v>
      </c>
      <c r="CJ835" t="s">
        <v>14173</v>
      </c>
      <c r="CL835" t="s">
        <v>13809</v>
      </c>
      <c r="CR835" t="s">
        <v>13809</v>
      </c>
      <c r="CT835" t="s">
        <v>25550</v>
      </c>
      <c r="CU835" t="s">
        <v>25551</v>
      </c>
      <c r="CV835" t="s">
        <v>13808</v>
      </c>
      <c r="DA835" t="s">
        <v>25552</v>
      </c>
      <c r="DB835" t="s">
        <v>13808</v>
      </c>
      <c r="DH835" t="s">
        <v>13809</v>
      </c>
      <c r="DM835" t="s">
        <v>25553</v>
      </c>
      <c r="DN835" t="s">
        <v>13808</v>
      </c>
      <c r="DP835" t="s">
        <v>25554</v>
      </c>
      <c r="DQ835" t="s">
        <v>13808</v>
      </c>
      <c r="DY835" t="s">
        <v>15828</v>
      </c>
      <c r="DZ835" t="s">
        <v>25555</v>
      </c>
      <c r="EA835" t="s">
        <v>14500</v>
      </c>
      <c r="EC835">
        <v>43753</v>
      </c>
      <c r="ED835" t="s">
        <v>13903</v>
      </c>
      <c r="EE835" t="s">
        <v>4989</v>
      </c>
    </row>
    <row r="836" spans="1:135">
      <c r="A836" t="s">
        <v>792</v>
      </c>
      <c r="B836" t="s">
        <v>710</v>
      </c>
      <c r="C836" t="s">
        <v>25556</v>
      </c>
      <c r="D836" s="24">
        <v>42937</v>
      </c>
      <c r="E836" s="24" t="s">
        <v>13557</v>
      </c>
      <c r="F836" s="24" t="s">
        <v>25557</v>
      </c>
      <c r="G836" s="24" t="s">
        <v>13808</v>
      </c>
      <c r="H836" s="24" t="s">
        <v>25558</v>
      </c>
      <c r="I836" s="24" t="s">
        <v>13809</v>
      </c>
      <c r="J836" s="24"/>
      <c r="K836" s="24" t="s">
        <v>13809</v>
      </c>
      <c r="L836" s="24"/>
      <c r="M836" s="24" t="s">
        <v>25559</v>
      </c>
      <c r="N836" s="24" t="s">
        <v>13808</v>
      </c>
      <c r="O836" s="24"/>
      <c r="P836" s="24" t="s">
        <v>13808</v>
      </c>
      <c r="Q836" s="24"/>
      <c r="R836" s="24" t="s">
        <v>13808</v>
      </c>
      <c r="S836" s="24"/>
      <c r="T836" t="s">
        <v>25560</v>
      </c>
      <c r="U836" t="s">
        <v>13809</v>
      </c>
      <c r="W836" t="s">
        <v>13808</v>
      </c>
      <c r="X836" t="s">
        <v>25561</v>
      </c>
      <c r="Y836" t="s">
        <v>13809</v>
      </c>
      <c r="AA836" t="s">
        <v>13928</v>
      </c>
      <c r="AB836" t="s">
        <v>25562</v>
      </c>
      <c r="AC836" t="s">
        <v>13808</v>
      </c>
      <c r="AH836" t="s">
        <v>13851</v>
      </c>
      <c r="AI836" t="s">
        <v>13808</v>
      </c>
      <c r="AN836" t="s">
        <v>25563</v>
      </c>
      <c r="AO836" t="s">
        <v>13808</v>
      </c>
      <c r="AT836" t="s">
        <v>25564</v>
      </c>
      <c r="AU836" t="s">
        <v>13808</v>
      </c>
      <c r="AZ836" t="s">
        <v>25565</v>
      </c>
      <c r="BA836" t="s">
        <v>13808</v>
      </c>
      <c r="BF836" t="s">
        <v>25566</v>
      </c>
      <c r="BG836" t="s">
        <v>13808</v>
      </c>
      <c r="BL836" t="s">
        <v>13934</v>
      </c>
      <c r="BM836" t="s">
        <v>13809</v>
      </c>
      <c r="BR836" t="s">
        <v>25567</v>
      </c>
      <c r="BS836" t="s">
        <v>13742</v>
      </c>
      <c r="BT836" t="s">
        <v>13809</v>
      </c>
      <c r="BY836" t="s">
        <v>13860</v>
      </c>
      <c r="BZ836" t="s">
        <v>13808</v>
      </c>
      <c r="CA836" t="s">
        <v>13937</v>
      </c>
      <c r="CE836" t="s">
        <v>13754</v>
      </c>
      <c r="CF836" t="s">
        <v>13809</v>
      </c>
      <c r="CK836" t="s">
        <v>25568</v>
      </c>
      <c r="CL836" t="s">
        <v>13808</v>
      </c>
      <c r="CM836" t="s">
        <v>14233</v>
      </c>
      <c r="CQ836" t="s">
        <v>13766</v>
      </c>
      <c r="CR836" t="s">
        <v>13809</v>
      </c>
      <c r="CT836" t="s">
        <v>25569</v>
      </c>
      <c r="DZ836" t="s">
        <v>25570</v>
      </c>
      <c r="EA836" t="s">
        <v>25571</v>
      </c>
      <c r="EC836">
        <v>44650</v>
      </c>
      <c r="ED836" t="s">
        <v>13843</v>
      </c>
      <c r="EE836" t="s">
        <v>5227</v>
      </c>
    </row>
    <row r="837" spans="1:135">
      <c r="A837" t="s">
        <v>796</v>
      </c>
      <c r="B837" t="s">
        <v>710</v>
      </c>
      <c r="C837" t="s">
        <v>25572</v>
      </c>
      <c r="D837" s="24">
        <v>44887</v>
      </c>
      <c r="E837" s="24" t="s">
        <v>13555</v>
      </c>
      <c r="F837" s="24" t="s">
        <v>25573</v>
      </c>
      <c r="G837" s="24" t="s">
        <v>13808</v>
      </c>
      <c r="H837" s="24"/>
      <c r="I837" s="24" t="s">
        <v>13809</v>
      </c>
      <c r="J837" s="24"/>
      <c r="K837" s="24" t="s">
        <v>13809</v>
      </c>
      <c r="L837" s="24"/>
      <c r="M837" s="24" t="s">
        <v>15163</v>
      </c>
      <c r="N837" s="24" t="s">
        <v>13808</v>
      </c>
      <c r="O837" s="24"/>
      <c r="P837" s="24" t="s">
        <v>13808</v>
      </c>
      <c r="Q837" s="24"/>
      <c r="R837" s="24" t="s">
        <v>13808</v>
      </c>
      <c r="S837" s="24"/>
      <c r="T837" t="s">
        <v>25574</v>
      </c>
      <c r="U837" t="s">
        <v>13808</v>
      </c>
      <c r="V837" t="s">
        <v>25575</v>
      </c>
      <c r="W837" t="s">
        <v>13808</v>
      </c>
      <c r="X837" t="s">
        <v>25576</v>
      </c>
      <c r="Y837" t="s">
        <v>13809</v>
      </c>
      <c r="AA837" t="s">
        <v>13849</v>
      </c>
      <c r="AB837" t="s">
        <v>25577</v>
      </c>
      <c r="AC837" t="s">
        <v>13808</v>
      </c>
      <c r="AH837" t="s">
        <v>13851</v>
      </c>
      <c r="AI837" t="s">
        <v>13808</v>
      </c>
      <c r="AN837" t="s">
        <v>25578</v>
      </c>
      <c r="AO837" t="s">
        <v>13808</v>
      </c>
      <c r="AT837" t="s">
        <v>25579</v>
      </c>
      <c r="AU837" t="s">
        <v>13808</v>
      </c>
      <c r="AZ837" t="s">
        <v>15154</v>
      </c>
      <c r="BA837" t="s">
        <v>13808</v>
      </c>
      <c r="BF837" t="s">
        <v>25580</v>
      </c>
      <c r="BG837" t="s">
        <v>13808</v>
      </c>
      <c r="BL837" t="s">
        <v>25581</v>
      </c>
      <c r="BM837" t="s">
        <v>13808</v>
      </c>
      <c r="BR837" t="s">
        <v>25582</v>
      </c>
      <c r="BS837" t="s">
        <v>13742</v>
      </c>
      <c r="BT837" t="s">
        <v>13809</v>
      </c>
      <c r="BY837" t="s">
        <v>25583</v>
      </c>
      <c r="BZ837" t="s">
        <v>13808</v>
      </c>
      <c r="CA837" t="s">
        <v>13937</v>
      </c>
      <c r="CE837" t="s">
        <v>13754</v>
      </c>
      <c r="CF837" t="s">
        <v>13808</v>
      </c>
      <c r="CG837" t="s">
        <v>25584</v>
      </c>
      <c r="CK837" t="s">
        <v>25585</v>
      </c>
      <c r="CL837" t="s">
        <v>13808</v>
      </c>
      <c r="CM837" t="s">
        <v>21220</v>
      </c>
      <c r="CQ837" t="s">
        <v>13766</v>
      </c>
      <c r="CR837" t="s">
        <v>13809</v>
      </c>
      <c r="CT837" t="s">
        <v>25586</v>
      </c>
      <c r="CU837" t="s">
        <v>25587</v>
      </c>
      <c r="CV837" t="s">
        <v>13808</v>
      </c>
      <c r="CX837" t="s">
        <v>25588</v>
      </c>
      <c r="CY837" t="s">
        <v>13818</v>
      </c>
      <c r="DA837" t="s">
        <v>25589</v>
      </c>
      <c r="DB837" t="s">
        <v>13808</v>
      </c>
      <c r="DD837" t="s">
        <v>25590</v>
      </c>
      <c r="DE837" t="s">
        <v>13818</v>
      </c>
      <c r="DG837" t="s">
        <v>25591</v>
      </c>
      <c r="DH837" t="s">
        <v>13818</v>
      </c>
      <c r="DM837" t="s">
        <v>25592</v>
      </c>
      <c r="DN837" t="s">
        <v>13808</v>
      </c>
      <c r="DZ837" t="s">
        <v>25593</v>
      </c>
      <c r="EA837" t="s">
        <v>16821</v>
      </c>
      <c r="EC837">
        <v>44945</v>
      </c>
      <c r="ED837" t="s">
        <v>17062</v>
      </c>
      <c r="EE837" t="s">
        <v>5231</v>
      </c>
    </row>
    <row r="838" spans="1:135">
      <c r="A838" t="s">
        <v>800</v>
      </c>
      <c r="B838" t="s">
        <v>710</v>
      </c>
      <c r="C838" t="s">
        <v>25594</v>
      </c>
      <c r="D838" s="24">
        <v>42923</v>
      </c>
      <c r="E838" s="24" t="s">
        <v>13560</v>
      </c>
      <c r="F838" s="24" t="s">
        <v>25595</v>
      </c>
      <c r="G838" s="24" t="s">
        <v>13808</v>
      </c>
      <c r="H838" s="24"/>
      <c r="I838" s="24" t="s">
        <v>13809</v>
      </c>
      <c r="J838" s="24"/>
      <c r="K838" s="24" t="s">
        <v>13808</v>
      </c>
      <c r="L838" s="24"/>
      <c r="M838" s="24" t="s">
        <v>25596</v>
      </c>
      <c r="N838" s="24" t="s">
        <v>13808</v>
      </c>
      <c r="O838" s="24"/>
      <c r="P838" s="24" t="s">
        <v>13808</v>
      </c>
      <c r="Q838" s="24"/>
      <c r="R838" s="24" t="s">
        <v>13808</v>
      </c>
      <c r="S838" s="24"/>
      <c r="T838" t="s">
        <v>13907</v>
      </c>
      <c r="U838" t="s">
        <v>13809</v>
      </c>
      <c r="W838" t="s">
        <v>13808</v>
      </c>
      <c r="X838" t="s">
        <v>25576</v>
      </c>
      <c r="Y838" t="s">
        <v>13809</v>
      </c>
      <c r="AA838" t="s">
        <v>13928</v>
      </c>
      <c r="AB838" t="s">
        <v>25597</v>
      </c>
      <c r="AC838" t="s">
        <v>13808</v>
      </c>
      <c r="AN838" t="s">
        <v>25598</v>
      </c>
      <c r="AO838" t="s">
        <v>25599</v>
      </c>
      <c r="BL838" t="s">
        <v>25600</v>
      </c>
      <c r="BM838" t="s">
        <v>13808</v>
      </c>
      <c r="BR838" t="s">
        <v>25601</v>
      </c>
      <c r="BS838" t="s">
        <v>13742</v>
      </c>
      <c r="BT838" t="s">
        <v>13809</v>
      </c>
      <c r="BY838" t="s">
        <v>25602</v>
      </c>
      <c r="BZ838" t="s">
        <v>13808</v>
      </c>
      <c r="CA838" t="s">
        <v>13937</v>
      </c>
      <c r="CE838" t="s">
        <v>13754</v>
      </c>
      <c r="CF838" t="s">
        <v>13809</v>
      </c>
      <c r="CK838" t="s">
        <v>13760</v>
      </c>
      <c r="CL838" t="s">
        <v>13809</v>
      </c>
      <c r="CQ838" t="s">
        <v>13766</v>
      </c>
      <c r="CR838" t="s">
        <v>13809</v>
      </c>
      <c r="CT838" t="s">
        <v>21511</v>
      </c>
      <c r="CU838" t="s">
        <v>20053</v>
      </c>
      <c r="CV838" t="s">
        <v>13818</v>
      </c>
      <c r="DA838" t="s">
        <v>25603</v>
      </c>
      <c r="DB838" t="s">
        <v>13808</v>
      </c>
      <c r="DE838" t="s">
        <v>13818</v>
      </c>
      <c r="DG838" t="s">
        <v>14240</v>
      </c>
      <c r="DH838" t="s">
        <v>13808</v>
      </c>
      <c r="DZ838" t="s">
        <v>25604</v>
      </c>
      <c r="EA838" t="s">
        <v>25605</v>
      </c>
      <c r="EC838">
        <v>44650</v>
      </c>
      <c r="ED838" t="s">
        <v>13843</v>
      </c>
      <c r="EE838" t="s">
        <v>5233</v>
      </c>
    </row>
    <row r="839" spans="1:135">
      <c r="A839" t="s">
        <v>88</v>
      </c>
      <c r="B839" t="s">
        <v>11</v>
      </c>
      <c r="C839" t="s">
        <v>25606</v>
      </c>
      <c r="D839" s="24">
        <v>44762</v>
      </c>
      <c r="E839" s="24" t="s">
        <v>13571</v>
      </c>
      <c r="F839" s="24" t="s">
        <v>25607</v>
      </c>
      <c r="G839" s="24" t="s">
        <v>13808</v>
      </c>
      <c r="H839" s="24"/>
      <c r="I839" s="24" t="s">
        <v>13809</v>
      </c>
      <c r="J839" s="24"/>
      <c r="K839" s="24" t="s">
        <v>13808</v>
      </c>
      <c r="L839" s="24"/>
      <c r="M839" s="24" t="s">
        <v>25608</v>
      </c>
      <c r="N839" s="24" t="s">
        <v>13808</v>
      </c>
      <c r="O839" s="24"/>
      <c r="P839" s="24" t="s">
        <v>13808</v>
      </c>
      <c r="Q839" s="24"/>
      <c r="R839" s="24" t="s">
        <v>13808</v>
      </c>
      <c r="S839" s="24"/>
      <c r="T839" t="s">
        <v>20730</v>
      </c>
      <c r="U839" t="s">
        <v>13809</v>
      </c>
      <c r="W839" t="s">
        <v>13808</v>
      </c>
      <c r="X839" t="s">
        <v>25609</v>
      </c>
      <c r="Y839" t="s">
        <v>13808</v>
      </c>
      <c r="AA839" t="s">
        <v>13928</v>
      </c>
      <c r="AB839" t="s">
        <v>25610</v>
      </c>
      <c r="AC839" t="s">
        <v>13808</v>
      </c>
      <c r="AH839" t="s">
        <v>13851</v>
      </c>
      <c r="AI839" t="s">
        <v>13808</v>
      </c>
      <c r="AN839" t="s">
        <v>25611</v>
      </c>
      <c r="AO839" t="s">
        <v>13808</v>
      </c>
      <c r="AT839" t="s">
        <v>25612</v>
      </c>
      <c r="AU839" t="s">
        <v>13808</v>
      </c>
      <c r="AZ839" t="s">
        <v>25613</v>
      </c>
      <c r="BA839" t="s">
        <v>13808</v>
      </c>
      <c r="BF839" t="s">
        <v>25614</v>
      </c>
      <c r="BG839" t="s">
        <v>13808</v>
      </c>
      <c r="BL839" t="s">
        <v>25615</v>
      </c>
      <c r="BM839" t="s">
        <v>13808</v>
      </c>
      <c r="BR839" t="s">
        <v>25616</v>
      </c>
      <c r="BS839" t="s">
        <v>14213</v>
      </c>
      <c r="BT839" t="s">
        <v>13808</v>
      </c>
      <c r="BU839" t="s">
        <v>25344</v>
      </c>
      <c r="BY839" t="s">
        <v>13860</v>
      </c>
      <c r="BZ839" t="s">
        <v>13808</v>
      </c>
      <c r="CA839" t="s">
        <v>25617</v>
      </c>
      <c r="CE839" t="s">
        <v>13828</v>
      </c>
      <c r="CF839" t="s">
        <v>13808</v>
      </c>
      <c r="CK839" t="s">
        <v>13760</v>
      </c>
      <c r="CL839" t="s">
        <v>13809</v>
      </c>
      <c r="CQ839" t="s">
        <v>13766</v>
      </c>
      <c r="CR839" t="s">
        <v>13809</v>
      </c>
      <c r="CT839" t="s">
        <v>25618</v>
      </c>
      <c r="DA839" t="s">
        <v>25619</v>
      </c>
      <c r="DB839" t="s">
        <v>13808</v>
      </c>
      <c r="DD839" t="s">
        <v>25620</v>
      </c>
      <c r="DE839" t="s">
        <v>13818</v>
      </c>
      <c r="DG839" t="s">
        <v>14240</v>
      </c>
      <c r="DH839" t="s">
        <v>13818</v>
      </c>
      <c r="DM839" t="s">
        <v>25621</v>
      </c>
      <c r="DN839" t="s">
        <v>13808</v>
      </c>
      <c r="DZ839" t="s">
        <v>20059</v>
      </c>
      <c r="EA839" t="s">
        <v>25622</v>
      </c>
      <c r="EC839">
        <v>44764</v>
      </c>
      <c r="ED839" t="s">
        <v>17062</v>
      </c>
      <c r="EE839" t="s">
        <v>4528</v>
      </c>
    </row>
    <row r="840" spans="1:135">
      <c r="A840" t="s">
        <v>96</v>
      </c>
      <c r="B840" t="s">
        <v>11</v>
      </c>
      <c r="C840" t="s">
        <v>25623</v>
      </c>
      <c r="D840" s="24">
        <v>42914</v>
      </c>
      <c r="E840" s="24" t="s">
        <v>13558</v>
      </c>
      <c r="F840" s="24" t="s">
        <v>25624</v>
      </c>
      <c r="G840" s="24" t="s">
        <v>13808</v>
      </c>
      <c r="H840" s="24"/>
      <c r="I840" s="24" t="s">
        <v>13809</v>
      </c>
      <c r="J840" s="24"/>
      <c r="K840" s="24" t="s">
        <v>13809</v>
      </c>
      <c r="L840" s="24"/>
      <c r="M840" s="24" t="s">
        <v>15163</v>
      </c>
      <c r="N840" s="24" t="s">
        <v>13808</v>
      </c>
      <c r="O840" s="24"/>
      <c r="P840" s="24" t="s">
        <v>13808</v>
      </c>
      <c r="Q840" s="24"/>
      <c r="R840" s="24" t="s">
        <v>13808</v>
      </c>
      <c r="S840" s="24"/>
      <c r="T840" t="s">
        <v>18492</v>
      </c>
      <c r="U840" t="s">
        <v>13809</v>
      </c>
      <c r="W840" t="s">
        <v>13808</v>
      </c>
      <c r="X840" t="s">
        <v>25625</v>
      </c>
      <c r="Y840" t="s">
        <v>13809</v>
      </c>
      <c r="AA840" t="s">
        <v>15259</v>
      </c>
      <c r="AB840" t="s">
        <v>25626</v>
      </c>
      <c r="AC840" t="s">
        <v>13808</v>
      </c>
      <c r="AH840" t="s">
        <v>13851</v>
      </c>
      <c r="AI840" t="s">
        <v>13808</v>
      </c>
      <c r="AN840" t="s">
        <v>25627</v>
      </c>
      <c r="AO840" t="s">
        <v>13808</v>
      </c>
      <c r="AT840" t="s">
        <v>13820</v>
      </c>
      <c r="AU840" t="s">
        <v>13808</v>
      </c>
      <c r="AZ840" t="s">
        <v>25628</v>
      </c>
      <c r="BA840" t="s">
        <v>13808</v>
      </c>
      <c r="BF840" t="s">
        <v>25629</v>
      </c>
      <c r="BG840" t="s">
        <v>13808</v>
      </c>
      <c r="BL840" t="s">
        <v>25630</v>
      </c>
      <c r="BM840" t="s">
        <v>13808</v>
      </c>
      <c r="BR840" t="s">
        <v>25631</v>
      </c>
      <c r="BS840" t="s">
        <v>13824</v>
      </c>
      <c r="BT840" t="s">
        <v>13808</v>
      </c>
      <c r="BU840" t="s">
        <v>25441</v>
      </c>
      <c r="BY840" t="s">
        <v>13860</v>
      </c>
      <c r="BZ840" t="s">
        <v>13808</v>
      </c>
      <c r="CA840" t="s">
        <v>25632</v>
      </c>
      <c r="CE840" t="s">
        <v>13828</v>
      </c>
      <c r="CF840" t="s">
        <v>13808</v>
      </c>
      <c r="CK840" t="s">
        <v>13760</v>
      </c>
      <c r="CL840" t="s">
        <v>13809</v>
      </c>
      <c r="CQ840" t="s">
        <v>13766</v>
      </c>
      <c r="CR840" t="s">
        <v>13809</v>
      </c>
      <c r="CT840" t="s">
        <v>25633</v>
      </c>
      <c r="CU840" t="s">
        <v>15694</v>
      </c>
      <c r="CV840" t="s">
        <v>13818</v>
      </c>
      <c r="DA840" t="s">
        <v>25634</v>
      </c>
      <c r="DB840" t="s">
        <v>13808</v>
      </c>
      <c r="DE840" t="s">
        <v>13818</v>
      </c>
      <c r="DG840" t="s">
        <v>14562</v>
      </c>
      <c r="DH840" t="s">
        <v>13808</v>
      </c>
      <c r="DZ840" t="s">
        <v>25635</v>
      </c>
      <c r="EA840" t="s">
        <v>25636</v>
      </c>
      <c r="EC840">
        <v>44627</v>
      </c>
      <c r="ED840" t="s">
        <v>13843</v>
      </c>
      <c r="EE840" t="s">
        <v>4534</v>
      </c>
    </row>
    <row r="841" spans="1:135">
      <c r="A841" t="s">
        <v>807</v>
      </c>
      <c r="B841" t="s">
        <v>710</v>
      </c>
      <c r="C841" t="s">
        <v>25637</v>
      </c>
      <c r="D841" s="24">
        <v>44755</v>
      </c>
      <c r="E841" s="24" t="s">
        <v>13553</v>
      </c>
      <c r="F841" s="24" t="s">
        <v>25638</v>
      </c>
      <c r="G841" s="24" t="s">
        <v>13808</v>
      </c>
      <c r="H841" s="24"/>
      <c r="I841" s="24" t="s">
        <v>13809</v>
      </c>
      <c r="J841" s="24"/>
      <c r="K841" s="24" t="s">
        <v>13809</v>
      </c>
      <c r="L841" s="24"/>
      <c r="M841" s="24" t="s">
        <v>13846</v>
      </c>
      <c r="N841" s="24" t="s">
        <v>13808</v>
      </c>
      <c r="O841" s="24"/>
      <c r="P841" s="24" t="s">
        <v>13808</v>
      </c>
      <c r="Q841" s="24"/>
      <c r="R841" s="24" t="s">
        <v>13808</v>
      </c>
      <c r="S841" s="24"/>
      <c r="T841" t="s">
        <v>13847</v>
      </c>
      <c r="U841" t="s">
        <v>13809</v>
      </c>
      <c r="W841" t="s">
        <v>13808</v>
      </c>
      <c r="X841" t="s">
        <v>25639</v>
      </c>
      <c r="Y841" t="s">
        <v>13808</v>
      </c>
      <c r="AA841" t="s">
        <v>13849</v>
      </c>
      <c r="AB841" t="s">
        <v>14330</v>
      </c>
      <c r="AC841" t="s">
        <v>13808</v>
      </c>
      <c r="AH841" t="s">
        <v>13851</v>
      </c>
      <c r="AI841" t="s">
        <v>13808</v>
      </c>
      <c r="AN841" t="s">
        <v>18534</v>
      </c>
      <c r="AO841" t="s">
        <v>13808</v>
      </c>
      <c r="AT841" t="s">
        <v>25640</v>
      </c>
      <c r="AU841" t="s">
        <v>13808</v>
      </c>
      <c r="AZ841" t="s">
        <v>25641</v>
      </c>
      <c r="BA841" t="s">
        <v>13808</v>
      </c>
      <c r="BF841" t="s">
        <v>25642</v>
      </c>
      <c r="BG841" t="s">
        <v>13808</v>
      </c>
      <c r="BL841" t="s">
        <v>25643</v>
      </c>
      <c r="BM841" t="s">
        <v>13808</v>
      </c>
      <c r="BR841" t="s">
        <v>25644</v>
      </c>
      <c r="BS841" t="s">
        <v>13824</v>
      </c>
      <c r="BT841" t="s">
        <v>13808</v>
      </c>
      <c r="BU841" t="s">
        <v>14913</v>
      </c>
      <c r="BY841" t="s">
        <v>13860</v>
      </c>
      <c r="BZ841" t="s">
        <v>13808</v>
      </c>
      <c r="CA841" t="s">
        <v>13861</v>
      </c>
      <c r="CE841" t="s">
        <v>13828</v>
      </c>
      <c r="CF841" t="s">
        <v>13808</v>
      </c>
      <c r="CG841" t="s">
        <v>13863</v>
      </c>
      <c r="CK841" t="s">
        <v>13760</v>
      </c>
      <c r="CL841" t="s">
        <v>13809</v>
      </c>
      <c r="CQ841" t="s">
        <v>13766</v>
      </c>
      <c r="CR841" t="s">
        <v>13809</v>
      </c>
      <c r="CT841" t="s">
        <v>25645</v>
      </c>
      <c r="CU841" t="s">
        <v>25646</v>
      </c>
      <c r="CV841" t="s">
        <v>13808</v>
      </c>
      <c r="DA841" t="s">
        <v>25647</v>
      </c>
      <c r="DB841" t="s">
        <v>13808</v>
      </c>
      <c r="DM841" t="s">
        <v>25648</v>
      </c>
      <c r="DN841" t="s">
        <v>13808</v>
      </c>
      <c r="DP841" t="s">
        <v>25649</v>
      </c>
      <c r="DQ841" t="s">
        <v>13808</v>
      </c>
      <c r="DY841" t="s">
        <v>13869</v>
      </c>
      <c r="DZ841" t="s">
        <v>25650</v>
      </c>
      <c r="EA841" t="s">
        <v>13871</v>
      </c>
      <c r="EC841">
        <v>44755</v>
      </c>
      <c r="ED841" t="s">
        <v>17062</v>
      </c>
      <c r="EE841" t="s">
        <v>5239</v>
      </c>
    </row>
    <row r="842" spans="1:135">
      <c r="A842" t="s">
        <v>228</v>
      </c>
      <c r="B842" t="s">
        <v>147</v>
      </c>
      <c r="C842" t="s">
        <v>25651</v>
      </c>
      <c r="D842" s="24">
        <v>43125</v>
      </c>
      <c r="E842" s="24" t="s">
        <v>13557</v>
      </c>
      <c r="F842" s="24" t="s">
        <v>25652</v>
      </c>
      <c r="G842" s="24" t="s">
        <v>13808</v>
      </c>
      <c r="H842" s="24"/>
      <c r="I842" s="24" t="s">
        <v>13809</v>
      </c>
      <c r="J842" s="24"/>
      <c r="K842" s="24" t="s">
        <v>13808</v>
      </c>
      <c r="L842" s="24"/>
      <c r="M842" s="24" t="s">
        <v>15163</v>
      </c>
      <c r="N842" s="24" t="s">
        <v>13808</v>
      </c>
      <c r="O842" s="24"/>
      <c r="P842" s="24" t="s">
        <v>13808</v>
      </c>
      <c r="Q842" s="24"/>
      <c r="R842" s="24" t="s">
        <v>13808</v>
      </c>
      <c r="S842" s="24"/>
      <c r="T842" t="s">
        <v>15051</v>
      </c>
      <c r="U842" t="s">
        <v>13809</v>
      </c>
      <c r="W842" t="s">
        <v>13808</v>
      </c>
      <c r="X842" t="s">
        <v>25653</v>
      </c>
      <c r="Y842" t="s">
        <v>13809</v>
      </c>
      <c r="AA842" t="s">
        <v>15186</v>
      </c>
      <c r="AB842" t="s">
        <v>25654</v>
      </c>
      <c r="AC842" t="s">
        <v>13808</v>
      </c>
      <c r="AH842" t="s">
        <v>13909</v>
      </c>
      <c r="AI842" t="s">
        <v>13808</v>
      </c>
      <c r="AN842" t="s">
        <v>18382</v>
      </c>
      <c r="AO842" t="s">
        <v>13808</v>
      </c>
      <c r="AT842" t="s">
        <v>15883</v>
      </c>
      <c r="AU842" t="s">
        <v>13808</v>
      </c>
      <c r="AZ842" t="s">
        <v>13894</v>
      </c>
      <c r="BA842" t="s">
        <v>13808</v>
      </c>
      <c r="BF842" t="s">
        <v>17154</v>
      </c>
      <c r="BG842" t="s">
        <v>13808</v>
      </c>
      <c r="BL842" t="s">
        <v>25655</v>
      </c>
      <c r="BM842" t="s">
        <v>13808</v>
      </c>
      <c r="BR842" t="s">
        <v>25656</v>
      </c>
      <c r="BS842" t="s">
        <v>13887</v>
      </c>
      <c r="BT842" t="s">
        <v>13808</v>
      </c>
      <c r="BU842" t="s">
        <v>15774</v>
      </c>
      <c r="BY842" t="s">
        <v>13887</v>
      </c>
      <c r="BZ842" t="s">
        <v>13808</v>
      </c>
      <c r="CA842" t="s">
        <v>13937</v>
      </c>
      <c r="CE842" t="s">
        <v>13887</v>
      </c>
      <c r="CF842" t="s">
        <v>13808</v>
      </c>
      <c r="CL842" t="s">
        <v>13809</v>
      </c>
      <c r="CR842" t="s">
        <v>13809</v>
      </c>
      <c r="CT842" t="s">
        <v>25657</v>
      </c>
      <c r="CU842" t="s">
        <v>19026</v>
      </c>
      <c r="CV842" t="s">
        <v>13808</v>
      </c>
      <c r="CX842" t="s">
        <v>14197</v>
      </c>
      <c r="CY842" t="s">
        <v>13818</v>
      </c>
      <c r="DA842" t="s">
        <v>19026</v>
      </c>
      <c r="DB842" t="s">
        <v>13808</v>
      </c>
      <c r="DD842" t="s">
        <v>14197</v>
      </c>
      <c r="DE842" t="s">
        <v>13818</v>
      </c>
      <c r="DG842" t="s">
        <v>13909</v>
      </c>
      <c r="DH842" t="s">
        <v>13818</v>
      </c>
      <c r="DZ842" t="s">
        <v>25658</v>
      </c>
      <c r="EA842" t="s">
        <v>25659</v>
      </c>
      <c r="EC842">
        <v>44182</v>
      </c>
      <c r="ED842" t="s">
        <v>13903</v>
      </c>
      <c r="EE842" t="s">
        <v>4652</v>
      </c>
    </row>
    <row r="843" spans="1:135">
      <c r="A843" t="s">
        <v>977</v>
      </c>
      <c r="B843" t="s">
        <v>914</v>
      </c>
      <c r="C843" t="s">
        <v>25660</v>
      </c>
      <c r="D843" s="24">
        <v>44935</v>
      </c>
      <c r="E843" s="24" t="s">
        <v>13555</v>
      </c>
      <c r="F843" s="24" t="s">
        <v>25661</v>
      </c>
      <c r="G843" s="24" t="s">
        <v>13808</v>
      </c>
      <c r="H843" s="24"/>
      <c r="I843" s="24" t="s">
        <v>13809</v>
      </c>
      <c r="J843" s="24"/>
      <c r="K843" s="24" t="s">
        <v>13808</v>
      </c>
      <c r="L843" s="24"/>
      <c r="M843" s="24" t="s">
        <v>14304</v>
      </c>
      <c r="N843" s="24" t="s">
        <v>13808</v>
      </c>
      <c r="O843" s="24"/>
      <c r="P843" s="24" t="s">
        <v>13808</v>
      </c>
      <c r="Q843" s="24"/>
      <c r="R843" s="24" t="s">
        <v>13808</v>
      </c>
      <c r="S843" s="24"/>
      <c r="T843" t="s">
        <v>16299</v>
      </c>
      <c r="U843" t="s">
        <v>13809</v>
      </c>
      <c r="W843" t="s">
        <v>13808</v>
      </c>
      <c r="X843" t="s">
        <v>25662</v>
      </c>
      <c r="Y843" t="s">
        <v>13808</v>
      </c>
      <c r="AA843" t="s">
        <v>14971</v>
      </c>
      <c r="AB843" t="s">
        <v>15348</v>
      </c>
      <c r="AC843" t="s">
        <v>13809</v>
      </c>
      <c r="AH843" t="s">
        <v>13851</v>
      </c>
      <c r="AI843" t="s">
        <v>13808</v>
      </c>
      <c r="AN843" t="s">
        <v>25663</v>
      </c>
      <c r="AO843" t="s">
        <v>13808</v>
      </c>
      <c r="AT843" t="s">
        <v>15389</v>
      </c>
      <c r="AU843" t="s">
        <v>13808</v>
      </c>
      <c r="AZ843" t="s">
        <v>25664</v>
      </c>
      <c r="BA843" t="s">
        <v>13808</v>
      </c>
      <c r="BF843" t="s">
        <v>25665</v>
      </c>
      <c r="BG843" t="s">
        <v>13808</v>
      </c>
      <c r="BL843" t="s">
        <v>25666</v>
      </c>
      <c r="BM843" t="s">
        <v>13808</v>
      </c>
      <c r="BR843" t="s">
        <v>25667</v>
      </c>
      <c r="BS843" t="s">
        <v>13824</v>
      </c>
      <c r="BT843" t="s">
        <v>13808</v>
      </c>
      <c r="BU843" t="s">
        <v>14641</v>
      </c>
      <c r="BY843" t="s">
        <v>25668</v>
      </c>
      <c r="BZ843" t="s">
        <v>13808</v>
      </c>
      <c r="CA843" t="s">
        <v>13937</v>
      </c>
      <c r="CE843" t="s">
        <v>14292</v>
      </c>
      <c r="CF843" t="s">
        <v>13808</v>
      </c>
      <c r="CK843" t="s">
        <v>13760</v>
      </c>
      <c r="CL843" t="s">
        <v>13809</v>
      </c>
      <c r="CQ843" t="s">
        <v>13766</v>
      </c>
      <c r="CR843" t="s">
        <v>13809</v>
      </c>
      <c r="CT843" t="s">
        <v>25669</v>
      </c>
      <c r="CU843" t="s">
        <v>15694</v>
      </c>
      <c r="CV843" t="s">
        <v>13808</v>
      </c>
      <c r="DG843" t="s">
        <v>14562</v>
      </c>
      <c r="DH843" t="s">
        <v>25670</v>
      </c>
      <c r="DZ843" t="s">
        <v>25671</v>
      </c>
      <c r="EA843" t="s">
        <v>15065</v>
      </c>
      <c r="EC843">
        <v>44943</v>
      </c>
      <c r="ED843" t="s">
        <v>17062</v>
      </c>
      <c r="EE843" t="s">
        <v>5377</v>
      </c>
    </row>
    <row r="844" spans="1:135">
      <c r="A844" t="s">
        <v>814</v>
      </c>
      <c r="B844" t="s">
        <v>710</v>
      </c>
      <c r="C844" t="s">
        <v>25672</v>
      </c>
      <c r="D844" s="24">
        <v>44755</v>
      </c>
      <c r="E844" s="24" t="s">
        <v>13553</v>
      </c>
      <c r="F844" s="24" t="s">
        <v>25673</v>
      </c>
      <c r="G844" s="24" t="s">
        <v>13808</v>
      </c>
      <c r="H844" s="24"/>
      <c r="I844" s="24" t="s">
        <v>13809</v>
      </c>
      <c r="J844" s="24"/>
      <c r="K844" s="24" t="s">
        <v>13808</v>
      </c>
      <c r="L844" s="24" t="s">
        <v>25674</v>
      </c>
      <c r="M844" s="24" t="s">
        <v>13846</v>
      </c>
      <c r="N844" s="24" t="s">
        <v>13808</v>
      </c>
      <c r="O844" s="24"/>
      <c r="P844" s="24" t="s">
        <v>13808</v>
      </c>
      <c r="Q844" s="24"/>
      <c r="R844" s="24" t="s">
        <v>13808</v>
      </c>
      <c r="S844" s="24"/>
      <c r="T844" t="s">
        <v>13847</v>
      </c>
      <c r="U844" t="s">
        <v>13809</v>
      </c>
      <c r="W844" t="s">
        <v>13808</v>
      </c>
      <c r="X844" t="s">
        <v>25675</v>
      </c>
      <c r="Y844" t="s">
        <v>13808</v>
      </c>
      <c r="AA844" t="s">
        <v>13849</v>
      </c>
      <c r="AB844" t="s">
        <v>14771</v>
      </c>
      <c r="AC844" t="s">
        <v>13808</v>
      </c>
      <c r="AH844" t="s">
        <v>13851</v>
      </c>
      <c r="AI844" t="s">
        <v>13808</v>
      </c>
      <c r="AN844" t="s">
        <v>25676</v>
      </c>
      <c r="AO844" t="s">
        <v>13808</v>
      </c>
      <c r="AT844" t="s">
        <v>25677</v>
      </c>
      <c r="AU844" t="s">
        <v>13808</v>
      </c>
      <c r="AZ844" t="s">
        <v>25678</v>
      </c>
      <c r="BA844" t="s">
        <v>13808</v>
      </c>
      <c r="BF844" t="s">
        <v>25679</v>
      </c>
      <c r="BG844" t="s">
        <v>13808</v>
      </c>
      <c r="BH844" t="s">
        <v>25680</v>
      </c>
      <c r="BL844" t="s">
        <v>25681</v>
      </c>
      <c r="BM844" t="s">
        <v>13808</v>
      </c>
      <c r="BR844" t="s">
        <v>25682</v>
      </c>
      <c r="BS844" t="s">
        <v>13824</v>
      </c>
      <c r="BT844" t="s">
        <v>13808</v>
      </c>
      <c r="BU844" t="s">
        <v>15266</v>
      </c>
      <c r="BY844" t="s">
        <v>13986</v>
      </c>
      <c r="BZ844" t="s">
        <v>13808</v>
      </c>
      <c r="CA844" t="s">
        <v>13861</v>
      </c>
      <c r="CE844" t="s">
        <v>14292</v>
      </c>
      <c r="CF844" t="s">
        <v>13808</v>
      </c>
      <c r="CK844" t="s">
        <v>13760</v>
      </c>
      <c r="CL844" t="s">
        <v>13809</v>
      </c>
      <c r="CQ844" t="s">
        <v>13766</v>
      </c>
      <c r="CR844" t="s">
        <v>13809</v>
      </c>
      <c r="CT844" t="s">
        <v>25683</v>
      </c>
      <c r="CU844" t="s">
        <v>25684</v>
      </c>
      <c r="CV844" t="s">
        <v>13808</v>
      </c>
      <c r="DA844" t="s">
        <v>25685</v>
      </c>
      <c r="DB844" t="s">
        <v>13808</v>
      </c>
      <c r="DG844" t="s">
        <v>25686</v>
      </c>
      <c r="DH844" t="s">
        <v>13808</v>
      </c>
      <c r="DJ844" t="s">
        <v>25687</v>
      </c>
      <c r="DK844" t="s">
        <v>13808</v>
      </c>
      <c r="DM844" t="s">
        <v>25688</v>
      </c>
      <c r="DN844" t="s">
        <v>13808</v>
      </c>
      <c r="DO844" t="s">
        <v>25689</v>
      </c>
      <c r="DP844" t="s">
        <v>25690</v>
      </c>
      <c r="DQ844" t="s">
        <v>13808</v>
      </c>
      <c r="DR844" t="s">
        <v>13839</v>
      </c>
      <c r="DY844" t="s">
        <v>13840</v>
      </c>
      <c r="DZ844" t="s">
        <v>25691</v>
      </c>
      <c r="EA844" t="s">
        <v>14182</v>
      </c>
      <c r="EC844">
        <v>44755</v>
      </c>
      <c r="ED844" t="s">
        <v>17062</v>
      </c>
      <c r="EE844" t="s">
        <v>5243</v>
      </c>
    </row>
    <row r="845" spans="1:135">
      <c r="A845" t="s">
        <v>987</v>
      </c>
      <c r="B845" t="s">
        <v>914</v>
      </c>
      <c r="C845" t="s">
        <v>25692</v>
      </c>
      <c r="D845" s="24">
        <v>43144</v>
      </c>
      <c r="E845" s="24" t="s">
        <v>13558</v>
      </c>
      <c r="F845" s="24" t="s">
        <v>25693</v>
      </c>
      <c r="G845" s="24" t="s">
        <v>13808</v>
      </c>
      <c r="H845" s="24"/>
      <c r="I845" s="24" t="s">
        <v>13809</v>
      </c>
      <c r="J845" s="24"/>
      <c r="K845" s="24" t="s">
        <v>13808</v>
      </c>
      <c r="L845" s="24"/>
      <c r="M845" s="24" t="s">
        <v>25694</v>
      </c>
      <c r="N845" s="24" t="s">
        <v>13808</v>
      </c>
      <c r="O845" s="24"/>
      <c r="P845" s="24" t="s">
        <v>13808</v>
      </c>
      <c r="Q845" s="24"/>
      <c r="R845" s="24" t="s">
        <v>13818</v>
      </c>
      <c r="S845" s="24" t="s">
        <v>25695</v>
      </c>
      <c r="T845" t="s">
        <v>25696</v>
      </c>
      <c r="U845" t="s">
        <v>13809</v>
      </c>
      <c r="W845" t="s">
        <v>13808</v>
      </c>
      <c r="X845" t="s">
        <v>25697</v>
      </c>
      <c r="Y845" t="s">
        <v>13809</v>
      </c>
      <c r="AA845" t="s">
        <v>25698</v>
      </c>
      <c r="AB845" t="s">
        <v>15348</v>
      </c>
      <c r="AC845" t="s">
        <v>13809</v>
      </c>
      <c r="AH845" t="s">
        <v>14098</v>
      </c>
      <c r="AI845" t="s">
        <v>13808</v>
      </c>
      <c r="AK845" t="s">
        <v>13816</v>
      </c>
      <c r="AL845" t="s">
        <v>13818</v>
      </c>
      <c r="AM845" t="s">
        <v>25699</v>
      </c>
      <c r="AN845" t="s">
        <v>15689</v>
      </c>
      <c r="AO845" t="s">
        <v>13808</v>
      </c>
      <c r="AT845" t="s">
        <v>14390</v>
      </c>
      <c r="AU845" t="s">
        <v>13808</v>
      </c>
      <c r="AZ845" t="s">
        <v>25700</v>
      </c>
      <c r="BA845" t="s">
        <v>13808</v>
      </c>
      <c r="BF845" t="s">
        <v>17513</v>
      </c>
      <c r="BG845" t="s">
        <v>13808</v>
      </c>
      <c r="BL845" t="s">
        <v>13735</v>
      </c>
      <c r="BM845" t="s">
        <v>13809</v>
      </c>
      <c r="BR845" t="s">
        <v>15692</v>
      </c>
      <c r="BS845" t="s">
        <v>25343</v>
      </c>
      <c r="BT845" t="s">
        <v>13808</v>
      </c>
      <c r="BU845" t="s">
        <v>18876</v>
      </c>
      <c r="BY845" t="s">
        <v>25668</v>
      </c>
      <c r="BZ845" t="s">
        <v>13808</v>
      </c>
      <c r="CA845" t="s">
        <v>13937</v>
      </c>
      <c r="CE845" t="s">
        <v>13828</v>
      </c>
      <c r="CF845" t="s">
        <v>13808</v>
      </c>
      <c r="CK845" t="s">
        <v>13760</v>
      </c>
      <c r="CL845" t="s">
        <v>13809</v>
      </c>
      <c r="CQ845" t="s">
        <v>13766</v>
      </c>
      <c r="CR845" t="s">
        <v>13809</v>
      </c>
      <c r="CT845" t="s">
        <v>14781</v>
      </c>
      <c r="CU845" t="s">
        <v>14236</v>
      </c>
      <c r="CV845" t="s">
        <v>13818</v>
      </c>
      <c r="DA845" t="s">
        <v>15252</v>
      </c>
      <c r="DB845" t="s">
        <v>13818</v>
      </c>
      <c r="DG845" t="s">
        <v>14240</v>
      </c>
      <c r="DH845" t="s">
        <v>13818</v>
      </c>
      <c r="DZ845" t="s">
        <v>25701</v>
      </c>
      <c r="EA845" t="s">
        <v>25702</v>
      </c>
      <c r="EC845">
        <v>44671</v>
      </c>
      <c r="ED845" t="s">
        <v>13843</v>
      </c>
      <c r="EE845" t="s">
        <v>5382</v>
      </c>
    </row>
    <row r="846" spans="1:135">
      <c r="A846" t="s">
        <v>546</v>
      </c>
      <c r="B846" t="s">
        <v>445</v>
      </c>
      <c r="C846" t="s">
        <v>25703</v>
      </c>
      <c r="D846" s="24">
        <v>44177</v>
      </c>
      <c r="E846" s="24" t="s">
        <v>13558</v>
      </c>
      <c r="F846" s="24" t="s">
        <v>25704</v>
      </c>
      <c r="G846" s="24" t="s">
        <v>13808</v>
      </c>
      <c r="H846" s="24"/>
      <c r="I846" s="24" t="s">
        <v>13809</v>
      </c>
      <c r="J846" s="24"/>
      <c r="K846" s="24" t="s">
        <v>13809</v>
      </c>
      <c r="L846" s="24"/>
      <c r="M846" s="24" t="s">
        <v>15805</v>
      </c>
      <c r="N846" s="24" t="s">
        <v>13808</v>
      </c>
      <c r="O846" s="24"/>
      <c r="P846" s="24" t="s">
        <v>13808</v>
      </c>
      <c r="Q846" s="24"/>
      <c r="R846" s="24" t="s">
        <v>13808</v>
      </c>
      <c r="S846" s="24"/>
      <c r="T846" t="s">
        <v>25705</v>
      </c>
      <c r="U846" t="s">
        <v>13809</v>
      </c>
      <c r="W846" t="s">
        <v>13808</v>
      </c>
      <c r="X846" t="s">
        <v>25706</v>
      </c>
      <c r="Y846" t="s">
        <v>13809</v>
      </c>
      <c r="AA846" t="s">
        <v>18651</v>
      </c>
      <c r="AC846" t="s">
        <v>13809</v>
      </c>
      <c r="AH846" t="s">
        <v>13909</v>
      </c>
      <c r="AI846" t="s">
        <v>13808</v>
      </c>
      <c r="AO846" t="s">
        <v>13809</v>
      </c>
      <c r="AT846" t="s">
        <v>17084</v>
      </c>
      <c r="AU846" t="s">
        <v>13808</v>
      </c>
      <c r="AZ846" t="s">
        <v>14007</v>
      </c>
      <c r="BA846" t="s">
        <v>13808</v>
      </c>
      <c r="BF846" t="s">
        <v>14177</v>
      </c>
      <c r="BG846" t="s">
        <v>13808</v>
      </c>
      <c r="BM846" t="s">
        <v>13809</v>
      </c>
      <c r="BR846" t="s">
        <v>25707</v>
      </c>
      <c r="BT846" t="s">
        <v>13809</v>
      </c>
      <c r="BY846" t="s">
        <v>13887</v>
      </c>
      <c r="BZ846" t="s">
        <v>13808</v>
      </c>
      <c r="CA846" t="s">
        <v>13937</v>
      </c>
      <c r="CF846" t="s">
        <v>13809</v>
      </c>
      <c r="CL846" t="s">
        <v>13809</v>
      </c>
      <c r="CR846" t="s">
        <v>13809</v>
      </c>
      <c r="CT846" t="s">
        <v>13830</v>
      </c>
      <c r="CU846" t="s">
        <v>25708</v>
      </c>
      <c r="CV846" t="s">
        <v>13818</v>
      </c>
      <c r="DA846" t="s">
        <v>25709</v>
      </c>
      <c r="DB846" t="s">
        <v>13818</v>
      </c>
      <c r="DG846" t="s">
        <v>25710</v>
      </c>
      <c r="DH846" t="s">
        <v>13818</v>
      </c>
      <c r="DM846" t="s">
        <v>25711</v>
      </c>
      <c r="DN846" t="s">
        <v>13818</v>
      </c>
      <c r="DO846" t="s">
        <v>25712</v>
      </c>
      <c r="DY846" t="s">
        <v>16668</v>
      </c>
      <c r="DZ846" t="s">
        <v>25713</v>
      </c>
      <c r="EA846" t="s">
        <v>14182</v>
      </c>
      <c r="ED846" t="s">
        <v>14608</v>
      </c>
      <c r="EE846" t="s">
        <v>4993</v>
      </c>
    </row>
    <row r="847" spans="1:135">
      <c r="A847" t="s">
        <v>13270</v>
      </c>
      <c r="B847" t="s">
        <v>445</v>
      </c>
      <c r="C847" t="s">
        <v>25714</v>
      </c>
      <c r="D847" s="24">
        <v>44176</v>
      </c>
      <c r="E847" s="24" t="s">
        <v>13550</v>
      </c>
      <c r="F847" s="24" t="s">
        <v>25715</v>
      </c>
      <c r="G847" s="24" t="s">
        <v>13808</v>
      </c>
      <c r="H847" s="24"/>
      <c r="I847" s="24" t="s">
        <v>13809</v>
      </c>
      <c r="J847" s="24"/>
      <c r="K847" s="24" t="s">
        <v>13809</v>
      </c>
      <c r="L847" s="24"/>
      <c r="M847" s="24" t="s">
        <v>24648</v>
      </c>
      <c r="N847" s="24" t="s">
        <v>13808</v>
      </c>
      <c r="O847" s="24"/>
      <c r="P847" s="24" t="s">
        <v>13808</v>
      </c>
      <c r="Q847" s="24"/>
      <c r="R847" s="24" t="s">
        <v>13808</v>
      </c>
      <c r="S847" s="24"/>
      <c r="T847" t="s">
        <v>25716</v>
      </c>
      <c r="U847" t="s">
        <v>13809</v>
      </c>
      <c r="W847" t="s">
        <v>13818</v>
      </c>
      <c r="X847" t="s">
        <v>25717</v>
      </c>
      <c r="Y847" t="s">
        <v>13809</v>
      </c>
      <c r="AA847" t="s">
        <v>25718</v>
      </c>
      <c r="AC847" t="s">
        <v>13809</v>
      </c>
      <c r="AH847" t="s">
        <v>13909</v>
      </c>
      <c r="AI847" t="s">
        <v>13818</v>
      </c>
      <c r="AJ847" t="s">
        <v>14309</v>
      </c>
      <c r="AO847" t="s">
        <v>13809</v>
      </c>
      <c r="AT847" t="s">
        <v>15837</v>
      </c>
      <c r="AU847" t="s">
        <v>13818</v>
      </c>
      <c r="AV847" t="s">
        <v>14309</v>
      </c>
      <c r="BF847" t="s">
        <v>14192</v>
      </c>
      <c r="BG847" t="s">
        <v>13808</v>
      </c>
      <c r="BM847" t="s">
        <v>14812</v>
      </c>
      <c r="BN847" t="s">
        <v>14309</v>
      </c>
      <c r="BR847" t="s">
        <v>25719</v>
      </c>
      <c r="BT847" t="s">
        <v>13809</v>
      </c>
      <c r="BY847" t="s">
        <v>13887</v>
      </c>
      <c r="BZ847" t="s">
        <v>13808</v>
      </c>
      <c r="CA847" t="s">
        <v>24800</v>
      </c>
      <c r="CE847" t="s">
        <v>13887</v>
      </c>
      <c r="CF847" t="s">
        <v>13808</v>
      </c>
      <c r="CL847" t="s">
        <v>13809</v>
      </c>
      <c r="CR847" t="s">
        <v>13809</v>
      </c>
      <c r="CT847" t="s">
        <v>24658</v>
      </c>
      <c r="CU847" t="s">
        <v>25720</v>
      </c>
      <c r="CV847" t="s">
        <v>13818</v>
      </c>
      <c r="DA847" t="s">
        <v>25721</v>
      </c>
      <c r="DB847" t="s">
        <v>13818</v>
      </c>
      <c r="DG847" t="s">
        <v>25722</v>
      </c>
      <c r="DH847" t="s">
        <v>13818</v>
      </c>
      <c r="DM847" t="s">
        <v>15898</v>
      </c>
      <c r="DN847" t="s">
        <v>13818</v>
      </c>
      <c r="DY847" t="s">
        <v>25723</v>
      </c>
      <c r="DZ847" t="s">
        <v>25724</v>
      </c>
      <c r="EA847" t="s">
        <v>14182</v>
      </c>
      <c r="ED847" t="s">
        <v>14608</v>
      </c>
      <c r="EE847" t="s">
        <v>13666</v>
      </c>
    </row>
    <row r="848" spans="1:135">
      <c r="A848" t="s">
        <v>550</v>
      </c>
      <c r="B848" t="s">
        <v>445</v>
      </c>
      <c r="C848" t="s">
        <v>25725</v>
      </c>
      <c r="D848" s="24">
        <v>43696</v>
      </c>
      <c r="E848" s="24" t="s">
        <v>13553</v>
      </c>
      <c r="F848" s="24" t="s">
        <v>25726</v>
      </c>
      <c r="G848" s="24" t="s">
        <v>13808</v>
      </c>
      <c r="H848" s="24"/>
      <c r="I848" s="24" t="s">
        <v>13809</v>
      </c>
      <c r="J848" s="24"/>
      <c r="K848" s="24" t="s">
        <v>13809</v>
      </c>
      <c r="L848" s="24"/>
      <c r="M848" s="24" t="s">
        <v>14163</v>
      </c>
      <c r="N848" s="24" t="s">
        <v>13808</v>
      </c>
      <c r="O848" s="24"/>
      <c r="P848" s="24" t="s">
        <v>13808</v>
      </c>
      <c r="Q848" s="24"/>
      <c r="R848" s="24" t="s">
        <v>13808</v>
      </c>
      <c r="S848" s="24"/>
      <c r="T848" t="s">
        <v>14034</v>
      </c>
      <c r="U848" t="s">
        <v>13809</v>
      </c>
      <c r="W848" t="s">
        <v>13808</v>
      </c>
      <c r="X848" t="s">
        <v>25727</v>
      </c>
      <c r="Y848" t="s">
        <v>13809</v>
      </c>
      <c r="AA848" t="s">
        <v>13877</v>
      </c>
      <c r="AC848" t="s">
        <v>13809</v>
      </c>
      <c r="AH848" t="s">
        <v>13909</v>
      </c>
      <c r="AI848" t="s">
        <v>13808</v>
      </c>
      <c r="AO848" t="s">
        <v>13809</v>
      </c>
      <c r="AT848" t="s">
        <v>15209</v>
      </c>
      <c r="AU848" t="s">
        <v>13808</v>
      </c>
      <c r="AZ848" t="s">
        <v>14169</v>
      </c>
      <c r="BA848" t="s">
        <v>13808</v>
      </c>
      <c r="BF848" t="s">
        <v>13880</v>
      </c>
      <c r="BG848" t="s">
        <v>13808</v>
      </c>
      <c r="BM848" t="s">
        <v>13809</v>
      </c>
      <c r="BR848" t="s">
        <v>25728</v>
      </c>
      <c r="BT848" t="s">
        <v>13809</v>
      </c>
      <c r="BY848" t="s">
        <v>13887</v>
      </c>
      <c r="BZ848" t="s">
        <v>13808</v>
      </c>
      <c r="CA848" t="s">
        <v>13888</v>
      </c>
      <c r="CF848" t="s">
        <v>13809</v>
      </c>
      <c r="CL848" t="s">
        <v>13809</v>
      </c>
      <c r="CR848" t="s">
        <v>13809</v>
      </c>
      <c r="CT848" t="s">
        <v>25729</v>
      </c>
      <c r="CU848" t="s">
        <v>25730</v>
      </c>
      <c r="CV848" t="s">
        <v>13808</v>
      </c>
      <c r="DA848" t="s">
        <v>25731</v>
      </c>
      <c r="DB848" t="s">
        <v>13808</v>
      </c>
      <c r="DH848" t="s">
        <v>13809</v>
      </c>
      <c r="DM848" t="s">
        <v>25732</v>
      </c>
      <c r="DN848" t="s">
        <v>13897</v>
      </c>
      <c r="DP848" t="s">
        <v>25733</v>
      </c>
      <c r="DQ848" t="s">
        <v>13897</v>
      </c>
      <c r="DY848" t="s">
        <v>13900</v>
      </c>
      <c r="DZ848" t="s">
        <v>25734</v>
      </c>
      <c r="EA848" t="s">
        <v>16557</v>
      </c>
      <c r="ED848" t="s">
        <v>13903</v>
      </c>
      <c r="EE848" t="s">
        <v>4996</v>
      </c>
    </row>
    <row r="849" spans="1:135">
      <c r="A849" t="s">
        <v>555</v>
      </c>
      <c r="B849" t="s">
        <v>445</v>
      </c>
      <c r="C849" t="s">
        <v>25735</v>
      </c>
      <c r="D849" s="24">
        <v>44169</v>
      </c>
      <c r="E849" s="24" t="s">
        <v>13558</v>
      </c>
      <c r="F849" s="24" t="s">
        <v>25736</v>
      </c>
      <c r="G849" s="24" t="s">
        <v>13808</v>
      </c>
      <c r="H849" s="24"/>
      <c r="I849" s="24" t="s">
        <v>13809</v>
      </c>
      <c r="J849" s="24"/>
      <c r="K849" s="24" t="s">
        <v>13809</v>
      </c>
      <c r="L849" s="24"/>
      <c r="M849" s="24" t="s">
        <v>15805</v>
      </c>
      <c r="N849" s="24" t="s">
        <v>13808</v>
      </c>
      <c r="O849" s="24"/>
      <c r="P849" s="24" t="s">
        <v>13808</v>
      </c>
      <c r="Q849" s="24"/>
      <c r="R849" s="24" t="s">
        <v>13808</v>
      </c>
      <c r="S849" s="24"/>
      <c r="T849" t="s">
        <v>25737</v>
      </c>
      <c r="U849" t="s">
        <v>13809</v>
      </c>
      <c r="W849" t="s">
        <v>13818</v>
      </c>
      <c r="X849" t="s">
        <v>25738</v>
      </c>
      <c r="Y849" t="s">
        <v>14262</v>
      </c>
      <c r="AA849" t="s">
        <v>25739</v>
      </c>
      <c r="AB849" t="s">
        <v>16048</v>
      </c>
      <c r="AC849" t="s">
        <v>13808</v>
      </c>
      <c r="AH849" t="s">
        <v>13909</v>
      </c>
      <c r="AI849" t="s">
        <v>13818</v>
      </c>
      <c r="AJ849" t="s">
        <v>15808</v>
      </c>
      <c r="AO849" t="s">
        <v>13809</v>
      </c>
      <c r="AU849" t="s">
        <v>13809</v>
      </c>
      <c r="AZ849" t="s">
        <v>14006</v>
      </c>
      <c r="BA849" t="s">
        <v>13818</v>
      </c>
      <c r="BB849" t="s">
        <v>15808</v>
      </c>
      <c r="BG849" t="s">
        <v>13809</v>
      </c>
      <c r="BM849" t="s">
        <v>13809</v>
      </c>
      <c r="BR849" t="s">
        <v>25740</v>
      </c>
      <c r="BT849" t="s">
        <v>13809</v>
      </c>
      <c r="BZ849" t="s">
        <v>13809</v>
      </c>
      <c r="CF849" t="s">
        <v>13809</v>
      </c>
      <c r="CK849" t="s">
        <v>13887</v>
      </c>
      <c r="CL849" t="s">
        <v>13808</v>
      </c>
      <c r="CR849" t="s">
        <v>13809</v>
      </c>
      <c r="CT849" t="s">
        <v>14459</v>
      </c>
      <c r="CU849" t="s">
        <v>25741</v>
      </c>
      <c r="CV849" t="s">
        <v>13818</v>
      </c>
      <c r="DA849" t="s">
        <v>25742</v>
      </c>
      <c r="DB849" t="s">
        <v>13818</v>
      </c>
      <c r="DG849" t="s">
        <v>25743</v>
      </c>
      <c r="DH849" t="s">
        <v>13818</v>
      </c>
      <c r="DM849" t="s">
        <v>25744</v>
      </c>
      <c r="DN849" t="s">
        <v>13818</v>
      </c>
      <c r="DY849" t="s">
        <v>15296</v>
      </c>
      <c r="DZ849" t="s">
        <v>25745</v>
      </c>
      <c r="EA849" t="s">
        <v>14461</v>
      </c>
      <c r="ED849" t="s">
        <v>14608</v>
      </c>
      <c r="EE849" t="s">
        <v>5000</v>
      </c>
    </row>
    <row r="850" spans="1:135">
      <c r="A850" t="s">
        <v>352</v>
      </c>
      <c r="B850" t="s">
        <v>287</v>
      </c>
      <c r="C850" t="s">
        <v>25746</v>
      </c>
      <c r="D850" s="24">
        <v>43164</v>
      </c>
      <c r="E850" s="24" t="s">
        <v>13557</v>
      </c>
      <c r="F850" s="24" t="s">
        <v>25747</v>
      </c>
      <c r="G850" s="24" t="s">
        <v>13808</v>
      </c>
      <c r="H850" s="24"/>
      <c r="I850" s="24" t="s">
        <v>13809</v>
      </c>
      <c r="J850" s="24"/>
      <c r="K850" s="24" t="s">
        <v>13808</v>
      </c>
      <c r="L850" s="24" t="s">
        <v>25748</v>
      </c>
      <c r="M850" s="24" t="s">
        <v>25749</v>
      </c>
      <c r="N850" s="24" t="s">
        <v>13808</v>
      </c>
      <c r="O850" s="24"/>
      <c r="P850" s="24" t="s">
        <v>13808</v>
      </c>
      <c r="Q850" s="24"/>
      <c r="R850" s="24" t="s">
        <v>13808</v>
      </c>
      <c r="S850" s="24"/>
      <c r="T850" t="s">
        <v>13875</v>
      </c>
      <c r="U850" t="s">
        <v>13809</v>
      </c>
      <c r="W850" t="s">
        <v>13808</v>
      </c>
      <c r="X850" t="s">
        <v>25750</v>
      </c>
      <c r="Y850" t="s">
        <v>13809</v>
      </c>
      <c r="AA850" t="s">
        <v>15186</v>
      </c>
      <c r="AB850" t="s">
        <v>18762</v>
      </c>
      <c r="AC850" t="s">
        <v>13808</v>
      </c>
      <c r="AH850" t="s">
        <v>13909</v>
      </c>
      <c r="AI850" t="s">
        <v>13808</v>
      </c>
      <c r="AN850" t="s">
        <v>25751</v>
      </c>
      <c r="AO850" t="s">
        <v>13808</v>
      </c>
      <c r="AT850" t="s">
        <v>25752</v>
      </c>
      <c r="AU850" t="s">
        <v>13808</v>
      </c>
      <c r="AZ850" t="s">
        <v>25753</v>
      </c>
      <c r="BA850" t="s">
        <v>13808</v>
      </c>
      <c r="BF850" t="s">
        <v>14544</v>
      </c>
      <c r="BG850" t="s">
        <v>13808</v>
      </c>
      <c r="BL850" t="s">
        <v>19791</v>
      </c>
      <c r="BM850" t="s">
        <v>13808</v>
      </c>
      <c r="BR850" t="s">
        <v>25754</v>
      </c>
      <c r="BS850" t="s">
        <v>13885</v>
      </c>
      <c r="BT850" t="s">
        <v>13808</v>
      </c>
      <c r="BU850" t="s">
        <v>14147</v>
      </c>
      <c r="BY850" t="s">
        <v>19026</v>
      </c>
      <c r="BZ850" t="s">
        <v>13808</v>
      </c>
      <c r="CA850" t="s">
        <v>13937</v>
      </c>
      <c r="CE850" t="s">
        <v>13885</v>
      </c>
      <c r="CF850" t="s">
        <v>13808</v>
      </c>
      <c r="CL850" t="s">
        <v>13809</v>
      </c>
      <c r="CR850" t="s">
        <v>13809</v>
      </c>
      <c r="CT850" t="s">
        <v>25755</v>
      </c>
      <c r="DM850" t="s">
        <v>13909</v>
      </c>
      <c r="DN850" t="s">
        <v>13808</v>
      </c>
      <c r="DO850" t="s">
        <v>20606</v>
      </c>
      <c r="DZ850" t="s">
        <v>14274</v>
      </c>
      <c r="EA850" t="s">
        <v>13996</v>
      </c>
      <c r="EC850">
        <v>44201</v>
      </c>
      <c r="ED850" t="s">
        <v>13903</v>
      </c>
      <c r="EE850" t="s">
        <v>4792</v>
      </c>
    </row>
    <row r="851" spans="1:135">
      <c r="A851" t="s">
        <v>996</v>
      </c>
      <c r="B851" t="s">
        <v>914</v>
      </c>
      <c r="C851" t="s">
        <v>25756</v>
      </c>
      <c r="D851" s="24">
        <v>43133</v>
      </c>
      <c r="E851" s="24" t="s">
        <v>13558</v>
      </c>
      <c r="F851" s="24" t="s">
        <v>25757</v>
      </c>
      <c r="G851" s="24" t="s">
        <v>13808</v>
      </c>
      <c r="H851" s="24"/>
      <c r="I851" s="24" t="s">
        <v>13809</v>
      </c>
      <c r="J851" s="24"/>
      <c r="K851" s="24" t="s">
        <v>13809</v>
      </c>
      <c r="L851" s="24"/>
      <c r="M851" s="24" t="s">
        <v>15163</v>
      </c>
      <c r="N851" s="24" t="s">
        <v>13808</v>
      </c>
      <c r="O851" s="24"/>
      <c r="P851" s="24" t="s">
        <v>13808</v>
      </c>
      <c r="Q851" s="24"/>
      <c r="R851" s="24" t="s">
        <v>13808</v>
      </c>
      <c r="S851" s="24"/>
      <c r="T851" t="s">
        <v>15222</v>
      </c>
      <c r="U851" t="s">
        <v>13809</v>
      </c>
      <c r="W851" t="s">
        <v>13809</v>
      </c>
      <c r="Y851" t="s">
        <v>13809</v>
      </c>
      <c r="AA851" t="s">
        <v>14551</v>
      </c>
      <c r="AC851" t="s">
        <v>13809</v>
      </c>
      <c r="AH851" t="s">
        <v>13887</v>
      </c>
      <c r="AI851" t="s">
        <v>13808</v>
      </c>
      <c r="AK851" t="s">
        <v>25758</v>
      </c>
      <c r="AL851" t="s">
        <v>13818</v>
      </c>
      <c r="AM851" t="s">
        <v>14309</v>
      </c>
      <c r="AO851" t="s">
        <v>13809</v>
      </c>
      <c r="AU851" t="s">
        <v>13809</v>
      </c>
      <c r="AZ851" t="s">
        <v>25759</v>
      </c>
      <c r="BA851" t="s">
        <v>13808</v>
      </c>
      <c r="BF851" t="s">
        <v>14370</v>
      </c>
      <c r="BG851" t="s">
        <v>13818</v>
      </c>
      <c r="BH851" t="s">
        <v>14309</v>
      </c>
      <c r="BM851" t="s">
        <v>13809</v>
      </c>
      <c r="BR851" t="s">
        <v>25220</v>
      </c>
      <c r="BS851" t="s">
        <v>25760</v>
      </c>
      <c r="BT851" t="s">
        <v>13808</v>
      </c>
      <c r="BU851" t="s">
        <v>14641</v>
      </c>
      <c r="BY851" t="s">
        <v>25761</v>
      </c>
      <c r="BZ851" t="s">
        <v>13808</v>
      </c>
      <c r="CA851" t="s">
        <v>13861</v>
      </c>
      <c r="CE851" t="s">
        <v>13887</v>
      </c>
      <c r="CF851" t="s">
        <v>13808</v>
      </c>
      <c r="CL851" t="s">
        <v>13809</v>
      </c>
      <c r="CR851" t="s">
        <v>13809</v>
      </c>
      <c r="CT851" t="s">
        <v>14781</v>
      </c>
      <c r="CU851" t="s">
        <v>13909</v>
      </c>
      <c r="CV851" t="s">
        <v>13818</v>
      </c>
      <c r="DA851" t="s">
        <v>13909</v>
      </c>
      <c r="DB851" t="s">
        <v>13818</v>
      </c>
      <c r="DG851" t="s">
        <v>13909</v>
      </c>
      <c r="DH851" t="s">
        <v>13818</v>
      </c>
      <c r="DZ851" t="s">
        <v>14923</v>
      </c>
      <c r="EA851" t="s">
        <v>25702</v>
      </c>
      <c r="EC851">
        <v>44201</v>
      </c>
      <c r="ED851" t="s">
        <v>13903</v>
      </c>
      <c r="EE851" t="s">
        <v>5388</v>
      </c>
    </row>
    <row r="852" spans="1:135">
      <c r="A852" t="s">
        <v>359</v>
      </c>
      <c r="B852" t="s">
        <v>287</v>
      </c>
      <c r="C852" t="s">
        <v>25762</v>
      </c>
      <c r="D852" s="24">
        <v>44755</v>
      </c>
      <c r="E852" s="24" t="s">
        <v>13553</v>
      </c>
      <c r="F852" s="24" t="s">
        <v>25763</v>
      </c>
      <c r="G852" s="24" t="s">
        <v>13808</v>
      </c>
      <c r="H852" s="24"/>
      <c r="I852" s="24" t="s">
        <v>13809</v>
      </c>
      <c r="J852" s="24"/>
      <c r="K852" s="24" t="s">
        <v>13809</v>
      </c>
      <c r="L852" s="24"/>
      <c r="M852" s="24" t="s">
        <v>13846</v>
      </c>
      <c r="N852" s="24" t="s">
        <v>13808</v>
      </c>
      <c r="O852" s="24"/>
      <c r="P852" s="24" t="s">
        <v>13808</v>
      </c>
      <c r="Q852" s="24"/>
      <c r="R852" s="24" t="s">
        <v>13808</v>
      </c>
      <c r="S852" s="24"/>
      <c r="T852" t="s">
        <v>13847</v>
      </c>
      <c r="U852" t="s">
        <v>13809</v>
      </c>
      <c r="W852" t="s">
        <v>13808</v>
      </c>
      <c r="X852" t="s">
        <v>25764</v>
      </c>
      <c r="Y852" t="s">
        <v>13808</v>
      </c>
      <c r="AA852" t="s">
        <v>13849</v>
      </c>
      <c r="AB852" t="s">
        <v>15370</v>
      </c>
      <c r="AC852" t="s">
        <v>13808</v>
      </c>
      <c r="AH852" t="s">
        <v>13851</v>
      </c>
      <c r="AI852" t="s">
        <v>13808</v>
      </c>
      <c r="AN852" t="s">
        <v>25765</v>
      </c>
      <c r="AO852" t="s">
        <v>13808</v>
      </c>
      <c r="AT852" t="s">
        <v>22004</v>
      </c>
      <c r="AU852" t="s">
        <v>13808</v>
      </c>
      <c r="AZ852" t="s">
        <v>25766</v>
      </c>
      <c r="BA852" t="s">
        <v>13808</v>
      </c>
      <c r="BF852" t="s">
        <v>25767</v>
      </c>
      <c r="BG852" t="s">
        <v>13808</v>
      </c>
      <c r="BL852" t="s">
        <v>13735</v>
      </c>
      <c r="BM852" t="s">
        <v>13809</v>
      </c>
      <c r="BR852" t="s">
        <v>25768</v>
      </c>
      <c r="BS852" t="s">
        <v>14213</v>
      </c>
      <c r="BT852" t="s">
        <v>13808</v>
      </c>
      <c r="BU852" t="s">
        <v>24054</v>
      </c>
      <c r="BY852" t="s">
        <v>13986</v>
      </c>
      <c r="BZ852" t="s">
        <v>13808</v>
      </c>
      <c r="CA852" t="s">
        <v>13937</v>
      </c>
      <c r="CE852" t="s">
        <v>13828</v>
      </c>
      <c r="CF852" t="s">
        <v>13808</v>
      </c>
      <c r="CK852" t="s">
        <v>13760</v>
      </c>
      <c r="CL852" t="s">
        <v>13809</v>
      </c>
      <c r="CQ852" t="s">
        <v>13766</v>
      </c>
      <c r="CR852" t="s">
        <v>13809</v>
      </c>
      <c r="CT852" t="s">
        <v>25769</v>
      </c>
      <c r="CU852" t="s">
        <v>25770</v>
      </c>
      <c r="CV852" t="s">
        <v>13808</v>
      </c>
      <c r="CX852" t="s">
        <v>25771</v>
      </c>
      <c r="CY852" t="s">
        <v>13818</v>
      </c>
      <c r="CZ852" t="s">
        <v>25772</v>
      </c>
      <c r="DA852" t="s">
        <v>25773</v>
      </c>
      <c r="DB852" t="s">
        <v>13808</v>
      </c>
      <c r="DD852" t="s">
        <v>25774</v>
      </c>
      <c r="DE852" t="s">
        <v>13818</v>
      </c>
      <c r="DF852" t="s">
        <v>25772</v>
      </c>
      <c r="DM852" t="s">
        <v>25775</v>
      </c>
      <c r="DN852" t="s">
        <v>13808</v>
      </c>
      <c r="DY852" t="s">
        <v>13840</v>
      </c>
      <c r="DZ852" t="s">
        <v>25776</v>
      </c>
      <c r="EA852" t="s">
        <v>14182</v>
      </c>
      <c r="EC852">
        <v>44755</v>
      </c>
      <c r="ED852" t="s">
        <v>17062</v>
      </c>
      <c r="EE852" t="s">
        <v>4798</v>
      </c>
    </row>
    <row r="853" spans="1:135">
      <c r="A853" t="s">
        <v>367</v>
      </c>
      <c r="B853" t="s">
        <v>287</v>
      </c>
      <c r="C853" t="s">
        <v>25777</v>
      </c>
      <c r="D853" s="24">
        <v>44755</v>
      </c>
      <c r="E853" s="24" t="s">
        <v>13553</v>
      </c>
      <c r="F853" s="24" t="s">
        <v>25778</v>
      </c>
      <c r="G853" s="24" t="s">
        <v>13808</v>
      </c>
      <c r="H853" s="24"/>
      <c r="I853" s="24" t="s">
        <v>13809</v>
      </c>
      <c r="J853" s="24"/>
      <c r="K853" s="24" t="s">
        <v>13809</v>
      </c>
      <c r="L853" s="24"/>
      <c r="M853" s="24" t="s">
        <v>13846</v>
      </c>
      <c r="N853" s="24" t="s">
        <v>13808</v>
      </c>
      <c r="O853" s="24"/>
      <c r="P853" s="24" t="s">
        <v>13808</v>
      </c>
      <c r="Q853" s="24"/>
      <c r="R853" s="24" t="s">
        <v>13808</v>
      </c>
      <c r="S853" s="24"/>
      <c r="T853" t="s">
        <v>16463</v>
      </c>
      <c r="U853" t="s">
        <v>13809</v>
      </c>
      <c r="W853" t="s">
        <v>13808</v>
      </c>
      <c r="X853" t="s">
        <v>20681</v>
      </c>
      <c r="Y853" t="s">
        <v>13808</v>
      </c>
      <c r="AA853" t="s">
        <v>13849</v>
      </c>
      <c r="AB853" t="s">
        <v>25779</v>
      </c>
      <c r="AC853" t="s">
        <v>13808</v>
      </c>
      <c r="AH853" t="s">
        <v>13851</v>
      </c>
      <c r="AI853" t="s">
        <v>13808</v>
      </c>
      <c r="AN853" t="s">
        <v>25780</v>
      </c>
      <c r="AO853" t="s">
        <v>13808</v>
      </c>
      <c r="AT853" t="s">
        <v>15983</v>
      </c>
      <c r="AU853" t="s">
        <v>13808</v>
      </c>
      <c r="AZ853" t="s">
        <v>25781</v>
      </c>
      <c r="BA853" t="s">
        <v>13808</v>
      </c>
      <c r="BF853" t="s">
        <v>25782</v>
      </c>
      <c r="BG853" t="s">
        <v>13808</v>
      </c>
      <c r="BL853" t="s">
        <v>25783</v>
      </c>
      <c r="BM853" t="s">
        <v>13808</v>
      </c>
      <c r="BR853" t="s">
        <v>25784</v>
      </c>
      <c r="BS853" t="s">
        <v>14213</v>
      </c>
      <c r="BT853" t="s">
        <v>13808</v>
      </c>
      <c r="BU853" t="s">
        <v>14913</v>
      </c>
      <c r="BY853" t="s">
        <v>14337</v>
      </c>
      <c r="BZ853" t="s">
        <v>13808</v>
      </c>
      <c r="CA853" t="s">
        <v>17071</v>
      </c>
      <c r="CE853" t="s">
        <v>13938</v>
      </c>
      <c r="CF853" t="s">
        <v>13808</v>
      </c>
      <c r="CG853" t="s">
        <v>13863</v>
      </c>
      <c r="CK853" t="s">
        <v>25785</v>
      </c>
      <c r="CL853" t="s">
        <v>13808</v>
      </c>
      <c r="CM853" t="s">
        <v>13863</v>
      </c>
      <c r="CQ853" t="s">
        <v>13766</v>
      </c>
      <c r="CR853" t="s">
        <v>13809</v>
      </c>
      <c r="CT853" t="s">
        <v>25786</v>
      </c>
      <c r="CU853" t="s">
        <v>25787</v>
      </c>
      <c r="CV853" t="s">
        <v>13808</v>
      </c>
      <c r="DA853" t="s">
        <v>25788</v>
      </c>
      <c r="DB853" t="s">
        <v>13808</v>
      </c>
      <c r="DM853" t="s">
        <v>25789</v>
      </c>
      <c r="DN853" t="s">
        <v>13808</v>
      </c>
      <c r="DP853" t="s">
        <v>25790</v>
      </c>
      <c r="DQ853" t="s">
        <v>13808</v>
      </c>
      <c r="DR853" t="s">
        <v>13839</v>
      </c>
      <c r="DY853" t="s">
        <v>13840</v>
      </c>
      <c r="DZ853" t="s">
        <v>25791</v>
      </c>
      <c r="EA853" t="s">
        <v>13871</v>
      </c>
      <c r="EC853">
        <v>44756</v>
      </c>
      <c r="ED853" t="s">
        <v>17062</v>
      </c>
      <c r="EE853" t="s">
        <v>4800</v>
      </c>
    </row>
    <row r="854" spans="1:135">
      <c r="A854" t="s">
        <v>560</v>
      </c>
      <c r="B854" t="s">
        <v>445</v>
      </c>
      <c r="C854" t="s">
        <v>25792</v>
      </c>
      <c r="D854" s="24">
        <v>43313</v>
      </c>
      <c r="E854" s="24" t="s">
        <v>13553</v>
      </c>
      <c r="F854" s="24" t="s">
        <v>25793</v>
      </c>
      <c r="G854" s="24" t="s">
        <v>13808</v>
      </c>
      <c r="H854" s="24"/>
      <c r="I854" s="24" t="s">
        <v>13809</v>
      </c>
      <c r="J854" s="24"/>
      <c r="K854" s="24" t="s">
        <v>13809</v>
      </c>
      <c r="L854" s="24"/>
      <c r="M854" s="24" t="s">
        <v>25794</v>
      </c>
      <c r="N854" s="24" t="s">
        <v>13808</v>
      </c>
      <c r="O854" s="24"/>
      <c r="P854" s="24" t="s">
        <v>13808</v>
      </c>
      <c r="Q854" s="24"/>
      <c r="R854" s="24" t="s">
        <v>13808</v>
      </c>
      <c r="S854" s="24"/>
      <c r="T854" t="s">
        <v>13847</v>
      </c>
      <c r="U854" t="s">
        <v>13808</v>
      </c>
      <c r="W854" t="s">
        <v>13808</v>
      </c>
      <c r="X854" t="s">
        <v>25795</v>
      </c>
      <c r="Y854" t="s">
        <v>13809</v>
      </c>
      <c r="AA854" t="s">
        <v>25796</v>
      </c>
      <c r="AB854" t="s">
        <v>14367</v>
      </c>
      <c r="AC854" t="s">
        <v>13808</v>
      </c>
      <c r="AH854" t="s">
        <v>13909</v>
      </c>
      <c r="AI854" t="s">
        <v>13808</v>
      </c>
      <c r="AN854" t="s">
        <v>25797</v>
      </c>
      <c r="AO854" t="s">
        <v>13808</v>
      </c>
      <c r="AT854" t="s">
        <v>14189</v>
      </c>
      <c r="AU854" t="s">
        <v>13808</v>
      </c>
      <c r="AZ854" t="s">
        <v>14169</v>
      </c>
      <c r="BA854" t="s">
        <v>13808</v>
      </c>
      <c r="BF854" t="s">
        <v>14022</v>
      </c>
      <c r="BG854" t="s">
        <v>13808</v>
      </c>
      <c r="BL854" t="s">
        <v>25798</v>
      </c>
      <c r="BM854" t="s">
        <v>13808</v>
      </c>
      <c r="BR854" t="s">
        <v>25799</v>
      </c>
      <c r="BT854" t="s">
        <v>13809</v>
      </c>
      <c r="BY854" t="s">
        <v>13887</v>
      </c>
      <c r="BZ854" t="s">
        <v>13808</v>
      </c>
      <c r="CA854" t="s">
        <v>13937</v>
      </c>
      <c r="CE854" t="s">
        <v>13885</v>
      </c>
      <c r="CF854" t="s">
        <v>13808</v>
      </c>
      <c r="CL854" t="s">
        <v>13809</v>
      </c>
      <c r="CR854" t="s">
        <v>13809</v>
      </c>
      <c r="CT854" t="s">
        <v>25800</v>
      </c>
      <c r="CU854" t="s">
        <v>13909</v>
      </c>
      <c r="CV854" t="s">
        <v>13808</v>
      </c>
      <c r="DA854" t="s">
        <v>13909</v>
      </c>
      <c r="DB854" t="s">
        <v>13808</v>
      </c>
      <c r="DH854" t="s">
        <v>13809</v>
      </c>
      <c r="DM854" t="s">
        <v>13909</v>
      </c>
      <c r="DN854" t="s">
        <v>13808</v>
      </c>
      <c r="DZ854" t="s">
        <v>25801</v>
      </c>
      <c r="EA854" t="s">
        <v>25802</v>
      </c>
      <c r="EC854">
        <v>43480</v>
      </c>
      <c r="ED854" t="s">
        <v>13903</v>
      </c>
      <c r="EE854" t="s">
        <v>5003</v>
      </c>
    </row>
    <row r="855" spans="1:135">
      <c r="A855" t="s">
        <v>564</v>
      </c>
      <c r="B855" t="s">
        <v>445</v>
      </c>
      <c r="C855" t="s">
        <v>25803</v>
      </c>
      <c r="D855" s="24">
        <v>44755</v>
      </c>
      <c r="E855" s="24" t="s">
        <v>13553</v>
      </c>
      <c r="F855" s="24" t="s">
        <v>25804</v>
      </c>
      <c r="G855" s="24" t="s">
        <v>13808</v>
      </c>
      <c r="H855" s="24"/>
      <c r="I855" s="24" t="s">
        <v>13809</v>
      </c>
      <c r="J855" s="24"/>
      <c r="K855" s="24" t="s">
        <v>13809</v>
      </c>
      <c r="L855" s="24"/>
      <c r="M855" s="24" t="s">
        <v>13846</v>
      </c>
      <c r="N855" s="24" t="s">
        <v>13808</v>
      </c>
      <c r="O855" s="24"/>
      <c r="P855" s="24" t="s">
        <v>13808</v>
      </c>
      <c r="Q855" s="24"/>
      <c r="R855" s="24" t="s">
        <v>13808</v>
      </c>
      <c r="S855" s="24"/>
      <c r="T855" t="s">
        <v>13907</v>
      </c>
      <c r="U855" t="s">
        <v>13808</v>
      </c>
      <c r="W855" t="s">
        <v>13808</v>
      </c>
      <c r="X855" t="s">
        <v>25805</v>
      </c>
      <c r="Y855" t="s">
        <v>13809</v>
      </c>
      <c r="AA855" t="s">
        <v>13849</v>
      </c>
      <c r="AB855" t="s">
        <v>13850</v>
      </c>
      <c r="AC855" t="s">
        <v>13809</v>
      </c>
      <c r="AH855" t="s">
        <v>14073</v>
      </c>
      <c r="AI855" t="s">
        <v>13808</v>
      </c>
      <c r="AN855" t="s">
        <v>25806</v>
      </c>
      <c r="AO855" t="s">
        <v>13808</v>
      </c>
      <c r="AT855" t="s">
        <v>25807</v>
      </c>
      <c r="AU855" t="s">
        <v>13808</v>
      </c>
      <c r="AZ855" t="s">
        <v>21482</v>
      </c>
      <c r="BA855" t="s">
        <v>13808</v>
      </c>
      <c r="BF855" t="s">
        <v>25808</v>
      </c>
      <c r="BG855" t="s">
        <v>13808</v>
      </c>
      <c r="BL855" t="s">
        <v>25809</v>
      </c>
      <c r="BM855" t="s">
        <v>13808</v>
      </c>
      <c r="BR855" t="s">
        <v>25810</v>
      </c>
      <c r="BS855" t="s">
        <v>13824</v>
      </c>
      <c r="BT855" t="s">
        <v>13808</v>
      </c>
      <c r="BU855" t="s">
        <v>13985</v>
      </c>
      <c r="BY855" t="s">
        <v>14337</v>
      </c>
      <c r="BZ855" t="s">
        <v>13808</v>
      </c>
      <c r="CA855" t="s">
        <v>13937</v>
      </c>
      <c r="CE855" t="s">
        <v>14292</v>
      </c>
      <c r="CF855" t="s">
        <v>13808</v>
      </c>
      <c r="CK855" t="s">
        <v>13760</v>
      </c>
      <c r="CL855" t="s">
        <v>13809</v>
      </c>
      <c r="CQ855" t="s">
        <v>13766</v>
      </c>
      <c r="CR855" t="s">
        <v>13809</v>
      </c>
      <c r="CT855" t="s">
        <v>25811</v>
      </c>
      <c r="CU855" t="s">
        <v>25812</v>
      </c>
      <c r="CV855" t="s">
        <v>13808</v>
      </c>
      <c r="DA855" t="s">
        <v>25813</v>
      </c>
      <c r="DB855" t="s">
        <v>13808</v>
      </c>
      <c r="DM855" t="s">
        <v>25814</v>
      </c>
      <c r="DN855" t="s">
        <v>13808</v>
      </c>
      <c r="DP855" t="s">
        <v>25815</v>
      </c>
      <c r="DQ855" t="s">
        <v>13808</v>
      </c>
      <c r="DR855" t="s">
        <v>13839</v>
      </c>
      <c r="DY855" t="s">
        <v>13869</v>
      </c>
      <c r="DZ855" t="s">
        <v>25816</v>
      </c>
      <c r="EA855" t="s">
        <v>14182</v>
      </c>
      <c r="EC855">
        <v>44756</v>
      </c>
      <c r="ED855" t="s">
        <v>17062</v>
      </c>
      <c r="EE855" t="s">
        <v>5007</v>
      </c>
    </row>
    <row r="856" spans="1:135">
      <c r="A856" t="s">
        <v>568</v>
      </c>
      <c r="B856" t="s">
        <v>445</v>
      </c>
      <c r="C856" t="s">
        <v>25817</v>
      </c>
      <c r="D856" s="24">
        <v>43313</v>
      </c>
      <c r="E856" s="24" t="s">
        <v>13555</v>
      </c>
      <c r="F856" s="24" t="s">
        <v>25818</v>
      </c>
      <c r="G856" s="24" t="s">
        <v>13808</v>
      </c>
      <c r="H856" s="24"/>
      <c r="I856" s="24" t="s">
        <v>13809</v>
      </c>
      <c r="J856" s="24"/>
      <c r="K856" s="24" t="s">
        <v>13809</v>
      </c>
      <c r="L856" s="24"/>
      <c r="M856" s="24" t="s">
        <v>14163</v>
      </c>
      <c r="N856" s="24" t="s">
        <v>13808</v>
      </c>
      <c r="O856" s="24"/>
      <c r="P856" s="24" t="s">
        <v>13808</v>
      </c>
      <c r="Q856" s="24"/>
      <c r="R856" s="24" t="s">
        <v>13808</v>
      </c>
      <c r="S856" s="24" t="s">
        <v>25819</v>
      </c>
      <c r="T856" t="s">
        <v>25820</v>
      </c>
      <c r="U856" t="s">
        <v>13808</v>
      </c>
      <c r="W856" t="s">
        <v>13808</v>
      </c>
      <c r="X856" t="s">
        <v>25821</v>
      </c>
      <c r="Y856" t="s">
        <v>13809</v>
      </c>
      <c r="AA856" t="s">
        <v>14971</v>
      </c>
      <c r="AB856" t="s">
        <v>16105</v>
      </c>
      <c r="AC856" t="s">
        <v>13808</v>
      </c>
      <c r="AH856" t="s">
        <v>19073</v>
      </c>
      <c r="AI856" t="s">
        <v>13808</v>
      </c>
      <c r="AO856" t="s">
        <v>13809</v>
      </c>
      <c r="AT856" t="s">
        <v>14732</v>
      </c>
      <c r="AU856" t="s">
        <v>13808</v>
      </c>
      <c r="AZ856" t="s">
        <v>15071</v>
      </c>
      <c r="BA856" t="s">
        <v>13808</v>
      </c>
      <c r="BF856" t="s">
        <v>22526</v>
      </c>
      <c r="BG856" t="s">
        <v>13808</v>
      </c>
      <c r="BL856" t="s">
        <v>25822</v>
      </c>
      <c r="BM856" t="s">
        <v>13808</v>
      </c>
      <c r="BR856" t="s">
        <v>25823</v>
      </c>
      <c r="BT856" t="s">
        <v>13809</v>
      </c>
      <c r="BY856" t="s">
        <v>15138</v>
      </c>
      <c r="BZ856" t="s">
        <v>13808</v>
      </c>
      <c r="CA856" t="s">
        <v>13937</v>
      </c>
      <c r="CF856" t="s">
        <v>13809</v>
      </c>
      <c r="CK856" t="s">
        <v>14693</v>
      </c>
      <c r="CL856" t="s">
        <v>13808</v>
      </c>
      <c r="CM856" t="s">
        <v>17311</v>
      </c>
      <c r="CR856" t="s">
        <v>13809</v>
      </c>
      <c r="CT856" t="s">
        <v>25824</v>
      </c>
      <c r="CU856" t="s">
        <v>19073</v>
      </c>
      <c r="CV856" t="s">
        <v>13808</v>
      </c>
      <c r="DA856" t="s">
        <v>19073</v>
      </c>
      <c r="DB856" t="s">
        <v>13808</v>
      </c>
      <c r="DM856" t="s">
        <v>19073</v>
      </c>
      <c r="DN856" t="s">
        <v>13808</v>
      </c>
      <c r="DZ856" t="s">
        <v>25825</v>
      </c>
      <c r="EA856" t="s">
        <v>25826</v>
      </c>
      <c r="EC856">
        <v>44202</v>
      </c>
      <c r="ED856" t="s">
        <v>13903</v>
      </c>
      <c r="EE856" t="s">
        <v>5011</v>
      </c>
    </row>
    <row r="857" spans="1:135">
      <c r="A857" t="s">
        <v>375</v>
      </c>
      <c r="B857" t="s">
        <v>287</v>
      </c>
      <c r="C857" t="s">
        <v>25827</v>
      </c>
      <c r="D857" s="24">
        <v>44755</v>
      </c>
      <c r="E857" s="24" t="s">
        <v>13553</v>
      </c>
      <c r="F857" s="24" t="s">
        <v>25828</v>
      </c>
      <c r="G857" s="24" t="s">
        <v>13808</v>
      </c>
      <c r="H857" s="24"/>
      <c r="I857" s="24" t="s">
        <v>13809</v>
      </c>
      <c r="J857" s="24"/>
      <c r="K857" s="24" t="s">
        <v>13808</v>
      </c>
      <c r="L857" s="24"/>
      <c r="M857" s="24" t="s">
        <v>13846</v>
      </c>
      <c r="N857" s="24" t="s">
        <v>13808</v>
      </c>
      <c r="O857" s="24"/>
      <c r="P857" s="24" t="s">
        <v>13808</v>
      </c>
      <c r="Q857" s="24"/>
      <c r="R857" s="24" t="s">
        <v>13808</v>
      </c>
      <c r="S857" s="24"/>
      <c r="T857" t="s">
        <v>13847</v>
      </c>
      <c r="U857" t="s">
        <v>13809</v>
      </c>
      <c r="W857" t="s">
        <v>13808</v>
      </c>
      <c r="X857" t="s">
        <v>25829</v>
      </c>
      <c r="Y857" t="s">
        <v>13809</v>
      </c>
      <c r="AA857" t="s">
        <v>13849</v>
      </c>
      <c r="AB857" t="s">
        <v>13699</v>
      </c>
      <c r="AC857" t="s">
        <v>13809</v>
      </c>
      <c r="AH857" t="s">
        <v>13851</v>
      </c>
      <c r="AI857" t="s">
        <v>13808</v>
      </c>
      <c r="AN857" t="s">
        <v>13711</v>
      </c>
      <c r="AO857" t="s">
        <v>13809</v>
      </c>
      <c r="AT857" t="s">
        <v>18210</v>
      </c>
      <c r="AU857" t="s">
        <v>13808</v>
      </c>
      <c r="AZ857" t="s">
        <v>17669</v>
      </c>
      <c r="BA857" t="s">
        <v>13808</v>
      </c>
      <c r="BF857" t="s">
        <v>25830</v>
      </c>
      <c r="BG857" t="s">
        <v>13808</v>
      </c>
      <c r="BL857" t="s">
        <v>25831</v>
      </c>
      <c r="BM857" t="s">
        <v>13808</v>
      </c>
      <c r="BR857" t="s">
        <v>25832</v>
      </c>
      <c r="BS857" t="s">
        <v>13742</v>
      </c>
      <c r="BT857" t="s">
        <v>13809</v>
      </c>
      <c r="BY857" t="s">
        <v>14148</v>
      </c>
      <c r="BZ857" t="s">
        <v>13808</v>
      </c>
      <c r="CA857" t="s">
        <v>13861</v>
      </c>
      <c r="CE857" t="s">
        <v>14292</v>
      </c>
      <c r="CF857" t="s">
        <v>13808</v>
      </c>
      <c r="CG857" t="s">
        <v>14291</v>
      </c>
      <c r="CK857" t="s">
        <v>25833</v>
      </c>
      <c r="CL857" t="s">
        <v>13808</v>
      </c>
      <c r="CQ857" t="s">
        <v>13766</v>
      </c>
      <c r="CR857" t="s">
        <v>13809</v>
      </c>
      <c r="CT857" t="s">
        <v>14293</v>
      </c>
      <c r="CU857" t="s">
        <v>25834</v>
      </c>
      <c r="CV857" t="s">
        <v>13808</v>
      </c>
      <c r="DA857" t="s">
        <v>25835</v>
      </c>
      <c r="DB857" t="s">
        <v>13808</v>
      </c>
      <c r="DM857" t="s">
        <v>25836</v>
      </c>
      <c r="DN857" t="s">
        <v>13808</v>
      </c>
      <c r="DY857" t="s">
        <v>13869</v>
      </c>
      <c r="DZ857" t="s">
        <v>22713</v>
      </c>
      <c r="EA857" t="s">
        <v>13871</v>
      </c>
      <c r="EC857">
        <v>44756</v>
      </c>
      <c r="ED857" t="s">
        <v>17062</v>
      </c>
      <c r="EE857" t="s">
        <v>4808</v>
      </c>
    </row>
    <row r="858" spans="1:135">
      <c r="A858" t="s">
        <v>818</v>
      </c>
      <c r="B858" t="s">
        <v>710</v>
      </c>
      <c r="C858" t="s">
        <v>25837</v>
      </c>
      <c r="D858" s="24">
        <v>43733</v>
      </c>
      <c r="E858" s="24" t="s">
        <v>13553</v>
      </c>
      <c r="F858" s="24" t="s">
        <v>25838</v>
      </c>
      <c r="G858" s="24" t="s">
        <v>13808</v>
      </c>
      <c r="H858" s="24"/>
      <c r="I858" s="24" t="s">
        <v>13809</v>
      </c>
      <c r="J858" s="24"/>
      <c r="K858" s="24" t="s">
        <v>13809</v>
      </c>
      <c r="L858" s="24"/>
      <c r="M858" s="24" t="s">
        <v>14163</v>
      </c>
      <c r="N858" s="24" t="s">
        <v>13808</v>
      </c>
      <c r="O858" s="24"/>
      <c r="P858" s="24" t="s">
        <v>13808</v>
      </c>
      <c r="Q858" s="24"/>
      <c r="R858" s="24" t="s">
        <v>13808</v>
      </c>
      <c r="S858" s="24"/>
      <c r="T858" t="s">
        <v>25839</v>
      </c>
      <c r="U858" t="s">
        <v>13809</v>
      </c>
      <c r="W858" t="s">
        <v>13808</v>
      </c>
      <c r="X858" t="s">
        <v>25840</v>
      </c>
      <c r="Y858" t="s">
        <v>13809</v>
      </c>
      <c r="AA858" t="s">
        <v>13877</v>
      </c>
      <c r="AB858" t="s">
        <v>18350</v>
      </c>
      <c r="AC858" t="s">
        <v>13808</v>
      </c>
      <c r="AH858" t="s">
        <v>13909</v>
      </c>
      <c r="AI858" t="s">
        <v>13808</v>
      </c>
      <c r="AO858" t="s">
        <v>13809</v>
      </c>
      <c r="AT858" t="s">
        <v>13910</v>
      </c>
      <c r="AU858" t="s">
        <v>13808</v>
      </c>
      <c r="AZ858" t="s">
        <v>13892</v>
      </c>
      <c r="BA858" t="s">
        <v>13808</v>
      </c>
      <c r="BF858" t="s">
        <v>14814</v>
      </c>
      <c r="BG858" t="s">
        <v>13808</v>
      </c>
      <c r="BL858" t="s">
        <v>25841</v>
      </c>
      <c r="BM858" t="s">
        <v>13808</v>
      </c>
      <c r="BR858" t="s">
        <v>25842</v>
      </c>
      <c r="BT858" t="s">
        <v>13809</v>
      </c>
      <c r="BY858" t="s">
        <v>14265</v>
      </c>
      <c r="BZ858" t="s">
        <v>13808</v>
      </c>
      <c r="CA858" t="s">
        <v>14026</v>
      </c>
      <c r="CE858" t="s">
        <v>14693</v>
      </c>
      <c r="CF858" t="s">
        <v>13808</v>
      </c>
      <c r="CG858" t="s">
        <v>14173</v>
      </c>
      <c r="CL858" t="s">
        <v>13809</v>
      </c>
      <c r="CR858" t="s">
        <v>13809</v>
      </c>
      <c r="CT858" t="s">
        <v>25843</v>
      </c>
      <c r="CU858" t="s">
        <v>25844</v>
      </c>
      <c r="CV858" t="s">
        <v>13808</v>
      </c>
      <c r="DA858" t="s">
        <v>25845</v>
      </c>
      <c r="DB858" t="s">
        <v>13808</v>
      </c>
      <c r="DH858" t="s">
        <v>13809</v>
      </c>
      <c r="DM858" t="s">
        <v>25846</v>
      </c>
      <c r="DN858" t="s">
        <v>13897</v>
      </c>
      <c r="DP858" t="s">
        <v>25847</v>
      </c>
      <c r="DQ858" t="s">
        <v>13897</v>
      </c>
      <c r="DY858" t="s">
        <v>15828</v>
      </c>
      <c r="DZ858" t="s">
        <v>25848</v>
      </c>
      <c r="EA858" t="s">
        <v>14500</v>
      </c>
      <c r="ED858" t="s">
        <v>13903</v>
      </c>
      <c r="EE858" t="s">
        <v>5248</v>
      </c>
    </row>
    <row r="859" spans="1:135">
      <c r="A859" t="s">
        <v>573</v>
      </c>
      <c r="B859" t="s">
        <v>445</v>
      </c>
      <c r="C859" t="s">
        <v>25849</v>
      </c>
      <c r="D859" s="24">
        <v>44756</v>
      </c>
      <c r="E859" s="24" t="s">
        <v>13553</v>
      </c>
      <c r="F859" s="24" t="s">
        <v>25850</v>
      </c>
      <c r="G859" s="24" t="s">
        <v>13808</v>
      </c>
      <c r="H859" s="24"/>
      <c r="I859" s="24" t="s">
        <v>13809</v>
      </c>
      <c r="J859" s="24"/>
      <c r="K859" s="24" t="s">
        <v>13809</v>
      </c>
      <c r="L859" s="24"/>
      <c r="M859" s="24" t="s">
        <v>13846</v>
      </c>
      <c r="N859" s="24" t="s">
        <v>13808</v>
      </c>
      <c r="O859" s="24"/>
      <c r="P859" s="24" t="s">
        <v>13808</v>
      </c>
      <c r="Q859" s="24"/>
      <c r="R859" s="24" t="s">
        <v>13808</v>
      </c>
      <c r="S859" s="24"/>
      <c r="T859" t="s">
        <v>13847</v>
      </c>
      <c r="U859" t="s">
        <v>13809</v>
      </c>
      <c r="W859" t="s">
        <v>13808</v>
      </c>
      <c r="X859" t="s">
        <v>25851</v>
      </c>
      <c r="Y859" t="s">
        <v>13808</v>
      </c>
      <c r="AA859" t="s">
        <v>13849</v>
      </c>
      <c r="AB859" t="s">
        <v>25852</v>
      </c>
      <c r="AC859" t="s">
        <v>13808</v>
      </c>
      <c r="AH859" t="s">
        <v>13851</v>
      </c>
      <c r="AI859" t="s">
        <v>13808</v>
      </c>
      <c r="AN859" t="s">
        <v>25853</v>
      </c>
      <c r="AO859" t="s">
        <v>13808</v>
      </c>
      <c r="AT859" t="s">
        <v>25854</v>
      </c>
      <c r="AU859" t="s">
        <v>13808</v>
      </c>
      <c r="AZ859" t="s">
        <v>25855</v>
      </c>
      <c r="BA859" t="s">
        <v>13808</v>
      </c>
      <c r="BF859" t="s">
        <v>25856</v>
      </c>
      <c r="BG859" t="s">
        <v>13808</v>
      </c>
      <c r="BL859" t="s">
        <v>25857</v>
      </c>
      <c r="BM859" t="s">
        <v>13808</v>
      </c>
      <c r="BR859" t="s">
        <v>25858</v>
      </c>
      <c r="BS859" t="s">
        <v>13824</v>
      </c>
      <c r="BT859" t="s">
        <v>13808</v>
      </c>
      <c r="BU859" t="s">
        <v>15266</v>
      </c>
      <c r="BY859" t="s">
        <v>13986</v>
      </c>
      <c r="BZ859" t="s">
        <v>13808</v>
      </c>
      <c r="CA859" t="s">
        <v>13937</v>
      </c>
      <c r="CE859" t="s">
        <v>13828</v>
      </c>
      <c r="CF859" t="s">
        <v>13808</v>
      </c>
      <c r="CG859" t="s">
        <v>20912</v>
      </c>
      <c r="CK859" t="s">
        <v>13760</v>
      </c>
      <c r="CL859" t="s">
        <v>13809</v>
      </c>
      <c r="CQ859" t="s">
        <v>13766</v>
      </c>
      <c r="CR859" t="s">
        <v>13809</v>
      </c>
      <c r="CT859" t="s">
        <v>25859</v>
      </c>
      <c r="CU859" t="s">
        <v>25860</v>
      </c>
      <c r="CV859" t="s">
        <v>13808</v>
      </c>
      <c r="DA859" t="s">
        <v>25861</v>
      </c>
      <c r="DB859" t="s">
        <v>13808</v>
      </c>
      <c r="DG859" t="s">
        <v>25862</v>
      </c>
      <c r="DH859" t="s">
        <v>13808</v>
      </c>
      <c r="DJ859" t="s">
        <v>25863</v>
      </c>
      <c r="DK859" t="s">
        <v>13808</v>
      </c>
      <c r="DM859" t="s">
        <v>25864</v>
      </c>
      <c r="DN859" t="s">
        <v>13808</v>
      </c>
      <c r="DP859" t="s">
        <v>25865</v>
      </c>
      <c r="DQ859" t="s">
        <v>13808</v>
      </c>
      <c r="DY859" t="s">
        <v>21701</v>
      </c>
      <c r="DZ859" t="s">
        <v>25866</v>
      </c>
      <c r="EA859" t="s">
        <v>14182</v>
      </c>
      <c r="EC859">
        <v>44756</v>
      </c>
      <c r="ED859" t="s">
        <v>17062</v>
      </c>
      <c r="EE859" t="s">
        <v>5013</v>
      </c>
    </row>
    <row r="860" spans="1:135">
      <c r="A860" t="s">
        <v>12904</v>
      </c>
      <c r="B860" t="s">
        <v>710</v>
      </c>
      <c r="C860" t="s">
        <v>25867</v>
      </c>
      <c r="D860" s="24">
        <v>43742</v>
      </c>
      <c r="E860" s="24" t="s">
        <v>13561</v>
      </c>
      <c r="F860" s="24" t="s">
        <v>25868</v>
      </c>
      <c r="G860" s="24" t="s">
        <v>13818</v>
      </c>
      <c r="H860" s="24"/>
      <c r="I860" s="24" t="s">
        <v>13809</v>
      </c>
      <c r="J860" s="24"/>
      <c r="K860" s="24" t="s">
        <v>13818</v>
      </c>
      <c r="L860" s="24"/>
      <c r="M860" s="24" t="s">
        <v>25869</v>
      </c>
      <c r="N860" s="24" t="s">
        <v>13818</v>
      </c>
      <c r="O860" s="24" t="s">
        <v>25060</v>
      </c>
      <c r="P860" s="24" t="s">
        <v>13818</v>
      </c>
      <c r="Q860" s="24" t="s">
        <v>25060</v>
      </c>
      <c r="R860" s="24" t="s">
        <v>13818</v>
      </c>
      <c r="S860" s="24" t="s">
        <v>25060</v>
      </c>
      <c r="U860" t="s">
        <v>13809</v>
      </c>
      <c r="W860" t="s">
        <v>13818</v>
      </c>
      <c r="Y860" t="s">
        <v>13809</v>
      </c>
      <c r="AA860" t="s">
        <v>25870</v>
      </c>
      <c r="AC860" t="s">
        <v>13809</v>
      </c>
      <c r="AH860" t="s">
        <v>13909</v>
      </c>
      <c r="AI860" t="s">
        <v>13818</v>
      </c>
      <c r="AJ860" t="s">
        <v>14415</v>
      </c>
      <c r="AO860" t="s">
        <v>13809</v>
      </c>
      <c r="AT860" t="s">
        <v>25162</v>
      </c>
      <c r="AU860" t="s">
        <v>13818</v>
      </c>
      <c r="AV860" t="s">
        <v>14414</v>
      </c>
      <c r="AZ860" t="s">
        <v>25871</v>
      </c>
      <c r="BA860" t="s">
        <v>13818</v>
      </c>
      <c r="BB860" t="s">
        <v>14414</v>
      </c>
      <c r="BF860" t="s">
        <v>25872</v>
      </c>
      <c r="BG860" t="s">
        <v>13818</v>
      </c>
      <c r="BH860" t="s">
        <v>14414</v>
      </c>
      <c r="BL860" t="s">
        <v>20807</v>
      </c>
      <c r="BM860" t="s">
        <v>13818</v>
      </c>
      <c r="BN860" t="s">
        <v>25060</v>
      </c>
      <c r="BR860" t="s">
        <v>25873</v>
      </c>
      <c r="BT860" t="s">
        <v>13809</v>
      </c>
      <c r="BY860" t="s">
        <v>14265</v>
      </c>
      <c r="BZ860" t="s">
        <v>13818</v>
      </c>
      <c r="CA860" t="s">
        <v>25060</v>
      </c>
      <c r="CE860" t="s">
        <v>13887</v>
      </c>
      <c r="CF860" t="s">
        <v>13818</v>
      </c>
      <c r="CG860" t="s">
        <v>25060</v>
      </c>
      <c r="CL860" t="s">
        <v>13809</v>
      </c>
      <c r="CR860" t="s">
        <v>13809</v>
      </c>
      <c r="CT860" t="s">
        <v>25874</v>
      </c>
      <c r="CU860" t="s">
        <v>13909</v>
      </c>
      <c r="CV860" t="s">
        <v>13818</v>
      </c>
      <c r="CW860" t="s">
        <v>22687</v>
      </c>
      <c r="DA860" t="s">
        <v>13909</v>
      </c>
      <c r="DB860" t="s">
        <v>13818</v>
      </c>
      <c r="DC860" t="s">
        <v>22687</v>
      </c>
      <c r="DH860" t="s">
        <v>13809</v>
      </c>
      <c r="DM860" t="s">
        <v>13909</v>
      </c>
      <c r="DN860" t="s">
        <v>13818</v>
      </c>
      <c r="DO860" t="s">
        <v>22687</v>
      </c>
      <c r="DY860" t="s">
        <v>13920</v>
      </c>
      <c r="DZ860" t="s">
        <v>25875</v>
      </c>
      <c r="EA860" t="s">
        <v>14049</v>
      </c>
      <c r="EC860">
        <v>43789</v>
      </c>
      <c r="ED860" t="s">
        <v>13903</v>
      </c>
      <c r="EE860" t="s">
        <v>13667</v>
      </c>
    </row>
    <row r="861" spans="1:135">
      <c r="A861" t="s">
        <v>239</v>
      </c>
      <c r="B861" t="s">
        <v>147</v>
      </c>
      <c r="C861" t="s">
        <v>25876</v>
      </c>
      <c r="D861" s="24">
        <v>44756</v>
      </c>
      <c r="E861" s="24" t="s">
        <v>13553</v>
      </c>
      <c r="F861" s="24" t="s">
        <v>25877</v>
      </c>
      <c r="G861" s="24" t="s">
        <v>13808</v>
      </c>
      <c r="H861" s="24"/>
      <c r="I861" s="24" t="s">
        <v>13809</v>
      </c>
      <c r="J861" s="24"/>
      <c r="K861" s="24" t="s">
        <v>13808</v>
      </c>
      <c r="L861" s="24"/>
      <c r="M861" s="24" t="s">
        <v>13846</v>
      </c>
      <c r="N861" s="24" t="s">
        <v>13808</v>
      </c>
      <c r="O861" s="24"/>
      <c r="P861" s="24" t="s">
        <v>13808</v>
      </c>
      <c r="Q861" s="24"/>
      <c r="R861" s="24" t="s">
        <v>13808</v>
      </c>
      <c r="S861" s="24"/>
      <c r="T861" t="s">
        <v>13847</v>
      </c>
      <c r="U861" t="s">
        <v>13809</v>
      </c>
      <c r="W861" t="s">
        <v>13808</v>
      </c>
      <c r="X861" t="s">
        <v>25878</v>
      </c>
      <c r="Y861" t="s">
        <v>13809</v>
      </c>
      <c r="AA861" t="s">
        <v>13849</v>
      </c>
      <c r="AB861" t="s">
        <v>13850</v>
      </c>
      <c r="AC861" t="s">
        <v>13809</v>
      </c>
      <c r="AH861" t="s">
        <v>13851</v>
      </c>
      <c r="AI861" t="s">
        <v>13808</v>
      </c>
      <c r="AN861" t="s">
        <v>15055</v>
      </c>
      <c r="AO861" t="s">
        <v>13809</v>
      </c>
      <c r="AT861" t="s">
        <v>25879</v>
      </c>
      <c r="AU861" t="s">
        <v>13808</v>
      </c>
      <c r="AZ861" t="s">
        <v>16745</v>
      </c>
      <c r="BA861" t="s">
        <v>13808</v>
      </c>
      <c r="BF861" t="s">
        <v>25880</v>
      </c>
      <c r="BG861" t="s">
        <v>13808</v>
      </c>
      <c r="BL861" t="s">
        <v>13735</v>
      </c>
      <c r="BM861" t="s">
        <v>13809</v>
      </c>
      <c r="BR861" t="s">
        <v>25881</v>
      </c>
      <c r="BS861" t="s">
        <v>17108</v>
      </c>
      <c r="BT861" t="s">
        <v>13809</v>
      </c>
      <c r="BY861" t="s">
        <v>25882</v>
      </c>
      <c r="BZ861" t="s">
        <v>13808</v>
      </c>
      <c r="CA861" t="s">
        <v>13861</v>
      </c>
      <c r="CE861" t="s">
        <v>13828</v>
      </c>
      <c r="CF861" t="s">
        <v>13808</v>
      </c>
      <c r="CG861" t="s">
        <v>14291</v>
      </c>
      <c r="CK861" t="s">
        <v>13760</v>
      </c>
      <c r="CL861" t="s">
        <v>13809</v>
      </c>
      <c r="CQ861" t="s">
        <v>13766</v>
      </c>
      <c r="CR861" t="s">
        <v>13809</v>
      </c>
      <c r="CT861" t="s">
        <v>25883</v>
      </c>
      <c r="CU861" t="s">
        <v>25884</v>
      </c>
      <c r="CV861" t="s">
        <v>13808</v>
      </c>
      <c r="DA861" t="s">
        <v>25885</v>
      </c>
      <c r="DB861" t="s">
        <v>13808</v>
      </c>
      <c r="DM861" t="s">
        <v>25886</v>
      </c>
      <c r="DN861" t="s">
        <v>13808</v>
      </c>
      <c r="DP861" t="s">
        <v>25887</v>
      </c>
      <c r="DQ861" t="s">
        <v>13808</v>
      </c>
      <c r="DY861" t="s">
        <v>13840</v>
      </c>
      <c r="DZ861" t="s">
        <v>25888</v>
      </c>
      <c r="EA861" t="s">
        <v>14182</v>
      </c>
      <c r="EC861">
        <v>44756</v>
      </c>
      <c r="ED861" t="s">
        <v>17062</v>
      </c>
      <c r="EE861" t="s">
        <v>4659</v>
      </c>
    </row>
    <row r="862" spans="1:135">
      <c r="A862" t="s">
        <v>839</v>
      </c>
      <c r="B862" t="s">
        <v>914</v>
      </c>
      <c r="C862" t="s">
        <v>25889</v>
      </c>
      <c r="D862" s="24">
        <v>44853</v>
      </c>
      <c r="E862" s="24" t="s">
        <v>13553</v>
      </c>
      <c r="F862" s="24" t="s">
        <v>25890</v>
      </c>
      <c r="G862" s="24" t="s">
        <v>13808</v>
      </c>
      <c r="H862" s="24"/>
      <c r="I862" s="24" t="s">
        <v>13809</v>
      </c>
      <c r="J862" s="24"/>
      <c r="K862" s="24" t="s">
        <v>13809</v>
      </c>
      <c r="L862" s="24"/>
      <c r="M862" s="24" t="s">
        <v>13846</v>
      </c>
      <c r="N862" s="24" t="s">
        <v>13808</v>
      </c>
      <c r="O862" s="24"/>
      <c r="P862" s="24" t="s">
        <v>13808</v>
      </c>
      <c r="Q862" s="24"/>
      <c r="R862" s="24" t="s">
        <v>13808</v>
      </c>
      <c r="S862" s="24"/>
      <c r="T862" t="s">
        <v>25891</v>
      </c>
      <c r="U862" t="s">
        <v>13809</v>
      </c>
      <c r="W862" t="s">
        <v>13808</v>
      </c>
      <c r="X862" t="s">
        <v>25892</v>
      </c>
      <c r="Y862" t="s">
        <v>13808</v>
      </c>
      <c r="Z862" t="s">
        <v>25893</v>
      </c>
      <c r="AA862" t="s">
        <v>13849</v>
      </c>
      <c r="AB862" t="s">
        <v>25474</v>
      </c>
      <c r="AC862" t="s">
        <v>13808</v>
      </c>
      <c r="AH862" t="s">
        <v>13851</v>
      </c>
      <c r="AI862" t="s">
        <v>13808</v>
      </c>
      <c r="AN862" t="s">
        <v>19519</v>
      </c>
      <c r="AO862" t="s">
        <v>13809</v>
      </c>
      <c r="AT862" t="s">
        <v>13717</v>
      </c>
      <c r="AU862" t="s">
        <v>13809</v>
      </c>
      <c r="AZ862" t="s">
        <v>17792</v>
      </c>
      <c r="BA862" t="s">
        <v>13808</v>
      </c>
      <c r="BF862" t="s">
        <v>17138</v>
      </c>
      <c r="BG862" t="s">
        <v>13808</v>
      </c>
      <c r="BL862" t="s">
        <v>13735</v>
      </c>
      <c r="BM862" t="s">
        <v>13809</v>
      </c>
      <c r="BR862" t="s">
        <v>25894</v>
      </c>
      <c r="BS862" t="s">
        <v>14957</v>
      </c>
      <c r="BT862" t="s">
        <v>13808</v>
      </c>
      <c r="BU862" t="s">
        <v>25895</v>
      </c>
      <c r="BY862" t="s">
        <v>13860</v>
      </c>
      <c r="BZ862" t="s">
        <v>13808</v>
      </c>
      <c r="CA862" t="s">
        <v>13861</v>
      </c>
      <c r="CE862" t="s">
        <v>14215</v>
      </c>
      <c r="CF862" t="s">
        <v>13808</v>
      </c>
      <c r="CG862" t="s">
        <v>13863</v>
      </c>
      <c r="CK862" t="s">
        <v>13760</v>
      </c>
      <c r="CL862" t="s">
        <v>13809</v>
      </c>
      <c r="CQ862" t="s">
        <v>13766</v>
      </c>
      <c r="CR862" t="s">
        <v>13809</v>
      </c>
      <c r="CT862" t="s">
        <v>14293</v>
      </c>
      <c r="CU862" t="s">
        <v>25896</v>
      </c>
      <c r="CV862" t="s">
        <v>13808</v>
      </c>
      <c r="CW862" t="s">
        <v>25897</v>
      </c>
      <c r="DA862" t="s">
        <v>25898</v>
      </c>
      <c r="DB862" t="s">
        <v>13808</v>
      </c>
      <c r="DC862" t="s">
        <v>25899</v>
      </c>
      <c r="DM862" t="s">
        <v>25900</v>
      </c>
      <c r="DN862" t="s">
        <v>13808</v>
      </c>
      <c r="DO862" t="s">
        <v>15996</v>
      </c>
      <c r="DP862" t="s">
        <v>25901</v>
      </c>
      <c r="DQ862" t="s">
        <v>13808</v>
      </c>
      <c r="DR862" t="s">
        <v>13839</v>
      </c>
      <c r="DY862" t="s">
        <v>13869</v>
      </c>
      <c r="DZ862" t="s">
        <v>25902</v>
      </c>
      <c r="EA862" t="s">
        <v>14182</v>
      </c>
      <c r="EC862">
        <v>44935</v>
      </c>
      <c r="ED862" t="s">
        <v>17062</v>
      </c>
      <c r="EE862" t="s">
        <v>5395</v>
      </c>
    </row>
    <row r="863" spans="1:135">
      <c r="A863" t="s">
        <v>380</v>
      </c>
      <c r="B863" t="s">
        <v>287</v>
      </c>
      <c r="C863" t="s">
        <v>25903</v>
      </c>
      <c r="D863" s="24">
        <v>43728</v>
      </c>
      <c r="E863" s="24" t="s">
        <v>13553</v>
      </c>
      <c r="F863" s="24" t="s">
        <v>25904</v>
      </c>
      <c r="G863" s="24" t="s">
        <v>13808</v>
      </c>
      <c r="H863" s="24"/>
      <c r="I863" s="24" t="s">
        <v>13809</v>
      </c>
      <c r="J863" s="24"/>
      <c r="K863" s="24" t="s">
        <v>13808</v>
      </c>
      <c r="L863" s="24"/>
      <c r="M863" s="24" t="s">
        <v>14163</v>
      </c>
      <c r="N863" s="24" t="s">
        <v>13808</v>
      </c>
      <c r="O863" s="24"/>
      <c r="P863" s="24" t="s">
        <v>13808</v>
      </c>
      <c r="Q863" s="24"/>
      <c r="R863" s="24" t="s">
        <v>13808</v>
      </c>
      <c r="S863" s="24"/>
      <c r="T863" t="s">
        <v>16463</v>
      </c>
      <c r="U863" t="s">
        <v>13809</v>
      </c>
      <c r="W863" t="s">
        <v>13808</v>
      </c>
      <c r="X863" t="s">
        <v>25905</v>
      </c>
      <c r="Y863" t="s">
        <v>13808</v>
      </c>
      <c r="AA863" t="s">
        <v>13877</v>
      </c>
      <c r="AC863" t="s">
        <v>13809</v>
      </c>
      <c r="AH863" t="s">
        <v>13909</v>
      </c>
      <c r="AI863" t="s">
        <v>13808</v>
      </c>
      <c r="AO863" t="s">
        <v>13809</v>
      </c>
      <c r="AT863" t="s">
        <v>15462</v>
      </c>
      <c r="AU863" t="s">
        <v>13808</v>
      </c>
      <c r="AZ863" t="s">
        <v>25906</v>
      </c>
      <c r="BA863" t="s">
        <v>13808</v>
      </c>
      <c r="BF863" t="s">
        <v>14037</v>
      </c>
      <c r="BG863" t="s">
        <v>13808</v>
      </c>
      <c r="BL863" t="s">
        <v>25907</v>
      </c>
      <c r="BM863" t="s">
        <v>13808</v>
      </c>
      <c r="BR863" t="s">
        <v>25908</v>
      </c>
      <c r="BS863" t="s">
        <v>13887</v>
      </c>
      <c r="BT863" t="s">
        <v>13808</v>
      </c>
      <c r="BU863" t="s">
        <v>14437</v>
      </c>
      <c r="BY863" t="s">
        <v>14265</v>
      </c>
      <c r="BZ863" t="s">
        <v>13808</v>
      </c>
      <c r="CA863" t="s">
        <v>14026</v>
      </c>
      <c r="CE863" t="s">
        <v>14197</v>
      </c>
      <c r="CF863" t="s">
        <v>13808</v>
      </c>
      <c r="CG863" t="s">
        <v>14026</v>
      </c>
      <c r="CL863" t="s">
        <v>13809</v>
      </c>
      <c r="CR863" t="s">
        <v>13809</v>
      </c>
      <c r="CT863" t="s">
        <v>25909</v>
      </c>
      <c r="CU863" t="s">
        <v>25910</v>
      </c>
      <c r="CV863" t="s">
        <v>13808</v>
      </c>
      <c r="DA863" t="s">
        <v>25911</v>
      </c>
      <c r="DB863" t="s">
        <v>13808</v>
      </c>
      <c r="DH863" t="s">
        <v>13809</v>
      </c>
      <c r="DM863" t="s">
        <v>25912</v>
      </c>
      <c r="DN863" t="s">
        <v>13808</v>
      </c>
      <c r="DY863" t="s">
        <v>15828</v>
      </c>
      <c r="DZ863" t="s">
        <v>25913</v>
      </c>
      <c r="EA863" t="s">
        <v>14500</v>
      </c>
      <c r="EC863">
        <v>43753</v>
      </c>
      <c r="ED863" t="s">
        <v>13903</v>
      </c>
      <c r="EE863" t="s">
        <v>4812</v>
      </c>
    </row>
    <row r="864" spans="1:135">
      <c r="A864" t="s">
        <v>580</v>
      </c>
      <c r="B864" t="s">
        <v>445</v>
      </c>
      <c r="C864" t="s">
        <v>25914</v>
      </c>
      <c r="D864" s="24">
        <v>43739</v>
      </c>
      <c r="E864" s="24" t="s">
        <v>13555</v>
      </c>
      <c r="F864" s="24" t="s">
        <v>25915</v>
      </c>
      <c r="G864" s="24" t="s">
        <v>13808</v>
      </c>
      <c r="H864" s="24"/>
      <c r="I864" s="24" t="s">
        <v>13809</v>
      </c>
      <c r="J864" s="24"/>
      <c r="K864" s="24" t="s">
        <v>13808</v>
      </c>
      <c r="L864" s="24"/>
      <c r="M864" s="24" t="s">
        <v>14121</v>
      </c>
      <c r="N864" s="24" t="s">
        <v>13818</v>
      </c>
      <c r="O864" s="24"/>
      <c r="P864" s="24" t="s">
        <v>13808</v>
      </c>
      <c r="Q864" s="24"/>
      <c r="R864" s="24" t="s">
        <v>13808</v>
      </c>
      <c r="S864" s="24"/>
      <c r="T864" t="s">
        <v>25916</v>
      </c>
      <c r="U864" t="s">
        <v>13809</v>
      </c>
      <c r="W864" t="s">
        <v>13808</v>
      </c>
      <c r="X864" t="s">
        <v>25917</v>
      </c>
      <c r="Y864" t="s">
        <v>13809</v>
      </c>
      <c r="AA864" t="s">
        <v>13877</v>
      </c>
      <c r="AB864" t="s">
        <v>15008</v>
      </c>
      <c r="AC864" t="s">
        <v>13808</v>
      </c>
      <c r="AH864" t="s">
        <v>13909</v>
      </c>
      <c r="AI864" t="s">
        <v>13808</v>
      </c>
      <c r="AN864" t="s">
        <v>18417</v>
      </c>
      <c r="AO864" t="s">
        <v>13808</v>
      </c>
      <c r="AT864" t="s">
        <v>15626</v>
      </c>
      <c r="AU864" t="s">
        <v>19153</v>
      </c>
      <c r="AZ864" t="s">
        <v>14022</v>
      </c>
      <c r="BA864" t="s">
        <v>19153</v>
      </c>
      <c r="BF864" t="s">
        <v>14416</v>
      </c>
      <c r="BG864" t="s">
        <v>19153</v>
      </c>
      <c r="BM864" t="s">
        <v>13809</v>
      </c>
      <c r="BR864" t="s">
        <v>25918</v>
      </c>
      <c r="BT864" t="s">
        <v>13809</v>
      </c>
      <c r="BY864" t="s">
        <v>13887</v>
      </c>
      <c r="BZ864" t="s">
        <v>13808</v>
      </c>
      <c r="CA864" t="s">
        <v>13888</v>
      </c>
      <c r="CF864" t="s">
        <v>13809</v>
      </c>
      <c r="CL864" t="s">
        <v>13808</v>
      </c>
      <c r="CR864" t="s">
        <v>13809</v>
      </c>
      <c r="CT864" t="s">
        <v>25919</v>
      </c>
      <c r="CU864" t="s">
        <v>18425</v>
      </c>
      <c r="CV864" t="s">
        <v>19153</v>
      </c>
      <c r="DA864" t="s">
        <v>25920</v>
      </c>
      <c r="DB864" t="s">
        <v>19153</v>
      </c>
      <c r="DG864" t="s">
        <v>16221</v>
      </c>
      <c r="DH864" t="s">
        <v>13818</v>
      </c>
      <c r="DJ864" t="s">
        <v>17197</v>
      </c>
      <c r="DK864" t="s">
        <v>13818</v>
      </c>
      <c r="DY864" t="s">
        <v>15842</v>
      </c>
      <c r="DZ864" t="s">
        <v>22120</v>
      </c>
      <c r="EA864" t="s">
        <v>13922</v>
      </c>
      <c r="EC864">
        <v>43789</v>
      </c>
      <c r="ED864" t="s">
        <v>13903</v>
      </c>
      <c r="EE864" t="s">
        <v>5019</v>
      </c>
    </row>
    <row r="865" spans="1:135">
      <c r="A865" t="s">
        <v>5020</v>
      </c>
      <c r="B865" t="s">
        <v>445</v>
      </c>
      <c r="C865" t="s">
        <v>25921</v>
      </c>
      <c r="D865" s="24">
        <v>44461</v>
      </c>
      <c r="E865" s="24" t="s">
        <v>13553</v>
      </c>
      <c r="F865" s="24" t="s">
        <v>25922</v>
      </c>
      <c r="G865" s="24" t="s">
        <v>13808</v>
      </c>
      <c r="H865" s="24"/>
      <c r="I865" s="24" t="s">
        <v>13809</v>
      </c>
      <c r="J865" s="24"/>
      <c r="K865" s="24" t="s">
        <v>13809</v>
      </c>
      <c r="L865" s="24"/>
      <c r="M865" s="24" t="s">
        <v>13846</v>
      </c>
      <c r="N865" s="24" t="s">
        <v>13808</v>
      </c>
      <c r="O865" s="24"/>
      <c r="P865" s="24" t="s">
        <v>13808</v>
      </c>
      <c r="Q865" s="24"/>
      <c r="R865" s="24" t="s">
        <v>13808</v>
      </c>
      <c r="S865" s="24"/>
      <c r="T865" t="s">
        <v>21198</v>
      </c>
      <c r="U865" t="s">
        <v>13809</v>
      </c>
      <c r="W865" t="s">
        <v>13808</v>
      </c>
      <c r="X865" t="s">
        <v>25923</v>
      </c>
      <c r="Y865" t="s">
        <v>13809</v>
      </c>
      <c r="AA865" t="s">
        <v>13849</v>
      </c>
      <c r="AC865" t="s">
        <v>13809</v>
      </c>
      <c r="AH865" t="s">
        <v>13909</v>
      </c>
      <c r="AI865" t="s">
        <v>13808</v>
      </c>
      <c r="AO865" t="s">
        <v>13809</v>
      </c>
      <c r="AT865" t="s">
        <v>14197</v>
      </c>
      <c r="AU865" t="s">
        <v>13808</v>
      </c>
      <c r="AZ865" t="s">
        <v>15883</v>
      </c>
      <c r="BA865" t="s">
        <v>13808</v>
      </c>
      <c r="BF865" t="s">
        <v>14416</v>
      </c>
      <c r="BG865" t="s">
        <v>13808</v>
      </c>
      <c r="BM865" t="s">
        <v>13809</v>
      </c>
      <c r="BR865" t="s">
        <v>25924</v>
      </c>
      <c r="BS865" t="s">
        <v>13887</v>
      </c>
      <c r="BT865" t="s">
        <v>13818</v>
      </c>
      <c r="BU865" t="s">
        <v>25925</v>
      </c>
      <c r="BY865" t="s">
        <v>13887</v>
      </c>
      <c r="BZ865" t="s">
        <v>13808</v>
      </c>
      <c r="CA865" t="s">
        <v>13888</v>
      </c>
      <c r="CE865" t="s">
        <v>13887</v>
      </c>
      <c r="CF865" t="s">
        <v>13818</v>
      </c>
      <c r="CG865" t="s">
        <v>25926</v>
      </c>
      <c r="CL865" t="s">
        <v>13809</v>
      </c>
      <c r="CR865" t="s">
        <v>13809</v>
      </c>
      <c r="CT865" t="s">
        <v>14293</v>
      </c>
      <c r="CU865" t="s">
        <v>25927</v>
      </c>
      <c r="CV865" t="s">
        <v>13808</v>
      </c>
      <c r="DA865" t="s">
        <v>25928</v>
      </c>
      <c r="DB865" t="s">
        <v>13808</v>
      </c>
      <c r="DM865" t="s">
        <v>25929</v>
      </c>
      <c r="DN865" t="s">
        <v>13808</v>
      </c>
      <c r="DP865" t="s">
        <v>25930</v>
      </c>
      <c r="DQ865" t="s">
        <v>13808</v>
      </c>
      <c r="DR865" t="s">
        <v>14947</v>
      </c>
      <c r="DY865" t="s">
        <v>25931</v>
      </c>
      <c r="DZ865" t="s">
        <v>25932</v>
      </c>
      <c r="EA865" t="s">
        <v>14182</v>
      </c>
      <c r="ED865" t="s">
        <v>14608</v>
      </c>
      <c r="EE865" t="s">
        <v>5025</v>
      </c>
    </row>
    <row r="866" spans="1:135">
      <c r="A866" t="s">
        <v>5396</v>
      </c>
      <c r="B866" t="s">
        <v>914</v>
      </c>
      <c r="C866" t="s">
        <v>25933</v>
      </c>
      <c r="D866" s="24">
        <v>43578</v>
      </c>
      <c r="E866" s="24" t="s">
        <v>13553</v>
      </c>
      <c r="F866" s="24" t="s">
        <v>25934</v>
      </c>
      <c r="G866" s="24" t="s">
        <v>13808</v>
      </c>
      <c r="H866" s="24"/>
      <c r="I866" s="24" t="s">
        <v>13809</v>
      </c>
      <c r="J866" s="24"/>
      <c r="K866" s="24" t="s">
        <v>13809</v>
      </c>
      <c r="L866" s="24"/>
      <c r="M866" s="24" t="s">
        <v>17316</v>
      </c>
      <c r="N866" s="24" t="s">
        <v>13808</v>
      </c>
      <c r="O866" s="24"/>
      <c r="P866" s="24" t="s">
        <v>13808</v>
      </c>
      <c r="Q866" s="24"/>
      <c r="R866" s="24" t="s">
        <v>13808</v>
      </c>
      <c r="S866" s="24"/>
      <c r="T866" t="s">
        <v>25935</v>
      </c>
      <c r="U866" t="s">
        <v>13809</v>
      </c>
      <c r="W866" t="s">
        <v>13809</v>
      </c>
      <c r="Y866" t="s">
        <v>13808</v>
      </c>
      <c r="AA866" t="s">
        <v>13849</v>
      </c>
      <c r="AC866" t="s">
        <v>13809</v>
      </c>
      <c r="AH866" t="s">
        <v>13887</v>
      </c>
      <c r="AI866" t="s">
        <v>13808</v>
      </c>
      <c r="AO866" t="s">
        <v>13809</v>
      </c>
      <c r="AU866" t="s">
        <v>13809</v>
      </c>
      <c r="AZ866" t="s">
        <v>14730</v>
      </c>
      <c r="BA866" t="s">
        <v>13808</v>
      </c>
      <c r="BF866" t="s">
        <v>15973</v>
      </c>
      <c r="BG866" t="s">
        <v>13808</v>
      </c>
      <c r="BL866" t="s">
        <v>14008</v>
      </c>
      <c r="BM866" t="s">
        <v>13808</v>
      </c>
      <c r="BR866" t="s">
        <v>25936</v>
      </c>
      <c r="BT866" t="s">
        <v>13809</v>
      </c>
      <c r="BY866" t="s">
        <v>13887</v>
      </c>
      <c r="BZ866" t="s">
        <v>13808</v>
      </c>
      <c r="CA866" t="s">
        <v>13937</v>
      </c>
      <c r="CF866" t="s">
        <v>13809</v>
      </c>
      <c r="CK866" t="s">
        <v>13887</v>
      </c>
      <c r="CL866" t="s">
        <v>13808</v>
      </c>
      <c r="CM866" t="s">
        <v>25937</v>
      </c>
      <c r="CR866" t="s">
        <v>13809</v>
      </c>
      <c r="CT866" t="s">
        <v>25938</v>
      </c>
      <c r="CU866" t="s">
        <v>13892</v>
      </c>
      <c r="CV866" t="s">
        <v>13808</v>
      </c>
      <c r="DA866" t="s">
        <v>14490</v>
      </c>
      <c r="DB866" t="s">
        <v>13808</v>
      </c>
      <c r="DM866" t="s">
        <v>25939</v>
      </c>
      <c r="DN866" t="s">
        <v>13808</v>
      </c>
      <c r="DO866" t="s">
        <v>18865</v>
      </c>
      <c r="DZ866" t="s">
        <v>14274</v>
      </c>
      <c r="EA866" t="s">
        <v>25418</v>
      </c>
      <c r="EC866">
        <v>44202</v>
      </c>
      <c r="ED866" t="s">
        <v>13903</v>
      </c>
      <c r="EE866" t="s">
        <v>5398</v>
      </c>
    </row>
    <row r="867" spans="1:135">
      <c r="A867" t="s">
        <v>584</v>
      </c>
      <c r="B867" t="s">
        <v>445</v>
      </c>
      <c r="C867" t="s">
        <v>25940</v>
      </c>
      <c r="D867" s="24">
        <v>43313</v>
      </c>
      <c r="E867" s="24" t="s">
        <v>13553</v>
      </c>
      <c r="F867" s="24" t="s">
        <v>25941</v>
      </c>
      <c r="G867" s="24" t="s">
        <v>13808</v>
      </c>
      <c r="H867" s="24"/>
      <c r="I867" s="24" t="s">
        <v>13809</v>
      </c>
      <c r="J867" s="24"/>
      <c r="K867" s="24" t="s">
        <v>13809</v>
      </c>
      <c r="L867" s="24"/>
      <c r="M867" s="24" t="s">
        <v>17316</v>
      </c>
      <c r="N867" s="24" t="s">
        <v>13808</v>
      </c>
      <c r="O867" s="24"/>
      <c r="P867" s="24" t="s">
        <v>13808</v>
      </c>
      <c r="Q867" s="24"/>
      <c r="R867" s="24" t="s">
        <v>13808</v>
      </c>
      <c r="S867" s="24" t="s">
        <v>25942</v>
      </c>
      <c r="T867" t="s">
        <v>25943</v>
      </c>
      <c r="U867" t="s">
        <v>13808</v>
      </c>
      <c r="W867" t="s">
        <v>13808</v>
      </c>
      <c r="X867" t="s">
        <v>25944</v>
      </c>
      <c r="Y867" t="s">
        <v>13809</v>
      </c>
      <c r="AA867" t="s">
        <v>15207</v>
      </c>
      <c r="AB867" t="s">
        <v>15023</v>
      </c>
      <c r="AC867" t="s">
        <v>13808</v>
      </c>
      <c r="AH867" t="s">
        <v>13909</v>
      </c>
      <c r="AI867" t="s">
        <v>13808</v>
      </c>
      <c r="AN867" t="s">
        <v>14812</v>
      </c>
      <c r="AO867" t="s">
        <v>13808</v>
      </c>
      <c r="AT867" t="s">
        <v>17876</v>
      </c>
      <c r="AU867" t="s">
        <v>13808</v>
      </c>
      <c r="AZ867" t="s">
        <v>14544</v>
      </c>
      <c r="BA867" t="s">
        <v>13808</v>
      </c>
      <c r="BF867" t="s">
        <v>14433</v>
      </c>
      <c r="BG867" t="s">
        <v>13808</v>
      </c>
      <c r="BM867" t="s">
        <v>13809</v>
      </c>
      <c r="BR867" t="s">
        <v>25945</v>
      </c>
      <c r="BT867" t="s">
        <v>13809</v>
      </c>
      <c r="BY867" t="s">
        <v>13887</v>
      </c>
      <c r="BZ867" t="s">
        <v>13808</v>
      </c>
      <c r="CA867" t="s">
        <v>13937</v>
      </c>
      <c r="CF867" t="s">
        <v>13809</v>
      </c>
      <c r="CK867" t="s">
        <v>13885</v>
      </c>
      <c r="CL867" t="s">
        <v>13808</v>
      </c>
      <c r="CM867" t="s">
        <v>17311</v>
      </c>
      <c r="CR867" t="s">
        <v>13809</v>
      </c>
      <c r="CT867" t="s">
        <v>20725</v>
      </c>
      <c r="CU867" t="s">
        <v>13909</v>
      </c>
      <c r="CV867" t="s">
        <v>13808</v>
      </c>
      <c r="DA867" t="s">
        <v>13909</v>
      </c>
      <c r="DB867" t="s">
        <v>13808</v>
      </c>
      <c r="DM867" t="s">
        <v>13909</v>
      </c>
      <c r="DN867" t="s">
        <v>13808</v>
      </c>
      <c r="DZ867" t="s">
        <v>25946</v>
      </c>
      <c r="EA867" t="s">
        <v>25947</v>
      </c>
      <c r="EC867">
        <v>44202</v>
      </c>
      <c r="ED867" t="s">
        <v>13903</v>
      </c>
      <c r="EE867" t="s">
        <v>5028</v>
      </c>
    </row>
    <row r="868" spans="1:135">
      <c r="A868" t="s">
        <v>376</v>
      </c>
      <c r="B868" t="s">
        <v>445</v>
      </c>
      <c r="C868" t="s">
        <v>25948</v>
      </c>
      <c r="D868" s="24">
        <v>43579</v>
      </c>
      <c r="E868" s="24" t="s">
        <v>13553</v>
      </c>
      <c r="F868" s="24" t="s">
        <v>25949</v>
      </c>
      <c r="G868" s="24" t="s">
        <v>13808</v>
      </c>
      <c r="H868" s="24"/>
      <c r="I868" s="24" t="s">
        <v>13809</v>
      </c>
      <c r="J868" s="24"/>
      <c r="K868" s="24" t="s">
        <v>13809</v>
      </c>
      <c r="L868" s="24"/>
      <c r="M868" s="24" t="s">
        <v>14163</v>
      </c>
      <c r="N868" s="24" t="s">
        <v>13808</v>
      </c>
      <c r="O868" s="24"/>
      <c r="P868" s="24" t="s">
        <v>13808</v>
      </c>
      <c r="Q868" s="24"/>
      <c r="R868" s="24" t="s">
        <v>13808</v>
      </c>
      <c r="S868" s="24"/>
      <c r="T868" t="s">
        <v>20551</v>
      </c>
      <c r="U868" t="s">
        <v>13809</v>
      </c>
      <c r="W868" t="s">
        <v>13808</v>
      </c>
      <c r="X868" t="s">
        <v>25950</v>
      </c>
      <c r="Y868" t="s">
        <v>13809</v>
      </c>
      <c r="AA868" t="s">
        <v>13877</v>
      </c>
      <c r="AC868" t="s">
        <v>13809</v>
      </c>
      <c r="AH868" t="s">
        <v>13909</v>
      </c>
      <c r="AI868" t="s">
        <v>13808</v>
      </c>
      <c r="AO868" t="s">
        <v>13809</v>
      </c>
      <c r="AT868" t="s">
        <v>14366</v>
      </c>
      <c r="AU868" t="s">
        <v>13808</v>
      </c>
      <c r="AZ868" t="s">
        <v>25514</v>
      </c>
      <c r="BA868" t="s">
        <v>13808</v>
      </c>
      <c r="BF868" t="s">
        <v>25951</v>
      </c>
      <c r="BG868" t="s">
        <v>13808</v>
      </c>
      <c r="BM868" t="s">
        <v>13809</v>
      </c>
      <c r="BR868" t="s">
        <v>25952</v>
      </c>
      <c r="BT868" t="s">
        <v>13809</v>
      </c>
      <c r="BY868" t="s">
        <v>14265</v>
      </c>
      <c r="BZ868" t="s">
        <v>13808</v>
      </c>
      <c r="CA868" t="s">
        <v>13861</v>
      </c>
      <c r="CF868" t="s">
        <v>13809</v>
      </c>
      <c r="CK868" t="s">
        <v>13887</v>
      </c>
      <c r="CL868" t="s">
        <v>13808</v>
      </c>
      <c r="CM868" t="s">
        <v>15266</v>
      </c>
      <c r="CR868" t="s">
        <v>13809</v>
      </c>
      <c r="CT868" t="s">
        <v>25953</v>
      </c>
      <c r="CU868" t="s">
        <v>25954</v>
      </c>
      <c r="CV868" t="s">
        <v>13808</v>
      </c>
      <c r="DA868" t="s">
        <v>25955</v>
      </c>
      <c r="DB868" t="s">
        <v>13808</v>
      </c>
      <c r="DM868" t="s">
        <v>25956</v>
      </c>
      <c r="DN868" t="s">
        <v>13808</v>
      </c>
      <c r="DP868" t="s">
        <v>25957</v>
      </c>
      <c r="DQ868" t="s">
        <v>13808</v>
      </c>
      <c r="DZ868" t="s">
        <v>25958</v>
      </c>
      <c r="EA868" t="s">
        <v>19319</v>
      </c>
      <c r="EC868">
        <v>44202</v>
      </c>
      <c r="ED868" t="s">
        <v>13903</v>
      </c>
      <c r="EE868" t="s">
        <v>5033</v>
      </c>
    </row>
    <row r="869" spans="1:135">
      <c r="A869" t="s">
        <v>823</v>
      </c>
      <c r="B869" t="s">
        <v>710</v>
      </c>
      <c r="C869" t="s">
        <v>25959</v>
      </c>
      <c r="D869" s="24">
        <v>44756</v>
      </c>
      <c r="E869" s="24" t="s">
        <v>13553</v>
      </c>
      <c r="F869" s="24" t="s">
        <v>25960</v>
      </c>
      <c r="G869" s="24" t="s">
        <v>13808</v>
      </c>
      <c r="H869" s="24"/>
      <c r="I869" s="24" t="s">
        <v>13809</v>
      </c>
      <c r="J869" s="24"/>
      <c r="K869" s="24" t="s">
        <v>13809</v>
      </c>
      <c r="L869" s="24"/>
      <c r="M869" s="24" t="s">
        <v>13846</v>
      </c>
      <c r="N869" s="24" t="s">
        <v>13808</v>
      </c>
      <c r="O869" s="24"/>
      <c r="P869" s="24" t="s">
        <v>13808</v>
      </c>
      <c r="Q869" s="24"/>
      <c r="R869" s="24" t="s">
        <v>13808</v>
      </c>
      <c r="S869" s="24"/>
      <c r="T869" t="s">
        <v>13847</v>
      </c>
      <c r="U869" t="s">
        <v>13808</v>
      </c>
      <c r="W869" t="s">
        <v>13808</v>
      </c>
      <c r="X869" t="s">
        <v>25961</v>
      </c>
      <c r="Y869" t="s">
        <v>13809</v>
      </c>
      <c r="AA869" t="s">
        <v>13849</v>
      </c>
      <c r="AB869" t="s">
        <v>25962</v>
      </c>
      <c r="AC869" t="s">
        <v>13808</v>
      </c>
      <c r="AH869" t="s">
        <v>13851</v>
      </c>
      <c r="AI869" t="s">
        <v>13808</v>
      </c>
      <c r="AN869" t="s">
        <v>25963</v>
      </c>
      <c r="AO869" t="s">
        <v>13808</v>
      </c>
      <c r="AT869" t="s">
        <v>25964</v>
      </c>
      <c r="AU869" t="s">
        <v>13808</v>
      </c>
      <c r="AZ869" t="s">
        <v>25965</v>
      </c>
      <c r="BA869" t="s">
        <v>13808</v>
      </c>
      <c r="BF869" t="s">
        <v>15771</v>
      </c>
      <c r="BG869" t="s">
        <v>13808</v>
      </c>
      <c r="BL869" t="s">
        <v>25966</v>
      </c>
      <c r="BM869" t="s">
        <v>13808</v>
      </c>
      <c r="BR869" t="s">
        <v>21695</v>
      </c>
      <c r="BS869" t="s">
        <v>13824</v>
      </c>
      <c r="BT869" t="s">
        <v>13808</v>
      </c>
      <c r="BU869" t="s">
        <v>14291</v>
      </c>
      <c r="BY869" t="s">
        <v>13860</v>
      </c>
      <c r="BZ869" t="s">
        <v>13808</v>
      </c>
      <c r="CA869" t="s">
        <v>13861</v>
      </c>
      <c r="CE869" t="s">
        <v>13828</v>
      </c>
      <c r="CF869" t="s">
        <v>13808</v>
      </c>
      <c r="CG869" t="s">
        <v>13863</v>
      </c>
      <c r="CK869" t="s">
        <v>13760</v>
      </c>
      <c r="CL869" t="s">
        <v>13809</v>
      </c>
      <c r="CQ869" t="s">
        <v>13766</v>
      </c>
      <c r="CR869" t="s">
        <v>13809</v>
      </c>
      <c r="CT869" t="s">
        <v>14293</v>
      </c>
      <c r="CU869" t="s">
        <v>25967</v>
      </c>
      <c r="CV869" t="s">
        <v>13808</v>
      </c>
      <c r="DA869" t="s">
        <v>25968</v>
      </c>
      <c r="DB869" t="s">
        <v>13808</v>
      </c>
      <c r="DM869" t="s">
        <v>25969</v>
      </c>
      <c r="DN869" t="s">
        <v>13808</v>
      </c>
      <c r="DY869" t="s">
        <v>16651</v>
      </c>
      <c r="DZ869" t="s">
        <v>25970</v>
      </c>
      <c r="EA869" t="s">
        <v>14182</v>
      </c>
      <c r="EC869">
        <v>44756</v>
      </c>
      <c r="ED869" t="s">
        <v>17062</v>
      </c>
      <c r="EE869" t="s">
        <v>5252</v>
      </c>
    </row>
    <row r="870" spans="1:135">
      <c r="A870" t="s">
        <v>588</v>
      </c>
      <c r="B870" t="s">
        <v>445</v>
      </c>
      <c r="C870" t="s">
        <v>25971</v>
      </c>
      <c r="D870" s="24">
        <v>43721</v>
      </c>
      <c r="E870" s="24" t="s">
        <v>13553</v>
      </c>
      <c r="F870" s="24" t="s">
        <v>25972</v>
      </c>
      <c r="G870" s="24" t="s">
        <v>13808</v>
      </c>
      <c r="H870" s="24"/>
      <c r="I870" s="24" t="s">
        <v>13809</v>
      </c>
      <c r="J870" s="24"/>
      <c r="K870" s="24" t="s">
        <v>13808</v>
      </c>
      <c r="L870" s="24"/>
      <c r="M870" s="24" t="s">
        <v>14163</v>
      </c>
      <c r="N870" s="24" t="s">
        <v>13808</v>
      </c>
      <c r="O870" s="24"/>
      <c r="P870" s="24" t="s">
        <v>13808</v>
      </c>
      <c r="Q870" s="24"/>
      <c r="R870" s="24" t="s">
        <v>13808</v>
      </c>
      <c r="S870" s="24"/>
      <c r="T870" t="s">
        <v>14016</v>
      </c>
      <c r="U870" t="s">
        <v>13809</v>
      </c>
      <c r="W870" t="s">
        <v>13808</v>
      </c>
      <c r="X870" t="s">
        <v>25973</v>
      </c>
      <c r="Y870" t="s">
        <v>13809</v>
      </c>
      <c r="AA870" t="s">
        <v>13877</v>
      </c>
      <c r="AB870" t="s">
        <v>25974</v>
      </c>
      <c r="AC870" t="s">
        <v>13808</v>
      </c>
      <c r="AH870" t="s">
        <v>13909</v>
      </c>
      <c r="AI870" t="s">
        <v>13808</v>
      </c>
      <c r="AN870" t="s">
        <v>25975</v>
      </c>
      <c r="AO870" t="s">
        <v>13808</v>
      </c>
      <c r="AT870" t="s">
        <v>14046</v>
      </c>
      <c r="AU870" t="s">
        <v>13808</v>
      </c>
      <c r="AZ870" t="s">
        <v>25976</v>
      </c>
      <c r="BA870" t="s">
        <v>13808</v>
      </c>
      <c r="BF870" t="s">
        <v>25977</v>
      </c>
      <c r="BG870" t="s">
        <v>13808</v>
      </c>
      <c r="BL870" t="s">
        <v>25978</v>
      </c>
      <c r="BM870" t="s">
        <v>13808</v>
      </c>
      <c r="BR870" t="s">
        <v>25979</v>
      </c>
      <c r="BS870" t="s">
        <v>13885</v>
      </c>
      <c r="BT870" t="s">
        <v>13808</v>
      </c>
      <c r="BU870" t="s">
        <v>14437</v>
      </c>
      <c r="BY870" t="s">
        <v>13887</v>
      </c>
      <c r="BZ870" t="s">
        <v>13808</v>
      </c>
      <c r="CA870" t="s">
        <v>14026</v>
      </c>
      <c r="CE870" t="s">
        <v>13885</v>
      </c>
      <c r="CF870" t="s">
        <v>13808</v>
      </c>
      <c r="CG870" t="s">
        <v>14173</v>
      </c>
      <c r="CL870" t="s">
        <v>13809</v>
      </c>
      <c r="CR870" t="s">
        <v>13809</v>
      </c>
      <c r="CT870" t="s">
        <v>14027</v>
      </c>
      <c r="CU870" t="s">
        <v>25980</v>
      </c>
      <c r="CV870" t="s">
        <v>13808</v>
      </c>
      <c r="DA870" t="s">
        <v>25981</v>
      </c>
      <c r="DB870" t="s">
        <v>13808</v>
      </c>
      <c r="DM870" t="s">
        <v>25982</v>
      </c>
      <c r="DN870" t="s">
        <v>13808</v>
      </c>
      <c r="DY870" t="s">
        <v>15828</v>
      </c>
      <c r="DZ870" t="s">
        <v>25983</v>
      </c>
      <c r="EA870" t="s">
        <v>14500</v>
      </c>
      <c r="ED870" t="s">
        <v>13903</v>
      </c>
      <c r="EE870" t="s">
        <v>5037</v>
      </c>
    </row>
    <row r="871" spans="1:135">
      <c r="A871" t="s">
        <v>233</v>
      </c>
      <c r="B871" t="s">
        <v>147</v>
      </c>
      <c r="C871" t="s">
        <v>25984</v>
      </c>
      <c r="D871" s="24">
        <v>43558</v>
      </c>
      <c r="E871" s="24" t="s">
        <v>13553</v>
      </c>
      <c r="F871" s="24" t="s">
        <v>25985</v>
      </c>
      <c r="G871" s="24" t="s">
        <v>13808</v>
      </c>
      <c r="H871" s="24"/>
      <c r="I871" s="24" t="s">
        <v>13809</v>
      </c>
      <c r="J871" s="24"/>
      <c r="K871" s="24" t="s">
        <v>13808</v>
      </c>
      <c r="L871" s="24"/>
      <c r="M871" s="24" t="s">
        <v>17316</v>
      </c>
      <c r="N871" s="24" t="s">
        <v>13808</v>
      </c>
      <c r="O871" s="24"/>
      <c r="P871" s="24" t="s">
        <v>13808</v>
      </c>
      <c r="Q871" s="24"/>
      <c r="R871" s="24" t="s">
        <v>13808</v>
      </c>
      <c r="S871" s="24"/>
      <c r="T871" t="s">
        <v>14429</v>
      </c>
      <c r="U871" t="s">
        <v>13808</v>
      </c>
      <c r="W871" t="s">
        <v>13808</v>
      </c>
      <c r="X871" t="s">
        <v>25986</v>
      </c>
      <c r="Y871" t="s">
        <v>13809</v>
      </c>
      <c r="AA871" t="s">
        <v>13849</v>
      </c>
      <c r="AB871" t="s">
        <v>25987</v>
      </c>
      <c r="AC871" t="s">
        <v>13808</v>
      </c>
      <c r="AH871" t="s">
        <v>13909</v>
      </c>
      <c r="AI871" t="s">
        <v>13808</v>
      </c>
      <c r="AN871" t="s">
        <v>25988</v>
      </c>
      <c r="AO871" t="s">
        <v>13808</v>
      </c>
      <c r="AT871" t="s">
        <v>25989</v>
      </c>
      <c r="AU871" t="s">
        <v>13808</v>
      </c>
      <c r="AZ871" t="s">
        <v>25990</v>
      </c>
      <c r="BA871" t="s">
        <v>13808</v>
      </c>
      <c r="BF871" t="s">
        <v>25991</v>
      </c>
      <c r="BG871" t="s">
        <v>13808</v>
      </c>
      <c r="BL871" t="s">
        <v>25992</v>
      </c>
      <c r="BM871" t="s">
        <v>13808</v>
      </c>
      <c r="BR871" t="s">
        <v>25993</v>
      </c>
      <c r="BT871" t="s">
        <v>13809</v>
      </c>
      <c r="BY871" t="s">
        <v>14265</v>
      </c>
      <c r="BZ871" t="s">
        <v>13808</v>
      </c>
      <c r="CA871" t="s">
        <v>13861</v>
      </c>
      <c r="CE871" t="s">
        <v>13887</v>
      </c>
      <c r="CF871" t="s">
        <v>13808</v>
      </c>
      <c r="CG871" t="s">
        <v>14291</v>
      </c>
      <c r="CL871" t="s">
        <v>13809</v>
      </c>
      <c r="CR871" t="s">
        <v>13809</v>
      </c>
      <c r="CT871" t="s">
        <v>25994</v>
      </c>
      <c r="CU871" t="s">
        <v>25995</v>
      </c>
      <c r="CV871" t="s">
        <v>13808</v>
      </c>
      <c r="DA871" t="s">
        <v>25996</v>
      </c>
      <c r="DB871" t="s">
        <v>13808</v>
      </c>
      <c r="DM871" t="s">
        <v>25997</v>
      </c>
      <c r="DN871" t="s">
        <v>13808</v>
      </c>
      <c r="DZ871" t="s">
        <v>25998</v>
      </c>
      <c r="EA871" t="s">
        <v>25999</v>
      </c>
      <c r="EC871">
        <v>44202</v>
      </c>
      <c r="ED871" t="s">
        <v>13903</v>
      </c>
      <c r="EE871" t="s">
        <v>4663</v>
      </c>
    </row>
    <row r="872" spans="1:135">
      <c r="A872" t="s">
        <v>385</v>
      </c>
      <c r="B872" t="s">
        <v>287</v>
      </c>
      <c r="C872" t="s">
        <v>26000</v>
      </c>
      <c r="D872" s="24">
        <v>42907</v>
      </c>
      <c r="E872" s="24" t="s">
        <v>13564</v>
      </c>
      <c r="F872" s="24" t="s">
        <v>26001</v>
      </c>
      <c r="G872" s="24" t="s">
        <v>13808</v>
      </c>
      <c r="H872" s="24"/>
      <c r="I872" s="24" t="s">
        <v>13809</v>
      </c>
      <c r="J872" s="24"/>
      <c r="K872" s="24" t="s">
        <v>13809</v>
      </c>
      <c r="L872" s="24"/>
      <c r="M872" s="24" t="s">
        <v>14304</v>
      </c>
      <c r="N872" s="24" t="s">
        <v>13808</v>
      </c>
      <c r="O872" s="24"/>
      <c r="P872" s="24" t="s">
        <v>13808</v>
      </c>
      <c r="Q872" s="24"/>
      <c r="R872" s="24" t="s">
        <v>13808</v>
      </c>
      <c r="S872" s="24"/>
      <c r="T872" t="s">
        <v>26002</v>
      </c>
      <c r="U872" t="s">
        <v>13808</v>
      </c>
      <c r="W872" t="s">
        <v>13808</v>
      </c>
      <c r="X872" t="s">
        <v>26003</v>
      </c>
      <c r="Y872" t="s">
        <v>13808</v>
      </c>
      <c r="AA872" t="s">
        <v>26004</v>
      </c>
      <c r="AB872" t="s">
        <v>26005</v>
      </c>
      <c r="AC872" t="s">
        <v>13808</v>
      </c>
      <c r="AH872" t="s">
        <v>18624</v>
      </c>
      <c r="AI872" t="s">
        <v>13808</v>
      </c>
      <c r="AK872" t="s">
        <v>26006</v>
      </c>
      <c r="AL872" t="s">
        <v>13818</v>
      </c>
      <c r="AM872" t="s">
        <v>18178</v>
      </c>
      <c r="AN872" t="s">
        <v>15130</v>
      </c>
      <c r="AO872" t="s">
        <v>13808</v>
      </c>
      <c r="AT872" t="s">
        <v>14370</v>
      </c>
      <c r="AU872" t="s">
        <v>13808</v>
      </c>
      <c r="AZ872" t="s">
        <v>26007</v>
      </c>
      <c r="BA872" t="s">
        <v>13808</v>
      </c>
      <c r="BF872" t="s">
        <v>26008</v>
      </c>
      <c r="BG872" t="s">
        <v>13808</v>
      </c>
      <c r="BL872" t="s">
        <v>26009</v>
      </c>
      <c r="BM872" t="s">
        <v>13808</v>
      </c>
      <c r="BR872" t="s">
        <v>26010</v>
      </c>
      <c r="BS872" t="s">
        <v>13887</v>
      </c>
      <c r="BT872" t="s">
        <v>13808</v>
      </c>
      <c r="BU872" t="s">
        <v>26011</v>
      </c>
      <c r="BY872" t="s">
        <v>14265</v>
      </c>
      <c r="BZ872" t="s">
        <v>13808</v>
      </c>
      <c r="CA872" t="s">
        <v>26012</v>
      </c>
      <c r="CE872" t="s">
        <v>26013</v>
      </c>
      <c r="CF872" t="s">
        <v>13808</v>
      </c>
      <c r="CL872" t="s">
        <v>13809</v>
      </c>
      <c r="CR872" t="s">
        <v>13809</v>
      </c>
      <c r="CT872" t="s">
        <v>19704</v>
      </c>
      <c r="CU872" t="s">
        <v>18624</v>
      </c>
      <c r="CV872" t="s">
        <v>13808</v>
      </c>
      <c r="DA872" t="s">
        <v>18624</v>
      </c>
      <c r="DB872" t="s">
        <v>13808</v>
      </c>
      <c r="DG872" t="s">
        <v>18624</v>
      </c>
      <c r="DH872" t="s">
        <v>13808</v>
      </c>
      <c r="DM872" t="s">
        <v>16141</v>
      </c>
      <c r="DN872" t="s">
        <v>13818</v>
      </c>
      <c r="DZ872" t="s">
        <v>26014</v>
      </c>
      <c r="EA872" t="s">
        <v>13842</v>
      </c>
      <c r="EC872">
        <v>44202</v>
      </c>
      <c r="ED872" t="s">
        <v>17062</v>
      </c>
      <c r="EE872" t="s">
        <v>4817</v>
      </c>
    </row>
    <row r="873" spans="1:135">
      <c r="A873" t="s">
        <v>834</v>
      </c>
      <c r="B873" t="s">
        <v>710</v>
      </c>
      <c r="C873" t="s">
        <v>26015</v>
      </c>
      <c r="D873" s="24">
        <v>42944</v>
      </c>
      <c r="E873" s="24" t="s">
        <v>13564</v>
      </c>
      <c r="F873" s="24" t="s">
        <v>26016</v>
      </c>
      <c r="G873" s="24" t="s">
        <v>13808</v>
      </c>
      <c r="H873" s="24"/>
      <c r="I873" s="24" t="s">
        <v>13809</v>
      </c>
      <c r="J873" s="24"/>
      <c r="K873" s="24" t="s">
        <v>13808</v>
      </c>
      <c r="L873" s="24"/>
      <c r="M873" s="24" t="s">
        <v>14304</v>
      </c>
      <c r="N873" s="24" t="s">
        <v>13808</v>
      </c>
      <c r="O873" s="24"/>
      <c r="P873" s="24" t="s">
        <v>13808</v>
      </c>
      <c r="Q873" s="24"/>
      <c r="R873" s="24" t="s">
        <v>13808</v>
      </c>
      <c r="S873" s="24"/>
      <c r="T873" t="s">
        <v>14863</v>
      </c>
      <c r="U873" t="s">
        <v>13809</v>
      </c>
      <c r="W873" t="s">
        <v>13808</v>
      </c>
      <c r="X873" t="s">
        <v>26017</v>
      </c>
      <c r="Y873" t="s">
        <v>13809</v>
      </c>
      <c r="AA873" t="s">
        <v>13928</v>
      </c>
      <c r="AB873" t="s">
        <v>26018</v>
      </c>
      <c r="AC873" t="s">
        <v>13808</v>
      </c>
      <c r="AH873" t="s">
        <v>13909</v>
      </c>
      <c r="AI873" t="s">
        <v>13808</v>
      </c>
      <c r="AN873" t="s">
        <v>26019</v>
      </c>
      <c r="AO873" t="s">
        <v>13808</v>
      </c>
      <c r="AT873" t="s">
        <v>15025</v>
      </c>
      <c r="AU873" t="s">
        <v>13808</v>
      </c>
      <c r="AZ873" t="s">
        <v>26020</v>
      </c>
      <c r="BA873" t="s">
        <v>13808</v>
      </c>
      <c r="BF873" t="s">
        <v>26021</v>
      </c>
      <c r="BG873" t="s">
        <v>13808</v>
      </c>
      <c r="BL873" t="s">
        <v>26022</v>
      </c>
      <c r="BM873" t="s">
        <v>13808</v>
      </c>
      <c r="BR873" t="s">
        <v>26023</v>
      </c>
      <c r="BS873" t="s">
        <v>13887</v>
      </c>
      <c r="BT873" t="s">
        <v>13808</v>
      </c>
      <c r="BU873" t="s">
        <v>14836</v>
      </c>
      <c r="BY873" t="s">
        <v>14265</v>
      </c>
      <c r="BZ873" t="s">
        <v>13808</v>
      </c>
      <c r="CA873" t="s">
        <v>13937</v>
      </c>
      <c r="CE873" t="s">
        <v>26024</v>
      </c>
      <c r="CF873" t="s">
        <v>13808</v>
      </c>
      <c r="CL873" t="s">
        <v>13809</v>
      </c>
      <c r="CR873" t="s">
        <v>13809</v>
      </c>
      <c r="CT873" t="s">
        <v>14561</v>
      </c>
      <c r="CU873" t="s">
        <v>13887</v>
      </c>
      <c r="CV873" t="s">
        <v>13808</v>
      </c>
      <c r="CX873" t="s">
        <v>15417</v>
      </c>
      <c r="CY873" t="s">
        <v>13818</v>
      </c>
      <c r="DA873" t="s">
        <v>13887</v>
      </c>
      <c r="DB873" t="s">
        <v>13808</v>
      </c>
      <c r="DD873" t="s">
        <v>15417</v>
      </c>
      <c r="DE873" t="s">
        <v>26025</v>
      </c>
      <c r="DG873" t="s">
        <v>13909</v>
      </c>
      <c r="DH873" t="s">
        <v>13818</v>
      </c>
      <c r="DZ873" t="s">
        <v>26026</v>
      </c>
      <c r="EA873" t="s">
        <v>19097</v>
      </c>
      <c r="EC873">
        <v>44207</v>
      </c>
      <c r="ED873" t="s">
        <v>13903</v>
      </c>
      <c r="EE873" t="s">
        <v>5260</v>
      </c>
    </row>
    <row r="874" spans="1:135">
      <c r="A874" t="s">
        <v>399</v>
      </c>
      <c r="B874" t="s">
        <v>287</v>
      </c>
      <c r="C874" t="s">
        <v>26027</v>
      </c>
      <c r="D874" s="24">
        <v>42908</v>
      </c>
      <c r="E874" s="24" t="s">
        <v>13564</v>
      </c>
      <c r="F874" s="24" t="s">
        <v>26028</v>
      </c>
      <c r="G874" s="24" t="s">
        <v>13808</v>
      </c>
      <c r="H874" s="24"/>
      <c r="I874" s="24" t="s">
        <v>13808</v>
      </c>
      <c r="J874" s="24"/>
      <c r="K874" s="24" t="s">
        <v>13808</v>
      </c>
      <c r="L874" s="24"/>
      <c r="M874" s="24" t="s">
        <v>26029</v>
      </c>
      <c r="N874" s="24" t="s">
        <v>13808</v>
      </c>
      <c r="O874" s="24"/>
      <c r="P874" s="24" t="s">
        <v>13808</v>
      </c>
      <c r="Q874" s="24"/>
      <c r="R874" s="24" t="s">
        <v>13818</v>
      </c>
      <c r="S874" s="24"/>
      <c r="T874" t="s">
        <v>22923</v>
      </c>
      <c r="U874" t="s">
        <v>13809</v>
      </c>
      <c r="W874" t="s">
        <v>13808</v>
      </c>
      <c r="X874" t="s">
        <v>26030</v>
      </c>
      <c r="Y874" t="s">
        <v>13809</v>
      </c>
      <c r="AA874" t="s">
        <v>13928</v>
      </c>
      <c r="AB874" t="s">
        <v>26031</v>
      </c>
      <c r="AC874" t="s">
        <v>13808</v>
      </c>
      <c r="AH874" t="s">
        <v>26032</v>
      </c>
      <c r="AI874" t="s">
        <v>13808</v>
      </c>
      <c r="AN874" t="s">
        <v>26033</v>
      </c>
      <c r="AO874" t="s">
        <v>13808</v>
      </c>
      <c r="AT874" t="s">
        <v>26034</v>
      </c>
      <c r="AU874" t="s">
        <v>13808</v>
      </c>
      <c r="AZ874" t="s">
        <v>26035</v>
      </c>
      <c r="BA874" t="s">
        <v>13808</v>
      </c>
      <c r="BF874" t="s">
        <v>26036</v>
      </c>
      <c r="BG874" t="s">
        <v>13808</v>
      </c>
      <c r="BL874" t="s">
        <v>26037</v>
      </c>
      <c r="BM874" t="s">
        <v>13808</v>
      </c>
      <c r="BR874" t="s">
        <v>26038</v>
      </c>
      <c r="BS874" t="s">
        <v>13824</v>
      </c>
      <c r="BT874" t="s">
        <v>13808</v>
      </c>
      <c r="BU874" t="s">
        <v>14836</v>
      </c>
      <c r="BY874" t="s">
        <v>13826</v>
      </c>
      <c r="BZ874" t="s">
        <v>13808</v>
      </c>
      <c r="CA874" t="s">
        <v>26039</v>
      </c>
      <c r="CE874" t="s">
        <v>26040</v>
      </c>
      <c r="CF874" t="s">
        <v>13808</v>
      </c>
      <c r="CH874" t="s">
        <v>13828</v>
      </c>
      <c r="CI874" t="s">
        <v>13818</v>
      </c>
      <c r="CJ874" t="s">
        <v>15415</v>
      </c>
      <c r="CK874" t="s">
        <v>13760</v>
      </c>
      <c r="CL874" t="s">
        <v>13809</v>
      </c>
      <c r="CQ874" t="s">
        <v>13766</v>
      </c>
      <c r="CR874" t="s">
        <v>13809</v>
      </c>
      <c r="CT874" t="s">
        <v>26041</v>
      </c>
      <c r="CU874" t="s">
        <v>26042</v>
      </c>
      <c r="CV874" t="s">
        <v>13808</v>
      </c>
      <c r="CX874" t="s">
        <v>26043</v>
      </c>
      <c r="CY874" t="s">
        <v>13818</v>
      </c>
      <c r="DA874" t="s">
        <v>26044</v>
      </c>
      <c r="DB874" t="s">
        <v>13808</v>
      </c>
      <c r="DD874" t="s">
        <v>26043</v>
      </c>
      <c r="DE874" t="s">
        <v>13818</v>
      </c>
      <c r="DG874" t="s">
        <v>14240</v>
      </c>
      <c r="DH874" t="s">
        <v>13808</v>
      </c>
      <c r="DZ874" t="s">
        <v>26045</v>
      </c>
      <c r="EA874" t="s">
        <v>14118</v>
      </c>
      <c r="EC874">
        <v>44671</v>
      </c>
      <c r="ED874" t="s">
        <v>13843</v>
      </c>
      <c r="EE874" t="s">
        <v>4825</v>
      </c>
    </row>
    <row r="875" spans="1:135">
      <c r="A875" t="s">
        <v>853</v>
      </c>
      <c r="B875" t="s">
        <v>710</v>
      </c>
      <c r="C875" t="s">
        <v>26046</v>
      </c>
      <c r="D875" s="24">
        <v>42935</v>
      </c>
      <c r="E875" s="24" t="s">
        <v>13560</v>
      </c>
      <c r="F875" s="24" t="s">
        <v>26047</v>
      </c>
      <c r="G875" s="24" t="s">
        <v>13808</v>
      </c>
      <c r="H875" s="24" t="s">
        <v>26048</v>
      </c>
      <c r="I875" s="24" t="s">
        <v>13809</v>
      </c>
      <c r="J875" s="24"/>
      <c r="K875" s="24" t="s">
        <v>13808</v>
      </c>
      <c r="L875" s="24"/>
      <c r="M875" s="24" t="s">
        <v>14304</v>
      </c>
      <c r="N875" s="24" t="s">
        <v>13808</v>
      </c>
      <c r="O875" s="24"/>
      <c r="P875" s="24" t="s">
        <v>13808</v>
      </c>
      <c r="Q875" s="24"/>
      <c r="R875" s="24" t="s">
        <v>13808</v>
      </c>
      <c r="S875" s="24"/>
      <c r="T875" t="s">
        <v>18083</v>
      </c>
      <c r="U875" t="s">
        <v>13809</v>
      </c>
      <c r="W875" t="s">
        <v>13808</v>
      </c>
      <c r="X875" t="s">
        <v>26049</v>
      </c>
      <c r="Y875" t="s">
        <v>13809</v>
      </c>
      <c r="AA875" t="s">
        <v>13928</v>
      </c>
      <c r="AB875" t="s">
        <v>26050</v>
      </c>
      <c r="AC875" t="s">
        <v>13808</v>
      </c>
      <c r="AH875" t="s">
        <v>13851</v>
      </c>
      <c r="AI875" t="s">
        <v>13808</v>
      </c>
      <c r="AN875" t="s">
        <v>18085</v>
      </c>
      <c r="AO875" t="s">
        <v>13808</v>
      </c>
      <c r="AT875" t="s">
        <v>26051</v>
      </c>
      <c r="AU875" t="s">
        <v>13808</v>
      </c>
      <c r="AZ875" t="s">
        <v>26052</v>
      </c>
      <c r="BA875" t="s">
        <v>13808</v>
      </c>
      <c r="BF875" t="s">
        <v>26053</v>
      </c>
      <c r="BG875" t="s">
        <v>13808</v>
      </c>
      <c r="BL875" t="s">
        <v>26054</v>
      </c>
      <c r="BM875" t="s">
        <v>13808</v>
      </c>
      <c r="BR875" t="s">
        <v>26055</v>
      </c>
      <c r="BS875" t="s">
        <v>13824</v>
      </c>
      <c r="BT875" t="s">
        <v>13808</v>
      </c>
      <c r="BU875" t="s">
        <v>14315</v>
      </c>
      <c r="BY875" t="s">
        <v>13826</v>
      </c>
      <c r="BZ875" t="s">
        <v>13808</v>
      </c>
      <c r="CA875" t="s">
        <v>13937</v>
      </c>
      <c r="CE875" t="s">
        <v>26056</v>
      </c>
      <c r="CF875" t="s">
        <v>13808</v>
      </c>
      <c r="CK875" t="s">
        <v>13760</v>
      </c>
      <c r="CL875" t="s">
        <v>13809</v>
      </c>
      <c r="CQ875" t="s">
        <v>13766</v>
      </c>
      <c r="CR875" t="s">
        <v>13809</v>
      </c>
      <c r="CT875" t="s">
        <v>26057</v>
      </c>
      <c r="CU875" t="s">
        <v>24283</v>
      </c>
      <c r="CV875" t="s">
        <v>13808</v>
      </c>
      <c r="CX875" t="s">
        <v>24735</v>
      </c>
      <c r="CY875" t="s">
        <v>13818</v>
      </c>
      <c r="DA875" t="s">
        <v>23108</v>
      </c>
      <c r="DB875" t="s">
        <v>13808</v>
      </c>
      <c r="DD875" t="s">
        <v>26058</v>
      </c>
      <c r="DE875" t="s">
        <v>13818</v>
      </c>
      <c r="DG875" t="s">
        <v>14240</v>
      </c>
      <c r="DH875" t="s">
        <v>13818</v>
      </c>
      <c r="DY875" t="s">
        <v>15046</v>
      </c>
      <c r="DZ875" t="s">
        <v>15047</v>
      </c>
      <c r="EA875" t="s">
        <v>25702</v>
      </c>
      <c r="EC875">
        <v>44726</v>
      </c>
      <c r="ED875" t="s">
        <v>17062</v>
      </c>
      <c r="EE875" t="s">
        <v>5272</v>
      </c>
    </row>
    <row r="876" spans="1:135">
      <c r="A876" t="s">
        <v>1001</v>
      </c>
      <c r="B876" t="s">
        <v>914</v>
      </c>
      <c r="C876" t="s">
        <v>26059</v>
      </c>
      <c r="D876" s="24">
        <v>42940</v>
      </c>
      <c r="E876" s="24" t="s">
        <v>13571</v>
      </c>
      <c r="F876" s="24" t="s">
        <v>26060</v>
      </c>
      <c r="G876" s="24" t="s">
        <v>13808</v>
      </c>
      <c r="H876" s="24"/>
      <c r="I876" s="24" t="s">
        <v>13809</v>
      </c>
      <c r="J876" s="24"/>
      <c r="K876" s="24" t="s">
        <v>13808</v>
      </c>
      <c r="L876" s="24" t="s">
        <v>26061</v>
      </c>
      <c r="M876" s="24" t="s">
        <v>15106</v>
      </c>
      <c r="N876" s="24" t="s">
        <v>13808</v>
      </c>
      <c r="O876" s="24"/>
      <c r="P876" s="24" t="s">
        <v>13808</v>
      </c>
      <c r="Q876" s="24"/>
      <c r="R876" s="24" t="s">
        <v>13808</v>
      </c>
      <c r="S876" s="24"/>
      <c r="T876" t="s">
        <v>13847</v>
      </c>
      <c r="U876" t="s">
        <v>13809</v>
      </c>
      <c r="W876" t="s">
        <v>13808</v>
      </c>
      <c r="X876" t="s">
        <v>26062</v>
      </c>
      <c r="Y876" t="s">
        <v>13808</v>
      </c>
      <c r="AA876" t="s">
        <v>15330</v>
      </c>
      <c r="AB876" t="s">
        <v>26063</v>
      </c>
      <c r="AC876" t="s">
        <v>13808</v>
      </c>
      <c r="AH876" t="s">
        <v>13851</v>
      </c>
      <c r="AI876" t="s">
        <v>13808</v>
      </c>
      <c r="AN876" t="s">
        <v>26064</v>
      </c>
      <c r="AO876" t="s">
        <v>13808</v>
      </c>
      <c r="AT876" t="s">
        <v>14100</v>
      </c>
      <c r="AU876" t="s">
        <v>13808</v>
      </c>
      <c r="AZ876" t="s">
        <v>26065</v>
      </c>
      <c r="BA876" t="s">
        <v>13808</v>
      </c>
      <c r="BF876" t="s">
        <v>26066</v>
      </c>
      <c r="BG876" t="s">
        <v>13808</v>
      </c>
      <c r="BL876" t="s">
        <v>26067</v>
      </c>
      <c r="BM876" t="s">
        <v>13808</v>
      </c>
      <c r="BR876" t="s">
        <v>26068</v>
      </c>
      <c r="BS876" t="s">
        <v>13824</v>
      </c>
      <c r="BT876" t="s">
        <v>13808</v>
      </c>
      <c r="BU876" t="s">
        <v>14836</v>
      </c>
      <c r="BY876" t="s">
        <v>19524</v>
      </c>
      <c r="BZ876" t="s">
        <v>13808</v>
      </c>
      <c r="CA876" t="s">
        <v>13937</v>
      </c>
      <c r="CE876" t="s">
        <v>26069</v>
      </c>
      <c r="CF876" t="s">
        <v>13818</v>
      </c>
      <c r="CG876" t="s">
        <v>15415</v>
      </c>
      <c r="CK876" t="s">
        <v>13760</v>
      </c>
      <c r="CL876" t="s">
        <v>13809</v>
      </c>
      <c r="CQ876" t="s">
        <v>16814</v>
      </c>
      <c r="CR876" t="s">
        <v>13818</v>
      </c>
      <c r="CS876" t="s">
        <v>15415</v>
      </c>
      <c r="CT876" t="s">
        <v>26070</v>
      </c>
      <c r="CU876" t="s">
        <v>26071</v>
      </c>
      <c r="CV876" t="s">
        <v>13808</v>
      </c>
      <c r="CX876" t="s">
        <v>26072</v>
      </c>
      <c r="CY876" t="s">
        <v>13818</v>
      </c>
      <c r="CZ876" t="s">
        <v>26073</v>
      </c>
      <c r="DA876" t="s">
        <v>24736</v>
      </c>
      <c r="DB876" t="s">
        <v>13808</v>
      </c>
      <c r="DD876" t="s">
        <v>26072</v>
      </c>
      <c r="DE876" t="s">
        <v>13818</v>
      </c>
      <c r="DF876" t="s">
        <v>26073</v>
      </c>
      <c r="DG876" t="s">
        <v>20272</v>
      </c>
      <c r="DH876" t="s">
        <v>13808</v>
      </c>
      <c r="DZ876" t="s">
        <v>18699</v>
      </c>
      <c r="EA876" t="s">
        <v>16821</v>
      </c>
      <c r="EC876">
        <v>44627</v>
      </c>
      <c r="ED876" t="s">
        <v>13843</v>
      </c>
      <c r="EE876" t="s">
        <v>5402</v>
      </c>
    </row>
    <row r="877" spans="1:135">
      <c r="A877" t="s">
        <v>1015</v>
      </c>
      <c r="B877" t="s">
        <v>914</v>
      </c>
      <c r="C877" t="s">
        <v>26074</v>
      </c>
      <c r="D877" s="24">
        <v>44756</v>
      </c>
      <c r="E877" s="24" t="s">
        <v>13553</v>
      </c>
      <c r="F877" s="24" t="s">
        <v>26075</v>
      </c>
      <c r="G877" s="24" t="s">
        <v>13808</v>
      </c>
      <c r="H877" s="24"/>
      <c r="I877" s="24" t="s">
        <v>13809</v>
      </c>
      <c r="J877" s="24"/>
      <c r="K877" s="24" t="s">
        <v>13809</v>
      </c>
      <c r="L877" s="24"/>
      <c r="M877" s="24" t="s">
        <v>13846</v>
      </c>
      <c r="N877" s="24" t="s">
        <v>13808</v>
      </c>
      <c r="O877" s="24"/>
      <c r="P877" s="24" t="s">
        <v>13808</v>
      </c>
      <c r="Q877" s="24"/>
      <c r="R877" s="24" t="s">
        <v>13808</v>
      </c>
      <c r="S877" s="24"/>
      <c r="T877" t="s">
        <v>13847</v>
      </c>
      <c r="U877" t="s">
        <v>13809</v>
      </c>
      <c r="W877" t="s">
        <v>13808</v>
      </c>
      <c r="X877" t="s">
        <v>26076</v>
      </c>
      <c r="Y877" t="s">
        <v>13808</v>
      </c>
      <c r="AA877" t="s">
        <v>13849</v>
      </c>
      <c r="AB877" t="s">
        <v>26077</v>
      </c>
      <c r="AC877" t="s">
        <v>13808</v>
      </c>
      <c r="AH877" t="s">
        <v>13851</v>
      </c>
      <c r="AI877" t="s">
        <v>13808</v>
      </c>
      <c r="AN877" t="s">
        <v>26078</v>
      </c>
      <c r="AO877" t="s">
        <v>13808</v>
      </c>
      <c r="AT877" t="s">
        <v>25109</v>
      </c>
      <c r="AU877" t="s">
        <v>13808</v>
      </c>
      <c r="AZ877" t="s">
        <v>26079</v>
      </c>
      <c r="BA877" t="s">
        <v>13808</v>
      </c>
      <c r="BF877" t="s">
        <v>26080</v>
      </c>
      <c r="BG877" t="s">
        <v>13808</v>
      </c>
      <c r="BL877" t="s">
        <v>26081</v>
      </c>
      <c r="BM877" t="s">
        <v>13808</v>
      </c>
      <c r="BR877" t="s">
        <v>26082</v>
      </c>
      <c r="BS877" t="s">
        <v>13824</v>
      </c>
      <c r="BT877" t="s">
        <v>13808</v>
      </c>
      <c r="BU877" t="s">
        <v>14913</v>
      </c>
      <c r="BY877" t="s">
        <v>13826</v>
      </c>
      <c r="BZ877" t="s">
        <v>13808</v>
      </c>
      <c r="CA877" t="s">
        <v>13861</v>
      </c>
      <c r="CE877" t="s">
        <v>13938</v>
      </c>
      <c r="CF877" t="s">
        <v>13808</v>
      </c>
      <c r="CK877" t="s">
        <v>26083</v>
      </c>
      <c r="CL877" t="s">
        <v>13808</v>
      </c>
      <c r="CQ877" t="s">
        <v>13766</v>
      </c>
      <c r="CR877" t="s">
        <v>13809</v>
      </c>
      <c r="CT877" t="s">
        <v>17558</v>
      </c>
      <c r="CU877" t="s">
        <v>26084</v>
      </c>
      <c r="CV877" t="s">
        <v>13808</v>
      </c>
      <c r="DA877" t="s">
        <v>26085</v>
      </c>
      <c r="DB877" t="s">
        <v>13808</v>
      </c>
      <c r="DM877" t="s">
        <v>26086</v>
      </c>
      <c r="DN877" t="s">
        <v>13808</v>
      </c>
      <c r="DO877" t="s">
        <v>26087</v>
      </c>
      <c r="DP877" t="s">
        <v>26088</v>
      </c>
      <c r="DQ877" t="s">
        <v>13808</v>
      </c>
      <c r="DY877" t="s">
        <v>13840</v>
      </c>
      <c r="DZ877" t="s">
        <v>14739</v>
      </c>
      <c r="EA877" t="s">
        <v>13871</v>
      </c>
      <c r="EC877">
        <v>44756</v>
      </c>
      <c r="ED877" t="s">
        <v>17062</v>
      </c>
      <c r="EE877" t="s">
        <v>5410</v>
      </c>
    </row>
    <row r="878" spans="1:135">
      <c r="A878" t="s">
        <v>870</v>
      </c>
      <c r="B878" t="s">
        <v>710</v>
      </c>
      <c r="C878" t="s">
        <v>26089</v>
      </c>
      <c r="D878" s="24">
        <v>42940</v>
      </c>
      <c r="E878" s="24" t="s">
        <v>13555</v>
      </c>
      <c r="F878" s="24" t="s">
        <v>26090</v>
      </c>
      <c r="G878" s="24" t="s">
        <v>13808</v>
      </c>
      <c r="H878" s="24"/>
      <c r="I878" s="24" t="s">
        <v>13809</v>
      </c>
      <c r="J878" s="24"/>
      <c r="K878" s="24" t="s">
        <v>13809</v>
      </c>
      <c r="L878" s="24"/>
      <c r="M878" s="24" t="s">
        <v>26091</v>
      </c>
      <c r="N878" s="24" t="s">
        <v>13808</v>
      </c>
      <c r="O878" s="24"/>
      <c r="P878" s="24" t="s">
        <v>13808</v>
      </c>
      <c r="Q878" s="24"/>
      <c r="R878" s="24" t="s">
        <v>13808</v>
      </c>
      <c r="S878" s="24"/>
      <c r="T878" t="s">
        <v>14863</v>
      </c>
      <c r="U878" t="s">
        <v>13809</v>
      </c>
      <c r="W878" t="s">
        <v>13808</v>
      </c>
      <c r="X878" t="s">
        <v>26092</v>
      </c>
      <c r="Y878" t="s">
        <v>13808</v>
      </c>
      <c r="AA878" t="s">
        <v>14971</v>
      </c>
      <c r="AB878" t="s">
        <v>26093</v>
      </c>
      <c r="AC878" t="s">
        <v>13808</v>
      </c>
      <c r="AH878" t="s">
        <v>13909</v>
      </c>
      <c r="AI878" t="s">
        <v>13808</v>
      </c>
      <c r="AN878" t="s">
        <v>26094</v>
      </c>
      <c r="AO878" t="s">
        <v>13808</v>
      </c>
      <c r="AT878" t="s">
        <v>26095</v>
      </c>
      <c r="AU878" t="s">
        <v>13808</v>
      </c>
      <c r="AZ878" t="s">
        <v>26096</v>
      </c>
      <c r="BA878" t="s">
        <v>13808</v>
      </c>
      <c r="BF878" t="s">
        <v>26097</v>
      </c>
      <c r="BG878" t="s">
        <v>13808</v>
      </c>
      <c r="BL878" t="s">
        <v>26098</v>
      </c>
      <c r="BM878" t="s">
        <v>13808</v>
      </c>
      <c r="BR878" t="s">
        <v>26099</v>
      </c>
      <c r="BS878" t="s">
        <v>13887</v>
      </c>
      <c r="BT878" t="s">
        <v>13808</v>
      </c>
      <c r="BU878" t="s">
        <v>14147</v>
      </c>
      <c r="BY878" t="s">
        <v>15138</v>
      </c>
      <c r="BZ878" t="s">
        <v>13808</v>
      </c>
      <c r="CA878" t="s">
        <v>13937</v>
      </c>
      <c r="CE878" t="s">
        <v>26100</v>
      </c>
      <c r="CF878" t="s">
        <v>13808</v>
      </c>
      <c r="CH878" t="s">
        <v>26101</v>
      </c>
      <c r="CI878" t="s">
        <v>13818</v>
      </c>
      <c r="CJ878" t="s">
        <v>15415</v>
      </c>
      <c r="CL878" t="s">
        <v>13809</v>
      </c>
      <c r="CQ878" t="s">
        <v>14265</v>
      </c>
      <c r="CR878" t="s">
        <v>13818</v>
      </c>
      <c r="CS878" t="s">
        <v>26102</v>
      </c>
      <c r="CT878" t="s">
        <v>25453</v>
      </c>
      <c r="CU878" t="s">
        <v>13909</v>
      </c>
      <c r="CV878" t="s">
        <v>13808</v>
      </c>
      <c r="DA878" t="s">
        <v>13909</v>
      </c>
      <c r="DB878" t="s">
        <v>13808</v>
      </c>
      <c r="DH878" t="s">
        <v>13809</v>
      </c>
      <c r="DM878" t="s">
        <v>26103</v>
      </c>
      <c r="DN878" t="s">
        <v>13808</v>
      </c>
      <c r="DY878" t="s">
        <v>20302</v>
      </c>
      <c r="DZ878" t="s">
        <v>26104</v>
      </c>
      <c r="EA878" t="s">
        <v>13842</v>
      </c>
      <c r="EC878">
        <v>44207</v>
      </c>
      <c r="ED878" t="s">
        <v>13903</v>
      </c>
      <c r="EE878" t="s">
        <v>5284</v>
      </c>
    </row>
    <row r="879" spans="1:135">
      <c r="A879" t="s">
        <v>595</v>
      </c>
      <c r="B879" t="s">
        <v>445</v>
      </c>
      <c r="C879" t="s">
        <v>26105</v>
      </c>
      <c r="D879" s="24">
        <v>44686</v>
      </c>
      <c r="E879" s="24" t="s">
        <v>13555</v>
      </c>
      <c r="F879" s="24" t="s">
        <v>26106</v>
      </c>
      <c r="G879" s="24" t="s">
        <v>13808</v>
      </c>
      <c r="H879" s="24"/>
      <c r="I879" s="24" t="s">
        <v>13809</v>
      </c>
      <c r="J879" s="24"/>
      <c r="K879" s="24" t="s">
        <v>13809</v>
      </c>
      <c r="L879" s="24"/>
      <c r="M879" s="24" t="s">
        <v>15494</v>
      </c>
      <c r="N879" s="24" t="s">
        <v>13808</v>
      </c>
      <c r="O879" s="24"/>
      <c r="P879" s="24" t="s">
        <v>13808</v>
      </c>
      <c r="Q879" s="24"/>
      <c r="R879" s="24" t="s">
        <v>13808</v>
      </c>
      <c r="S879" s="24"/>
      <c r="T879" t="s">
        <v>14863</v>
      </c>
      <c r="U879" t="s">
        <v>13808</v>
      </c>
      <c r="V879" t="s">
        <v>26107</v>
      </c>
      <c r="W879" t="s">
        <v>13808</v>
      </c>
      <c r="X879" t="s">
        <v>26108</v>
      </c>
      <c r="Y879" t="s">
        <v>13808</v>
      </c>
      <c r="AA879" t="s">
        <v>24476</v>
      </c>
      <c r="AB879" t="s">
        <v>26109</v>
      </c>
      <c r="AC879" t="s">
        <v>13808</v>
      </c>
      <c r="AH879" t="s">
        <v>13851</v>
      </c>
      <c r="AI879" t="s">
        <v>13808</v>
      </c>
      <c r="AN879" t="s">
        <v>26110</v>
      </c>
      <c r="AO879" t="s">
        <v>13808</v>
      </c>
      <c r="AT879" t="s">
        <v>26111</v>
      </c>
      <c r="AU879" t="s">
        <v>13808</v>
      </c>
      <c r="AZ879" t="s">
        <v>26112</v>
      </c>
      <c r="BA879" t="s">
        <v>13808</v>
      </c>
      <c r="BF879" t="s">
        <v>26113</v>
      </c>
      <c r="BG879" t="s">
        <v>13808</v>
      </c>
      <c r="BL879" t="s">
        <v>26114</v>
      </c>
      <c r="BM879" t="s">
        <v>13808</v>
      </c>
      <c r="BR879" t="s">
        <v>26115</v>
      </c>
      <c r="BS879" t="s">
        <v>13824</v>
      </c>
      <c r="BT879" t="s">
        <v>13808</v>
      </c>
      <c r="BU879" t="s">
        <v>14836</v>
      </c>
      <c r="BY879" t="s">
        <v>13826</v>
      </c>
      <c r="BZ879" t="s">
        <v>13808</v>
      </c>
      <c r="CA879" t="s">
        <v>13937</v>
      </c>
      <c r="CE879" t="s">
        <v>26116</v>
      </c>
      <c r="CF879" t="s">
        <v>13808</v>
      </c>
      <c r="CK879" t="s">
        <v>13760</v>
      </c>
      <c r="CL879" t="s">
        <v>13809</v>
      </c>
      <c r="CQ879" t="s">
        <v>16665</v>
      </c>
      <c r="CR879" t="s">
        <v>13808</v>
      </c>
      <c r="CT879" t="s">
        <v>26117</v>
      </c>
      <c r="CU879" t="s">
        <v>26118</v>
      </c>
      <c r="CV879" t="s">
        <v>13808</v>
      </c>
      <c r="DA879" t="s">
        <v>23995</v>
      </c>
      <c r="DB879" t="s">
        <v>13808</v>
      </c>
      <c r="DG879" t="s">
        <v>23996</v>
      </c>
      <c r="DH879" t="s">
        <v>13808</v>
      </c>
      <c r="DM879" t="s">
        <v>26119</v>
      </c>
      <c r="DN879" t="s">
        <v>13808</v>
      </c>
      <c r="DO879" t="s">
        <v>15894</v>
      </c>
      <c r="DY879" t="s">
        <v>14606</v>
      </c>
      <c r="DZ879" t="s">
        <v>26120</v>
      </c>
      <c r="EA879" t="s">
        <v>16821</v>
      </c>
      <c r="EC879">
        <v>44686</v>
      </c>
      <c r="ED879" t="s">
        <v>17062</v>
      </c>
      <c r="EE879" t="s">
        <v>5043</v>
      </c>
    </row>
    <row r="880" spans="1:135">
      <c r="A880" t="s">
        <v>612</v>
      </c>
      <c r="B880" t="s">
        <v>445</v>
      </c>
      <c r="C880" t="s">
        <v>26121</v>
      </c>
      <c r="D880" s="24">
        <v>42923</v>
      </c>
      <c r="E880" s="24" t="s">
        <v>13557</v>
      </c>
      <c r="F880" s="24" t="s">
        <v>26122</v>
      </c>
      <c r="G880" s="24" t="s">
        <v>13808</v>
      </c>
      <c r="H880" s="24"/>
      <c r="I880" s="24" t="s">
        <v>13809</v>
      </c>
      <c r="J880" s="24"/>
      <c r="K880" s="24" t="s">
        <v>13808</v>
      </c>
      <c r="L880" s="24"/>
      <c r="M880" s="24" t="s">
        <v>26123</v>
      </c>
      <c r="N880" s="24" t="s">
        <v>13808</v>
      </c>
      <c r="O880" s="24"/>
      <c r="P880" s="24" t="s">
        <v>13808</v>
      </c>
      <c r="Q880" s="24"/>
      <c r="R880" s="24" t="s">
        <v>13818</v>
      </c>
      <c r="S880" s="24" t="s">
        <v>26124</v>
      </c>
      <c r="T880" t="s">
        <v>26125</v>
      </c>
      <c r="U880" t="s">
        <v>13809</v>
      </c>
      <c r="W880" t="s">
        <v>13808</v>
      </c>
      <c r="X880" t="s">
        <v>26126</v>
      </c>
      <c r="Y880" t="s">
        <v>13808</v>
      </c>
      <c r="AA880" t="s">
        <v>13928</v>
      </c>
      <c r="AB880" t="s">
        <v>26127</v>
      </c>
      <c r="AC880" t="s">
        <v>13808</v>
      </c>
      <c r="AH880" t="s">
        <v>13909</v>
      </c>
      <c r="AI880" t="s">
        <v>13808</v>
      </c>
      <c r="AN880" t="s">
        <v>26128</v>
      </c>
      <c r="AO880" t="s">
        <v>13808</v>
      </c>
      <c r="AT880" t="s">
        <v>26129</v>
      </c>
      <c r="AU880" t="s">
        <v>13808</v>
      </c>
      <c r="AZ880" t="s">
        <v>26130</v>
      </c>
      <c r="BA880" t="s">
        <v>13808</v>
      </c>
      <c r="BF880" t="s">
        <v>26131</v>
      </c>
      <c r="BG880" t="s">
        <v>13808</v>
      </c>
      <c r="BL880" t="s">
        <v>26132</v>
      </c>
      <c r="BM880" t="s">
        <v>13808</v>
      </c>
      <c r="BR880" t="s">
        <v>26133</v>
      </c>
      <c r="BS880" t="s">
        <v>13887</v>
      </c>
      <c r="BT880" t="s">
        <v>13808</v>
      </c>
      <c r="BU880" t="s">
        <v>14836</v>
      </c>
      <c r="BY880" t="s">
        <v>14693</v>
      </c>
      <c r="BZ880" t="s">
        <v>13808</v>
      </c>
      <c r="CA880" t="s">
        <v>17557</v>
      </c>
      <c r="CE880" t="s">
        <v>13887</v>
      </c>
      <c r="CF880" t="s">
        <v>13808</v>
      </c>
      <c r="CL880" t="s">
        <v>13809</v>
      </c>
      <c r="CQ880" t="s">
        <v>14265</v>
      </c>
      <c r="CR880" t="s">
        <v>13818</v>
      </c>
      <c r="CT880" t="s">
        <v>26134</v>
      </c>
      <c r="CU880" t="s">
        <v>14813</v>
      </c>
      <c r="CV880" t="s">
        <v>13808</v>
      </c>
      <c r="DA880" t="s">
        <v>14813</v>
      </c>
      <c r="DB880" t="s">
        <v>13808</v>
      </c>
      <c r="DG880" t="s">
        <v>14813</v>
      </c>
      <c r="DH880" t="s">
        <v>13808</v>
      </c>
      <c r="DZ880" t="s">
        <v>26135</v>
      </c>
      <c r="EA880" t="s">
        <v>13842</v>
      </c>
      <c r="EC880">
        <v>44207</v>
      </c>
      <c r="ED880" t="s">
        <v>13903</v>
      </c>
      <c r="EE880" t="s">
        <v>5055</v>
      </c>
    </row>
    <row r="881" spans="1:135">
      <c r="A881" t="s">
        <v>632</v>
      </c>
      <c r="B881" t="s">
        <v>445</v>
      </c>
      <c r="C881" t="s">
        <v>26136</v>
      </c>
      <c r="D881" s="24">
        <v>42902</v>
      </c>
      <c r="E881" s="24" t="s">
        <v>13564</v>
      </c>
      <c r="F881" s="24" t="s">
        <v>26137</v>
      </c>
      <c r="G881" s="24" t="s">
        <v>13808</v>
      </c>
      <c r="H881" s="24"/>
      <c r="I881" s="24" t="s">
        <v>13809</v>
      </c>
      <c r="J881" s="24"/>
      <c r="K881" s="24" t="s">
        <v>13809</v>
      </c>
      <c r="L881" s="24"/>
      <c r="M881" s="24" t="s">
        <v>26138</v>
      </c>
      <c r="N881" s="24" t="s">
        <v>13808</v>
      </c>
      <c r="O881" s="24"/>
      <c r="P881" s="24" t="s">
        <v>13808</v>
      </c>
      <c r="Q881" s="24"/>
      <c r="R881" s="24" t="s">
        <v>13818</v>
      </c>
      <c r="S881" s="24" t="s">
        <v>26139</v>
      </c>
      <c r="T881" t="s">
        <v>26140</v>
      </c>
      <c r="U881" t="s">
        <v>13809</v>
      </c>
      <c r="W881" t="s">
        <v>13808</v>
      </c>
      <c r="X881" t="s">
        <v>26141</v>
      </c>
      <c r="Y881" t="s">
        <v>13808</v>
      </c>
      <c r="AA881" t="s">
        <v>26142</v>
      </c>
      <c r="AB881" t="s">
        <v>26143</v>
      </c>
      <c r="AC881" t="s">
        <v>13808</v>
      </c>
      <c r="AH881" t="s">
        <v>26144</v>
      </c>
      <c r="AI881" t="s">
        <v>13808</v>
      </c>
      <c r="AK881" t="s">
        <v>26145</v>
      </c>
      <c r="AL881" t="s">
        <v>13818</v>
      </c>
      <c r="AM881" t="s">
        <v>18178</v>
      </c>
      <c r="AN881" t="s">
        <v>26146</v>
      </c>
      <c r="AO881" t="s">
        <v>13808</v>
      </c>
      <c r="AT881" t="s">
        <v>14197</v>
      </c>
      <c r="AU881" t="s">
        <v>13808</v>
      </c>
      <c r="AZ881" t="s">
        <v>26147</v>
      </c>
      <c r="BA881" t="s">
        <v>13808</v>
      </c>
      <c r="BF881" t="s">
        <v>26148</v>
      </c>
      <c r="BG881" t="s">
        <v>13808</v>
      </c>
      <c r="BL881" t="s">
        <v>26149</v>
      </c>
      <c r="BM881" t="s">
        <v>13808</v>
      </c>
      <c r="BR881" t="s">
        <v>26150</v>
      </c>
      <c r="BS881" t="s">
        <v>13887</v>
      </c>
      <c r="BT881" t="s">
        <v>13808</v>
      </c>
      <c r="BU881" t="s">
        <v>14641</v>
      </c>
      <c r="BY881" t="s">
        <v>14265</v>
      </c>
      <c r="BZ881" t="s">
        <v>13808</v>
      </c>
      <c r="CA881" t="s">
        <v>17557</v>
      </c>
      <c r="CE881" t="s">
        <v>21333</v>
      </c>
      <c r="CF881" t="s">
        <v>13808</v>
      </c>
      <c r="CL881" t="s">
        <v>13809</v>
      </c>
      <c r="CQ881" t="s">
        <v>14265</v>
      </c>
      <c r="CR881" t="s">
        <v>13818</v>
      </c>
      <c r="CS881" t="s">
        <v>15415</v>
      </c>
      <c r="CT881" t="s">
        <v>26151</v>
      </c>
      <c r="CU881" t="s">
        <v>16565</v>
      </c>
      <c r="CV881" t="s">
        <v>13808</v>
      </c>
      <c r="CX881" t="s">
        <v>14625</v>
      </c>
      <c r="CY881" t="s">
        <v>13818</v>
      </c>
      <c r="DA881" t="s">
        <v>26152</v>
      </c>
      <c r="DB881" t="s">
        <v>13808</v>
      </c>
      <c r="DD881" t="s">
        <v>14625</v>
      </c>
      <c r="DE881" t="s">
        <v>13818</v>
      </c>
      <c r="DG881" t="s">
        <v>13909</v>
      </c>
      <c r="DH881" t="s">
        <v>13818</v>
      </c>
      <c r="DM881" t="s">
        <v>16593</v>
      </c>
      <c r="DN881" t="s">
        <v>13808</v>
      </c>
      <c r="DO881" t="s">
        <v>13898</v>
      </c>
      <c r="DZ881" t="s">
        <v>26153</v>
      </c>
      <c r="EA881" t="s">
        <v>26154</v>
      </c>
      <c r="EC881">
        <v>44207</v>
      </c>
      <c r="ED881" t="s">
        <v>13903</v>
      </c>
      <c r="EE881" t="s">
        <v>5067</v>
      </c>
    </row>
    <row r="882" spans="1:135">
      <c r="A882" t="s">
        <v>642</v>
      </c>
      <c r="B882" t="s">
        <v>445</v>
      </c>
      <c r="C882" t="s">
        <v>26155</v>
      </c>
      <c r="D882" s="24">
        <v>42922</v>
      </c>
      <c r="E882" s="24" t="s">
        <v>13560</v>
      </c>
      <c r="F882" s="24" t="s">
        <v>26156</v>
      </c>
      <c r="G882" s="24" t="s">
        <v>13808</v>
      </c>
      <c r="H882" s="24"/>
      <c r="I882" s="24" t="s">
        <v>13809</v>
      </c>
      <c r="J882" s="24"/>
      <c r="K882" s="24" t="s">
        <v>13808</v>
      </c>
      <c r="L882" s="24"/>
      <c r="M882" s="24" t="s">
        <v>26157</v>
      </c>
      <c r="N882" s="24" t="s">
        <v>13808</v>
      </c>
      <c r="O882" s="24"/>
      <c r="P882" s="24" t="s">
        <v>13808</v>
      </c>
      <c r="Q882" s="24"/>
      <c r="R882" s="24" t="s">
        <v>13808</v>
      </c>
      <c r="S882" s="24"/>
      <c r="T882" t="s">
        <v>19145</v>
      </c>
      <c r="U882" t="s">
        <v>13809</v>
      </c>
      <c r="W882" t="s">
        <v>13808</v>
      </c>
      <c r="X882" t="s">
        <v>26158</v>
      </c>
      <c r="Y882" t="s">
        <v>13808</v>
      </c>
      <c r="AA882" t="s">
        <v>15186</v>
      </c>
      <c r="AB882" t="s">
        <v>26159</v>
      </c>
      <c r="AC882" t="s">
        <v>13808</v>
      </c>
      <c r="AH882" t="s">
        <v>13909</v>
      </c>
      <c r="AI882" t="s">
        <v>13808</v>
      </c>
      <c r="AN882" t="s">
        <v>26160</v>
      </c>
      <c r="AO882" t="s">
        <v>13808</v>
      </c>
      <c r="AT882" t="s">
        <v>13887</v>
      </c>
      <c r="AU882" t="s">
        <v>13808</v>
      </c>
      <c r="AZ882" t="s">
        <v>16510</v>
      </c>
      <c r="BA882" t="s">
        <v>13808</v>
      </c>
      <c r="BF882" t="s">
        <v>26161</v>
      </c>
      <c r="BG882" t="s">
        <v>13808</v>
      </c>
      <c r="BL882" t="s">
        <v>26162</v>
      </c>
      <c r="BM882" t="s">
        <v>13808</v>
      </c>
      <c r="BR882" t="s">
        <v>26163</v>
      </c>
      <c r="BS882" t="s">
        <v>13887</v>
      </c>
      <c r="BT882" t="s">
        <v>13808</v>
      </c>
      <c r="BU882" t="s">
        <v>26164</v>
      </c>
      <c r="BY882" t="s">
        <v>14265</v>
      </c>
      <c r="BZ882" t="s">
        <v>13808</v>
      </c>
      <c r="CA882" t="s">
        <v>13937</v>
      </c>
      <c r="CE882" t="s">
        <v>13887</v>
      </c>
      <c r="CF882" t="s">
        <v>13808</v>
      </c>
      <c r="CL882" t="s">
        <v>13809</v>
      </c>
      <c r="CR882" t="s">
        <v>13809</v>
      </c>
      <c r="CT882" t="s">
        <v>26165</v>
      </c>
      <c r="CU882" t="s">
        <v>25542</v>
      </c>
      <c r="CV882" t="s">
        <v>13808</v>
      </c>
      <c r="CX882" t="s">
        <v>16608</v>
      </c>
      <c r="CY882" t="s">
        <v>13818</v>
      </c>
      <c r="DA882" t="s">
        <v>18691</v>
      </c>
      <c r="DB882" t="s">
        <v>13808</v>
      </c>
      <c r="DD882" t="s">
        <v>16608</v>
      </c>
      <c r="DE882" t="s">
        <v>13818</v>
      </c>
      <c r="DG882" t="s">
        <v>13909</v>
      </c>
      <c r="DH882" t="s">
        <v>13818</v>
      </c>
      <c r="DZ882" t="s">
        <v>26166</v>
      </c>
      <c r="EA882" t="s">
        <v>26167</v>
      </c>
      <c r="EC882">
        <v>43726</v>
      </c>
      <c r="ED882" t="s">
        <v>13903</v>
      </c>
      <c r="EE882" t="s">
        <v>5077</v>
      </c>
    </row>
    <row r="883" spans="1:135">
      <c r="A883" t="s">
        <v>207</v>
      </c>
      <c r="B883" t="s">
        <v>445</v>
      </c>
      <c r="C883" t="s">
        <v>26168</v>
      </c>
      <c r="D883" s="24">
        <v>44853</v>
      </c>
      <c r="E883" s="24" t="s">
        <v>13553</v>
      </c>
      <c r="F883" s="24" t="s">
        <v>26169</v>
      </c>
      <c r="G883" s="24" t="s">
        <v>13808</v>
      </c>
      <c r="H883" s="24"/>
      <c r="I883" s="24" t="s">
        <v>13809</v>
      </c>
      <c r="J883" s="24"/>
      <c r="K883" s="24" t="s">
        <v>13809</v>
      </c>
      <c r="L883" s="24"/>
      <c r="M883" s="24" t="s">
        <v>13846</v>
      </c>
      <c r="N883" s="24" t="s">
        <v>13808</v>
      </c>
      <c r="O883" s="24"/>
      <c r="P883" s="24" t="s">
        <v>13808</v>
      </c>
      <c r="Q883" s="24"/>
      <c r="R883" s="24" t="s">
        <v>13808</v>
      </c>
      <c r="S883" s="24"/>
      <c r="T883" t="s">
        <v>26170</v>
      </c>
      <c r="U883" t="s">
        <v>13809</v>
      </c>
      <c r="W883" t="s">
        <v>13808</v>
      </c>
      <c r="X883" t="s">
        <v>26171</v>
      </c>
      <c r="Y883" t="s">
        <v>13809</v>
      </c>
      <c r="AA883" t="s">
        <v>13849</v>
      </c>
      <c r="AB883" t="s">
        <v>13699</v>
      </c>
      <c r="AC883" t="s">
        <v>13809</v>
      </c>
      <c r="AH883" t="s">
        <v>13851</v>
      </c>
      <c r="AI883" t="s">
        <v>13808</v>
      </c>
      <c r="AN883" t="s">
        <v>13711</v>
      </c>
      <c r="AO883" t="s">
        <v>13809</v>
      </c>
      <c r="AT883" t="s">
        <v>26172</v>
      </c>
      <c r="AU883" t="s">
        <v>13808</v>
      </c>
      <c r="AZ883" t="s">
        <v>15154</v>
      </c>
      <c r="BA883" t="s">
        <v>13808</v>
      </c>
      <c r="BF883" t="s">
        <v>16452</v>
      </c>
      <c r="BG883" t="s">
        <v>13808</v>
      </c>
      <c r="BL883" t="s">
        <v>26173</v>
      </c>
      <c r="BM883" t="s">
        <v>13809</v>
      </c>
      <c r="BR883" t="s">
        <v>26174</v>
      </c>
      <c r="BS883" t="s">
        <v>13824</v>
      </c>
      <c r="BT883" t="s">
        <v>13808</v>
      </c>
      <c r="BU883" t="s">
        <v>14291</v>
      </c>
      <c r="BY883" t="s">
        <v>13860</v>
      </c>
      <c r="BZ883" t="s">
        <v>13808</v>
      </c>
      <c r="CA883" t="s">
        <v>13861</v>
      </c>
      <c r="CE883" t="s">
        <v>13828</v>
      </c>
      <c r="CF883" t="s">
        <v>13808</v>
      </c>
      <c r="CG883" t="s">
        <v>13863</v>
      </c>
      <c r="CK883" t="s">
        <v>13760</v>
      </c>
      <c r="CL883" t="s">
        <v>13809</v>
      </c>
      <c r="CQ883" t="s">
        <v>13766</v>
      </c>
      <c r="CR883" t="s">
        <v>13809</v>
      </c>
      <c r="CT883" t="s">
        <v>26175</v>
      </c>
      <c r="CU883" t="s">
        <v>26176</v>
      </c>
      <c r="CV883" t="s">
        <v>13808</v>
      </c>
      <c r="DA883" t="s">
        <v>26177</v>
      </c>
      <c r="DB883" t="s">
        <v>13808</v>
      </c>
      <c r="DM883" t="s">
        <v>26178</v>
      </c>
      <c r="DN883" t="s">
        <v>13808</v>
      </c>
      <c r="DO883" t="s">
        <v>26179</v>
      </c>
      <c r="DP883" t="s">
        <v>26180</v>
      </c>
      <c r="DQ883" t="s">
        <v>13808</v>
      </c>
      <c r="DR883" t="s">
        <v>13839</v>
      </c>
      <c r="DY883" t="s">
        <v>13869</v>
      </c>
      <c r="DZ883" t="s">
        <v>26181</v>
      </c>
      <c r="EA883" t="s">
        <v>14182</v>
      </c>
      <c r="EC883">
        <v>44943</v>
      </c>
      <c r="ED883" t="s">
        <v>17062</v>
      </c>
      <c r="EE883" t="s">
        <v>5079</v>
      </c>
    </row>
    <row r="884" spans="1:135">
      <c r="A884" t="s">
        <v>251</v>
      </c>
      <c r="B884" t="s">
        <v>147</v>
      </c>
      <c r="C884" t="s">
        <v>26182</v>
      </c>
      <c r="D884" s="24">
        <v>45204</v>
      </c>
      <c r="E884" s="24" t="s">
        <v>13557</v>
      </c>
      <c r="F884" s="24" t="s">
        <v>26183</v>
      </c>
      <c r="G884" s="24" t="s">
        <v>13808</v>
      </c>
      <c r="H884" s="24"/>
      <c r="I884" s="24" t="s">
        <v>13809</v>
      </c>
      <c r="J884" s="24"/>
      <c r="K884" s="24"/>
      <c r="L884" s="24"/>
      <c r="M884" s="24" t="s">
        <v>19387</v>
      </c>
      <c r="N884" s="24" t="s">
        <v>13808</v>
      </c>
      <c r="O884" s="24"/>
      <c r="P884" s="24"/>
      <c r="Q884" s="24"/>
      <c r="R884" s="24" t="s">
        <v>13808</v>
      </c>
      <c r="S884" s="24"/>
      <c r="T884" t="s">
        <v>17913</v>
      </c>
      <c r="U884" t="s">
        <v>13809</v>
      </c>
      <c r="W884" t="s">
        <v>13808</v>
      </c>
      <c r="X884" t="s">
        <v>26184</v>
      </c>
      <c r="Y884" t="s">
        <v>13808</v>
      </c>
      <c r="AA884" t="s">
        <v>15053</v>
      </c>
      <c r="AB884" t="s">
        <v>26185</v>
      </c>
      <c r="AC884" t="s">
        <v>13808</v>
      </c>
      <c r="AH884" t="s">
        <v>13851</v>
      </c>
      <c r="AI884" t="s">
        <v>13808</v>
      </c>
      <c r="AN884" t="s">
        <v>26186</v>
      </c>
      <c r="AO884" t="s">
        <v>13808</v>
      </c>
      <c r="AT884" t="s">
        <v>15594</v>
      </c>
      <c r="AU884" t="s">
        <v>13808</v>
      </c>
      <c r="AZ884" t="s">
        <v>26187</v>
      </c>
      <c r="BA884" t="s">
        <v>13808</v>
      </c>
      <c r="BF884" t="s">
        <v>26188</v>
      </c>
      <c r="BG884" t="s">
        <v>13808</v>
      </c>
      <c r="BL884" t="s">
        <v>26189</v>
      </c>
      <c r="BM884" t="s">
        <v>13808</v>
      </c>
      <c r="BR884" t="s">
        <v>26190</v>
      </c>
      <c r="BS884" t="s">
        <v>25343</v>
      </c>
      <c r="BT884" t="s">
        <v>13808</v>
      </c>
      <c r="BU884" t="s">
        <v>25344</v>
      </c>
      <c r="BY884" t="s">
        <v>26191</v>
      </c>
      <c r="BZ884" t="s">
        <v>13808</v>
      </c>
      <c r="CA884" t="s">
        <v>13937</v>
      </c>
      <c r="CE884" t="s">
        <v>14292</v>
      </c>
      <c r="CF884" t="s">
        <v>13808</v>
      </c>
      <c r="CK884" t="s">
        <v>13760</v>
      </c>
      <c r="CL884" t="s">
        <v>13809</v>
      </c>
      <c r="CQ884" t="s">
        <v>13766</v>
      </c>
      <c r="CR884" t="s">
        <v>13809</v>
      </c>
      <c r="CT884" t="s">
        <v>26192</v>
      </c>
      <c r="CU884" t="s">
        <v>26193</v>
      </c>
      <c r="CV884" t="s">
        <v>13808</v>
      </c>
      <c r="CX884" t="s">
        <v>26194</v>
      </c>
      <c r="CY884" t="s">
        <v>13818</v>
      </c>
      <c r="DA884" t="s">
        <v>26195</v>
      </c>
      <c r="DB884" t="s">
        <v>13808</v>
      </c>
      <c r="DD884" t="s">
        <v>26196</v>
      </c>
      <c r="DE884" t="s">
        <v>13818</v>
      </c>
      <c r="DG884" t="s">
        <v>26197</v>
      </c>
      <c r="DH884" t="s">
        <v>13808</v>
      </c>
      <c r="DM884" t="s">
        <v>26198</v>
      </c>
      <c r="DN884" t="s">
        <v>13808</v>
      </c>
      <c r="DY884" t="s">
        <v>23647</v>
      </c>
      <c r="DZ884" t="s">
        <v>26199</v>
      </c>
      <c r="EA884" t="s">
        <v>26200</v>
      </c>
      <c r="EC884">
        <v>45215</v>
      </c>
      <c r="ED884" t="s">
        <v>14298</v>
      </c>
      <c r="EE884" t="s">
        <v>13668</v>
      </c>
    </row>
    <row r="885" spans="1:135">
      <c r="A885" t="s">
        <v>890</v>
      </c>
      <c r="B885" t="s">
        <v>710</v>
      </c>
      <c r="C885" t="s">
        <v>26201</v>
      </c>
      <c r="D885" s="24">
        <v>42901</v>
      </c>
      <c r="E885" s="24" t="s">
        <v>13565</v>
      </c>
      <c r="F885" s="24" t="s">
        <v>26202</v>
      </c>
      <c r="G885" s="24" t="s">
        <v>13808</v>
      </c>
      <c r="H885" s="24"/>
      <c r="I885" s="24" t="s">
        <v>13809</v>
      </c>
      <c r="J885" s="24"/>
      <c r="K885" s="24" t="s">
        <v>13809</v>
      </c>
      <c r="L885" s="24"/>
      <c r="M885" s="24" t="s">
        <v>26203</v>
      </c>
      <c r="N885" s="24" t="s">
        <v>13808</v>
      </c>
      <c r="O885" s="24"/>
      <c r="P885" s="24" t="s">
        <v>13808</v>
      </c>
      <c r="Q885" s="24"/>
      <c r="R885" s="24" t="s">
        <v>13808</v>
      </c>
      <c r="S885" s="24" t="s">
        <v>26204</v>
      </c>
      <c r="T885" t="s">
        <v>26205</v>
      </c>
      <c r="U885" t="s">
        <v>13808</v>
      </c>
      <c r="W885" t="s">
        <v>13808</v>
      </c>
      <c r="X885" t="s">
        <v>26206</v>
      </c>
      <c r="Y885" t="s">
        <v>13808</v>
      </c>
      <c r="AA885" t="s">
        <v>13928</v>
      </c>
      <c r="AB885" t="s">
        <v>26207</v>
      </c>
      <c r="AC885" t="s">
        <v>13808</v>
      </c>
      <c r="AH885" t="s">
        <v>13851</v>
      </c>
      <c r="AI885" t="s">
        <v>13808</v>
      </c>
      <c r="AN885" t="s">
        <v>26208</v>
      </c>
      <c r="AO885" t="s">
        <v>13808</v>
      </c>
      <c r="AT885" t="s">
        <v>26209</v>
      </c>
      <c r="AU885" t="s">
        <v>13808</v>
      </c>
      <c r="AZ885" t="s">
        <v>26210</v>
      </c>
      <c r="BA885" t="s">
        <v>13808</v>
      </c>
      <c r="BF885" t="s">
        <v>25112</v>
      </c>
      <c r="BG885" t="s">
        <v>13808</v>
      </c>
      <c r="BL885" t="s">
        <v>26211</v>
      </c>
      <c r="BM885" t="s">
        <v>13808</v>
      </c>
      <c r="BR885" t="s">
        <v>26212</v>
      </c>
      <c r="BS885" t="s">
        <v>26213</v>
      </c>
      <c r="BT885" t="s">
        <v>13808</v>
      </c>
      <c r="BU885" t="s">
        <v>14836</v>
      </c>
      <c r="BY885" t="s">
        <v>26214</v>
      </c>
      <c r="BZ885" t="s">
        <v>13808</v>
      </c>
      <c r="CA885" t="s">
        <v>13937</v>
      </c>
      <c r="CE885" t="s">
        <v>26215</v>
      </c>
      <c r="CF885" t="s">
        <v>13808</v>
      </c>
      <c r="CK885" t="s">
        <v>13760</v>
      </c>
      <c r="CL885" t="s">
        <v>13809</v>
      </c>
      <c r="CQ885" t="s">
        <v>26216</v>
      </c>
      <c r="CR885" t="s">
        <v>13808</v>
      </c>
      <c r="CT885" t="s">
        <v>26217</v>
      </c>
      <c r="CU885" t="s">
        <v>26218</v>
      </c>
      <c r="CV885" t="s">
        <v>13818</v>
      </c>
      <c r="DA885" t="s">
        <v>26219</v>
      </c>
      <c r="DB885" t="s">
        <v>13808</v>
      </c>
      <c r="DC885" t="s">
        <v>26220</v>
      </c>
      <c r="DE885" t="s">
        <v>13818</v>
      </c>
      <c r="DG885" t="s">
        <v>14240</v>
      </c>
      <c r="DH885" t="s">
        <v>13808</v>
      </c>
      <c r="DZ885" t="s">
        <v>26221</v>
      </c>
      <c r="EA885" t="s">
        <v>26222</v>
      </c>
      <c r="EC885">
        <v>44650</v>
      </c>
      <c r="ED885" t="s">
        <v>13843</v>
      </c>
      <c r="EE885" t="s">
        <v>5296</v>
      </c>
    </row>
    <row r="886" spans="1:135">
      <c r="A886" t="s">
        <v>419</v>
      </c>
      <c r="B886" t="s">
        <v>287</v>
      </c>
      <c r="C886" t="s">
        <v>26223</v>
      </c>
      <c r="D886" s="24">
        <v>44756</v>
      </c>
      <c r="E886" s="24" t="s">
        <v>13553</v>
      </c>
      <c r="F886" s="24" t="s">
        <v>26224</v>
      </c>
      <c r="G886" s="24" t="s">
        <v>13808</v>
      </c>
      <c r="H886" s="24"/>
      <c r="I886" s="24" t="s">
        <v>13809</v>
      </c>
      <c r="J886" s="24"/>
      <c r="K886" s="24" t="s">
        <v>13809</v>
      </c>
      <c r="L886" s="24"/>
      <c r="M886" s="24" t="s">
        <v>13846</v>
      </c>
      <c r="N886" s="24" t="s">
        <v>13808</v>
      </c>
      <c r="O886" s="24"/>
      <c r="P886" s="24" t="s">
        <v>13808</v>
      </c>
      <c r="Q886" s="24"/>
      <c r="R886" s="24" t="s">
        <v>13808</v>
      </c>
      <c r="S886" s="24"/>
      <c r="T886" t="s">
        <v>13847</v>
      </c>
      <c r="U886" t="s">
        <v>13809</v>
      </c>
      <c r="W886" t="s">
        <v>13808</v>
      </c>
      <c r="X886" t="s">
        <v>26225</v>
      </c>
      <c r="Y886" t="s">
        <v>13809</v>
      </c>
      <c r="AA886" t="s">
        <v>13849</v>
      </c>
      <c r="AB886" t="s">
        <v>26226</v>
      </c>
      <c r="AC886" t="s">
        <v>13808</v>
      </c>
      <c r="AH886" t="s">
        <v>13851</v>
      </c>
      <c r="AI886" t="s">
        <v>13808</v>
      </c>
      <c r="AN886" t="s">
        <v>26227</v>
      </c>
      <c r="AO886" t="s">
        <v>13808</v>
      </c>
      <c r="AT886" t="s">
        <v>14076</v>
      </c>
      <c r="AU886" t="s">
        <v>13808</v>
      </c>
      <c r="AZ886" t="s">
        <v>14794</v>
      </c>
      <c r="BA886" t="s">
        <v>13808</v>
      </c>
      <c r="BF886" t="s">
        <v>26228</v>
      </c>
      <c r="BG886" t="s">
        <v>13808</v>
      </c>
      <c r="BL886" t="s">
        <v>26229</v>
      </c>
      <c r="BM886" t="s">
        <v>13808</v>
      </c>
      <c r="BR886" t="s">
        <v>26230</v>
      </c>
      <c r="BS886" t="s">
        <v>17108</v>
      </c>
      <c r="BT886" t="s">
        <v>13809</v>
      </c>
      <c r="BY886" t="s">
        <v>14337</v>
      </c>
      <c r="BZ886" t="s">
        <v>13808</v>
      </c>
      <c r="CA886" t="s">
        <v>13861</v>
      </c>
      <c r="CE886" t="s">
        <v>15291</v>
      </c>
      <c r="CF886" t="s">
        <v>13808</v>
      </c>
      <c r="CG886" t="s">
        <v>13863</v>
      </c>
      <c r="CK886" t="s">
        <v>26231</v>
      </c>
      <c r="CL886" t="s">
        <v>13818</v>
      </c>
      <c r="CM886" t="s">
        <v>26232</v>
      </c>
      <c r="CQ886" t="s">
        <v>13766</v>
      </c>
      <c r="CR886" t="s">
        <v>13809</v>
      </c>
      <c r="CT886" t="s">
        <v>26233</v>
      </c>
      <c r="CU886" t="s">
        <v>26234</v>
      </c>
      <c r="CV886" t="s">
        <v>13808</v>
      </c>
      <c r="DA886" t="s">
        <v>26235</v>
      </c>
      <c r="DB886" t="s">
        <v>13808</v>
      </c>
      <c r="DM886" t="s">
        <v>26236</v>
      </c>
      <c r="DN886" t="s">
        <v>13808</v>
      </c>
      <c r="DY886" t="s">
        <v>26237</v>
      </c>
      <c r="DZ886" t="s">
        <v>26238</v>
      </c>
      <c r="EA886" t="s">
        <v>13871</v>
      </c>
      <c r="EC886">
        <v>44756</v>
      </c>
      <c r="ED886" t="s">
        <v>17062</v>
      </c>
      <c r="EE886" t="s">
        <v>4839</v>
      </c>
    </row>
    <row r="887" spans="1:135">
      <c r="A887" t="s">
        <v>424</v>
      </c>
      <c r="B887" t="s">
        <v>287</v>
      </c>
      <c r="C887" t="s">
        <v>26239</v>
      </c>
      <c r="D887" s="24">
        <v>43558</v>
      </c>
      <c r="E887" s="24" t="s">
        <v>13553</v>
      </c>
      <c r="F887" s="24" t="s">
        <v>26240</v>
      </c>
      <c r="G887" s="24" t="s">
        <v>13808</v>
      </c>
      <c r="H887" s="24"/>
      <c r="I887" s="24" t="s">
        <v>13809</v>
      </c>
      <c r="J887" s="24"/>
      <c r="K887" s="24" t="s">
        <v>13808</v>
      </c>
      <c r="L887" s="24"/>
      <c r="M887" s="24" t="s">
        <v>17316</v>
      </c>
      <c r="N887" s="24" t="s">
        <v>13808</v>
      </c>
      <c r="O887" s="24"/>
      <c r="P887" s="24" t="s">
        <v>13808</v>
      </c>
      <c r="Q887" s="24"/>
      <c r="R887" s="24" t="s">
        <v>13808</v>
      </c>
      <c r="S887" s="24"/>
      <c r="T887" t="s">
        <v>14429</v>
      </c>
      <c r="U887" t="s">
        <v>13809</v>
      </c>
      <c r="W887" t="s">
        <v>13808</v>
      </c>
      <c r="X887" t="s">
        <v>26241</v>
      </c>
      <c r="Y887" t="s">
        <v>13809</v>
      </c>
      <c r="AA887" t="s">
        <v>13849</v>
      </c>
      <c r="AB887" t="s">
        <v>16326</v>
      </c>
      <c r="AC887" t="s">
        <v>13808</v>
      </c>
      <c r="AH887" t="s">
        <v>13909</v>
      </c>
      <c r="AI887" t="s">
        <v>13808</v>
      </c>
      <c r="AO887" t="s">
        <v>13809</v>
      </c>
      <c r="AT887" t="s">
        <v>14007</v>
      </c>
      <c r="AU887" t="s">
        <v>13808</v>
      </c>
      <c r="AZ887" t="s">
        <v>26242</v>
      </c>
      <c r="BA887" t="s">
        <v>13808</v>
      </c>
      <c r="BF887" t="s">
        <v>26243</v>
      </c>
      <c r="BG887" t="s">
        <v>13808</v>
      </c>
      <c r="BL887" t="s">
        <v>26244</v>
      </c>
      <c r="BM887" t="s">
        <v>13808</v>
      </c>
      <c r="BR887" t="s">
        <v>26245</v>
      </c>
      <c r="BT887" t="s">
        <v>13809</v>
      </c>
      <c r="BY887" t="s">
        <v>13885</v>
      </c>
      <c r="BZ887" t="s">
        <v>13808</v>
      </c>
      <c r="CA887" t="s">
        <v>13861</v>
      </c>
      <c r="CE887" t="s">
        <v>14265</v>
      </c>
      <c r="CF887" t="s">
        <v>13808</v>
      </c>
      <c r="CG887" t="s">
        <v>13863</v>
      </c>
      <c r="CK887" t="s">
        <v>13885</v>
      </c>
      <c r="CL887" t="s">
        <v>13808</v>
      </c>
      <c r="CR887" t="s">
        <v>13809</v>
      </c>
      <c r="CT887" t="s">
        <v>17323</v>
      </c>
      <c r="CU887" t="s">
        <v>25995</v>
      </c>
      <c r="CV887" t="s">
        <v>13808</v>
      </c>
      <c r="DA887" t="s">
        <v>26246</v>
      </c>
      <c r="DB887" t="s">
        <v>13808</v>
      </c>
      <c r="DH887" t="s">
        <v>13809</v>
      </c>
      <c r="DM887" t="s">
        <v>14826</v>
      </c>
      <c r="DN887" t="s">
        <v>13808</v>
      </c>
      <c r="DZ887" t="s">
        <v>26247</v>
      </c>
      <c r="EA887" t="s">
        <v>16821</v>
      </c>
      <c r="EC887">
        <v>44207</v>
      </c>
      <c r="ED887" t="s">
        <v>13903</v>
      </c>
      <c r="EE887" t="s">
        <v>4843</v>
      </c>
    </row>
    <row r="888" spans="1:135">
      <c r="A888" t="s">
        <v>646</v>
      </c>
      <c r="B888" t="s">
        <v>445</v>
      </c>
      <c r="C888" t="s">
        <v>26248</v>
      </c>
      <c r="D888" s="24">
        <v>44832</v>
      </c>
      <c r="E888" s="24" t="s">
        <v>13564</v>
      </c>
      <c r="F888" s="24" t="s">
        <v>26249</v>
      </c>
      <c r="G888" s="24" t="s">
        <v>13808</v>
      </c>
      <c r="H888" s="24"/>
      <c r="I888" s="24" t="s">
        <v>13809</v>
      </c>
      <c r="J888" s="24"/>
      <c r="K888" s="24" t="s">
        <v>13808</v>
      </c>
      <c r="L888" s="24"/>
      <c r="M888" s="24" t="s">
        <v>14304</v>
      </c>
      <c r="N888" s="24" t="s">
        <v>13808</v>
      </c>
      <c r="O888" s="24"/>
      <c r="P888" s="24" t="s">
        <v>13808</v>
      </c>
      <c r="Q888" s="24"/>
      <c r="R888" s="24" t="s">
        <v>13808</v>
      </c>
      <c r="S888" s="24"/>
      <c r="T888" t="s">
        <v>26250</v>
      </c>
      <c r="U888" t="s">
        <v>13808</v>
      </c>
      <c r="V888" t="s">
        <v>26251</v>
      </c>
      <c r="W888" t="s">
        <v>13808</v>
      </c>
      <c r="Y888" t="s">
        <v>13809</v>
      </c>
      <c r="AA888" t="s">
        <v>13928</v>
      </c>
      <c r="AH888" t="s">
        <v>13851</v>
      </c>
      <c r="AI888" t="s">
        <v>13808</v>
      </c>
      <c r="AN888" t="s">
        <v>26252</v>
      </c>
      <c r="AO888" t="s">
        <v>13808</v>
      </c>
      <c r="AT888" t="s">
        <v>26253</v>
      </c>
      <c r="AU888" t="s">
        <v>13808</v>
      </c>
      <c r="AZ888" t="s">
        <v>26254</v>
      </c>
      <c r="BA888" t="s">
        <v>13808</v>
      </c>
      <c r="BF888" t="s">
        <v>18244</v>
      </c>
      <c r="BG888" t="s">
        <v>13808</v>
      </c>
      <c r="BL888" t="s">
        <v>26255</v>
      </c>
      <c r="BM888" t="s">
        <v>13808</v>
      </c>
      <c r="BR888" t="s">
        <v>26256</v>
      </c>
      <c r="BS888" t="s">
        <v>13824</v>
      </c>
      <c r="BT888" t="s">
        <v>13808</v>
      </c>
      <c r="BU888" t="s">
        <v>26257</v>
      </c>
      <c r="BY888" t="s">
        <v>26258</v>
      </c>
      <c r="BZ888" t="s">
        <v>13808</v>
      </c>
      <c r="CA888" t="s">
        <v>13937</v>
      </c>
      <c r="CE888" t="s">
        <v>13828</v>
      </c>
      <c r="CF888" t="s">
        <v>13808</v>
      </c>
      <c r="CK888" t="s">
        <v>13760</v>
      </c>
      <c r="CL888" t="s">
        <v>13809</v>
      </c>
      <c r="CQ888" t="s">
        <v>13766</v>
      </c>
      <c r="CR888" t="s">
        <v>13809</v>
      </c>
      <c r="CT888" t="s">
        <v>26259</v>
      </c>
      <c r="CU888" t="s">
        <v>26260</v>
      </c>
      <c r="CV888" t="s">
        <v>13808</v>
      </c>
      <c r="CW888" t="s">
        <v>26261</v>
      </c>
      <c r="CX888" t="s">
        <v>26262</v>
      </c>
      <c r="CY888" t="s">
        <v>13818</v>
      </c>
      <c r="DA888" t="s">
        <v>26263</v>
      </c>
      <c r="DB888" t="s">
        <v>13808</v>
      </c>
      <c r="DD888" t="s">
        <v>26264</v>
      </c>
      <c r="DE888" t="s">
        <v>13818</v>
      </c>
      <c r="DG888" t="s">
        <v>26265</v>
      </c>
      <c r="DH888" t="s">
        <v>13808</v>
      </c>
      <c r="DJ888" t="s">
        <v>17116</v>
      </c>
      <c r="DK888" t="s">
        <v>13818</v>
      </c>
      <c r="DZ888" t="s">
        <v>26266</v>
      </c>
      <c r="EA888" t="s">
        <v>13842</v>
      </c>
      <c r="EC888">
        <v>44832</v>
      </c>
      <c r="ED888" t="s">
        <v>17062</v>
      </c>
      <c r="EE888" t="s">
        <v>5083</v>
      </c>
    </row>
    <row r="889" spans="1:135">
      <c r="A889" t="s">
        <v>897</v>
      </c>
      <c r="B889" t="s">
        <v>710</v>
      </c>
      <c r="C889" t="s">
        <v>26267</v>
      </c>
      <c r="D889" s="24">
        <v>43693</v>
      </c>
      <c r="E889" s="24" t="s">
        <v>13553</v>
      </c>
      <c r="F889" s="24" t="s">
        <v>26268</v>
      </c>
      <c r="G889" s="24" t="s">
        <v>13808</v>
      </c>
      <c r="H889" s="24"/>
      <c r="I889" s="24" t="s">
        <v>13809</v>
      </c>
      <c r="J889" s="24"/>
      <c r="K889" s="24" t="s">
        <v>13808</v>
      </c>
      <c r="L889" s="24"/>
      <c r="M889" s="24" t="s">
        <v>14163</v>
      </c>
      <c r="N889" s="24" t="s">
        <v>13808</v>
      </c>
      <c r="O889" s="24"/>
      <c r="P889" s="24" t="s">
        <v>13808</v>
      </c>
      <c r="Q889" s="24"/>
      <c r="R889" s="24" t="s">
        <v>13808</v>
      </c>
      <c r="S889" s="24"/>
      <c r="T889" t="s">
        <v>22016</v>
      </c>
      <c r="U889" t="s">
        <v>13809</v>
      </c>
      <c r="W889" t="s">
        <v>13808</v>
      </c>
      <c r="X889" t="s">
        <v>26269</v>
      </c>
      <c r="Y889" t="s">
        <v>13808</v>
      </c>
      <c r="AA889" t="s">
        <v>13877</v>
      </c>
      <c r="AB889" t="s">
        <v>18625</v>
      </c>
      <c r="AC889" t="s">
        <v>13808</v>
      </c>
      <c r="AH889" t="s">
        <v>13909</v>
      </c>
      <c r="AI889" t="s">
        <v>13808</v>
      </c>
      <c r="AN889" t="s">
        <v>26270</v>
      </c>
      <c r="AO889" t="s">
        <v>13808</v>
      </c>
      <c r="AT889" t="s">
        <v>26271</v>
      </c>
      <c r="AU889" t="s">
        <v>13808</v>
      </c>
      <c r="AZ889" t="s">
        <v>26272</v>
      </c>
      <c r="BA889" t="s">
        <v>13808</v>
      </c>
      <c r="BF889" t="s">
        <v>14006</v>
      </c>
      <c r="BG889" t="s">
        <v>13808</v>
      </c>
      <c r="BL889" t="s">
        <v>26273</v>
      </c>
      <c r="BM889" t="s">
        <v>13808</v>
      </c>
      <c r="BR889" t="s">
        <v>26274</v>
      </c>
      <c r="BS889" t="s">
        <v>13885</v>
      </c>
      <c r="BT889" t="s">
        <v>13808</v>
      </c>
      <c r="BU889" t="s">
        <v>14437</v>
      </c>
      <c r="BY889" t="s">
        <v>13887</v>
      </c>
      <c r="BZ889" t="s">
        <v>13808</v>
      </c>
      <c r="CA889" t="s">
        <v>14026</v>
      </c>
      <c r="CE889" t="s">
        <v>13885</v>
      </c>
      <c r="CF889" t="s">
        <v>13808</v>
      </c>
      <c r="CG889" t="s">
        <v>14173</v>
      </c>
      <c r="CL889" t="s">
        <v>13809</v>
      </c>
      <c r="CR889" t="s">
        <v>13809</v>
      </c>
      <c r="CT889" t="s">
        <v>14027</v>
      </c>
      <c r="CU889" t="s">
        <v>26275</v>
      </c>
      <c r="CV889" t="s">
        <v>13808</v>
      </c>
      <c r="DA889" t="s">
        <v>26276</v>
      </c>
      <c r="DB889" t="s">
        <v>13808</v>
      </c>
      <c r="DH889" t="s">
        <v>13809</v>
      </c>
      <c r="DM889" t="s">
        <v>26277</v>
      </c>
      <c r="DN889" t="s">
        <v>13897</v>
      </c>
      <c r="DY889" t="s">
        <v>15828</v>
      </c>
      <c r="DZ889" t="s">
        <v>26278</v>
      </c>
      <c r="EA889" t="s">
        <v>16557</v>
      </c>
      <c r="ED889" t="s">
        <v>13903</v>
      </c>
      <c r="EE889" t="s">
        <v>5304</v>
      </c>
    </row>
    <row r="890" spans="1:135">
      <c r="A890" t="s">
        <v>13392</v>
      </c>
      <c r="B890" t="s">
        <v>287</v>
      </c>
      <c r="C890" t="s">
        <v>26279</v>
      </c>
      <c r="D890" s="24">
        <v>44287</v>
      </c>
      <c r="E890" s="24" t="s">
        <v>13553</v>
      </c>
      <c r="F890" s="24" t="s">
        <v>26280</v>
      </c>
      <c r="G890" s="24" t="s">
        <v>13808</v>
      </c>
      <c r="H890" s="24"/>
      <c r="I890" s="24" t="s">
        <v>13809</v>
      </c>
      <c r="J890" s="24"/>
      <c r="K890" s="24" t="s">
        <v>13809</v>
      </c>
      <c r="L890" s="24"/>
      <c r="M890" s="24" t="s">
        <v>13950</v>
      </c>
      <c r="N890" s="24" t="s">
        <v>13808</v>
      </c>
      <c r="O890" s="24"/>
      <c r="P890" s="24" t="s">
        <v>13808</v>
      </c>
      <c r="Q890" s="24"/>
      <c r="R890" s="24" t="s">
        <v>13808</v>
      </c>
      <c r="S890" s="24"/>
      <c r="T890" t="s">
        <v>26281</v>
      </c>
      <c r="U890" t="s">
        <v>13809</v>
      </c>
      <c r="W890" t="s">
        <v>13809</v>
      </c>
      <c r="Y890" t="s">
        <v>13809</v>
      </c>
      <c r="AA890" t="s">
        <v>13877</v>
      </c>
      <c r="AC890" t="s">
        <v>13809</v>
      </c>
      <c r="AH890" t="s">
        <v>13887</v>
      </c>
      <c r="AI890" t="s">
        <v>13808</v>
      </c>
      <c r="AO890" t="s">
        <v>13809</v>
      </c>
      <c r="AU890" t="s">
        <v>13809</v>
      </c>
      <c r="AZ890" t="s">
        <v>26282</v>
      </c>
      <c r="BA890" t="s">
        <v>13808</v>
      </c>
      <c r="BF890" t="s">
        <v>14007</v>
      </c>
      <c r="BG890" t="s">
        <v>13808</v>
      </c>
      <c r="BM890" t="s">
        <v>13809</v>
      </c>
      <c r="BR890" t="s">
        <v>26283</v>
      </c>
      <c r="BT890" t="s">
        <v>13809</v>
      </c>
      <c r="BZ890" t="s">
        <v>13809</v>
      </c>
      <c r="CF890" t="s">
        <v>13809</v>
      </c>
      <c r="CK890" t="s">
        <v>13887</v>
      </c>
      <c r="CL890" t="s">
        <v>13808</v>
      </c>
      <c r="CR890" t="s">
        <v>13809</v>
      </c>
      <c r="CT890" t="s">
        <v>26284</v>
      </c>
      <c r="CU890" t="s">
        <v>14008</v>
      </c>
      <c r="CV890" t="s">
        <v>13808</v>
      </c>
      <c r="DA890" t="s">
        <v>14731</v>
      </c>
      <c r="DB890" t="s">
        <v>13808</v>
      </c>
      <c r="DG890" t="s">
        <v>23379</v>
      </c>
      <c r="DH890" t="s">
        <v>13808</v>
      </c>
      <c r="DY890" t="s">
        <v>20954</v>
      </c>
      <c r="DZ890" t="s">
        <v>14607</v>
      </c>
      <c r="EA890" t="s">
        <v>14182</v>
      </c>
      <c r="ED890" t="s">
        <v>14608</v>
      </c>
      <c r="EE890" t="s">
        <v>13669</v>
      </c>
    </row>
    <row r="891" spans="1:135">
      <c r="A891" t="s">
        <v>107</v>
      </c>
      <c r="B891" t="s">
        <v>11</v>
      </c>
      <c r="C891" t="s">
        <v>26285</v>
      </c>
      <c r="D891" s="24">
        <v>42935</v>
      </c>
      <c r="E891" s="24" t="s">
        <v>13559</v>
      </c>
      <c r="F891" s="24" t="s">
        <v>26286</v>
      </c>
      <c r="G891" s="24" t="s">
        <v>13808</v>
      </c>
      <c r="H891" s="24"/>
      <c r="I891" s="24" t="s">
        <v>13808</v>
      </c>
      <c r="J891" s="24"/>
      <c r="K891" s="24" t="s">
        <v>13809</v>
      </c>
      <c r="L891" s="24"/>
      <c r="M891" s="24" t="s">
        <v>26287</v>
      </c>
      <c r="N891" s="24" t="s">
        <v>13808</v>
      </c>
      <c r="O891" s="24"/>
      <c r="P891" s="24" t="s">
        <v>13808</v>
      </c>
      <c r="Q891" s="24"/>
      <c r="R891" s="24" t="s">
        <v>13818</v>
      </c>
      <c r="S891" s="24" t="s">
        <v>26288</v>
      </c>
      <c r="T891" t="s">
        <v>26289</v>
      </c>
      <c r="U891" t="s">
        <v>13809</v>
      </c>
      <c r="W891" t="s">
        <v>13808</v>
      </c>
      <c r="Y891" t="s">
        <v>13808</v>
      </c>
      <c r="AA891" t="s">
        <v>26290</v>
      </c>
      <c r="AC891" t="s">
        <v>13809</v>
      </c>
      <c r="AH891" t="s">
        <v>13909</v>
      </c>
      <c r="AI891" t="s">
        <v>13808</v>
      </c>
      <c r="AK891" t="s">
        <v>26291</v>
      </c>
      <c r="AL891" t="s">
        <v>13818</v>
      </c>
      <c r="AM891" t="s">
        <v>16051</v>
      </c>
      <c r="AN891" t="s">
        <v>26292</v>
      </c>
      <c r="AO891" t="s">
        <v>13808</v>
      </c>
      <c r="AT891" t="s">
        <v>19246</v>
      </c>
      <c r="AU891" t="s">
        <v>13808</v>
      </c>
      <c r="AZ891" t="s">
        <v>26293</v>
      </c>
      <c r="BA891" t="s">
        <v>13808</v>
      </c>
      <c r="BF891" t="s">
        <v>26294</v>
      </c>
      <c r="BG891" t="s">
        <v>13808</v>
      </c>
      <c r="BL891" t="s">
        <v>26295</v>
      </c>
      <c r="BM891" t="s">
        <v>13808</v>
      </c>
      <c r="BR891" t="s">
        <v>26296</v>
      </c>
      <c r="BS891" t="s">
        <v>13887</v>
      </c>
      <c r="BT891" t="s">
        <v>13808</v>
      </c>
      <c r="BU891" t="s">
        <v>26257</v>
      </c>
      <c r="BY891" t="s">
        <v>13885</v>
      </c>
      <c r="BZ891" t="s">
        <v>13808</v>
      </c>
      <c r="CA891" t="s">
        <v>17557</v>
      </c>
      <c r="CE891" t="s">
        <v>14197</v>
      </c>
      <c r="CF891" t="s">
        <v>13808</v>
      </c>
      <c r="CL891" t="s">
        <v>13809</v>
      </c>
      <c r="CR891" t="s">
        <v>13809</v>
      </c>
      <c r="CT891" t="s">
        <v>21750</v>
      </c>
      <c r="CU891" t="s">
        <v>26297</v>
      </c>
      <c r="CV891" t="s">
        <v>13808</v>
      </c>
      <c r="CX891" t="s">
        <v>26298</v>
      </c>
      <c r="CY891" t="s">
        <v>13818</v>
      </c>
      <c r="DA891" t="s">
        <v>13887</v>
      </c>
      <c r="DB891" t="s">
        <v>13808</v>
      </c>
      <c r="DD891" t="s">
        <v>26299</v>
      </c>
      <c r="DE891" t="s">
        <v>13818</v>
      </c>
      <c r="DG891" t="s">
        <v>13909</v>
      </c>
      <c r="DH891" t="s">
        <v>13818</v>
      </c>
      <c r="DZ891" t="s">
        <v>25534</v>
      </c>
      <c r="EA891" t="s">
        <v>19319</v>
      </c>
      <c r="EC891">
        <v>44207</v>
      </c>
      <c r="ED891" t="s">
        <v>13903</v>
      </c>
      <c r="EE891" t="s">
        <v>4553</v>
      </c>
    </row>
    <row r="892" spans="1:135">
      <c r="A892" t="s">
        <v>271</v>
      </c>
      <c r="B892" t="s">
        <v>147</v>
      </c>
      <c r="C892" t="s">
        <v>26300</v>
      </c>
      <c r="D892" s="24">
        <v>42915</v>
      </c>
      <c r="E892" s="24" t="s">
        <v>13555</v>
      </c>
      <c r="F892" s="24" t="s">
        <v>26301</v>
      </c>
      <c r="G892" s="24" t="s">
        <v>13808</v>
      </c>
      <c r="H892" s="24"/>
      <c r="I892" s="24" t="s">
        <v>13809</v>
      </c>
      <c r="J892" s="24"/>
      <c r="K892" s="24" t="s">
        <v>13808</v>
      </c>
      <c r="L892" s="24"/>
      <c r="M892" s="24" t="s">
        <v>14304</v>
      </c>
      <c r="N892" s="24" t="s">
        <v>13808</v>
      </c>
      <c r="O892" s="24"/>
      <c r="P892" s="24" t="s">
        <v>13808</v>
      </c>
      <c r="Q892" s="24"/>
      <c r="R892" s="24" t="s">
        <v>13808</v>
      </c>
      <c r="S892" s="24"/>
      <c r="T892" t="s">
        <v>26302</v>
      </c>
      <c r="U892" t="s">
        <v>13809</v>
      </c>
      <c r="W892" t="s">
        <v>13808</v>
      </c>
      <c r="X892" t="s">
        <v>26303</v>
      </c>
      <c r="Y892" t="s">
        <v>13808</v>
      </c>
      <c r="AA892" t="s">
        <v>14971</v>
      </c>
      <c r="AB892" t="s">
        <v>14687</v>
      </c>
      <c r="AC892" t="s">
        <v>13808</v>
      </c>
      <c r="AH892" t="s">
        <v>13909</v>
      </c>
      <c r="AI892" t="s">
        <v>13808</v>
      </c>
      <c r="AN892" t="s">
        <v>17868</v>
      </c>
      <c r="AO892" t="s">
        <v>13808</v>
      </c>
      <c r="AT892" t="s">
        <v>14413</v>
      </c>
      <c r="AU892" t="s">
        <v>13808</v>
      </c>
      <c r="AZ892" t="s">
        <v>26304</v>
      </c>
      <c r="BA892" t="s">
        <v>13808</v>
      </c>
      <c r="BF892" t="s">
        <v>21728</v>
      </c>
      <c r="BG892" t="s">
        <v>13808</v>
      </c>
      <c r="BL892" t="s">
        <v>26305</v>
      </c>
      <c r="BM892" t="s">
        <v>13808</v>
      </c>
      <c r="BR892" t="s">
        <v>26306</v>
      </c>
      <c r="BS892" t="s">
        <v>13887</v>
      </c>
      <c r="BT892" t="s">
        <v>13808</v>
      </c>
      <c r="BU892" t="s">
        <v>13985</v>
      </c>
      <c r="BY892" t="s">
        <v>14197</v>
      </c>
      <c r="BZ892" t="s">
        <v>13808</v>
      </c>
      <c r="CA892" t="s">
        <v>13937</v>
      </c>
      <c r="CE892" t="s">
        <v>14693</v>
      </c>
      <c r="CF892" t="s">
        <v>13808</v>
      </c>
      <c r="CL892" t="s">
        <v>13809</v>
      </c>
      <c r="CR892" t="s">
        <v>13809</v>
      </c>
      <c r="CT892" t="s">
        <v>19704</v>
      </c>
      <c r="CU892" t="s">
        <v>13909</v>
      </c>
      <c r="CV892" t="s">
        <v>13808</v>
      </c>
      <c r="DA892" t="s">
        <v>13909</v>
      </c>
      <c r="DB892" t="s">
        <v>13808</v>
      </c>
      <c r="DG892" t="s">
        <v>13909</v>
      </c>
      <c r="DH892" t="s">
        <v>13808</v>
      </c>
      <c r="DZ892" t="s">
        <v>26307</v>
      </c>
      <c r="EA892" t="s">
        <v>13996</v>
      </c>
      <c r="EC892">
        <v>44207</v>
      </c>
      <c r="ED892" t="s">
        <v>17062</v>
      </c>
      <c r="EE892" t="s">
        <v>4683</v>
      </c>
    </row>
    <row r="893" spans="1:135">
      <c r="A893" t="s">
        <v>117</v>
      </c>
      <c r="B893" t="s">
        <v>11</v>
      </c>
      <c r="C893" t="s">
        <v>26308</v>
      </c>
      <c r="D893" s="24">
        <v>42915</v>
      </c>
      <c r="E893" s="24" t="s">
        <v>13558</v>
      </c>
      <c r="F893" s="24" t="s">
        <v>26309</v>
      </c>
      <c r="G893" s="24" t="s">
        <v>13808</v>
      </c>
      <c r="H893" s="24"/>
      <c r="I893" s="24" t="s">
        <v>13809</v>
      </c>
      <c r="J893" s="24"/>
      <c r="K893" s="24" t="s">
        <v>13809</v>
      </c>
      <c r="L893" s="24"/>
      <c r="M893" s="24" t="s">
        <v>26310</v>
      </c>
      <c r="N893" s="24" t="s">
        <v>13808</v>
      </c>
      <c r="O893" s="24"/>
      <c r="P893" s="24" t="s">
        <v>13808</v>
      </c>
      <c r="Q893" s="24"/>
      <c r="R893" s="24" t="s">
        <v>13808</v>
      </c>
      <c r="S893" s="24"/>
      <c r="T893" t="s">
        <v>26311</v>
      </c>
      <c r="U893" t="s">
        <v>13809</v>
      </c>
      <c r="W893" t="s">
        <v>13808</v>
      </c>
      <c r="X893" t="s">
        <v>26312</v>
      </c>
      <c r="Y893" t="s">
        <v>13808</v>
      </c>
      <c r="AA893" t="s">
        <v>26313</v>
      </c>
      <c r="AB893" t="s">
        <v>15348</v>
      </c>
      <c r="AC893" t="s">
        <v>13809</v>
      </c>
      <c r="AH893" t="s">
        <v>26314</v>
      </c>
      <c r="AI893" t="s">
        <v>13808</v>
      </c>
      <c r="AN893" t="s">
        <v>26315</v>
      </c>
      <c r="AO893" t="s">
        <v>13808</v>
      </c>
      <c r="AT893" t="s">
        <v>20928</v>
      </c>
      <c r="AU893" t="s">
        <v>13808</v>
      </c>
      <c r="AZ893" t="s">
        <v>26316</v>
      </c>
      <c r="BA893" t="s">
        <v>13808</v>
      </c>
      <c r="BF893" t="s">
        <v>14870</v>
      </c>
      <c r="BG893" t="s">
        <v>13808</v>
      </c>
      <c r="BL893" t="s">
        <v>26317</v>
      </c>
      <c r="BM893" t="s">
        <v>13808</v>
      </c>
      <c r="BR893" t="s">
        <v>26318</v>
      </c>
      <c r="BS893" t="s">
        <v>14290</v>
      </c>
      <c r="BT893" t="s">
        <v>13808</v>
      </c>
      <c r="BU893" t="s">
        <v>15504</v>
      </c>
      <c r="BY893" t="s">
        <v>17284</v>
      </c>
      <c r="BZ893" t="s">
        <v>13808</v>
      </c>
      <c r="CA893" t="s">
        <v>26319</v>
      </c>
      <c r="CE893" t="s">
        <v>13862</v>
      </c>
      <c r="CF893" t="s">
        <v>13808</v>
      </c>
      <c r="CK893" t="s">
        <v>13760</v>
      </c>
      <c r="CL893" t="s">
        <v>13809</v>
      </c>
      <c r="CQ893" t="s">
        <v>13766</v>
      </c>
      <c r="CR893" t="s">
        <v>13809</v>
      </c>
      <c r="CT893" t="s">
        <v>26320</v>
      </c>
      <c r="CU893" t="s">
        <v>26321</v>
      </c>
      <c r="CV893" t="s">
        <v>13808</v>
      </c>
      <c r="CX893" t="s">
        <v>21512</v>
      </c>
      <c r="CY893" t="s">
        <v>13818</v>
      </c>
      <c r="DA893" t="s">
        <v>26322</v>
      </c>
      <c r="DB893" t="s">
        <v>13818</v>
      </c>
      <c r="DD893" t="s">
        <v>21512</v>
      </c>
      <c r="DG893" t="s">
        <v>26323</v>
      </c>
      <c r="DH893" t="s">
        <v>13818</v>
      </c>
      <c r="DZ893" t="s">
        <v>18699</v>
      </c>
      <c r="EA893" t="s">
        <v>16821</v>
      </c>
      <c r="EC893">
        <v>44627</v>
      </c>
      <c r="ED893" t="s">
        <v>17062</v>
      </c>
      <c r="EE893" t="s">
        <v>4561</v>
      </c>
    </row>
    <row r="894" spans="1:135">
      <c r="A894" t="s">
        <v>669</v>
      </c>
      <c r="B894" t="s">
        <v>445</v>
      </c>
      <c r="C894" t="s">
        <v>26324</v>
      </c>
      <c r="D894" s="24">
        <v>44769</v>
      </c>
      <c r="E894" s="24" t="s">
        <v>13565</v>
      </c>
      <c r="F894" s="24" t="s">
        <v>26325</v>
      </c>
      <c r="G894" s="24" t="s">
        <v>13808</v>
      </c>
      <c r="H894" s="24"/>
      <c r="I894" s="24" t="s">
        <v>13809</v>
      </c>
      <c r="J894" s="24"/>
      <c r="K894" s="24" t="s">
        <v>13808</v>
      </c>
      <c r="L894" s="24"/>
      <c r="M894" s="24" t="s">
        <v>26326</v>
      </c>
      <c r="N894" s="24" t="s">
        <v>13818</v>
      </c>
      <c r="O894" s="24" t="s">
        <v>17742</v>
      </c>
      <c r="P894" s="24" t="s">
        <v>13818</v>
      </c>
      <c r="Q894" s="24" t="s">
        <v>26327</v>
      </c>
      <c r="R894" s="24" t="s">
        <v>13808</v>
      </c>
      <c r="S894" s="24"/>
      <c r="T894" t="s">
        <v>26328</v>
      </c>
      <c r="U894" t="s">
        <v>13809</v>
      </c>
      <c r="W894" t="s">
        <v>13808</v>
      </c>
      <c r="X894" t="s">
        <v>26329</v>
      </c>
      <c r="Y894" t="s">
        <v>13809</v>
      </c>
      <c r="AA894" t="s">
        <v>26330</v>
      </c>
      <c r="AB894" t="s">
        <v>13699</v>
      </c>
      <c r="AC894" t="s">
        <v>13809</v>
      </c>
      <c r="AH894" t="s">
        <v>16902</v>
      </c>
      <c r="AI894" t="s">
        <v>13808</v>
      </c>
      <c r="AK894" t="s">
        <v>26331</v>
      </c>
      <c r="AL894" t="s">
        <v>13818</v>
      </c>
      <c r="AM894" t="s">
        <v>17509</v>
      </c>
      <c r="AN894" t="s">
        <v>26332</v>
      </c>
      <c r="AO894" t="s">
        <v>13808</v>
      </c>
      <c r="AT894" t="s">
        <v>13980</v>
      </c>
      <c r="AU894" t="s">
        <v>13808</v>
      </c>
      <c r="AZ894" t="s">
        <v>26333</v>
      </c>
      <c r="BA894" t="s">
        <v>13808</v>
      </c>
      <c r="BF894" t="s">
        <v>20529</v>
      </c>
      <c r="BG894" t="s">
        <v>13808</v>
      </c>
      <c r="BL894" t="s">
        <v>26334</v>
      </c>
      <c r="BM894" t="s">
        <v>13808</v>
      </c>
      <c r="BR894" t="s">
        <v>26335</v>
      </c>
      <c r="BS894" t="s">
        <v>14213</v>
      </c>
      <c r="BT894" t="s">
        <v>13808</v>
      </c>
      <c r="BU894" t="s">
        <v>16383</v>
      </c>
      <c r="BY894" t="s">
        <v>14148</v>
      </c>
      <c r="BZ894" t="s">
        <v>13808</v>
      </c>
      <c r="CA894" t="s">
        <v>13937</v>
      </c>
      <c r="CE894" t="s">
        <v>13828</v>
      </c>
      <c r="CF894" t="s">
        <v>13808</v>
      </c>
      <c r="CK894" t="s">
        <v>26336</v>
      </c>
      <c r="CL894" t="s">
        <v>13808</v>
      </c>
      <c r="CQ894" t="s">
        <v>13766</v>
      </c>
      <c r="CR894" t="s">
        <v>13809</v>
      </c>
      <c r="CT894" t="s">
        <v>15599</v>
      </c>
      <c r="CU894" t="s">
        <v>26337</v>
      </c>
      <c r="CV894" t="s">
        <v>13818</v>
      </c>
      <c r="CW894" t="s">
        <v>14259</v>
      </c>
      <c r="CX894" t="s">
        <v>26338</v>
      </c>
      <c r="CY894" t="s">
        <v>13818</v>
      </c>
      <c r="DA894" t="s">
        <v>26339</v>
      </c>
      <c r="DB894" t="s">
        <v>13818</v>
      </c>
      <c r="DC894" t="s">
        <v>14259</v>
      </c>
      <c r="DD894" t="s">
        <v>26340</v>
      </c>
      <c r="DE894" t="s">
        <v>13818</v>
      </c>
      <c r="DG894" t="s">
        <v>14240</v>
      </c>
      <c r="DH894" t="s">
        <v>13818</v>
      </c>
      <c r="DZ894" t="s">
        <v>21365</v>
      </c>
      <c r="EA894" t="s">
        <v>16821</v>
      </c>
      <c r="EC894">
        <v>44790</v>
      </c>
      <c r="ED894" t="s">
        <v>17062</v>
      </c>
      <c r="EE894" t="s">
        <v>5099</v>
      </c>
    </row>
    <row r="895" spans="1:135">
      <c r="A895" t="s">
        <v>1023</v>
      </c>
      <c r="B895" t="s">
        <v>914</v>
      </c>
      <c r="C895" t="s">
        <v>26341</v>
      </c>
      <c r="D895" s="24">
        <v>44145</v>
      </c>
      <c r="E895" s="24" t="s">
        <v>13555</v>
      </c>
      <c r="F895" s="24" t="s">
        <v>26342</v>
      </c>
      <c r="G895" s="24" t="s">
        <v>13808</v>
      </c>
      <c r="H895" s="24"/>
      <c r="I895" s="24" t="s">
        <v>13809</v>
      </c>
      <c r="J895" s="24"/>
      <c r="K895" s="24" t="s">
        <v>13809</v>
      </c>
      <c r="L895" s="24"/>
      <c r="M895" s="24" t="s">
        <v>13846</v>
      </c>
      <c r="N895" s="24" t="s">
        <v>13808</v>
      </c>
      <c r="O895" s="24"/>
      <c r="P895" s="24" t="s">
        <v>13808</v>
      </c>
      <c r="Q895" s="24"/>
      <c r="R895" s="24" t="s">
        <v>13808</v>
      </c>
      <c r="S895" s="24"/>
      <c r="T895" t="s">
        <v>13907</v>
      </c>
      <c r="U895" t="s">
        <v>13809</v>
      </c>
      <c r="W895" t="s">
        <v>13808</v>
      </c>
      <c r="X895" t="s">
        <v>26343</v>
      </c>
      <c r="Y895" t="s">
        <v>13808</v>
      </c>
      <c r="Z895" t="s">
        <v>26344</v>
      </c>
      <c r="AA895" t="s">
        <v>13849</v>
      </c>
      <c r="AB895" t="s">
        <v>26345</v>
      </c>
      <c r="AC895" t="s">
        <v>13808</v>
      </c>
      <c r="AH895" t="s">
        <v>13909</v>
      </c>
      <c r="AI895" t="s">
        <v>13808</v>
      </c>
      <c r="AN895" t="s">
        <v>16346</v>
      </c>
      <c r="AO895" t="s">
        <v>13808</v>
      </c>
      <c r="AU895" t="s">
        <v>13809</v>
      </c>
      <c r="AZ895" t="s">
        <v>26346</v>
      </c>
      <c r="BA895" t="s">
        <v>13808</v>
      </c>
      <c r="BL895" t="s">
        <v>26347</v>
      </c>
      <c r="BM895" t="s">
        <v>13808</v>
      </c>
      <c r="BR895" t="s">
        <v>26348</v>
      </c>
      <c r="BT895" t="s">
        <v>13809</v>
      </c>
      <c r="BY895" t="s">
        <v>13887</v>
      </c>
      <c r="BZ895" t="s">
        <v>13808</v>
      </c>
      <c r="CA895" t="s">
        <v>14026</v>
      </c>
      <c r="CF895" t="s">
        <v>13809</v>
      </c>
      <c r="CL895" t="s">
        <v>13809</v>
      </c>
      <c r="CR895" t="s">
        <v>13809</v>
      </c>
      <c r="CT895" t="s">
        <v>26349</v>
      </c>
      <c r="CU895" t="s">
        <v>26350</v>
      </c>
      <c r="CV895" t="s">
        <v>13808</v>
      </c>
      <c r="DA895" t="s">
        <v>26351</v>
      </c>
      <c r="DB895" t="s">
        <v>13808</v>
      </c>
      <c r="DG895" t="s">
        <v>26352</v>
      </c>
      <c r="DH895" t="s">
        <v>13808</v>
      </c>
      <c r="DY895" t="s">
        <v>26353</v>
      </c>
      <c r="DZ895" t="s">
        <v>26354</v>
      </c>
      <c r="EA895" t="s">
        <v>13871</v>
      </c>
      <c r="ED895" t="s">
        <v>14276</v>
      </c>
      <c r="EE895" t="s">
        <v>5416</v>
      </c>
    </row>
    <row r="896" spans="1:135">
      <c r="A896" t="s">
        <v>904</v>
      </c>
      <c r="B896" t="s">
        <v>710</v>
      </c>
      <c r="C896" t="s">
        <v>26355</v>
      </c>
      <c r="D896" s="24">
        <v>42944</v>
      </c>
      <c r="E896" s="24" t="s">
        <v>13558</v>
      </c>
      <c r="F896" s="24" t="s">
        <v>26356</v>
      </c>
      <c r="G896" s="24" t="s">
        <v>13808</v>
      </c>
      <c r="H896" s="24"/>
      <c r="I896" s="24" t="s">
        <v>13809</v>
      </c>
      <c r="J896" s="24"/>
      <c r="K896" s="24" t="s">
        <v>13808</v>
      </c>
      <c r="L896" s="24"/>
      <c r="M896" s="24" t="s">
        <v>15106</v>
      </c>
      <c r="N896" s="24" t="s">
        <v>13808</v>
      </c>
      <c r="O896" s="24"/>
      <c r="P896" s="24" t="s">
        <v>13808</v>
      </c>
      <c r="Q896" s="24"/>
      <c r="R896" s="24" t="s">
        <v>13808</v>
      </c>
      <c r="S896" s="24"/>
      <c r="T896" t="s">
        <v>26357</v>
      </c>
      <c r="U896" t="s">
        <v>13809</v>
      </c>
      <c r="W896" t="s">
        <v>13808</v>
      </c>
      <c r="X896" t="s">
        <v>26358</v>
      </c>
      <c r="Y896" t="s">
        <v>13809</v>
      </c>
      <c r="AA896" t="s">
        <v>26359</v>
      </c>
      <c r="AB896" t="s">
        <v>15276</v>
      </c>
      <c r="AC896" t="s">
        <v>13808</v>
      </c>
      <c r="AH896" t="s">
        <v>13909</v>
      </c>
      <c r="AI896" t="s">
        <v>13808</v>
      </c>
      <c r="AN896" t="s">
        <v>26360</v>
      </c>
      <c r="AO896" t="s">
        <v>13808</v>
      </c>
      <c r="AT896" t="s">
        <v>14543</v>
      </c>
      <c r="AU896" t="s">
        <v>13808</v>
      </c>
      <c r="AZ896" t="s">
        <v>14423</v>
      </c>
      <c r="BA896" t="s">
        <v>13808</v>
      </c>
      <c r="BF896" t="s">
        <v>26361</v>
      </c>
      <c r="BG896" t="s">
        <v>13808</v>
      </c>
      <c r="BM896" t="s">
        <v>13809</v>
      </c>
      <c r="BR896" t="s">
        <v>23463</v>
      </c>
      <c r="BT896" t="s">
        <v>13809</v>
      </c>
      <c r="BY896" t="s">
        <v>13887</v>
      </c>
      <c r="BZ896" t="s">
        <v>13808</v>
      </c>
      <c r="CA896" t="s">
        <v>13937</v>
      </c>
      <c r="CF896" t="s">
        <v>13809</v>
      </c>
      <c r="CL896" t="s">
        <v>13809</v>
      </c>
      <c r="CR896" t="s">
        <v>13809</v>
      </c>
      <c r="CT896" t="s">
        <v>14781</v>
      </c>
      <c r="CU896" t="s">
        <v>13909</v>
      </c>
      <c r="CV896" t="s">
        <v>13818</v>
      </c>
      <c r="DA896" t="s">
        <v>13909</v>
      </c>
      <c r="DB896" t="s">
        <v>13818</v>
      </c>
      <c r="DG896" t="s">
        <v>13909</v>
      </c>
      <c r="DH896" t="s">
        <v>13818</v>
      </c>
      <c r="DZ896" t="s">
        <v>26362</v>
      </c>
      <c r="EA896" t="s">
        <v>13871</v>
      </c>
      <c r="EC896">
        <v>44208</v>
      </c>
      <c r="ED896" t="s">
        <v>13903</v>
      </c>
      <c r="EE896" t="s">
        <v>5308</v>
      </c>
    </row>
    <row r="897" spans="1:135">
      <c r="A897" t="s">
        <v>680</v>
      </c>
      <c r="B897" t="s">
        <v>445</v>
      </c>
      <c r="C897" t="s">
        <v>26363</v>
      </c>
      <c r="D897" s="24">
        <v>44155</v>
      </c>
      <c r="E897" s="24" t="s">
        <v>13558</v>
      </c>
      <c r="F897" s="24" t="s">
        <v>26364</v>
      </c>
      <c r="G897" s="24" t="s">
        <v>13808</v>
      </c>
      <c r="H897" s="24"/>
      <c r="I897" s="24" t="s">
        <v>13809</v>
      </c>
      <c r="J897" s="24"/>
      <c r="K897" s="24" t="s">
        <v>13808</v>
      </c>
      <c r="L897" s="24"/>
      <c r="M897" s="24" t="s">
        <v>19260</v>
      </c>
      <c r="N897" s="24" t="s">
        <v>13808</v>
      </c>
      <c r="O897" s="24"/>
      <c r="P897" s="24" t="s">
        <v>13808</v>
      </c>
      <c r="Q897" s="24"/>
      <c r="R897" s="24" t="s">
        <v>13808</v>
      </c>
      <c r="S897" s="24"/>
      <c r="T897" t="s">
        <v>26365</v>
      </c>
      <c r="U897" t="s">
        <v>13809</v>
      </c>
      <c r="W897" t="s">
        <v>13808</v>
      </c>
      <c r="X897" t="s">
        <v>26366</v>
      </c>
      <c r="Y897" t="s">
        <v>13809</v>
      </c>
      <c r="AA897" t="s">
        <v>14770</v>
      </c>
      <c r="AB897" t="s">
        <v>14596</v>
      </c>
      <c r="AC897" t="s">
        <v>13818</v>
      </c>
      <c r="AD897" t="s">
        <v>14309</v>
      </c>
      <c r="AH897" t="s">
        <v>13909</v>
      </c>
      <c r="AI897" t="s">
        <v>13818</v>
      </c>
      <c r="AJ897" t="s">
        <v>18683</v>
      </c>
      <c r="AO897" t="s">
        <v>13809</v>
      </c>
      <c r="AU897" t="s">
        <v>13809</v>
      </c>
      <c r="AZ897" t="s">
        <v>14416</v>
      </c>
      <c r="BA897" t="s">
        <v>13818</v>
      </c>
      <c r="BB897" t="s">
        <v>14309</v>
      </c>
      <c r="BF897" t="s">
        <v>15209</v>
      </c>
      <c r="BG897" t="s">
        <v>13818</v>
      </c>
      <c r="BH897" t="s">
        <v>14309</v>
      </c>
      <c r="BM897" t="s">
        <v>13809</v>
      </c>
      <c r="BR897" t="s">
        <v>26367</v>
      </c>
      <c r="BT897" t="s">
        <v>13809</v>
      </c>
      <c r="BY897" t="s">
        <v>14265</v>
      </c>
      <c r="BZ897" t="s">
        <v>13808</v>
      </c>
      <c r="CA897" t="s">
        <v>13861</v>
      </c>
      <c r="CE897" t="s">
        <v>13887</v>
      </c>
      <c r="CF897" t="s">
        <v>13808</v>
      </c>
      <c r="CG897" t="s">
        <v>26368</v>
      </c>
      <c r="CL897" t="s">
        <v>13809</v>
      </c>
      <c r="CR897" t="s">
        <v>13809</v>
      </c>
      <c r="CT897" t="s">
        <v>26369</v>
      </c>
      <c r="CU897" t="s">
        <v>26370</v>
      </c>
      <c r="CV897" t="s">
        <v>13808</v>
      </c>
      <c r="CX897" t="s">
        <v>26371</v>
      </c>
      <c r="CY897" t="s">
        <v>13818</v>
      </c>
      <c r="DA897" t="s">
        <v>25514</v>
      </c>
      <c r="DB897" t="s">
        <v>13808</v>
      </c>
      <c r="DD897" t="s">
        <v>26372</v>
      </c>
      <c r="DE897" t="s">
        <v>13818</v>
      </c>
      <c r="DM897" t="s">
        <v>26373</v>
      </c>
      <c r="DN897" t="s">
        <v>13808</v>
      </c>
      <c r="DP897" t="s">
        <v>26374</v>
      </c>
      <c r="DQ897" t="s">
        <v>13818</v>
      </c>
      <c r="DR897" t="s">
        <v>26375</v>
      </c>
      <c r="DY897" t="s">
        <v>14606</v>
      </c>
      <c r="DZ897" t="s">
        <v>13841</v>
      </c>
      <c r="EA897" t="s">
        <v>13842</v>
      </c>
      <c r="ED897" t="s">
        <v>14608</v>
      </c>
      <c r="EE897" t="s">
        <v>5107</v>
      </c>
    </row>
    <row r="898" spans="1:135">
      <c r="A898" t="s">
        <v>125</v>
      </c>
      <c r="B898" t="s">
        <v>11</v>
      </c>
      <c r="C898" t="s">
        <v>26376</v>
      </c>
      <c r="D898" s="24">
        <v>43686</v>
      </c>
      <c r="E898" s="24" t="s">
        <v>13553</v>
      </c>
      <c r="F898" s="24" t="s">
        <v>26377</v>
      </c>
      <c r="G898" s="24" t="s">
        <v>13808</v>
      </c>
      <c r="H898" s="24"/>
      <c r="I898" s="24" t="s">
        <v>13809</v>
      </c>
      <c r="J898" s="24"/>
      <c r="K898" s="24" t="s">
        <v>13808</v>
      </c>
      <c r="L898" s="24" t="s">
        <v>26378</v>
      </c>
      <c r="M898" s="24" t="s">
        <v>14163</v>
      </c>
      <c r="N898" s="24" t="s">
        <v>13808</v>
      </c>
      <c r="O898" s="24"/>
      <c r="P898" s="24" t="s">
        <v>13808</v>
      </c>
      <c r="Q898" s="24"/>
      <c r="R898" s="24" t="s">
        <v>13808</v>
      </c>
      <c r="S898" s="24"/>
      <c r="T898" t="s">
        <v>26379</v>
      </c>
      <c r="U898" t="s">
        <v>13809</v>
      </c>
      <c r="W898" t="s">
        <v>13808</v>
      </c>
      <c r="X898" t="s">
        <v>26380</v>
      </c>
      <c r="Y898" t="s">
        <v>13809</v>
      </c>
      <c r="AA898" t="s">
        <v>13877</v>
      </c>
      <c r="AB898" t="s">
        <v>26381</v>
      </c>
      <c r="AC898" t="s">
        <v>13808</v>
      </c>
      <c r="AH898" t="s">
        <v>13909</v>
      </c>
      <c r="AI898" t="s">
        <v>13808</v>
      </c>
      <c r="AN898" t="s">
        <v>26382</v>
      </c>
      <c r="AO898" t="s">
        <v>13808</v>
      </c>
      <c r="AT898" t="s">
        <v>26383</v>
      </c>
      <c r="AU898" t="s">
        <v>13808</v>
      </c>
      <c r="AZ898" t="s">
        <v>26384</v>
      </c>
      <c r="BA898" t="s">
        <v>13808</v>
      </c>
      <c r="BF898" t="s">
        <v>26385</v>
      </c>
      <c r="BG898" t="s">
        <v>13808</v>
      </c>
      <c r="BL898" t="s">
        <v>26386</v>
      </c>
      <c r="BM898" t="s">
        <v>13808</v>
      </c>
      <c r="BR898" t="s">
        <v>26387</v>
      </c>
      <c r="BS898" t="s">
        <v>26388</v>
      </c>
      <c r="BT898" t="s">
        <v>13808</v>
      </c>
      <c r="BU898" t="s">
        <v>14515</v>
      </c>
      <c r="BY898" t="s">
        <v>26389</v>
      </c>
      <c r="BZ898" t="s">
        <v>13808</v>
      </c>
      <c r="CA898" t="s">
        <v>26390</v>
      </c>
      <c r="CE898" t="s">
        <v>26391</v>
      </c>
      <c r="CF898" t="s">
        <v>13808</v>
      </c>
      <c r="CL898" t="s">
        <v>13809</v>
      </c>
      <c r="CR898" t="s">
        <v>13809</v>
      </c>
      <c r="CT898" t="s">
        <v>26392</v>
      </c>
      <c r="CU898" t="s">
        <v>26393</v>
      </c>
      <c r="CV898" t="s">
        <v>13808</v>
      </c>
      <c r="DA898" t="s">
        <v>26394</v>
      </c>
      <c r="DB898" t="s">
        <v>13808</v>
      </c>
      <c r="DM898" t="s">
        <v>26395</v>
      </c>
      <c r="DN898" t="s">
        <v>13897</v>
      </c>
      <c r="DO898" t="s">
        <v>13898</v>
      </c>
      <c r="DP898" t="s">
        <v>26396</v>
      </c>
      <c r="DQ898" t="s">
        <v>13808</v>
      </c>
      <c r="DR898" t="s">
        <v>13898</v>
      </c>
      <c r="DY898" t="s">
        <v>26397</v>
      </c>
      <c r="DZ898" t="s">
        <v>26398</v>
      </c>
      <c r="EA898" t="s">
        <v>26399</v>
      </c>
      <c r="EC898">
        <v>44208</v>
      </c>
      <c r="ED898" t="s">
        <v>13903</v>
      </c>
      <c r="EE898" t="s">
        <v>4568</v>
      </c>
    </row>
    <row r="899" spans="1:135">
      <c r="A899" t="s">
        <v>5417</v>
      </c>
      <c r="B899" t="s">
        <v>914</v>
      </c>
      <c r="C899" t="s">
        <v>26400</v>
      </c>
      <c r="D899" s="24">
        <v>44281</v>
      </c>
      <c r="E899" s="24" t="s">
        <v>13555</v>
      </c>
      <c r="F899" s="24" t="s">
        <v>26401</v>
      </c>
      <c r="G899" s="24" t="s">
        <v>13808</v>
      </c>
      <c r="H899" s="24"/>
      <c r="I899" s="24" t="s">
        <v>13809</v>
      </c>
      <c r="J899" s="24"/>
      <c r="K899" s="24" t="s">
        <v>13809</v>
      </c>
      <c r="L899" s="24"/>
      <c r="M899" s="24" t="s">
        <v>13950</v>
      </c>
      <c r="N899" s="24" t="s">
        <v>13808</v>
      </c>
      <c r="O899" s="24"/>
      <c r="P899" s="24" t="s">
        <v>13808</v>
      </c>
      <c r="Q899" s="24"/>
      <c r="R899" s="24" t="s">
        <v>13808</v>
      </c>
      <c r="S899" s="24"/>
      <c r="T899" t="s">
        <v>26281</v>
      </c>
      <c r="U899" t="s">
        <v>13809</v>
      </c>
      <c r="W899" t="s">
        <v>13809</v>
      </c>
      <c r="Y899" t="s">
        <v>13809</v>
      </c>
      <c r="AA899" t="s">
        <v>13877</v>
      </c>
      <c r="AC899" t="s">
        <v>13809</v>
      </c>
      <c r="AH899" t="s">
        <v>13887</v>
      </c>
      <c r="AI899" t="s">
        <v>13808</v>
      </c>
      <c r="AO899" t="s">
        <v>13809</v>
      </c>
      <c r="AU899" t="s">
        <v>13809</v>
      </c>
      <c r="AZ899" t="s">
        <v>16368</v>
      </c>
      <c r="BA899" t="s">
        <v>13808</v>
      </c>
      <c r="BF899" t="s">
        <v>26402</v>
      </c>
      <c r="BG899" t="s">
        <v>13808</v>
      </c>
      <c r="BM899" t="s">
        <v>13809</v>
      </c>
      <c r="BR899" t="s">
        <v>26403</v>
      </c>
      <c r="BT899" t="s">
        <v>13809</v>
      </c>
      <c r="BZ899" t="s">
        <v>13809</v>
      </c>
      <c r="CF899" t="s">
        <v>13809</v>
      </c>
      <c r="CK899" t="s">
        <v>13887</v>
      </c>
      <c r="CL899" t="s">
        <v>13808</v>
      </c>
      <c r="CR899" t="s">
        <v>13809</v>
      </c>
      <c r="CT899" t="s">
        <v>26404</v>
      </c>
      <c r="DM899" t="s">
        <v>26405</v>
      </c>
      <c r="DN899" t="s">
        <v>13808</v>
      </c>
      <c r="DP899" t="s">
        <v>25503</v>
      </c>
      <c r="DQ899" t="s">
        <v>13808</v>
      </c>
      <c r="DR899" t="s">
        <v>14947</v>
      </c>
      <c r="DY899" t="s">
        <v>20954</v>
      </c>
      <c r="DZ899" t="s">
        <v>26406</v>
      </c>
      <c r="EA899" t="s">
        <v>14182</v>
      </c>
      <c r="ED899" t="s">
        <v>14608</v>
      </c>
      <c r="EE899" t="s">
        <v>5419</v>
      </c>
    </row>
    <row r="900" spans="1:135">
      <c r="A900" t="s">
        <v>4686</v>
      </c>
      <c r="B900" t="s">
        <v>147</v>
      </c>
      <c r="C900" t="s">
        <v>26407</v>
      </c>
      <c r="D900" s="24">
        <v>44225</v>
      </c>
      <c r="E900" s="24" t="s">
        <v>13558</v>
      </c>
      <c r="F900" s="24" t="s">
        <v>26408</v>
      </c>
      <c r="G900" s="24" t="s">
        <v>13808</v>
      </c>
      <c r="H900" s="24"/>
      <c r="I900" s="24" t="s">
        <v>13809</v>
      </c>
      <c r="J900" s="24"/>
      <c r="K900" s="24" t="s">
        <v>13809</v>
      </c>
      <c r="L900" s="24"/>
      <c r="M900" s="24" t="s">
        <v>14304</v>
      </c>
      <c r="N900" s="24" t="s">
        <v>13808</v>
      </c>
      <c r="O900" s="24"/>
      <c r="P900" s="24" t="s">
        <v>13808</v>
      </c>
      <c r="Q900" s="24"/>
      <c r="R900" s="24" t="s">
        <v>13808</v>
      </c>
      <c r="S900" s="24"/>
      <c r="T900" t="s">
        <v>14071</v>
      </c>
      <c r="U900" t="s">
        <v>13809</v>
      </c>
      <c r="W900" t="s">
        <v>13809</v>
      </c>
      <c r="Y900" t="s">
        <v>13809</v>
      </c>
      <c r="AA900" t="s">
        <v>14594</v>
      </c>
      <c r="AB900" t="s">
        <v>13699</v>
      </c>
      <c r="AC900" t="s">
        <v>13809</v>
      </c>
      <c r="AH900" t="s">
        <v>14073</v>
      </c>
      <c r="AI900" t="s">
        <v>13808</v>
      </c>
      <c r="AN900" t="s">
        <v>13711</v>
      </c>
      <c r="AO900" t="s">
        <v>13809</v>
      </c>
      <c r="AT900" t="s">
        <v>13717</v>
      </c>
      <c r="AU900" t="s">
        <v>13809</v>
      </c>
      <c r="AZ900" t="s">
        <v>26409</v>
      </c>
      <c r="BA900" t="s">
        <v>13808</v>
      </c>
      <c r="BF900" t="s">
        <v>17058</v>
      </c>
      <c r="BG900" t="s">
        <v>13809</v>
      </c>
      <c r="BL900" t="s">
        <v>13735</v>
      </c>
      <c r="BM900" t="s">
        <v>13809</v>
      </c>
      <c r="BR900" t="s">
        <v>15544</v>
      </c>
      <c r="BY900" t="s">
        <v>13748</v>
      </c>
      <c r="BZ900" t="s">
        <v>13809</v>
      </c>
      <c r="CE900" t="s">
        <v>13754</v>
      </c>
      <c r="CF900" t="s">
        <v>13809</v>
      </c>
      <c r="CK900" t="s">
        <v>13760</v>
      </c>
      <c r="CL900" t="s">
        <v>13809</v>
      </c>
      <c r="CQ900" t="s">
        <v>13766</v>
      </c>
      <c r="CR900" t="s">
        <v>13809</v>
      </c>
      <c r="CT900" t="s">
        <v>13830</v>
      </c>
      <c r="CU900" t="s">
        <v>26410</v>
      </c>
      <c r="CV900" t="s">
        <v>13818</v>
      </c>
      <c r="DA900" t="s">
        <v>26411</v>
      </c>
      <c r="DB900" t="s">
        <v>13818</v>
      </c>
      <c r="DG900" t="s">
        <v>26412</v>
      </c>
      <c r="DH900" t="s">
        <v>13818</v>
      </c>
      <c r="DY900" t="s">
        <v>13869</v>
      </c>
      <c r="DZ900" t="s">
        <v>25745</v>
      </c>
      <c r="EA900" t="s">
        <v>14182</v>
      </c>
      <c r="EC900">
        <v>44627</v>
      </c>
      <c r="ED900" t="s">
        <v>17062</v>
      </c>
      <c r="EE900" t="s">
        <v>4691</v>
      </c>
    </row>
    <row r="901" spans="1:135">
      <c r="A901" t="s">
        <v>685</v>
      </c>
      <c r="B901" t="s">
        <v>445</v>
      </c>
      <c r="C901" t="s">
        <v>26413</v>
      </c>
      <c r="D901" s="24">
        <v>43313</v>
      </c>
      <c r="E901" s="24" t="s">
        <v>13555</v>
      </c>
      <c r="F901" s="24" t="s">
        <v>26414</v>
      </c>
      <c r="G901" s="24" t="s">
        <v>13808</v>
      </c>
      <c r="H901" s="24"/>
      <c r="I901" s="24" t="s">
        <v>13809</v>
      </c>
      <c r="J901" s="24"/>
      <c r="K901" s="24" t="s">
        <v>13809</v>
      </c>
      <c r="L901" s="24"/>
      <c r="M901" s="24" t="s">
        <v>13950</v>
      </c>
      <c r="N901" s="24" t="s">
        <v>13808</v>
      </c>
      <c r="O901" s="24"/>
      <c r="P901" s="24" t="s">
        <v>13808</v>
      </c>
      <c r="Q901" s="24"/>
      <c r="R901" s="24" t="s">
        <v>13808</v>
      </c>
      <c r="S901" s="24"/>
      <c r="T901" t="s">
        <v>26415</v>
      </c>
      <c r="U901" t="s">
        <v>13809</v>
      </c>
      <c r="W901" t="s">
        <v>13809</v>
      </c>
      <c r="Y901" t="s">
        <v>13809</v>
      </c>
      <c r="AA901" t="s">
        <v>14188</v>
      </c>
      <c r="AC901" t="s">
        <v>13809</v>
      </c>
      <c r="AH901" t="s">
        <v>13887</v>
      </c>
      <c r="AI901" t="s">
        <v>13808</v>
      </c>
      <c r="AN901" t="s">
        <v>13809</v>
      </c>
      <c r="AT901" t="s">
        <v>26416</v>
      </c>
      <c r="AU901" t="s">
        <v>13808</v>
      </c>
      <c r="AZ901" t="s">
        <v>13809</v>
      </c>
      <c r="BF901" t="s">
        <v>13809</v>
      </c>
      <c r="BM901" t="s">
        <v>13809</v>
      </c>
      <c r="BR901" t="s">
        <v>26417</v>
      </c>
      <c r="BT901" t="s">
        <v>13809</v>
      </c>
      <c r="BY901" t="s">
        <v>13887</v>
      </c>
      <c r="BZ901" t="s">
        <v>13808</v>
      </c>
      <c r="CA901" t="s">
        <v>13937</v>
      </c>
      <c r="CE901" t="s">
        <v>13887</v>
      </c>
      <c r="CF901" t="s">
        <v>13808</v>
      </c>
      <c r="CL901" t="s">
        <v>13809</v>
      </c>
      <c r="CR901" t="s">
        <v>13809</v>
      </c>
      <c r="CT901" t="s">
        <v>14082</v>
      </c>
      <c r="DM901" t="s">
        <v>13887</v>
      </c>
      <c r="DN901" t="s">
        <v>13808</v>
      </c>
      <c r="DZ901" t="s">
        <v>14274</v>
      </c>
      <c r="EA901" t="s">
        <v>16821</v>
      </c>
      <c r="EC901">
        <v>44208</v>
      </c>
      <c r="ED901" t="s">
        <v>13903</v>
      </c>
      <c r="EE901" t="s">
        <v>5116</v>
      </c>
    </row>
    <row r="902" spans="1:135">
      <c r="A902" t="s">
        <v>5117</v>
      </c>
      <c r="B902" t="s">
        <v>445</v>
      </c>
      <c r="C902" t="s">
        <v>26418</v>
      </c>
      <c r="D902" s="24">
        <v>43313</v>
      </c>
      <c r="E902" s="24" t="s">
        <v>13555</v>
      </c>
      <c r="F902" s="24" t="s">
        <v>26419</v>
      </c>
      <c r="G902" s="24" t="s">
        <v>13808</v>
      </c>
      <c r="H902" s="24"/>
      <c r="I902" s="24" t="s">
        <v>13809</v>
      </c>
      <c r="J902" s="24"/>
      <c r="K902" s="24" t="s">
        <v>13809</v>
      </c>
      <c r="L902" s="24"/>
      <c r="M902" s="24" t="s">
        <v>14304</v>
      </c>
      <c r="N902" s="24" t="s">
        <v>13808</v>
      </c>
      <c r="O902" s="24"/>
      <c r="P902" s="24" t="s">
        <v>13808</v>
      </c>
      <c r="Q902" s="24"/>
      <c r="R902" s="24" t="s">
        <v>13808</v>
      </c>
      <c r="S902" s="24"/>
      <c r="T902" t="s">
        <v>14034</v>
      </c>
      <c r="U902" t="s">
        <v>13809</v>
      </c>
      <c r="W902" t="s">
        <v>13808</v>
      </c>
      <c r="X902" t="s">
        <v>26420</v>
      </c>
      <c r="Y902" t="s">
        <v>13809</v>
      </c>
      <c r="AA902" t="s">
        <v>25796</v>
      </c>
      <c r="AB902" t="s">
        <v>17154</v>
      </c>
      <c r="AC902" t="s">
        <v>13808</v>
      </c>
      <c r="AH902" t="s">
        <v>14004</v>
      </c>
      <c r="AI902" t="s">
        <v>13808</v>
      </c>
      <c r="AN902" t="s">
        <v>15209</v>
      </c>
      <c r="AO902" t="s">
        <v>13808</v>
      </c>
      <c r="AU902" t="s">
        <v>13809</v>
      </c>
      <c r="AZ902" t="s">
        <v>14189</v>
      </c>
      <c r="BA902" t="s">
        <v>13808</v>
      </c>
      <c r="BF902" t="s">
        <v>13910</v>
      </c>
      <c r="BG902" t="s">
        <v>13808</v>
      </c>
      <c r="BM902" t="s">
        <v>13809</v>
      </c>
      <c r="BR902" t="s">
        <v>23463</v>
      </c>
      <c r="BS902" t="s">
        <v>13809</v>
      </c>
      <c r="BY902" t="s">
        <v>13887</v>
      </c>
      <c r="BZ902" t="s">
        <v>13808</v>
      </c>
      <c r="CA902" t="s">
        <v>13888</v>
      </c>
      <c r="CF902" t="s">
        <v>13809</v>
      </c>
      <c r="CK902" t="s">
        <v>13809</v>
      </c>
      <c r="CR902" t="s">
        <v>13809</v>
      </c>
      <c r="CT902" t="s">
        <v>26421</v>
      </c>
      <c r="CU902" t="s">
        <v>14059</v>
      </c>
      <c r="CV902" t="s">
        <v>13808</v>
      </c>
      <c r="DA902" t="s">
        <v>13892</v>
      </c>
      <c r="DB902" t="s">
        <v>13808</v>
      </c>
      <c r="DM902" t="s">
        <v>13909</v>
      </c>
      <c r="DN902" t="s">
        <v>13808</v>
      </c>
      <c r="DP902" t="s">
        <v>26422</v>
      </c>
      <c r="DQ902" t="s">
        <v>13808</v>
      </c>
      <c r="DZ902" t="s">
        <v>14274</v>
      </c>
      <c r="EA902" t="s">
        <v>16821</v>
      </c>
      <c r="EC902">
        <v>44208</v>
      </c>
      <c r="ED902" t="s">
        <v>13903</v>
      </c>
      <c r="EE902" t="s">
        <v>5119</v>
      </c>
    </row>
    <row r="903" spans="1:135">
      <c r="A903" t="s">
        <v>906</v>
      </c>
      <c r="B903" t="s">
        <v>710</v>
      </c>
      <c r="C903" t="s">
        <v>26423</v>
      </c>
      <c r="D903" s="24">
        <v>44756</v>
      </c>
      <c r="E903" s="24" t="s">
        <v>13555</v>
      </c>
      <c r="F903" s="24" t="s">
        <v>26424</v>
      </c>
      <c r="G903" s="24" t="s">
        <v>13808</v>
      </c>
      <c r="H903" s="24"/>
      <c r="I903" s="24" t="s">
        <v>13809</v>
      </c>
      <c r="J903" s="24"/>
      <c r="K903" s="24" t="s">
        <v>13809</v>
      </c>
      <c r="L903" s="24"/>
      <c r="M903" s="24" t="s">
        <v>13846</v>
      </c>
      <c r="N903" s="24" t="s">
        <v>13808</v>
      </c>
      <c r="O903" s="24"/>
      <c r="P903" s="24" t="s">
        <v>13808</v>
      </c>
      <c r="Q903" s="24"/>
      <c r="R903" s="24" t="s">
        <v>13808</v>
      </c>
      <c r="S903" s="24"/>
      <c r="T903" t="s">
        <v>13907</v>
      </c>
      <c r="U903" t="s">
        <v>13809</v>
      </c>
      <c r="W903" t="s">
        <v>13808</v>
      </c>
      <c r="X903" t="s">
        <v>26425</v>
      </c>
      <c r="Y903" t="s">
        <v>13809</v>
      </c>
      <c r="AA903" t="s">
        <v>13849</v>
      </c>
      <c r="AB903" t="s">
        <v>26426</v>
      </c>
      <c r="AC903" t="s">
        <v>13808</v>
      </c>
      <c r="AH903" t="s">
        <v>13851</v>
      </c>
      <c r="AI903" t="s">
        <v>13808</v>
      </c>
      <c r="AN903" t="s">
        <v>26427</v>
      </c>
      <c r="AO903" t="s">
        <v>13808</v>
      </c>
      <c r="AT903" t="s">
        <v>26428</v>
      </c>
      <c r="AU903" t="s">
        <v>13808</v>
      </c>
      <c r="AZ903" t="s">
        <v>17669</v>
      </c>
      <c r="BA903" t="s">
        <v>13808</v>
      </c>
      <c r="BF903" t="s">
        <v>24093</v>
      </c>
      <c r="BG903" t="s">
        <v>13808</v>
      </c>
      <c r="BL903" t="s">
        <v>26429</v>
      </c>
      <c r="BM903" t="s">
        <v>13808</v>
      </c>
      <c r="BR903" t="s">
        <v>26430</v>
      </c>
      <c r="BS903" t="s">
        <v>17108</v>
      </c>
      <c r="BT903" t="s">
        <v>13809</v>
      </c>
      <c r="BY903" t="s">
        <v>13860</v>
      </c>
      <c r="BZ903" t="s">
        <v>13808</v>
      </c>
      <c r="CA903" t="s">
        <v>13937</v>
      </c>
      <c r="CE903" t="s">
        <v>15249</v>
      </c>
      <c r="CF903" t="s">
        <v>13809</v>
      </c>
      <c r="CK903" t="s">
        <v>26431</v>
      </c>
      <c r="CL903" t="s">
        <v>13808</v>
      </c>
      <c r="CQ903" t="s">
        <v>13766</v>
      </c>
      <c r="CR903" t="s">
        <v>13809</v>
      </c>
      <c r="CT903" t="s">
        <v>26432</v>
      </c>
      <c r="CU903" t="s">
        <v>26433</v>
      </c>
      <c r="CV903" t="s">
        <v>13808</v>
      </c>
      <c r="CX903" t="s">
        <v>26434</v>
      </c>
      <c r="CY903" t="s">
        <v>13818</v>
      </c>
      <c r="CZ903" t="s">
        <v>26435</v>
      </c>
      <c r="DA903" t="s">
        <v>26436</v>
      </c>
      <c r="DB903" t="s">
        <v>13808</v>
      </c>
      <c r="DM903" t="s">
        <v>26437</v>
      </c>
      <c r="DN903" t="s">
        <v>13808</v>
      </c>
      <c r="DY903" t="s">
        <v>14606</v>
      </c>
      <c r="DZ903" t="s">
        <v>19705</v>
      </c>
      <c r="EA903" t="s">
        <v>13871</v>
      </c>
      <c r="EC903">
        <v>44761</v>
      </c>
      <c r="ED903" t="s">
        <v>17062</v>
      </c>
      <c r="EE903" t="s">
        <v>5312</v>
      </c>
    </row>
    <row r="904" spans="1:135">
      <c r="A904" t="s">
        <v>4692</v>
      </c>
      <c r="B904" t="s">
        <v>147</v>
      </c>
      <c r="C904" t="s">
        <v>25265</v>
      </c>
      <c r="D904" s="24">
        <v>44225</v>
      </c>
      <c r="E904" s="24" t="s">
        <v>13558</v>
      </c>
      <c r="F904" s="24" t="s">
        <v>26438</v>
      </c>
      <c r="G904" s="24" t="s">
        <v>13808</v>
      </c>
      <c r="H904" s="24"/>
      <c r="I904" s="24" t="s">
        <v>13809</v>
      </c>
      <c r="J904" s="24"/>
      <c r="K904" s="24" t="s">
        <v>13809</v>
      </c>
      <c r="L904" s="24"/>
      <c r="M904" s="24" t="s">
        <v>15106</v>
      </c>
      <c r="N904" s="24" t="s">
        <v>13808</v>
      </c>
      <c r="O904" s="24"/>
      <c r="P904" s="24" t="s">
        <v>13808</v>
      </c>
      <c r="Q904" s="24"/>
      <c r="R904" s="24" t="s">
        <v>13808</v>
      </c>
      <c r="S904" s="24"/>
      <c r="T904" t="s">
        <v>14071</v>
      </c>
      <c r="U904" t="s">
        <v>13809</v>
      </c>
      <c r="W904" t="s">
        <v>13809</v>
      </c>
      <c r="Y904" t="s">
        <v>13809</v>
      </c>
      <c r="AA904" t="s">
        <v>14594</v>
      </c>
      <c r="AB904" t="s">
        <v>13699</v>
      </c>
      <c r="AC904" t="s">
        <v>13809</v>
      </c>
      <c r="AH904" t="s">
        <v>14073</v>
      </c>
      <c r="AI904" t="s">
        <v>13808</v>
      </c>
      <c r="AN904" t="s">
        <v>13711</v>
      </c>
      <c r="AO904" t="s">
        <v>13809</v>
      </c>
      <c r="AT904" t="s">
        <v>13717</v>
      </c>
      <c r="AU904" t="s">
        <v>13809</v>
      </c>
      <c r="AZ904" t="s">
        <v>26439</v>
      </c>
      <c r="BA904" t="s">
        <v>13808</v>
      </c>
      <c r="BF904" t="s">
        <v>17058</v>
      </c>
      <c r="BG904" t="s">
        <v>13809</v>
      </c>
      <c r="BL904" t="s">
        <v>13735</v>
      </c>
      <c r="BM904" t="s">
        <v>13809</v>
      </c>
      <c r="BR904" t="s">
        <v>15544</v>
      </c>
      <c r="BY904" t="s">
        <v>13748</v>
      </c>
      <c r="BZ904" t="s">
        <v>13809</v>
      </c>
      <c r="CE904" t="s">
        <v>13754</v>
      </c>
      <c r="CF904" t="s">
        <v>13809</v>
      </c>
      <c r="CK904" t="s">
        <v>13760</v>
      </c>
      <c r="CL904" t="s">
        <v>13809</v>
      </c>
      <c r="CQ904" t="s">
        <v>13766</v>
      </c>
      <c r="CR904" t="s">
        <v>13809</v>
      </c>
      <c r="CT904" t="s">
        <v>13830</v>
      </c>
      <c r="CU904" t="s">
        <v>26440</v>
      </c>
      <c r="CV904" t="s">
        <v>13818</v>
      </c>
      <c r="DA904" t="s">
        <v>26441</v>
      </c>
      <c r="DB904" t="s">
        <v>13818</v>
      </c>
      <c r="DG904" t="s">
        <v>26442</v>
      </c>
      <c r="DH904" t="s">
        <v>13818</v>
      </c>
      <c r="DY904" t="s">
        <v>16668</v>
      </c>
      <c r="DZ904" t="s">
        <v>25745</v>
      </c>
      <c r="EA904" t="s">
        <v>14182</v>
      </c>
      <c r="EC904">
        <v>44627</v>
      </c>
      <c r="ED904" t="s">
        <v>13843</v>
      </c>
      <c r="EE904" t="s">
        <v>4694</v>
      </c>
    </row>
    <row r="905" spans="1:135">
      <c r="A905" t="s">
        <v>690</v>
      </c>
      <c r="B905" t="s">
        <v>445</v>
      </c>
      <c r="C905" t="s">
        <v>26443</v>
      </c>
      <c r="D905" s="24">
        <v>44155</v>
      </c>
      <c r="E905" s="24" t="s">
        <v>13558</v>
      </c>
      <c r="F905" s="24" t="s">
        <v>26444</v>
      </c>
      <c r="G905" s="24" t="s">
        <v>13808</v>
      </c>
      <c r="H905" s="24"/>
      <c r="I905" s="24" t="s">
        <v>13809</v>
      </c>
      <c r="J905" s="24"/>
      <c r="K905" s="24" t="s">
        <v>13808</v>
      </c>
      <c r="L905" s="24"/>
      <c r="M905" s="24" t="s">
        <v>19260</v>
      </c>
      <c r="N905" s="24" t="s">
        <v>13808</v>
      </c>
      <c r="O905" s="24"/>
      <c r="P905" s="24" t="s">
        <v>13808</v>
      </c>
      <c r="Q905" s="24"/>
      <c r="R905" s="24" t="s">
        <v>13818</v>
      </c>
      <c r="S905" s="24" t="s">
        <v>26445</v>
      </c>
      <c r="T905" t="s">
        <v>26446</v>
      </c>
      <c r="U905" t="s">
        <v>13809</v>
      </c>
      <c r="W905" t="s">
        <v>13818</v>
      </c>
      <c r="Y905" t="s">
        <v>13809</v>
      </c>
      <c r="AA905" t="s">
        <v>26447</v>
      </c>
      <c r="AB905" t="s">
        <v>26448</v>
      </c>
      <c r="AC905" t="s">
        <v>13818</v>
      </c>
      <c r="AD905" t="s">
        <v>14309</v>
      </c>
      <c r="AH905" t="s">
        <v>26449</v>
      </c>
      <c r="AI905" t="s">
        <v>13818</v>
      </c>
      <c r="AJ905" t="s">
        <v>14309</v>
      </c>
      <c r="AN905" t="s">
        <v>15388</v>
      </c>
      <c r="AO905" t="s">
        <v>13818</v>
      </c>
      <c r="AP905" t="s">
        <v>14309</v>
      </c>
      <c r="AT905" t="s">
        <v>17244</v>
      </c>
      <c r="AU905" t="s">
        <v>13818</v>
      </c>
      <c r="AV905" t="s">
        <v>14309</v>
      </c>
      <c r="AZ905" t="s">
        <v>14794</v>
      </c>
      <c r="BA905" t="s">
        <v>13818</v>
      </c>
      <c r="BB905" t="s">
        <v>14309</v>
      </c>
      <c r="BF905" t="s">
        <v>14910</v>
      </c>
      <c r="BG905" t="s">
        <v>13818</v>
      </c>
      <c r="BH905" t="s">
        <v>14309</v>
      </c>
      <c r="BL905" t="s">
        <v>13735</v>
      </c>
      <c r="BM905" t="s">
        <v>13809</v>
      </c>
      <c r="BR905" t="s">
        <v>26450</v>
      </c>
      <c r="BS905" t="s">
        <v>13742</v>
      </c>
      <c r="BT905" t="s">
        <v>13809</v>
      </c>
      <c r="BY905" t="s">
        <v>13826</v>
      </c>
      <c r="BZ905" t="s">
        <v>13808</v>
      </c>
      <c r="CA905" t="s">
        <v>13937</v>
      </c>
      <c r="CE905" t="s">
        <v>13754</v>
      </c>
      <c r="CF905" t="s">
        <v>13809</v>
      </c>
      <c r="CK905" t="s">
        <v>14581</v>
      </c>
      <c r="CL905" t="s">
        <v>13818</v>
      </c>
      <c r="CM905" t="s">
        <v>14309</v>
      </c>
      <c r="CQ905" t="s">
        <v>13766</v>
      </c>
      <c r="CR905" t="s">
        <v>13809</v>
      </c>
      <c r="CT905" t="s">
        <v>13830</v>
      </c>
      <c r="CU905" t="s">
        <v>26451</v>
      </c>
      <c r="CV905" t="s">
        <v>13818</v>
      </c>
      <c r="DA905" t="s">
        <v>26452</v>
      </c>
      <c r="DB905" t="s">
        <v>13818</v>
      </c>
      <c r="DG905" t="s">
        <v>26453</v>
      </c>
      <c r="DH905" t="s">
        <v>13818</v>
      </c>
      <c r="DI905" t="s">
        <v>26454</v>
      </c>
      <c r="DM905" t="s">
        <v>26455</v>
      </c>
      <c r="DN905" t="s">
        <v>13818</v>
      </c>
      <c r="DY905" t="s">
        <v>13869</v>
      </c>
      <c r="DZ905" t="s">
        <v>13841</v>
      </c>
      <c r="EA905" t="s">
        <v>13842</v>
      </c>
      <c r="EC905">
        <v>44627</v>
      </c>
      <c r="ED905" t="s">
        <v>13843</v>
      </c>
      <c r="EE905" t="s">
        <v>5125</v>
      </c>
    </row>
    <row r="906" spans="1:135">
      <c r="A906" t="s">
        <v>695</v>
      </c>
      <c r="B906" t="s">
        <v>445</v>
      </c>
      <c r="C906" t="s">
        <v>26456</v>
      </c>
      <c r="D906" s="24">
        <v>43313</v>
      </c>
      <c r="E906" s="24" t="s">
        <v>13555</v>
      </c>
      <c r="F906" s="24" t="s">
        <v>26457</v>
      </c>
      <c r="G906" s="24" t="s">
        <v>13808</v>
      </c>
      <c r="H906" s="24"/>
      <c r="I906" s="24" t="s">
        <v>13809</v>
      </c>
      <c r="J906" s="24"/>
      <c r="K906" s="24" t="s">
        <v>13809</v>
      </c>
      <c r="L906" s="24"/>
      <c r="M906" s="24" t="s">
        <v>13846</v>
      </c>
      <c r="N906" s="24" t="s">
        <v>13808</v>
      </c>
      <c r="O906" s="24"/>
      <c r="P906" s="24" t="s">
        <v>13808</v>
      </c>
      <c r="Q906" s="24"/>
      <c r="R906" s="24" t="s">
        <v>13808</v>
      </c>
      <c r="S906" s="24"/>
      <c r="T906" t="s">
        <v>14429</v>
      </c>
      <c r="U906" t="s">
        <v>13809</v>
      </c>
      <c r="W906" t="s">
        <v>13808</v>
      </c>
      <c r="X906" t="s">
        <v>26458</v>
      </c>
      <c r="Y906" t="s">
        <v>13809</v>
      </c>
      <c r="AA906" t="s">
        <v>15207</v>
      </c>
      <c r="AB906" t="s">
        <v>14852</v>
      </c>
      <c r="AC906" t="s">
        <v>13808</v>
      </c>
      <c r="AH906" t="s">
        <v>13909</v>
      </c>
      <c r="AI906" t="s">
        <v>13808</v>
      </c>
      <c r="AO906" t="s">
        <v>13809</v>
      </c>
      <c r="AT906" t="s">
        <v>26459</v>
      </c>
      <c r="AU906" t="s">
        <v>13808</v>
      </c>
      <c r="AZ906" t="s">
        <v>15883</v>
      </c>
      <c r="BA906" t="s">
        <v>13808</v>
      </c>
      <c r="BF906" t="s">
        <v>14730</v>
      </c>
      <c r="BG906" t="s">
        <v>13808</v>
      </c>
      <c r="BH906" t="s">
        <v>20682</v>
      </c>
      <c r="BL906" t="s">
        <v>16346</v>
      </c>
      <c r="BM906" t="s">
        <v>13808</v>
      </c>
      <c r="BR906" t="s">
        <v>26460</v>
      </c>
      <c r="BT906" t="s">
        <v>13809</v>
      </c>
      <c r="BY906" t="s">
        <v>13887</v>
      </c>
      <c r="BZ906" t="s">
        <v>13808</v>
      </c>
      <c r="CA906" t="s">
        <v>13937</v>
      </c>
      <c r="CF906" t="s">
        <v>13809</v>
      </c>
      <c r="CK906" t="s">
        <v>13887</v>
      </c>
      <c r="CL906" t="s">
        <v>13808</v>
      </c>
      <c r="CM906" t="s">
        <v>26461</v>
      </c>
      <c r="CR906" t="s">
        <v>13809</v>
      </c>
      <c r="CT906" t="s">
        <v>26462</v>
      </c>
      <c r="CU906" t="s">
        <v>13909</v>
      </c>
      <c r="CV906" t="s">
        <v>13808</v>
      </c>
      <c r="DA906" t="s">
        <v>13909</v>
      </c>
      <c r="DB906" t="s">
        <v>13808</v>
      </c>
      <c r="DG906" t="s">
        <v>26463</v>
      </c>
      <c r="DH906" t="s">
        <v>13808</v>
      </c>
      <c r="DZ906" t="s">
        <v>14274</v>
      </c>
      <c r="EA906" t="s">
        <v>26464</v>
      </c>
      <c r="EC906">
        <v>44208</v>
      </c>
      <c r="EE906" t="s">
        <v>5129</v>
      </c>
    </row>
    <row r="907" spans="1:135">
      <c r="A907" t="s">
        <v>13454</v>
      </c>
      <c r="B907" t="s">
        <v>11</v>
      </c>
      <c r="C907" t="s">
        <v>26465</v>
      </c>
      <c r="D907" s="24">
        <v>44267</v>
      </c>
      <c r="E907" s="24" t="s">
        <v>13561</v>
      </c>
      <c r="F907" s="24" t="s">
        <v>26466</v>
      </c>
      <c r="G907" s="24" t="s">
        <v>13818</v>
      </c>
      <c r="H907" s="24"/>
      <c r="I907" s="24" t="s">
        <v>13809</v>
      </c>
      <c r="J907" s="24"/>
      <c r="K907" s="24" t="s">
        <v>13809</v>
      </c>
      <c r="L907" s="24"/>
      <c r="M907" s="24" t="s">
        <v>26467</v>
      </c>
      <c r="N907" s="24" t="s">
        <v>13808</v>
      </c>
      <c r="O907" s="24"/>
      <c r="P907" s="24" t="s">
        <v>13808</v>
      </c>
      <c r="Q907" s="24"/>
      <c r="R907" s="24" t="s">
        <v>13808</v>
      </c>
      <c r="S907" s="24"/>
      <c r="T907" t="s">
        <v>21943</v>
      </c>
      <c r="U907" t="s">
        <v>13809</v>
      </c>
      <c r="W907" t="s">
        <v>13809</v>
      </c>
      <c r="Y907" t="s">
        <v>13818</v>
      </c>
      <c r="AA907" t="s">
        <v>26468</v>
      </c>
      <c r="AC907" t="s">
        <v>13809</v>
      </c>
      <c r="AH907" t="s">
        <v>13909</v>
      </c>
      <c r="AI907" t="s">
        <v>13818</v>
      </c>
      <c r="AJ907" t="s">
        <v>14309</v>
      </c>
      <c r="AO907" t="s">
        <v>13809</v>
      </c>
      <c r="AU907" t="s">
        <v>13809</v>
      </c>
      <c r="AZ907" t="s">
        <v>14730</v>
      </c>
      <c r="BA907" t="s">
        <v>13818</v>
      </c>
      <c r="BB907" t="s">
        <v>14309</v>
      </c>
      <c r="BF907" t="s">
        <v>14416</v>
      </c>
      <c r="BG907" t="s">
        <v>13818</v>
      </c>
      <c r="BH907" t="s">
        <v>14309</v>
      </c>
      <c r="BM907" t="s">
        <v>13809</v>
      </c>
      <c r="BR907" t="s">
        <v>26469</v>
      </c>
      <c r="BT907" t="s">
        <v>13809</v>
      </c>
      <c r="BZ907" t="s">
        <v>13809</v>
      </c>
      <c r="CF907" t="s">
        <v>13809</v>
      </c>
      <c r="CK907" t="s">
        <v>17321</v>
      </c>
      <c r="CL907" t="s">
        <v>13818</v>
      </c>
      <c r="CM907" t="s">
        <v>26470</v>
      </c>
      <c r="CR907" t="s">
        <v>13809</v>
      </c>
      <c r="CT907" t="s">
        <v>24658</v>
      </c>
      <c r="DM907" t="s">
        <v>26471</v>
      </c>
      <c r="DN907" t="s">
        <v>13818</v>
      </c>
      <c r="DP907" t="s">
        <v>26472</v>
      </c>
      <c r="DQ907" t="s">
        <v>13818</v>
      </c>
      <c r="DR907" t="s">
        <v>26473</v>
      </c>
      <c r="DY907" t="s">
        <v>26474</v>
      </c>
      <c r="DZ907" t="s">
        <v>26475</v>
      </c>
      <c r="EA907" t="s">
        <v>20332</v>
      </c>
      <c r="ED907" t="s">
        <v>14608</v>
      </c>
      <c r="EE907" t="s">
        <v>13670</v>
      </c>
    </row>
    <row r="908" spans="1:135">
      <c r="A908" t="s">
        <v>429</v>
      </c>
      <c r="B908" t="s">
        <v>287</v>
      </c>
      <c r="C908" t="s">
        <v>26476</v>
      </c>
      <c r="D908" s="24">
        <v>42919</v>
      </c>
      <c r="E908" s="24" t="s">
        <v>13555</v>
      </c>
      <c r="F908" s="24" t="s">
        <v>26477</v>
      </c>
      <c r="G908" s="24" t="s">
        <v>13808</v>
      </c>
      <c r="H908" s="24"/>
      <c r="I908" s="24" t="s">
        <v>13809</v>
      </c>
      <c r="J908" s="24"/>
      <c r="K908" s="24" t="s">
        <v>13809</v>
      </c>
      <c r="L908" s="24"/>
      <c r="M908" s="24" t="s">
        <v>26478</v>
      </c>
      <c r="N908" s="24" t="s">
        <v>13808</v>
      </c>
      <c r="O908" s="24"/>
      <c r="P908" s="24" t="s">
        <v>13808</v>
      </c>
      <c r="Q908" s="24"/>
      <c r="R908" s="24" t="s">
        <v>13808</v>
      </c>
      <c r="S908" s="24"/>
      <c r="T908" t="s">
        <v>26479</v>
      </c>
      <c r="U908" t="s">
        <v>13809</v>
      </c>
      <c r="W908" t="s">
        <v>13808</v>
      </c>
      <c r="X908" t="s">
        <v>26480</v>
      </c>
      <c r="Y908" t="s">
        <v>13808</v>
      </c>
      <c r="AA908" t="s">
        <v>26481</v>
      </c>
      <c r="AB908" t="s">
        <v>15276</v>
      </c>
      <c r="AC908" t="s">
        <v>13808</v>
      </c>
      <c r="AH908" t="s">
        <v>13909</v>
      </c>
      <c r="AI908" t="s">
        <v>13808</v>
      </c>
      <c r="AO908" t="s">
        <v>13809</v>
      </c>
      <c r="AT908" t="s">
        <v>20202</v>
      </c>
      <c r="AU908" t="s">
        <v>13808</v>
      </c>
      <c r="AZ908" t="s">
        <v>14423</v>
      </c>
      <c r="BA908" t="s">
        <v>13808</v>
      </c>
      <c r="BF908" t="s">
        <v>14170</v>
      </c>
      <c r="BG908" t="s">
        <v>13808</v>
      </c>
      <c r="BL908" t="s">
        <v>26482</v>
      </c>
      <c r="BM908" t="s">
        <v>13808</v>
      </c>
      <c r="BR908" t="s">
        <v>17807</v>
      </c>
      <c r="BT908" t="s">
        <v>13809</v>
      </c>
      <c r="BY908" t="s">
        <v>13887</v>
      </c>
      <c r="BZ908" t="s">
        <v>13808</v>
      </c>
      <c r="CA908" t="s">
        <v>13937</v>
      </c>
      <c r="CE908" t="s">
        <v>13887</v>
      </c>
      <c r="CF908" t="s">
        <v>13808</v>
      </c>
      <c r="CL908" t="s">
        <v>13809</v>
      </c>
      <c r="CR908" t="s">
        <v>13809</v>
      </c>
      <c r="CT908" t="s">
        <v>26483</v>
      </c>
      <c r="CU908" t="s">
        <v>13909</v>
      </c>
      <c r="CV908" t="s">
        <v>13808</v>
      </c>
      <c r="DA908" t="s">
        <v>13909</v>
      </c>
      <c r="DB908" t="s">
        <v>13808</v>
      </c>
      <c r="DG908" t="s">
        <v>13909</v>
      </c>
      <c r="DH908" t="s">
        <v>13808</v>
      </c>
      <c r="DZ908" t="s">
        <v>18179</v>
      </c>
      <c r="EA908" t="s">
        <v>26484</v>
      </c>
      <c r="EC908">
        <v>43480</v>
      </c>
      <c r="EE908" t="s">
        <v>4858</v>
      </c>
    </row>
    <row r="909" spans="1:135">
      <c r="A909" t="s">
        <v>1028</v>
      </c>
      <c r="B909" t="s">
        <v>914</v>
      </c>
      <c r="C909" t="s">
        <v>26485</v>
      </c>
      <c r="D909" s="24">
        <v>44935</v>
      </c>
      <c r="E909" s="24" t="s">
        <v>13555</v>
      </c>
      <c r="F909" s="24" t="s">
        <v>26486</v>
      </c>
      <c r="G909" s="24" t="s">
        <v>13808</v>
      </c>
      <c r="H909" s="24"/>
      <c r="I909" s="24" t="s">
        <v>13809</v>
      </c>
      <c r="J909" s="24"/>
      <c r="K909" s="24" t="s">
        <v>13808</v>
      </c>
      <c r="L909" s="24" t="s">
        <v>26487</v>
      </c>
      <c r="M909" s="24" t="s">
        <v>26488</v>
      </c>
      <c r="N909" s="24" t="s">
        <v>13808</v>
      </c>
      <c r="O909" s="24"/>
      <c r="P909" s="24" t="s">
        <v>13808</v>
      </c>
      <c r="Q909" s="24"/>
      <c r="R909" s="24" t="s">
        <v>13808</v>
      </c>
      <c r="S909" s="24"/>
      <c r="T909" t="s">
        <v>22923</v>
      </c>
      <c r="U909" t="s">
        <v>13809</v>
      </c>
      <c r="W909" t="s">
        <v>13808</v>
      </c>
      <c r="X909" t="s">
        <v>26489</v>
      </c>
      <c r="Y909" t="s">
        <v>13808</v>
      </c>
      <c r="AA909" t="s">
        <v>26490</v>
      </c>
      <c r="AB909" t="s">
        <v>26491</v>
      </c>
      <c r="AC909" t="s">
        <v>13808</v>
      </c>
      <c r="AH909" t="s">
        <v>13851</v>
      </c>
      <c r="AI909" t="s">
        <v>13808</v>
      </c>
      <c r="AN909" t="s">
        <v>13711</v>
      </c>
      <c r="AO909" t="s">
        <v>13809</v>
      </c>
      <c r="AT909" t="s">
        <v>26492</v>
      </c>
      <c r="AU909" t="s">
        <v>13808</v>
      </c>
      <c r="AZ909" t="s">
        <v>26493</v>
      </c>
      <c r="BA909" t="s">
        <v>13808</v>
      </c>
      <c r="BF909" t="s">
        <v>16438</v>
      </c>
      <c r="BG909" t="s">
        <v>13808</v>
      </c>
      <c r="BL909" t="s">
        <v>26494</v>
      </c>
      <c r="BM909" t="s">
        <v>13808</v>
      </c>
      <c r="BR909" t="s">
        <v>26495</v>
      </c>
      <c r="BS909" t="s">
        <v>13742</v>
      </c>
      <c r="BT909" t="s">
        <v>13809</v>
      </c>
      <c r="BY909" t="s">
        <v>13826</v>
      </c>
      <c r="BZ909" t="s">
        <v>13808</v>
      </c>
      <c r="CA909" t="s">
        <v>13937</v>
      </c>
      <c r="CE909" t="s">
        <v>13828</v>
      </c>
      <c r="CF909" t="s">
        <v>13808</v>
      </c>
      <c r="CK909" t="s">
        <v>13760</v>
      </c>
      <c r="CL909" t="s">
        <v>13809</v>
      </c>
      <c r="CQ909" t="s">
        <v>13766</v>
      </c>
      <c r="CR909" t="s">
        <v>13809</v>
      </c>
      <c r="CT909" t="s">
        <v>17452</v>
      </c>
      <c r="CU909" t="s">
        <v>15268</v>
      </c>
      <c r="CV909" t="s">
        <v>13818</v>
      </c>
      <c r="DA909" t="s">
        <v>15063</v>
      </c>
      <c r="DB909" t="s">
        <v>13818</v>
      </c>
      <c r="DM909" t="s">
        <v>17650</v>
      </c>
      <c r="DN909" t="s">
        <v>13808</v>
      </c>
      <c r="DY909" t="s">
        <v>23647</v>
      </c>
      <c r="DZ909" t="s">
        <v>13841</v>
      </c>
      <c r="EA909" t="s">
        <v>14182</v>
      </c>
      <c r="EC909">
        <v>44943</v>
      </c>
      <c r="ED909" t="s">
        <v>17062</v>
      </c>
      <c r="EE909" t="s">
        <v>5423</v>
      </c>
    </row>
    <row r="910" spans="1:135">
      <c r="A910" t="s">
        <v>1033</v>
      </c>
      <c r="B910" t="s">
        <v>914</v>
      </c>
      <c r="C910" t="s">
        <v>26496</v>
      </c>
      <c r="D910" s="24">
        <v>42921</v>
      </c>
      <c r="E910" s="24" t="s">
        <v>13553</v>
      </c>
      <c r="F910" s="24" t="s">
        <v>26497</v>
      </c>
      <c r="G910" s="24" t="s">
        <v>13808</v>
      </c>
      <c r="H910" s="24"/>
      <c r="I910" s="24" t="s">
        <v>13809</v>
      </c>
      <c r="J910" s="24"/>
      <c r="K910" s="24" t="s">
        <v>13808</v>
      </c>
      <c r="L910" s="24"/>
      <c r="M910" s="24" t="s">
        <v>26498</v>
      </c>
      <c r="N910" s="24" t="s">
        <v>13808</v>
      </c>
      <c r="O910" s="24"/>
      <c r="P910" s="24" t="s">
        <v>13808</v>
      </c>
      <c r="Q910" s="24"/>
      <c r="R910" s="24" t="s">
        <v>13808</v>
      </c>
      <c r="S910" s="24"/>
      <c r="T910" t="s">
        <v>26479</v>
      </c>
      <c r="U910" t="s">
        <v>13809</v>
      </c>
      <c r="W910" t="s">
        <v>13808</v>
      </c>
      <c r="X910" t="s">
        <v>26499</v>
      </c>
      <c r="Y910" t="s">
        <v>13809</v>
      </c>
      <c r="AA910" t="s">
        <v>26500</v>
      </c>
      <c r="AB910" t="s">
        <v>13894</v>
      </c>
      <c r="AC910" t="s">
        <v>13808</v>
      </c>
      <c r="AH910" t="s">
        <v>13909</v>
      </c>
      <c r="AI910" t="s">
        <v>13808</v>
      </c>
      <c r="AN910" t="s">
        <v>17154</v>
      </c>
      <c r="AO910" t="s">
        <v>13808</v>
      </c>
      <c r="AT910" t="s">
        <v>17877</v>
      </c>
      <c r="AU910" t="s">
        <v>13808</v>
      </c>
      <c r="AZ910" t="s">
        <v>14595</v>
      </c>
      <c r="BA910" t="s">
        <v>13808</v>
      </c>
      <c r="BF910" t="s">
        <v>16234</v>
      </c>
      <c r="BG910" t="s">
        <v>13808</v>
      </c>
      <c r="BL910" t="s">
        <v>26501</v>
      </c>
      <c r="BM910" t="s">
        <v>13808</v>
      </c>
      <c r="BR910" t="s">
        <v>26502</v>
      </c>
      <c r="BT910" t="s">
        <v>13809</v>
      </c>
      <c r="BY910" t="s">
        <v>13887</v>
      </c>
      <c r="BZ910" t="s">
        <v>13808</v>
      </c>
      <c r="CA910" t="s">
        <v>13937</v>
      </c>
      <c r="CE910" t="s">
        <v>13887</v>
      </c>
      <c r="CF910" t="s">
        <v>13808</v>
      </c>
      <c r="CK910" t="s">
        <v>26503</v>
      </c>
      <c r="CL910" t="s">
        <v>13808</v>
      </c>
      <c r="CR910" t="s">
        <v>13809</v>
      </c>
      <c r="CT910" t="s">
        <v>26504</v>
      </c>
      <c r="CU910" t="s">
        <v>17721</v>
      </c>
      <c r="CV910" t="s">
        <v>13808</v>
      </c>
      <c r="DA910" t="s">
        <v>15280</v>
      </c>
      <c r="DB910" t="s">
        <v>13808</v>
      </c>
      <c r="DH910" t="s">
        <v>13809</v>
      </c>
      <c r="DM910" t="s">
        <v>17721</v>
      </c>
      <c r="DN910" t="s">
        <v>13808</v>
      </c>
      <c r="DZ910" t="s">
        <v>18179</v>
      </c>
      <c r="EA910" t="s">
        <v>26505</v>
      </c>
      <c r="EC910">
        <v>43480</v>
      </c>
      <c r="EE910" t="s">
        <v>5427</v>
      </c>
    </row>
    <row r="911" spans="1:135">
      <c r="A911" t="s">
        <v>139</v>
      </c>
      <c r="B911" t="s">
        <v>11</v>
      </c>
      <c r="C911" t="s">
        <v>26506</v>
      </c>
      <c r="D911" s="24">
        <v>42549</v>
      </c>
      <c r="E911" s="24" t="s">
        <v>13553</v>
      </c>
      <c r="F911" s="24" t="s">
        <v>26507</v>
      </c>
      <c r="G911" s="24" t="s">
        <v>13808</v>
      </c>
      <c r="H911" s="24"/>
      <c r="I911" s="24" t="s">
        <v>13809</v>
      </c>
      <c r="J911" s="24"/>
      <c r="K911" s="24" t="s">
        <v>13808</v>
      </c>
      <c r="L911" s="24" t="s">
        <v>26508</v>
      </c>
      <c r="M911" s="24" t="s">
        <v>26509</v>
      </c>
      <c r="N911" s="24" t="s">
        <v>13808</v>
      </c>
      <c r="O911" s="24"/>
      <c r="P911" s="24" t="s">
        <v>13808</v>
      </c>
      <c r="Q911" s="24"/>
      <c r="R911" s="24" t="s">
        <v>13808</v>
      </c>
      <c r="S911" s="24"/>
      <c r="T911" t="s">
        <v>26510</v>
      </c>
      <c r="U911" t="s">
        <v>13809</v>
      </c>
      <c r="W911" t="s">
        <v>13808</v>
      </c>
      <c r="X911" t="s">
        <v>26511</v>
      </c>
      <c r="Y911" t="s">
        <v>13808</v>
      </c>
      <c r="AA911" t="s">
        <v>26512</v>
      </c>
      <c r="AB911" t="s">
        <v>26513</v>
      </c>
      <c r="AC911" t="s">
        <v>13808</v>
      </c>
      <c r="AH911" t="s">
        <v>13909</v>
      </c>
      <c r="AI911" t="s">
        <v>13808</v>
      </c>
      <c r="AO911" t="s">
        <v>13809</v>
      </c>
      <c r="AT911" t="s">
        <v>14058</v>
      </c>
      <c r="AU911" t="s">
        <v>13808</v>
      </c>
      <c r="AZ911" t="s">
        <v>26514</v>
      </c>
      <c r="BA911" t="s">
        <v>13808</v>
      </c>
      <c r="BF911" t="s">
        <v>26515</v>
      </c>
      <c r="BG911" t="s">
        <v>13808</v>
      </c>
      <c r="BL911" t="s">
        <v>26516</v>
      </c>
      <c r="BM911" t="s">
        <v>13808</v>
      </c>
      <c r="BR911" t="s">
        <v>26517</v>
      </c>
      <c r="BT911" t="s">
        <v>13809</v>
      </c>
      <c r="BY911" t="s">
        <v>14197</v>
      </c>
      <c r="BZ911" t="s">
        <v>13808</v>
      </c>
      <c r="CA911" t="s">
        <v>13937</v>
      </c>
      <c r="CF911" t="s">
        <v>13809</v>
      </c>
      <c r="CK911" t="s">
        <v>14197</v>
      </c>
      <c r="CL911" t="s">
        <v>13808</v>
      </c>
      <c r="CR911" t="s">
        <v>13809</v>
      </c>
      <c r="CT911" t="s">
        <v>26518</v>
      </c>
      <c r="CU911" t="s">
        <v>13909</v>
      </c>
      <c r="CV911" t="s">
        <v>13808</v>
      </c>
      <c r="DA911" t="s">
        <v>13909</v>
      </c>
      <c r="DB911" t="s">
        <v>13808</v>
      </c>
      <c r="DG911" t="s">
        <v>13909</v>
      </c>
      <c r="DH911" t="s">
        <v>13808</v>
      </c>
      <c r="DZ911" t="s">
        <v>26519</v>
      </c>
      <c r="EA911" t="s">
        <v>26520</v>
      </c>
      <c r="EC911">
        <v>43480</v>
      </c>
      <c r="EE911" t="s">
        <v>4579</v>
      </c>
    </row>
    <row r="912" spans="1:135">
      <c r="A912" t="s">
        <v>700</v>
      </c>
      <c r="B912" t="s">
        <v>445</v>
      </c>
      <c r="C912" t="s">
        <v>26521</v>
      </c>
      <c r="D912" s="24">
        <v>43739</v>
      </c>
      <c r="E912" s="24" t="s">
        <v>13565</v>
      </c>
      <c r="F912" s="24" t="s">
        <v>26522</v>
      </c>
      <c r="G912" s="24" t="s">
        <v>13808</v>
      </c>
      <c r="H912" s="24"/>
      <c r="I912" s="24" t="s">
        <v>13808</v>
      </c>
      <c r="J912" s="24"/>
      <c r="K912" s="24" t="s">
        <v>13809</v>
      </c>
      <c r="L912" s="24"/>
      <c r="M912" s="24" t="s">
        <v>14121</v>
      </c>
      <c r="N912" s="24" t="s">
        <v>13808</v>
      </c>
      <c r="O912" s="24"/>
      <c r="P912" s="24" t="s">
        <v>13808</v>
      </c>
      <c r="Q912" s="24"/>
      <c r="R912" s="24" t="s">
        <v>13808</v>
      </c>
      <c r="S912" s="24"/>
      <c r="T912" t="s">
        <v>26523</v>
      </c>
      <c r="U912" t="s">
        <v>13809</v>
      </c>
      <c r="W912" t="s">
        <v>13808</v>
      </c>
      <c r="X912" t="s">
        <v>26524</v>
      </c>
      <c r="Y912" t="s">
        <v>13809</v>
      </c>
      <c r="AA912" t="s">
        <v>21434</v>
      </c>
      <c r="AC912" t="s">
        <v>13809</v>
      </c>
      <c r="AH912" t="s">
        <v>13909</v>
      </c>
      <c r="AI912" t="s">
        <v>13808</v>
      </c>
      <c r="AJ912" t="s">
        <v>26525</v>
      </c>
      <c r="AO912" t="s">
        <v>13809</v>
      </c>
      <c r="AT912" t="s">
        <v>21684</v>
      </c>
      <c r="AU912" t="s">
        <v>13808</v>
      </c>
      <c r="AZ912" t="s">
        <v>26526</v>
      </c>
      <c r="BA912" t="s">
        <v>13808</v>
      </c>
      <c r="BF912" t="s">
        <v>15025</v>
      </c>
      <c r="BG912" t="s">
        <v>13808</v>
      </c>
      <c r="BM912" t="s">
        <v>13809</v>
      </c>
      <c r="BR912" t="s">
        <v>26527</v>
      </c>
      <c r="BT912" t="s">
        <v>13809</v>
      </c>
      <c r="BY912" t="s">
        <v>14003</v>
      </c>
      <c r="BZ912" t="s">
        <v>13808</v>
      </c>
      <c r="CA912" t="s">
        <v>13888</v>
      </c>
      <c r="CF912" t="s">
        <v>13809</v>
      </c>
      <c r="CK912" t="s">
        <v>13887</v>
      </c>
      <c r="CL912" t="s">
        <v>13808</v>
      </c>
      <c r="CM912" t="s">
        <v>14600</v>
      </c>
      <c r="CR912" t="s">
        <v>13809</v>
      </c>
      <c r="CT912" t="s">
        <v>26528</v>
      </c>
      <c r="CU912" t="s">
        <v>16048</v>
      </c>
      <c r="CV912" t="s">
        <v>13808</v>
      </c>
      <c r="CX912" t="s">
        <v>26529</v>
      </c>
      <c r="CY912" t="s">
        <v>13818</v>
      </c>
      <c r="DA912" t="s">
        <v>14189</v>
      </c>
      <c r="DB912" t="s">
        <v>13808</v>
      </c>
      <c r="DD912" t="s">
        <v>26530</v>
      </c>
      <c r="DE912" t="s">
        <v>13818</v>
      </c>
      <c r="DG912" t="s">
        <v>26531</v>
      </c>
      <c r="DH912" t="s">
        <v>13818</v>
      </c>
      <c r="DY912" t="s">
        <v>13920</v>
      </c>
      <c r="DZ912" t="s">
        <v>14696</v>
      </c>
      <c r="EA912" t="s">
        <v>14049</v>
      </c>
      <c r="EC912">
        <v>43789</v>
      </c>
      <c r="EE912" t="s">
        <v>5133</v>
      </c>
    </row>
    <row r="913" spans="1:135">
      <c r="A913" t="s">
        <v>13500</v>
      </c>
      <c r="B913" t="s">
        <v>445</v>
      </c>
      <c r="C913" t="s">
        <v>26532</v>
      </c>
      <c r="D913" s="24">
        <v>44302</v>
      </c>
      <c r="E913" s="24" t="s">
        <v>13553</v>
      </c>
      <c r="F913" s="24" t="s">
        <v>26533</v>
      </c>
      <c r="G913" s="24" t="s">
        <v>13808</v>
      </c>
      <c r="H913" s="24"/>
      <c r="I913" s="24" t="s">
        <v>13809</v>
      </c>
      <c r="J913" s="24"/>
      <c r="K913" s="24" t="s">
        <v>13809</v>
      </c>
      <c r="L913" s="24"/>
      <c r="M913" s="24" t="s">
        <v>24648</v>
      </c>
      <c r="N913" s="24" t="s">
        <v>13808</v>
      </c>
      <c r="O913" s="24"/>
      <c r="P913" s="24" t="s">
        <v>13808</v>
      </c>
      <c r="Q913" s="24"/>
      <c r="R913" s="24" t="s">
        <v>13808</v>
      </c>
      <c r="S913" s="24"/>
      <c r="T913" t="s">
        <v>26534</v>
      </c>
      <c r="U913" t="s">
        <v>13809</v>
      </c>
      <c r="W913" t="s">
        <v>13808</v>
      </c>
      <c r="X913" t="s">
        <v>26535</v>
      </c>
      <c r="Y913" t="s">
        <v>13809</v>
      </c>
      <c r="AA913" t="s">
        <v>20503</v>
      </c>
      <c r="AC913" t="s">
        <v>13809</v>
      </c>
      <c r="AH913" t="s">
        <v>13909</v>
      </c>
      <c r="AI913" t="s">
        <v>13808</v>
      </c>
      <c r="AO913" t="s">
        <v>13809</v>
      </c>
      <c r="AU913" t="s">
        <v>13809</v>
      </c>
      <c r="AZ913" t="s">
        <v>15412</v>
      </c>
      <c r="BA913" t="s">
        <v>13808</v>
      </c>
      <c r="BF913" t="s">
        <v>26536</v>
      </c>
      <c r="BG913" t="s">
        <v>13808</v>
      </c>
      <c r="BH913" t="s">
        <v>26537</v>
      </c>
      <c r="BM913" t="s">
        <v>13809</v>
      </c>
      <c r="BR913" t="s">
        <v>26538</v>
      </c>
      <c r="BS913" t="s">
        <v>13887</v>
      </c>
      <c r="BT913" t="s">
        <v>13808</v>
      </c>
      <c r="BU913" t="s">
        <v>26539</v>
      </c>
      <c r="BY913" t="s">
        <v>16024</v>
      </c>
      <c r="BZ913" t="s">
        <v>13808</v>
      </c>
      <c r="CA913" t="s">
        <v>24800</v>
      </c>
      <c r="CB913" t="s">
        <v>14265</v>
      </c>
      <c r="CC913" t="s">
        <v>13808</v>
      </c>
      <c r="CD913" t="s">
        <v>26540</v>
      </c>
      <c r="CE913" t="s">
        <v>13885</v>
      </c>
      <c r="CF913" t="s">
        <v>26541</v>
      </c>
      <c r="CL913" t="s">
        <v>13809</v>
      </c>
      <c r="CR913" t="s">
        <v>13809</v>
      </c>
      <c r="CT913" t="s">
        <v>26542</v>
      </c>
      <c r="DM913" t="s">
        <v>26543</v>
      </c>
      <c r="DN913" t="s">
        <v>13808</v>
      </c>
      <c r="DP913" t="s">
        <v>25503</v>
      </c>
      <c r="DQ913" t="s">
        <v>13808</v>
      </c>
      <c r="DY913" t="s">
        <v>20302</v>
      </c>
      <c r="DZ913" t="s">
        <v>14607</v>
      </c>
      <c r="EA913" t="s">
        <v>14182</v>
      </c>
      <c r="ED913" t="s">
        <v>14608</v>
      </c>
      <c r="EE913" t="s">
        <v>13671</v>
      </c>
    </row>
    <row r="914" spans="1:135">
      <c r="A914" t="s">
        <v>705</v>
      </c>
      <c r="B914" t="s">
        <v>445</v>
      </c>
      <c r="C914" t="s">
        <v>26544</v>
      </c>
      <c r="D914" s="24">
        <v>42935</v>
      </c>
      <c r="E914" s="24" t="s">
        <v>13553</v>
      </c>
      <c r="F914" s="24" t="s">
        <v>26545</v>
      </c>
      <c r="G914" s="24" t="s">
        <v>13808</v>
      </c>
      <c r="H914" s="24"/>
      <c r="I914" s="24" t="s">
        <v>13809</v>
      </c>
      <c r="J914" s="24"/>
      <c r="K914" s="24" t="s">
        <v>13809</v>
      </c>
      <c r="L914" s="24"/>
      <c r="M914" s="24" t="s">
        <v>26546</v>
      </c>
      <c r="N914" s="24" t="s">
        <v>13808</v>
      </c>
      <c r="O914" s="24"/>
      <c r="P914" s="24" t="s">
        <v>13809</v>
      </c>
      <c r="Q914" s="24"/>
      <c r="R914" s="24" t="s">
        <v>13808</v>
      </c>
      <c r="S914" s="24"/>
      <c r="T914" t="s">
        <v>26547</v>
      </c>
      <c r="U914" t="s">
        <v>13809</v>
      </c>
      <c r="W914" t="s">
        <v>13809</v>
      </c>
      <c r="Y914" t="s">
        <v>13809</v>
      </c>
      <c r="AA914" t="s">
        <v>15461</v>
      </c>
      <c r="AC914" t="s">
        <v>13809</v>
      </c>
      <c r="AH914" t="s">
        <v>13887</v>
      </c>
      <c r="AI914" t="s">
        <v>13808</v>
      </c>
      <c r="AO914" t="s">
        <v>13809</v>
      </c>
      <c r="AU914" t="s">
        <v>13809</v>
      </c>
      <c r="AZ914" t="s">
        <v>18680</v>
      </c>
      <c r="BA914" t="s">
        <v>13808</v>
      </c>
      <c r="BF914" t="s">
        <v>18691</v>
      </c>
      <c r="BG914" t="s">
        <v>13808</v>
      </c>
      <c r="BL914" t="s">
        <v>14177</v>
      </c>
      <c r="BM914" t="s">
        <v>13808</v>
      </c>
      <c r="BR914" t="s">
        <v>26548</v>
      </c>
      <c r="BT914" t="s">
        <v>13809</v>
      </c>
      <c r="BY914" t="s">
        <v>13887</v>
      </c>
      <c r="BZ914" t="s">
        <v>13808</v>
      </c>
      <c r="CA914" t="s">
        <v>13937</v>
      </c>
      <c r="CF914" t="s">
        <v>13809</v>
      </c>
      <c r="CL914" t="s">
        <v>13809</v>
      </c>
      <c r="CR914" t="s">
        <v>13809</v>
      </c>
      <c r="CT914" t="s">
        <v>26549</v>
      </c>
      <c r="CU914" t="s">
        <v>13887</v>
      </c>
      <c r="CV914" t="s">
        <v>13808</v>
      </c>
      <c r="DA914" t="s">
        <v>13887</v>
      </c>
      <c r="DB914" t="s">
        <v>13808</v>
      </c>
      <c r="DH914" t="s">
        <v>13809</v>
      </c>
      <c r="DM914" t="s">
        <v>13887</v>
      </c>
      <c r="DN914" t="s">
        <v>13808</v>
      </c>
      <c r="DZ914" t="s">
        <v>26550</v>
      </c>
      <c r="EA914" t="s">
        <v>26551</v>
      </c>
      <c r="EC914">
        <v>43480</v>
      </c>
      <c r="EE914" t="s">
        <v>5137</v>
      </c>
    </row>
    <row r="915" spans="1:135">
      <c r="A915" t="s">
        <v>4859</v>
      </c>
      <c r="B915" t="s">
        <v>287</v>
      </c>
      <c r="C915" t="s">
        <v>26552</v>
      </c>
      <c r="D915" s="24">
        <v>43782</v>
      </c>
      <c r="E915" s="24" t="s">
        <v>13553</v>
      </c>
      <c r="F915" s="24" t="s">
        <v>26553</v>
      </c>
      <c r="G915" s="24" t="s">
        <v>13808</v>
      </c>
      <c r="H915" s="24"/>
      <c r="I915" s="24" t="s">
        <v>13809</v>
      </c>
      <c r="J915" s="24"/>
      <c r="K915" s="24" t="s">
        <v>13809</v>
      </c>
      <c r="L915" s="24"/>
      <c r="M915" s="24" t="s">
        <v>14163</v>
      </c>
      <c r="N915" s="24" t="s">
        <v>13808</v>
      </c>
      <c r="O915" s="24"/>
      <c r="P915" s="24" t="s">
        <v>13808</v>
      </c>
      <c r="Q915" s="24"/>
      <c r="R915" s="24" t="s">
        <v>13808</v>
      </c>
      <c r="S915" s="24"/>
      <c r="T915" t="s">
        <v>13875</v>
      </c>
      <c r="U915" t="s">
        <v>13809</v>
      </c>
      <c r="W915" t="s">
        <v>13808</v>
      </c>
      <c r="X915" t="s">
        <v>26554</v>
      </c>
      <c r="Y915" t="s">
        <v>13808</v>
      </c>
      <c r="AA915" t="s">
        <v>13877</v>
      </c>
      <c r="AC915" t="s">
        <v>13809</v>
      </c>
      <c r="AH915" t="s">
        <v>13909</v>
      </c>
      <c r="AI915" t="s">
        <v>13808</v>
      </c>
      <c r="AO915" t="s">
        <v>13809</v>
      </c>
      <c r="AT915" t="s">
        <v>14006</v>
      </c>
      <c r="AU915" t="s">
        <v>19153</v>
      </c>
      <c r="AZ915" t="s">
        <v>14169</v>
      </c>
      <c r="BA915" t="s">
        <v>19153</v>
      </c>
      <c r="BF915" t="s">
        <v>26555</v>
      </c>
      <c r="BG915" t="s">
        <v>19153</v>
      </c>
      <c r="BM915" t="s">
        <v>13809</v>
      </c>
      <c r="BR915" t="s">
        <v>26556</v>
      </c>
      <c r="BT915" t="s">
        <v>13809</v>
      </c>
      <c r="BY915" t="s">
        <v>13887</v>
      </c>
      <c r="BZ915" t="s">
        <v>13808</v>
      </c>
      <c r="CA915" t="s">
        <v>26557</v>
      </c>
      <c r="CF915" t="s">
        <v>13809</v>
      </c>
      <c r="CL915" t="s">
        <v>13809</v>
      </c>
      <c r="CR915" t="s">
        <v>13809</v>
      </c>
      <c r="CT915" t="s">
        <v>26558</v>
      </c>
      <c r="CU915" t="s">
        <v>26559</v>
      </c>
      <c r="CV915" t="s">
        <v>19153</v>
      </c>
      <c r="DA915" t="s">
        <v>26560</v>
      </c>
      <c r="DB915" t="s">
        <v>19153</v>
      </c>
      <c r="DH915" t="s">
        <v>13809</v>
      </c>
      <c r="DM915" t="s">
        <v>26561</v>
      </c>
      <c r="DN915" t="s">
        <v>13808</v>
      </c>
      <c r="DP915" t="s">
        <v>26562</v>
      </c>
      <c r="DQ915" t="s">
        <v>13808</v>
      </c>
      <c r="DY915" t="s">
        <v>15296</v>
      </c>
      <c r="DZ915" t="s">
        <v>26563</v>
      </c>
      <c r="EA915" t="s">
        <v>14500</v>
      </c>
      <c r="EC915">
        <v>43789</v>
      </c>
      <c r="EE915" t="s">
        <v>4861</v>
      </c>
    </row>
    <row r="916" spans="1:135">
      <c r="A916" t="s">
        <v>13509</v>
      </c>
      <c r="B916" t="s">
        <v>710</v>
      </c>
      <c r="C916" t="s">
        <v>26564</v>
      </c>
      <c r="D916" s="24">
        <v>44316</v>
      </c>
      <c r="E916" s="24" t="s">
        <v>13561</v>
      </c>
      <c r="F916" s="24" t="s">
        <v>26565</v>
      </c>
      <c r="G916" s="24" t="s">
        <v>13808</v>
      </c>
      <c r="H916" s="24"/>
      <c r="I916" s="24" t="s">
        <v>13809</v>
      </c>
      <c r="J916" s="24"/>
      <c r="K916" s="24" t="s">
        <v>13808</v>
      </c>
      <c r="L916" s="24"/>
      <c r="M916" s="24" t="s">
        <v>14304</v>
      </c>
      <c r="N916" s="24" t="s">
        <v>13808</v>
      </c>
      <c r="O916" s="24"/>
      <c r="P916" s="24" t="s">
        <v>13808</v>
      </c>
      <c r="Q916" s="24"/>
      <c r="R916" s="24" t="s">
        <v>13808</v>
      </c>
      <c r="S916" s="24"/>
      <c r="T916" t="s">
        <v>19402</v>
      </c>
      <c r="U916" t="s">
        <v>13809</v>
      </c>
      <c r="W916" t="s">
        <v>13809</v>
      </c>
      <c r="Y916" t="s">
        <v>13809</v>
      </c>
      <c r="AA916" t="s">
        <v>26566</v>
      </c>
      <c r="AB916" t="s">
        <v>26567</v>
      </c>
      <c r="AC916" t="s">
        <v>13809</v>
      </c>
      <c r="AD916" t="s">
        <v>26568</v>
      </c>
      <c r="AH916" t="s">
        <v>14073</v>
      </c>
      <c r="AI916" t="s">
        <v>13808</v>
      </c>
      <c r="AJ916" t="s">
        <v>14309</v>
      </c>
      <c r="AN916" t="s">
        <v>14574</v>
      </c>
      <c r="AO916" t="s">
        <v>13809</v>
      </c>
      <c r="AP916" t="s">
        <v>26568</v>
      </c>
      <c r="AT916" t="s">
        <v>15500</v>
      </c>
      <c r="AU916" t="s">
        <v>13818</v>
      </c>
      <c r="AV916" t="s">
        <v>26568</v>
      </c>
      <c r="AZ916" t="s">
        <v>19407</v>
      </c>
      <c r="BA916" t="s">
        <v>13809</v>
      </c>
      <c r="BB916" t="s">
        <v>26568</v>
      </c>
      <c r="BF916" t="s">
        <v>26569</v>
      </c>
      <c r="BG916" t="s">
        <v>13809</v>
      </c>
      <c r="BH916" t="s">
        <v>26568</v>
      </c>
      <c r="BL916" t="s">
        <v>17532</v>
      </c>
      <c r="BM916" t="s">
        <v>13818</v>
      </c>
      <c r="BN916" t="s">
        <v>26568</v>
      </c>
      <c r="BR916" t="s">
        <v>26570</v>
      </c>
      <c r="CE916" t="s">
        <v>13828</v>
      </c>
      <c r="CF916" t="s">
        <v>13818</v>
      </c>
      <c r="CG916" t="s">
        <v>26571</v>
      </c>
      <c r="CK916" t="s">
        <v>13760</v>
      </c>
      <c r="CL916" t="s">
        <v>13809</v>
      </c>
      <c r="CQ916" t="s">
        <v>13766</v>
      </c>
      <c r="CR916" t="s">
        <v>13809</v>
      </c>
      <c r="CT916" t="s">
        <v>26572</v>
      </c>
      <c r="DM916" t="s">
        <v>26573</v>
      </c>
      <c r="DN916" t="s">
        <v>13808</v>
      </c>
      <c r="DY916" t="s">
        <v>13869</v>
      </c>
      <c r="DZ916" t="s">
        <v>13841</v>
      </c>
      <c r="EA916" t="s">
        <v>14182</v>
      </c>
      <c r="EC916">
        <v>44627</v>
      </c>
      <c r="ED916" t="s">
        <v>13843</v>
      </c>
      <c r="EE916" t="s">
        <v>13672</v>
      </c>
    </row>
    <row r="917" spans="1:135">
      <c r="A917" t="s">
        <v>13517</v>
      </c>
      <c r="B917" t="s">
        <v>445</v>
      </c>
      <c r="C917" t="s">
        <v>24540</v>
      </c>
      <c r="D917" s="24">
        <v>44302</v>
      </c>
      <c r="E917" s="24" t="s">
        <v>13561</v>
      </c>
      <c r="F917" s="24" t="s">
        <v>26574</v>
      </c>
      <c r="G917" s="24" t="s">
        <v>13808</v>
      </c>
      <c r="H917" s="24"/>
      <c r="I917" s="24" t="s">
        <v>13818</v>
      </c>
      <c r="J917" s="24" t="s">
        <v>14309</v>
      </c>
      <c r="K917" s="24" t="s">
        <v>13808</v>
      </c>
      <c r="L917" s="24"/>
      <c r="M917" s="24" t="s">
        <v>13846</v>
      </c>
      <c r="N917" s="24" t="s">
        <v>13808</v>
      </c>
      <c r="O917" s="24"/>
      <c r="P917" s="24" t="s">
        <v>13808</v>
      </c>
      <c r="Q917" s="24"/>
      <c r="R917" s="24" t="s">
        <v>13808</v>
      </c>
      <c r="S917" s="24"/>
      <c r="T917" t="s">
        <v>19402</v>
      </c>
      <c r="U917" t="s">
        <v>13809</v>
      </c>
      <c r="W917" t="s">
        <v>13809</v>
      </c>
      <c r="Y917" t="s">
        <v>13809</v>
      </c>
      <c r="AA917" t="s">
        <v>26575</v>
      </c>
      <c r="AB917" t="s">
        <v>13699</v>
      </c>
      <c r="AC917" t="s">
        <v>13809</v>
      </c>
      <c r="AH917" t="s">
        <v>14073</v>
      </c>
      <c r="AI917" t="s">
        <v>13808</v>
      </c>
      <c r="AJ917" t="s">
        <v>13819</v>
      </c>
      <c r="AN917" t="s">
        <v>13711</v>
      </c>
      <c r="AO917" t="s">
        <v>13809</v>
      </c>
      <c r="AT917" t="s">
        <v>13717</v>
      </c>
      <c r="AU917" t="s">
        <v>13809</v>
      </c>
      <c r="AZ917" t="s">
        <v>13723</v>
      </c>
      <c r="BA917" t="s">
        <v>13809</v>
      </c>
      <c r="BB917" t="s">
        <v>26576</v>
      </c>
      <c r="BF917" t="s">
        <v>17058</v>
      </c>
      <c r="BG917" t="s">
        <v>13809</v>
      </c>
      <c r="BH917" t="s">
        <v>26576</v>
      </c>
      <c r="BL917" t="s">
        <v>13735</v>
      </c>
      <c r="BM917" t="s">
        <v>13809</v>
      </c>
      <c r="BR917" t="s">
        <v>26577</v>
      </c>
      <c r="BY917" t="s">
        <v>13826</v>
      </c>
      <c r="BZ917" t="s">
        <v>13808</v>
      </c>
      <c r="CA917" t="s">
        <v>26578</v>
      </c>
      <c r="CE917" t="s">
        <v>13862</v>
      </c>
      <c r="CF917" t="s">
        <v>13808</v>
      </c>
      <c r="CG917" t="s">
        <v>26579</v>
      </c>
      <c r="CK917" t="s">
        <v>14581</v>
      </c>
      <c r="CL917" t="s">
        <v>13808</v>
      </c>
      <c r="CM917" t="s">
        <v>26580</v>
      </c>
      <c r="CQ917" t="s">
        <v>13766</v>
      </c>
      <c r="CR917" t="s">
        <v>13809</v>
      </c>
      <c r="CT917" t="s">
        <v>26581</v>
      </c>
      <c r="DM917" t="s">
        <v>26582</v>
      </c>
      <c r="DN917" t="s">
        <v>13808</v>
      </c>
      <c r="DS917" t="s">
        <v>26583</v>
      </c>
      <c r="DT917" t="s">
        <v>13808</v>
      </c>
      <c r="DU917" t="s">
        <v>13839</v>
      </c>
      <c r="DY917" t="s">
        <v>13840</v>
      </c>
      <c r="DZ917" t="s">
        <v>13841</v>
      </c>
      <c r="EA917" t="s">
        <v>14182</v>
      </c>
      <c r="EC917">
        <v>44627</v>
      </c>
      <c r="ED917" t="s">
        <v>13843</v>
      </c>
      <c r="EE917" t="s">
        <v>13673</v>
      </c>
    </row>
    <row r="918" spans="1:135">
      <c r="A918" t="s">
        <v>5138</v>
      </c>
      <c r="B918" t="s">
        <v>445</v>
      </c>
      <c r="C918" t="s">
        <v>25180</v>
      </c>
      <c r="D918" s="24">
        <v>44302</v>
      </c>
      <c r="E918" s="24" t="s">
        <v>13553</v>
      </c>
      <c r="F918" s="24" t="s">
        <v>26584</v>
      </c>
      <c r="G918" s="24" t="s">
        <v>13808</v>
      </c>
      <c r="H918" s="24"/>
      <c r="I918" s="24" t="s">
        <v>13809</v>
      </c>
      <c r="J918" s="24"/>
      <c r="K918" s="24" t="s">
        <v>13808</v>
      </c>
      <c r="L918" s="24"/>
      <c r="M918" s="24" t="s">
        <v>14304</v>
      </c>
      <c r="N918" s="24" t="s">
        <v>13808</v>
      </c>
      <c r="O918" s="24"/>
      <c r="P918" s="24" t="s">
        <v>13808</v>
      </c>
      <c r="Q918" s="24"/>
      <c r="R918" s="24" t="s">
        <v>13808</v>
      </c>
      <c r="S918" s="24"/>
      <c r="T918" t="s">
        <v>19402</v>
      </c>
      <c r="U918" t="s">
        <v>13809</v>
      </c>
      <c r="W918" t="s">
        <v>13809</v>
      </c>
      <c r="Y918" t="s">
        <v>13809</v>
      </c>
      <c r="AA918" t="s">
        <v>13849</v>
      </c>
      <c r="AB918" t="s">
        <v>13699</v>
      </c>
      <c r="AC918" t="s">
        <v>13809</v>
      </c>
      <c r="AH918" t="s">
        <v>14073</v>
      </c>
      <c r="AI918" t="s">
        <v>13808</v>
      </c>
      <c r="AN918" t="s">
        <v>13711</v>
      </c>
      <c r="AO918" t="s">
        <v>13809</v>
      </c>
      <c r="AT918" t="s">
        <v>13717</v>
      </c>
      <c r="AU918" t="s">
        <v>13809</v>
      </c>
      <c r="AZ918" t="s">
        <v>13723</v>
      </c>
      <c r="BA918" t="s">
        <v>13809</v>
      </c>
      <c r="BB918" t="s">
        <v>26585</v>
      </c>
      <c r="BF918" t="s">
        <v>17058</v>
      </c>
      <c r="BG918" t="s">
        <v>13809</v>
      </c>
      <c r="BH918" t="s">
        <v>26585</v>
      </c>
      <c r="BL918" t="s">
        <v>13735</v>
      </c>
      <c r="BM918" t="s">
        <v>13809</v>
      </c>
      <c r="BR918" t="s">
        <v>26586</v>
      </c>
      <c r="BS918" t="s">
        <v>13824</v>
      </c>
      <c r="BT918" t="s">
        <v>13808</v>
      </c>
      <c r="BU918" t="s">
        <v>26587</v>
      </c>
      <c r="BY918" t="s">
        <v>13826</v>
      </c>
      <c r="BZ918" t="s">
        <v>13808</v>
      </c>
      <c r="CA918" t="s">
        <v>26588</v>
      </c>
      <c r="CE918" t="s">
        <v>13862</v>
      </c>
      <c r="CF918" t="s">
        <v>13818</v>
      </c>
      <c r="CG918" t="s">
        <v>26589</v>
      </c>
      <c r="CH918" t="s">
        <v>14215</v>
      </c>
      <c r="CI918" t="s">
        <v>13808</v>
      </c>
      <c r="CJ918" t="s">
        <v>26589</v>
      </c>
      <c r="CK918" t="s">
        <v>14581</v>
      </c>
      <c r="CL918" t="s">
        <v>13808</v>
      </c>
      <c r="CN918" t="s">
        <v>14581</v>
      </c>
      <c r="CO918" t="s">
        <v>13808</v>
      </c>
      <c r="CP918" t="s">
        <v>26589</v>
      </c>
      <c r="CT918" t="s">
        <v>23679</v>
      </c>
      <c r="CU918" t="s">
        <v>26590</v>
      </c>
      <c r="CV918" t="s">
        <v>13808</v>
      </c>
      <c r="DA918" t="s">
        <v>26591</v>
      </c>
      <c r="DB918" t="s">
        <v>13808</v>
      </c>
      <c r="DH918" t="s">
        <v>13808</v>
      </c>
      <c r="DM918" t="s">
        <v>26592</v>
      </c>
      <c r="DN918" t="s">
        <v>13808</v>
      </c>
      <c r="DY918" t="s">
        <v>16668</v>
      </c>
      <c r="DZ918" t="s">
        <v>13841</v>
      </c>
      <c r="EA918" t="s">
        <v>14182</v>
      </c>
      <c r="EC918">
        <v>44627</v>
      </c>
      <c r="ED918" t="s">
        <v>13843</v>
      </c>
      <c r="EE918" t="s">
        <v>5139</v>
      </c>
    </row>
    <row r="919" spans="1:135">
      <c r="A919" t="s">
        <v>434</v>
      </c>
      <c r="B919" t="s">
        <v>287</v>
      </c>
      <c r="C919" t="s">
        <v>26593</v>
      </c>
      <c r="D919" s="24">
        <v>42908</v>
      </c>
      <c r="E919" s="24" t="s">
        <v>13553</v>
      </c>
      <c r="F919" s="24" t="s">
        <v>26594</v>
      </c>
      <c r="G919" s="24" t="s">
        <v>13808</v>
      </c>
      <c r="H919" s="24"/>
      <c r="I919" s="24" t="s">
        <v>13809</v>
      </c>
      <c r="J919" s="24"/>
      <c r="K919" s="24" t="s">
        <v>13808</v>
      </c>
      <c r="L919" s="24"/>
      <c r="M919" s="24" t="s">
        <v>26595</v>
      </c>
      <c r="N919" s="24" t="s">
        <v>13808</v>
      </c>
      <c r="O919" s="24"/>
      <c r="P919" s="24" t="s">
        <v>13808</v>
      </c>
      <c r="Q919" s="24"/>
      <c r="R919" s="24" t="s">
        <v>13808</v>
      </c>
      <c r="S919" s="24"/>
      <c r="T919" t="s">
        <v>26596</v>
      </c>
      <c r="U919" t="s">
        <v>13809</v>
      </c>
      <c r="W919" t="s">
        <v>13808</v>
      </c>
      <c r="X919" t="s">
        <v>26597</v>
      </c>
      <c r="Y919" t="s">
        <v>13808</v>
      </c>
      <c r="AA919" t="s">
        <v>14971</v>
      </c>
      <c r="AB919" t="s">
        <v>26598</v>
      </c>
      <c r="AC919" t="s">
        <v>13808</v>
      </c>
      <c r="AH919" t="s">
        <v>13909</v>
      </c>
      <c r="AI919" t="s">
        <v>13808</v>
      </c>
      <c r="AO919" t="s">
        <v>13809</v>
      </c>
      <c r="AT919" t="s">
        <v>14059</v>
      </c>
      <c r="AU919" t="s">
        <v>13808</v>
      </c>
      <c r="AZ919" t="s">
        <v>26599</v>
      </c>
      <c r="BA919" t="s">
        <v>13808</v>
      </c>
      <c r="BF919" t="s">
        <v>16074</v>
      </c>
      <c r="BG919" t="s">
        <v>13808</v>
      </c>
      <c r="BL919" t="s">
        <v>26600</v>
      </c>
      <c r="BM919" t="s">
        <v>13808</v>
      </c>
      <c r="BR919" t="s">
        <v>26601</v>
      </c>
      <c r="BT919" t="s">
        <v>13809</v>
      </c>
      <c r="BY919" t="s">
        <v>13887</v>
      </c>
      <c r="BZ919" t="s">
        <v>13808</v>
      </c>
      <c r="CA919" t="s">
        <v>13937</v>
      </c>
      <c r="CE919" t="s">
        <v>13887</v>
      </c>
      <c r="CF919" t="s">
        <v>13808</v>
      </c>
      <c r="CL919" t="s">
        <v>13809</v>
      </c>
      <c r="CR919" t="s">
        <v>13809</v>
      </c>
      <c r="CT919" t="s">
        <v>26602</v>
      </c>
      <c r="CU919" t="s">
        <v>13909</v>
      </c>
      <c r="CV919" t="s">
        <v>13808</v>
      </c>
      <c r="DA919" t="s">
        <v>13909</v>
      </c>
      <c r="DB919" t="s">
        <v>13808</v>
      </c>
      <c r="DG919" t="s">
        <v>13909</v>
      </c>
      <c r="DH919" t="s">
        <v>13808</v>
      </c>
      <c r="DZ919" t="s">
        <v>26603</v>
      </c>
      <c r="EA919" t="s">
        <v>18501</v>
      </c>
      <c r="EC919">
        <v>43480</v>
      </c>
      <c r="EE919" t="s">
        <v>4868</v>
      </c>
    </row>
    <row r="920" spans="1:135">
      <c r="A920" t="s">
        <v>279</v>
      </c>
      <c r="B920" t="s">
        <v>147</v>
      </c>
      <c r="C920" t="s">
        <v>26604</v>
      </c>
      <c r="D920" s="24">
        <v>42933</v>
      </c>
      <c r="E920" s="24" t="s">
        <v>13553</v>
      </c>
      <c r="F920" s="24" t="s">
        <v>26605</v>
      </c>
      <c r="G920" s="24" t="s">
        <v>13808</v>
      </c>
      <c r="H920" s="24"/>
      <c r="I920" s="24" t="s">
        <v>13809</v>
      </c>
      <c r="J920" s="24"/>
      <c r="K920" s="24" t="s">
        <v>13808</v>
      </c>
      <c r="L920" s="24"/>
      <c r="M920" s="24" t="s">
        <v>26606</v>
      </c>
      <c r="N920" s="24" t="s">
        <v>13808</v>
      </c>
      <c r="O920" s="24"/>
      <c r="P920" s="24" t="s">
        <v>13808</v>
      </c>
      <c r="Q920" s="24"/>
      <c r="R920" s="24" t="s">
        <v>13808</v>
      </c>
      <c r="S920" s="24"/>
      <c r="T920" t="s">
        <v>16853</v>
      </c>
      <c r="U920" t="s">
        <v>13809</v>
      </c>
      <c r="W920" t="s">
        <v>13808</v>
      </c>
      <c r="X920" t="s">
        <v>26607</v>
      </c>
      <c r="Y920" t="s">
        <v>13809</v>
      </c>
      <c r="AA920" t="s">
        <v>26608</v>
      </c>
      <c r="AB920" t="s">
        <v>26609</v>
      </c>
      <c r="AC920" t="s">
        <v>13808</v>
      </c>
      <c r="AH920" t="s">
        <v>13909</v>
      </c>
      <c r="AI920" t="s">
        <v>13808</v>
      </c>
      <c r="AN920" t="s">
        <v>26610</v>
      </c>
      <c r="AO920" t="s">
        <v>13808</v>
      </c>
      <c r="AT920" t="s">
        <v>15008</v>
      </c>
      <c r="AU920" t="s">
        <v>13808</v>
      </c>
      <c r="AZ920" t="s">
        <v>26611</v>
      </c>
      <c r="BA920" t="s">
        <v>13808</v>
      </c>
      <c r="BF920" t="s">
        <v>13910</v>
      </c>
      <c r="BG920" t="s">
        <v>13808</v>
      </c>
      <c r="BL920" t="s">
        <v>26612</v>
      </c>
      <c r="BM920" t="s">
        <v>13808</v>
      </c>
      <c r="BR920" t="s">
        <v>26613</v>
      </c>
      <c r="BT920" t="s">
        <v>13809</v>
      </c>
      <c r="BY920" t="s">
        <v>13887</v>
      </c>
      <c r="BZ920" t="s">
        <v>13808</v>
      </c>
      <c r="CA920" t="s">
        <v>13937</v>
      </c>
      <c r="CF920" t="s">
        <v>13809</v>
      </c>
      <c r="CK920" t="s">
        <v>17721</v>
      </c>
      <c r="CL920" t="s">
        <v>13808</v>
      </c>
      <c r="CR920" t="s">
        <v>13809</v>
      </c>
      <c r="CT920" t="s">
        <v>26602</v>
      </c>
      <c r="CU920" t="s">
        <v>13909</v>
      </c>
      <c r="CV920" t="s">
        <v>13808</v>
      </c>
      <c r="DA920" t="s">
        <v>13909</v>
      </c>
      <c r="DB920" t="s">
        <v>13808</v>
      </c>
      <c r="DG920" t="s">
        <v>13909</v>
      </c>
      <c r="DH920" t="s">
        <v>13808</v>
      </c>
      <c r="DZ920" t="s">
        <v>26614</v>
      </c>
      <c r="EA920" t="s">
        <v>26615</v>
      </c>
      <c r="EC920">
        <v>43480</v>
      </c>
      <c r="ED920" t="s">
        <v>17062</v>
      </c>
      <c r="EE920" t="s">
        <v>4698</v>
      </c>
    </row>
    <row r="921" spans="1:135">
      <c r="A921" t="s">
        <v>1038</v>
      </c>
      <c r="B921" t="s">
        <v>914</v>
      </c>
      <c r="C921" t="s">
        <v>26616</v>
      </c>
      <c r="D921" s="24">
        <v>42921</v>
      </c>
      <c r="E921" s="24" t="s">
        <v>13553</v>
      </c>
      <c r="F921" s="24" t="s">
        <v>26617</v>
      </c>
      <c r="G921" s="24" t="s">
        <v>13808</v>
      </c>
      <c r="H921" s="24"/>
      <c r="I921" s="24" t="s">
        <v>13809</v>
      </c>
      <c r="J921" s="24"/>
      <c r="K921" s="24" t="s">
        <v>13809</v>
      </c>
      <c r="L921" s="24"/>
      <c r="M921" s="24" t="s">
        <v>26618</v>
      </c>
      <c r="N921" s="24" t="s">
        <v>13808</v>
      </c>
      <c r="O921" s="24"/>
      <c r="P921" s="24" t="s">
        <v>13808</v>
      </c>
      <c r="Q921" s="24"/>
      <c r="R921" s="24" t="s">
        <v>13808</v>
      </c>
      <c r="S921" s="24"/>
      <c r="T921" t="s">
        <v>16948</v>
      </c>
      <c r="U921" t="s">
        <v>13809</v>
      </c>
      <c r="W921" t="s">
        <v>13808</v>
      </c>
      <c r="X921" t="s">
        <v>26619</v>
      </c>
      <c r="Y921" t="s">
        <v>13809</v>
      </c>
      <c r="AA921" t="s">
        <v>26620</v>
      </c>
      <c r="AB921" t="s">
        <v>13878</v>
      </c>
      <c r="AC921" t="s">
        <v>13808</v>
      </c>
      <c r="AH921" t="s">
        <v>26463</v>
      </c>
      <c r="AI921" t="s">
        <v>13808</v>
      </c>
      <c r="AO921" t="s">
        <v>13809</v>
      </c>
      <c r="AT921" t="s">
        <v>16346</v>
      </c>
      <c r="AU921" t="s">
        <v>13808</v>
      </c>
      <c r="AZ921" t="s">
        <v>14416</v>
      </c>
      <c r="BA921" t="s">
        <v>13808</v>
      </c>
      <c r="BF921" t="s">
        <v>14687</v>
      </c>
      <c r="BG921" t="s">
        <v>13808</v>
      </c>
      <c r="BL921" t="s">
        <v>26621</v>
      </c>
      <c r="BM921" t="s">
        <v>13808</v>
      </c>
      <c r="BR921" t="s">
        <v>23608</v>
      </c>
      <c r="BT921" t="s">
        <v>13809</v>
      </c>
      <c r="BY921" t="s">
        <v>13887</v>
      </c>
      <c r="BZ921" t="s">
        <v>13808</v>
      </c>
      <c r="CA921" t="s">
        <v>13937</v>
      </c>
      <c r="CF921" t="s">
        <v>13809</v>
      </c>
      <c r="CK921" t="s">
        <v>13887</v>
      </c>
      <c r="CL921" t="s">
        <v>13808</v>
      </c>
      <c r="CR921" t="s">
        <v>13809</v>
      </c>
      <c r="CT921" t="s">
        <v>26602</v>
      </c>
      <c r="CU921" t="s">
        <v>13909</v>
      </c>
      <c r="CV921" t="s">
        <v>13808</v>
      </c>
      <c r="DA921" t="s">
        <v>13909</v>
      </c>
      <c r="DB921" t="s">
        <v>13808</v>
      </c>
      <c r="DG921" t="s">
        <v>13909</v>
      </c>
      <c r="DH921" t="s">
        <v>13808</v>
      </c>
      <c r="DZ921" t="s">
        <v>26622</v>
      </c>
      <c r="EA921" t="s">
        <v>26623</v>
      </c>
      <c r="EC921">
        <v>43480</v>
      </c>
      <c r="EE921" t="s">
        <v>5429</v>
      </c>
    </row>
    <row r="922" spans="1:135">
      <c r="A922" t="s">
        <v>4873</v>
      </c>
      <c r="B922" t="s">
        <v>287</v>
      </c>
      <c r="C922" t="s">
        <v>26624</v>
      </c>
      <c r="D922" s="24">
        <v>44302</v>
      </c>
      <c r="E922" s="24" t="s">
        <v>13553</v>
      </c>
      <c r="F922" s="24" t="s">
        <v>26625</v>
      </c>
      <c r="G922" s="24" t="s">
        <v>13808</v>
      </c>
      <c r="H922" s="24"/>
      <c r="I922" s="24" t="s">
        <v>13809</v>
      </c>
      <c r="J922" s="24"/>
      <c r="K922" s="24" t="s">
        <v>13809</v>
      </c>
      <c r="L922" s="24"/>
      <c r="M922" s="24" t="s">
        <v>13950</v>
      </c>
      <c r="N922" s="24" t="s">
        <v>13808</v>
      </c>
      <c r="O922" s="24"/>
      <c r="P922" s="24" t="s">
        <v>13808</v>
      </c>
      <c r="Q922" s="24"/>
      <c r="R922" s="24" t="s">
        <v>13808</v>
      </c>
      <c r="S922" s="24"/>
      <c r="T922" t="s">
        <v>26534</v>
      </c>
      <c r="U922" t="s">
        <v>13809</v>
      </c>
      <c r="W922" t="s">
        <v>13808</v>
      </c>
      <c r="X922" t="s">
        <v>26626</v>
      </c>
      <c r="Y922" t="s">
        <v>13809</v>
      </c>
      <c r="AA922" t="s">
        <v>13877</v>
      </c>
      <c r="AC922" t="s">
        <v>13809</v>
      </c>
      <c r="AH922" t="s">
        <v>13909</v>
      </c>
      <c r="AI922" t="s">
        <v>13808</v>
      </c>
      <c r="AO922" t="s">
        <v>13809</v>
      </c>
      <c r="AU922" t="s">
        <v>13809</v>
      </c>
      <c r="AZ922" t="s">
        <v>26416</v>
      </c>
      <c r="BA922" t="s">
        <v>13808</v>
      </c>
      <c r="BG922" t="s">
        <v>13809</v>
      </c>
      <c r="BM922" t="s">
        <v>13809</v>
      </c>
      <c r="BR922" t="s">
        <v>26627</v>
      </c>
      <c r="BT922" t="s">
        <v>13809</v>
      </c>
      <c r="BZ922" t="s">
        <v>13809</v>
      </c>
      <c r="CF922" t="s">
        <v>13809</v>
      </c>
      <c r="CL922" t="s">
        <v>13809</v>
      </c>
      <c r="CR922" t="s">
        <v>13809</v>
      </c>
      <c r="CT922" t="s">
        <v>26628</v>
      </c>
      <c r="DM922" t="s">
        <v>19800</v>
      </c>
      <c r="DN922" t="s">
        <v>13808</v>
      </c>
      <c r="DP922" t="s">
        <v>25503</v>
      </c>
      <c r="DQ922" t="s">
        <v>13808</v>
      </c>
      <c r="DY922" t="s">
        <v>14606</v>
      </c>
      <c r="DZ922" t="s">
        <v>14607</v>
      </c>
      <c r="EA922" t="s">
        <v>14182</v>
      </c>
      <c r="ED922" t="s">
        <v>14608</v>
      </c>
      <c r="EE922" t="s">
        <v>4875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EC948-B817-4505-966A-F81D59E52000}">
  <sheetPr codeName="Sheet7"/>
  <dimension ref="A1:B11"/>
  <sheetViews>
    <sheetView showGridLines="0" workbookViewId="0">
      <selection activeCell="K8" sqref="K8"/>
    </sheetView>
  </sheetViews>
  <sheetFormatPr defaultColWidth="8.85546875" defaultRowHeight="15"/>
  <cols>
    <col min="2" max="2" width="95.42578125" customWidth="1"/>
  </cols>
  <sheetData>
    <row r="1" spans="1:2" ht="19.5">
      <c r="A1" s="1" t="s">
        <v>26629</v>
      </c>
      <c r="B1" s="1" t="s">
        <v>9</v>
      </c>
    </row>
    <row r="2" spans="1:2" ht="45">
      <c r="A2" s="1">
        <v>10</v>
      </c>
      <c r="B2" s="2" t="s">
        <v>26630</v>
      </c>
    </row>
    <row r="3" spans="1:2" ht="30">
      <c r="A3" s="1">
        <v>9</v>
      </c>
      <c r="B3" s="2" t="s">
        <v>26631</v>
      </c>
    </row>
    <row r="4" spans="1:2" ht="60">
      <c r="A4" s="1">
        <v>8</v>
      </c>
      <c r="B4" s="2" t="s">
        <v>26632</v>
      </c>
    </row>
    <row r="5" spans="1:2" ht="60">
      <c r="A5" s="1">
        <v>7</v>
      </c>
      <c r="B5" s="2" t="s">
        <v>26633</v>
      </c>
    </row>
    <row r="6" spans="1:2" ht="60">
      <c r="A6" s="1">
        <v>6</v>
      </c>
      <c r="B6" s="2" t="s">
        <v>26634</v>
      </c>
    </row>
    <row r="7" spans="1:2" ht="60">
      <c r="A7" s="1">
        <v>5</v>
      </c>
      <c r="B7" s="2" t="s">
        <v>26635</v>
      </c>
    </row>
    <row r="8" spans="1:2" ht="45">
      <c r="A8" s="1">
        <v>4</v>
      </c>
      <c r="B8" s="2" t="s">
        <v>26636</v>
      </c>
    </row>
    <row r="9" spans="1:2" ht="45">
      <c r="A9" s="1">
        <v>3</v>
      </c>
      <c r="B9" s="2" t="s">
        <v>26637</v>
      </c>
    </row>
    <row r="10" spans="1:2" ht="30">
      <c r="A10" s="1">
        <v>2</v>
      </c>
      <c r="B10" s="2" t="s">
        <v>26638</v>
      </c>
    </row>
    <row r="11" spans="1:2" ht="45">
      <c r="A11" s="1">
        <v>1</v>
      </c>
      <c r="B11" s="2" t="s">
        <v>26639</v>
      </c>
    </row>
  </sheetData>
  <sheetProtection algorithmName="SHA-512" hashValue="FbsOKXpcrMrKEWoVFPntVpFYCa2yiyGVOOs0SjiZYC/KyKmRE0+7TViwEkqpW++y2yzK05/LaPUu4BPdvnHC9Q==" saltValue="4KzX4kkG7M6idawhNA6NvA=="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C1B95-256E-4CA7-AE34-BB3E1A32C0D5}">
  <sheetPr codeName="Sheet8"/>
  <dimension ref="C2:K22"/>
  <sheetViews>
    <sheetView workbookViewId="0">
      <selection activeCell="C3" sqref="C3"/>
    </sheetView>
  </sheetViews>
  <sheetFormatPr defaultColWidth="8.85546875" defaultRowHeight="15"/>
  <cols>
    <col min="9" max="11" width="11" customWidth="1"/>
  </cols>
  <sheetData>
    <row r="2" spans="3:11">
      <c r="C2" t="s">
        <v>2</v>
      </c>
      <c r="E2" t="s">
        <v>26640</v>
      </c>
      <c r="I2" s="47">
        <v>45238</v>
      </c>
      <c r="J2" s="47">
        <v>45239</v>
      </c>
      <c r="K2" s="47">
        <v>45239</v>
      </c>
    </row>
    <row r="3" spans="3:11">
      <c r="I3" t="s">
        <v>1404</v>
      </c>
      <c r="J3" t="s">
        <v>1633</v>
      </c>
      <c r="K3" t="s">
        <v>1404</v>
      </c>
    </row>
    <row r="4" spans="3:11">
      <c r="I4" t="s">
        <v>1652</v>
      </c>
      <c r="J4" t="s">
        <v>1342</v>
      </c>
      <c r="K4" t="s">
        <v>1652</v>
      </c>
    </row>
    <row r="5" spans="3:11">
      <c r="I5" t="s">
        <v>1766</v>
      </c>
      <c r="J5" t="s">
        <v>13607</v>
      </c>
      <c r="K5" t="s">
        <v>2701</v>
      </c>
    </row>
    <row r="6" spans="3:11">
      <c r="I6" t="s">
        <v>2927</v>
      </c>
      <c r="J6" t="s">
        <v>3585</v>
      </c>
      <c r="K6" t="s">
        <v>2866</v>
      </c>
    </row>
    <row r="7" spans="3:11">
      <c r="I7" t="s">
        <v>2701</v>
      </c>
      <c r="J7" t="s">
        <v>3887</v>
      </c>
      <c r="K7" t="s">
        <v>3990</v>
      </c>
    </row>
    <row r="8" spans="3:11">
      <c r="I8" t="s">
        <v>2866</v>
      </c>
      <c r="J8" t="s">
        <v>3326</v>
      </c>
      <c r="K8" t="s">
        <v>4269</v>
      </c>
    </row>
    <row r="9" spans="3:11">
      <c r="I9" t="s">
        <v>7372</v>
      </c>
      <c r="J9" t="s">
        <v>8399</v>
      </c>
      <c r="K9" t="s">
        <v>251</v>
      </c>
    </row>
    <row r="10" spans="3:11">
      <c r="I10" t="s">
        <v>2982</v>
      </c>
      <c r="J10" t="s">
        <v>4203</v>
      </c>
      <c r="K10" t="s">
        <v>9298</v>
      </c>
    </row>
    <row r="11" spans="3:11">
      <c r="I11" t="s">
        <v>2408</v>
      </c>
      <c r="J11" t="s">
        <v>4276</v>
      </c>
      <c r="K11" t="s">
        <v>4387</v>
      </c>
    </row>
    <row r="12" spans="3:11">
      <c r="I12" t="s">
        <v>2301</v>
      </c>
      <c r="J12" t="s">
        <v>4280</v>
      </c>
      <c r="K12" t="s">
        <v>217</v>
      </c>
    </row>
    <row r="13" spans="3:11">
      <c r="I13" t="s">
        <v>2429</v>
      </c>
      <c r="J13" t="s">
        <v>9298</v>
      </c>
      <c r="K13" t="s">
        <v>839</v>
      </c>
    </row>
    <row r="14" spans="3:11">
      <c r="I14" t="s">
        <v>4115</v>
      </c>
      <c r="J14" t="s">
        <v>4387</v>
      </c>
    </row>
    <row r="15" spans="3:11">
      <c r="I15" t="s">
        <v>3600</v>
      </c>
      <c r="J15" t="s">
        <v>9327</v>
      </c>
    </row>
    <row r="16" spans="3:11">
      <c r="I16" t="s">
        <v>3360</v>
      </c>
      <c r="J16" t="s">
        <v>12753</v>
      </c>
    </row>
    <row r="17" spans="9:10">
      <c r="I17" t="s">
        <v>4186</v>
      </c>
      <c r="J17" t="s">
        <v>13171</v>
      </c>
    </row>
    <row r="18" spans="9:10">
      <c r="I18" t="s">
        <v>9312</v>
      </c>
      <c r="J18" t="s">
        <v>69</v>
      </c>
    </row>
    <row r="19" spans="9:10">
      <c r="I19" t="s">
        <v>757</v>
      </c>
      <c r="J19" t="s">
        <v>839</v>
      </c>
    </row>
    <row r="20" spans="9:10">
      <c r="I20" t="s">
        <v>217</v>
      </c>
      <c r="J20" t="s">
        <v>207</v>
      </c>
    </row>
    <row r="21" spans="9:10">
      <c r="I21" t="s">
        <v>367</v>
      </c>
    </row>
    <row r="22" spans="9:10">
      <c r="I22" t="s">
        <v>251</v>
      </c>
    </row>
  </sheetData>
  <sortState xmlns:xlrd2="http://schemas.microsoft.com/office/spreadsheetml/2017/richdata2" ref="J3:J20">
    <sortCondition ref="J3:J20"/>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A0A74-2AF6-423B-805B-D4933C5E3474}">
  <sheetPr codeName="Sheet9"/>
  <dimension ref="C4:F15"/>
  <sheetViews>
    <sheetView workbookViewId="0">
      <selection activeCell="D10" sqref="D10"/>
    </sheetView>
  </sheetViews>
  <sheetFormatPr defaultColWidth="8.85546875" defaultRowHeight="15"/>
  <cols>
    <col min="3" max="3" width="27.28515625" bestFit="1" customWidth="1"/>
    <col min="4" max="4" width="86.28515625" bestFit="1" customWidth="1"/>
  </cols>
  <sheetData>
    <row r="4" spans="3:6">
      <c r="C4" s="50" t="s">
        <v>26641</v>
      </c>
      <c r="D4" s="51"/>
      <c r="E4" s="51"/>
      <c r="F4" s="52"/>
    </row>
    <row r="5" spans="3:6">
      <c r="C5" t="s">
        <v>26642</v>
      </c>
      <c r="D5" t="s">
        <v>26643</v>
      </c>
    </row>
    <row r="6" spans="3:6">
      <c r="C6" t="s">
        <v>26644</v>
      </c>
      <c r="D6" t="s">
        <v>26645</v>
      </c>
    </row>
    <row r="7" spans="3:6">
      <c r="C7" t="s">
        <v>26646</v>
      </c>
      <c r="D7" t="s">
        <v>26647</v>
      </c>
    </row>
    <row r="8" spans="3:6">
      <c r="C8" t="s">
        <v>26648</v>
      </c>
      <c r="D8" t="s">
        <v>26649</v>
      </c>
    </row>
    <row r="9" spans="3:6">
      <c r="C9" t="s">
        <v>26650</v>
      </c>
      <c r="D9" t="s">
        <v>26651</v>
      </c>
    </row>
    <row r="10" spans="3:6">
      <c r="C10" t="s">
        <v>26652</v>
      </c>
      <c r="D10" t="s">
        <v>26653</v>
      </c>
    </row>
    <row r="11" spans="3:6">
      <c r="C11" t="s">
        <v>26654</v>
      </c>
      <c r="D11" t="s">
        <v>26655</v>
      </c>
    </row>
    <row r="12" spans="3:6">
      <c r="C12" t="s">
        <v>26656</v>
      </c>
      <c r="D12" t="s">
        <v>26657</v>
      </c>
    </row>
    <row r="13" spans="3:6">
      <c r="C13" t="s">
        <v>26658</v>
      </c>
      <c r="D13" t="s">
        <v>26659</v>
      </c>
    </row>
    <row r="14" spans="3:6">
      <c r="C14" t="s">
        <v>26660</v>
      </c>
      <c r="D14" t="s">
        <v>26661</v>
      </c>
    </row>
    <row r="15" spans="3:6">
      <c r="C15" t="s">
        <v>26662</v>
      </c>
      <c r="D15" t="s">
        <v>26663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F18051A8F665428C97D1ADA0136FAC" ma:contentTypeVersion="10" ma:contentTypeDescription="Create a new document." ma:contentTypeScope="" ma:versionID="3efba54532e732c5820d1c9c1b346795">
  <xsd:schema xmlns:xsd="http://www.w3.org/2001/XMLSchema" xmlns:xs="http://www.w3.org/2001/XMLSchema" xmlns:p="http://schemas.microsoft.com/office/2006/metadata/properties" xmlns:ns2="fceab27a-2ad5-4832-96d5-15eb2c9bd58d" xmlns:ns3="768ac007-66a0-44dd-8b76-683b2db997c9" targetNamespace="http://schemas.microsoft.com/office/2006/metadata/properties" ma:root="true" ma:fieldsID="a4c1af9b11afd797f5cc48e8dfb8bf6d" ns2:_="" ns3:_="">
    <xsd:import namespace="fceab27a-2ad5-4832-96d5-15eb2c9bd58d"/>
    <xsd:import namespace="768ac007-66a0-44dd-8b76-683b2db997c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eab27a-2ad5-4832-96d5-15eb2c9bd58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68ac007-66a0-44dd-8b76-683b2db997c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D200B19E-0C10-48DC-973D-5EF44E8A1D42}"/>
</file>

<file path=customXml/itemProps2.xml><?xml version="1.0" encoding="utf-8"?>
<ds:datastoreItem xmlns:ds="http://schemas.openxmlformats.org/officeDocument/2006/customXml" ds:itemID="{1933A1EC-D28B-489E-AEFF-4265584CC24B}"/>
</file>

<file path=customXml/itemProps3.xml><?xml version="1.0" encoding="utf-8"?>
<ds:datastoreItem xmlns:ds="http://schemas.openxmlformats.org/officeDocument/2006/customXml" ds:itemID="{4642A3B8-F1E8-4B10-9D67-D0586EDBEFF6}"/>
</file>

<file path=customXml/itemProps4.xml><?xml version="1.0" encoding="utf-8"?>
<ds:datastoreItem xmlns:ds="http://schemas.openxmlformats.org/officeDocument/2006/customXml" ds:itemID="{36EBF6ED-A622-4660-8109-745A56A4B86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Kendo UI</dc:creator>
  <cp:keywords/>
  <dc:description/>
  <cp:lastModifiedBy/>
  <cp:revision/>
  <dcterms:created xsi:type="dcterms:W3CDTF">2023-02-28T19:51:08Z</dcterms:created>
  <dcterms:modified xsi:type="dcterms:W3CDTF">2025-10-18T12:21:44Z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0x0101000AF18051A8F665428C97D1ADA0136FAC</vt:lpwstr>
  </property>
  <property fmtid="{D5CDD505-2E9C-101B-9397-08002B2CF9AE}" pid="3" name="MediaServiceImageTags">
    <vt:lpwstr/>
  </property>
</Properties>
</file>